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ar\www\WKW_001\python\UNL\Python\Metadata\ManualEdits\"/>
    </mc:Choice>
  </mc:AlternateContent>
  <xr:revisionPtr revIDLastSave="0" documentId="13_ncr:1_{F41841E8-3EB8-4356-8664-7E3A4F671400}" xr6:coauthVersionLast="47" xr6:coauthVersionMax="47" xr10:uidLastSave="{00000000-0000-0000-0000-000000000000}"/>
  <bookViews>
    <workbookView xWindow="1860" yWindow="-135" windowWidth="28485" windowHeight="14385" xr2:uid="{00000000-000D-0000-FFFF-FFFF00000000}"/>
  </bookViews>
  <sheets>
    <sheet name="Metadata_Tax_Updated_2022_12_25" sheetId="1" r:id="rId1"/>
    <sheet name="GROSS MORPHOLOGY" sheetId="6" r:id="rId2"/>
    <sheet name="Sheet1" sheetId="2" r:id="rId3"/>
    <sheet name="Family" sheetId="3" r:id="rId4"/>
    <sheet name="Order" sheetId="4" r:id="rId5"/>
    <sheet name="Genus" sheetId="5" r:id="rId6"/>
  </sheets>
  <definedNames>
    <definedName name="_xlnm._FilterDatabase" localSheetId="0" hidden="1">Metadata_Tax_Updated_2022_12_25!$A$1:$R$10676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</calcChain>
</file>

<file path=xl/sharedStrings.xml><?xml version="1.0" encoding="utf-8"?>
<sst xmlns="http://schemas.openxmlformats.org/spreadsheetml/2006/main" count="134434" uniqueCount="22870">
  <si>
    <t>ImageName</t>
  </si>
  <si>
    <t>Gender</t>
  </si>
  <si>
    <t>General</t>
  </si>
  <si>
    <t>Descr</t>
  </si>
  <si>
    <t>Detail</t>
  </si>
  <si>
    <t>KeyArea</t>
  </si>
  <si>
    <t>Magnification</t>
  </si>
  <si>
    <t>Location</t>
  </si>
  <si>
    <t>Host</t>
  </si>
  <si>
    <t>Species</t>
  </si>
  <si>
    <t>ScientificName_accepted</t>
  </si>
  <si>
    <t>Class</t>
  </si>
  <si>
    <t>Order</t>
  </si>
  <si>
    <t>Family</t>
  </si>
  <si>
    <t>Genus</t>
  </si>
  <si>
    <t>https://nematode.unl.edu/acor1.jpg</t>
  </si>
  <si>
    <t>juvenile</t>
  </si>
  <si>
    <t>esophagus</t>
  </si>
  <si>
    <t>Anterior</t>
  </si>
  <si>
    <t>400X</t>
  </si>
  <si>
    <t>Konza Prairie, Kansas</t>
  </si>
  <si>
    <t>Acrobeles omatus</t>
  </si>
  <si>
    <t>Acrobeles ornatus</t>
  </si>
  <si>
    <t>Chromadorea</t>
  </si>
  <si>
    <t>Rhabditida</t>
  </si>
  <si>
    <t>Cephalobidae</t>
  </si>
  <si>
    <t>Acrobeles</t>
  </si>
  <si>
    <t>https://nematode.unl.edu/acbuts8.jpg</t>
  </si>
  <si>
    <t>tail</t>
  </si>
  <si>
    <t>Bluegrass</t>
  </si>
  <si>
    <t>Acrobeloides butschli</t>
  </si>
  <si>
    <t>Acrobeloides buetschlii</t>
  </si>
  <si>
    <t>Acrobeloides</t>
  </si>
  <si>
    <t>https://nematode.unl.edu/acbuts5.jpg</t>
  </si>
  <si>
    <t>head</t>
  </si>
  <si>
    <t>Big bluestem/|_ittle bluestem</t>
  </si>
  <si>
    <t>Acrobeloides butschlii</t>
  </si>
  <si>
    <t>https://nematode.unl.edu/acbuts6.jpg</t>
  </si>
  <si>
    <t>Sporobolus</t>
  </si>
  <si>
    <t>https://nematode.unl.edu/acbuts7.jpg</t>
  </si>
  <si>
    <t>https://nematode.unl.edu/acbuts9.jpg</t>
  </si>
  <si>
    <t>1000X</t>
  </si>
  <si>
    <t>https://nematode.unl.edu/acmi1.jpg</t>
  </si>
  <si>
    <t>female</t>
  </si>
  <si>
    <t>body</t>
  </si>
  <si>
    <t>100X</t>
  </si>
  <si>
    <t>Nine Mile Prairie, Lancaster County, Nebraska</t>
  </si>
  <si>
    <t>Acrobeloides minor</t>
  </si>
  <si>
    <t>Acrobeloides nanus</t>
  </si>
  <si>
    <t>https://nematode.unl.edu/acmi2.jpg</t>
  </si>
  <si>
    <t>https://nematode.unl.edu/acmi3.jpg</t>
  </si>
  <si>
    <t>vulva</t>
  </si>
  <si>
    <t>https://nematode.unl.edu/acmi4.jpg</t>
  </si>
  <si>
    <t>lateral field</t>
  </si>
  <si>
    <t>https://nematode.unl.edu/acmi5.jpg</t>
  </si>
  <si>
    <t>Attemesia</t>
  </si>
  <si>
    <t>https://nematode.unl.edu/amino1.jpg</t>
  </si>
  <si>
    <t>Lava Mountain , Idaho</t>
  </si>
  <si>
    <t>https://nematode.unl.edu/amino2.jpg</t>
  </si>
  <si>
    <t>https://nematode.unl.edu/amino3.jpg</t>
  </si>
  <si>
    <t>https://nematode.unl.edu/amino4.jpg</t>
  </si>
  <si>
    <t>https://nematode.unl.edu/amino5.jpg</t>
  </si>
  <si>
    <t>https://nematode.unl.edu/amino6.jpg</t>
  </si>
  <si>
    <t>https://nematode.unl.edu/acrap3.jpg</t>
  </si>
  <si>
    <t>Little bluestem</t>
  </si>
  <si>
    <t>Acrobeloides apicula</t>
  </si>
  <si>
    <t>https://nematode.unl.edu/agla1.jpg</t>
  </si>
  <si>
    <t>Aglnehus agricola</t>
  </si>
  <si>
    <t>Aglenchus agricola</t>
  </si>
  <si>
    <t>Tylenchidae</t>
  </si>
  <si>
    <t>Aglenchus</t>
  </si>
  <si>
    <t>https://nematode.unl.edu/aprim11.jpg</t>
  </si>
  <si>
    <t>Alaimus</t>
  </si>
  <si>
    <t>Enoplea</t>
  </si>
  <si>
    <t>Enoplida</t>
  </si>
  <si>
    <t>Alaimidae</t>
  </si>
  <si>
    <t>https://nematode.unl.edu/eudan1.jpg</t>
  </si>
  <si>
    <t>male</t>
  </si>
  <si>
    <t>Big bluestem/Little bluestem</t>
  </si>
  <si>
    <t>Eudorylaimus andrassyi</t>
  </si>
  <si>
    <t>Allodorylaimus andrassyi</t>
  </si>
  <si>
    <t>Dorylaimida</t>
  </si>
  <si>
    <t>Qudsianematidae</t>
  </si>
  <si>
    <t>Allodorylaimus</t>
  </si>
  <si>
    <t>https://nematode.unl.edu/eudan2.jpg</t>
  </si>
  <si>
    <t>Big bluestem</t>
  </si>
  <si>
    <t>https://nematode.unl.edu/eudan3.jpg</t>
  </si>
  <si>
    <t>basal esophagus</t>
  </si>
  <si>
    <t>https://nematode.unl.edu/eudan4.jpg</t>
  </si>
  <si>
    <t>https://nematode.unl.edu/eudan5.jpg</t>
  </si>
  <si>
    <t>https://nematode.unl.edu/eurob1.jpg</t>
  </si>
  <si>
    <t>40X</t>
  </si>
  <si>
    <t>Eudorylaimus robustus</t>
  </si>
  <si>
    <t>Allodorylaimus robustus</t>
  </si>
  <si>
    <t>https://nematode.unl.edu/eurob2.jpg</t>
  </si>
  <si>
    <t>https://nematode.unl.edu/eurob3.jpg</t>
  </si>
  <si>
    <t>anterior</t>
  </si>
  <si>
    <t>https://nematode.unl.edu/eurob4.jpg</t>
  </si>
  <si>
    <t>https://nematode.unl.edu/eurob5.jpg</t>
  </si>
  <si>
    <t>https://nematode.unl.edu/asac1.jpg</t>
  </si>
  <si>
    <t>Aphelenchoides sacchari</t>
  </si>
  <si>
    <t>Aphelenchoides saccheri</t>
  </si>
  <si>
    <t>Aphelenchoididae</t>
  </si>
  <si>
    <t>Aphelenchoides</t>
  </si>
  <si>
    <t>https://nematode.unl.edu/asac2.jpg</t>
  </si>
  <si>
    <t>Leadplant</t>
  </si>
  <si>
    <t>https://nematode.unl.edu/asac3.jpg</t>
  </si>
  <si>
    <t>https://nematode.unl.edu/asaccmp.jpg</t>
  </si>
  <si>
    <t>compare</t>
  </si>
  <si>
    <t>https://nematode.unl.edu/asack1.jpg</t>
  </si>
  <si>
    <t>https://nematode.unl.edu/asack2.jpg</t>
  </si>
  <si>
    <t>https://nematode.unl.edu/asack3.jpg</t>
  </si>
  <si>
    <t>spicules</t>
  </si>
  <si>
    <t>https://nematode.unl.edu/asack4.jpg</t>
  </si>
  <si>
    <t>https://nematode.unl.edu/asack5.jpg</t>
  </si>
  <si>
    <t>https://nematode.unl.edu/takaho1.jpg</t>
  </si>
  <si>
    <t>Homestead National Monument of America - Nebraska</t>
  </si>
  <si>
    <t>Takamangai</t>
  </si>
  <si>
    <t>Aporcelaimellus</t>
  </si>
  <si>
    <t>Aporcelaimidae</t>
  </si>
  <si>
    <t>https://nematode.unl.edu/takaho2.jpg</t>
  </si>
  <si>
    <t>https://nematode.unl.edu/takaho3.jpg</t>
  </si>
  <si>
    <t>esophageal bands</t>
  </si>
  <si>
    <t>https://nematode.unl.edu/takaho4.jpg</t>
  </si>
  <si>
    <t>https://nematode.unl.edu/takaho5.jpg</t>
  </si>
  <si>
    <t>https://nematode.unl.edu/takaho6.jpg</t>
  </si>
  <si>
    <t>https://nematode.unl.edu/takasp1.jpg</t>
  </si>
  <si>
    <t>Mead pasture</t>
  </si>
  <si>
    <t>Dead pig B</t>
  </si>
  <si>
    <t>https://nematode.unl.edu/takasp2.jpg</t>
  </si>
  <si>
    <t>https://nematode.unl.edu/takasp3.jpg</t>
  </si>
  <si>
    <t>Dead pig</t>
  </si>
  <si>
    <t>https://nematode.unl.edu/takasp4.jpg</t>
  </si>
  <si>
    <t>https://nematode.unl.edu/aobtu1.jpg</t>
  </si>
  <si>
    <t>Aporcelaimellus obtusus</t>
  </si>
  <si>
    <t>Aporcelaimellus obtusicaudatus</t>
  </si>
  <si>
    <t>https://nematode.unl.edu/aobtu10.jpg</t>
  </si>
  <si>
    <t>200X</t>
  </si>
  <si>
    <t>Big bluestem/Seribner's panicum</t>
  </si>
  <si>
    <t>https://nematode.unl.edu/aobtu11.jpg</t>
  </si>
  <si>
    <t>https://nematode.unl.edu/aobtu12.jpg</t>
  </si>
  <si>
    <t>Scribner's panicum</t>
  </si>
  <si>
    <t>https://nematode.unl.edu/aobtu13.jpg</t>
  </si>
  <si>
    <t>https://nematode.unl.edu/aobtu14.jpg</t>
  </si>
  <si>
    <t>https://nematode.unl.edu/aobtu15.jpg</t>
  </si>
  <si>
    <t>https://nematode.unl.edu/aobtu16.jpg</t>
  </si>
  <si>
    <t>https://nematode.unl.edu/aobtu17.jpg</t>
  </si>
  <si>
    <t>https://nematode.unl.edu/aobtu2.jpg</t>
  </si>
  <si>
    <t>https://nematode.unl.edu/aobtu3.jpg</t>
  </si>
  <si>
    <t>https://nematode.unl.edu/aobtu4.jpg</t>
  </si>
  <si>
    <t>https://nematode.unl.edu/aobtu5.jpg</t>
  </si>
  <si>
    <t>https://nematode.unl.edu/aobtu6.jpg</t>
  </si>
  <si>
    <t>https://nematode.unl.edu/aobtu7.jpg</t>
  </si>
  <si>
    <t>https://nematode.unl.edu/aobtu8.jpg</t>
  </si>
  <si>
    <t>https://nematode.unl.edu/aobtu9.jpg</t>
  </si>
  <si>
    <t>https://nematode.unl.edu/aobcmp.jpg</t>
  </si>
  <si>
    <t>Aporcelaimellus obscuroides</t>
  </si>
  <si>
    <t>https://nematode.unl.edu/apoides1.jpg</t>
  </si>
  <si>
    <t>https://nematode.unl.edu/apoides2.jpg</t>
  </si>
  <si>
    <t>https://nematode.unl.edu/apoides3.jpg</t>
  </si>
  <si>
    <t>https://nematode.unl.edu/aporcobs1.jpg</t>
  </si>
  <si>
    <t>Mead pasture, Meade county, South Dakota</t>
  </si>
  <si>
    <t>Dead pig A</t>
  </si>
  <si>
    <t>https://nematode.unl.edu/aporcobs2.jpg</t>
  </si>
  <si>
    <t>https://nematode.unl.edu/aporcobs3.jpg</t>
  </si>
  <si>
    <t>https://nematode.unl.edu/aporcobs4.jpg</t>
  </si>
  <si>
    <t>https://nematode.unl.edu/aporcobs5.jpg</t>
  </si>
  <si>
    <t>https://nematode.unl.edu/aporcobs6.jpg</t>
  </si>
  <si>
    <t>https://nematode.unl.edu/aporcobs7.jpg</t>
  </si>
  <si>
    <t>https://nematode.unl.edu/aporcobs8.jpg</t>
  </si>
  <si>
    <t>https://nematode.unl.edu/aporoid1.jpg</t>
  </si>
  <si>
    <t>https://nematode.unl.edu/aporoid10.jpg</t>
  </si>
  <si>
    <t>https://nematode.unl.edu/aporoid11.jpg</t>
  </si>
  <si>
    <t>Big bluestem/Scribner's panicum</t>
  </si>
  <si>
    <t>https://nematode.unl.edu/aporoid12.jpg</t>
  </si>
  <si>
    <t>https://nematode.unl.edu/aporoid13.jpg</t>
  </si>
  <si>
    <t>https://nematode.unl.edu/aporoid14.jpg</t>
  </si>
  <si>
    <t>https://nematode.unl.edu/aporoid15.jpg</t>
  </si>
  <si>
    <t>midbody</t>
  </si>
  <si>
    <t>https://nematode.unl.edu/aporoid16.jpg</t>
  </si>
  <si>
    <t>https://nematode.unl.edu/aporoid17.jpg</t>
  </si>
  <si>
    <t>posterior</t>
  </si>
  <si>
    <t>https://nematode.unl.edu/aporoid18.jpg</t>
  </si>
  <si>
    <t>Big bluestem/Bluegrass</t>
  </si>
  <si>
    <t>https://nematode.unl.edu/aporoid19.jpg</t>
  </si>
  <si>
    <t>https://nematode.unl.edu/aporoid2.jpg</t>
  </si>
  <si>
    <t>https://nematode.unl.edu/aporoid20.jpg</t>
  </si>
  <si>
    <t>https://nematode.unl.edu/aporoid21.jpg</t>
  </si>
  <si>
    <t>https://nematode.unl.edu/aporoid22.jpg</t>
  </si>
  <si>
    <t>https://nematode.unl.edu/aporoid23.jpg</t>
  </si>
  <si>
    <t>https://nematode.unl.edu/aporoid24.jpg</t>
  </si>
  <si>
    <t>https://nematode.unl.edu/aporoid25.jpg</t>
  </si>
  <si>
    <t>https://nematode.unl.edu/aporoid26.jpg</t>
  </si>
  <si>
    <t>Little bluestem/Seribner's panicum</t>
  </si>
  <si>
    <t>https://nematode.unl.edu/aporoid27.jpg</t>
  </si>
  <si>
    <t>https://nematode.unl.edu/aporoid28.jpg</t>
  </si>
  <si>
    <t>Big bluestem/Blluegrass</t>
  </si>
  <si>
    <t>https://nematode.unl.edu/aporoid29.jpg</t>
  </si>
  <si>
    <t>https://nematode.unl.edu/aporoid3.jpg</t>
  </si>
  <si>
    <t>https://nematode.unl.edu/aporoid30.jpg</t>
  </si>
  <si>
    <t>https://nematode.unl.edu/aporoid31.jpg</t>
  </si>
  <si>
    <t>https://nematode.unl.edu/aporoid32.jpg</t>
  </si>
  <si>
    <t>https://nematode.unl.edu/aporoid33.jpg</t>
  </si>
  <si>
    <t>https://nematode.unl.edu/aporoid34.jpg</t>
  </si>
  <si>
    <t>https://nematode.unl.edu/aporoid35.jpg</t>
  </si>
  <si>
    <t>ovaries</t>
  </si>
  <si>
    <t>Junegrass</t>
  </si>
  <si>
    <t>https://nematode.unl.edu/aporoid36.jpg</t>
  </si>
  <si>
    <t>https://nematode.unl.edu/aporoid37.jpg</t>
  </si>
  <si>
    <t>https://nematode.unl.edu/aporoid38.jpg</t>
  </si>
  <si>
    <t>https://nematode.unl.edu/aporoid39.jpg</t>
  </si>
  <si>
    <t>https://nematode.unl.edu/aporoid4.jpg</t>
  </si>
  <si>
    <t>Big bluestem/Senbner's panicum</t>
  </si>
  <si>
    <t>https://nematode.unl.edu/aporoid40.jpg</t>
  </si>
  <si>
    <t>https://nematode.unl.edu/aporoid41.jpg</t>
  </si>
  <si>
    <t>https://nematode.unl.edu/aporoid42.jpg</t>
  </si>
  <si>
    <t>https://nematode.unl.edu/aporoid43.jpg</t>
  </si>
  <si>
    <t>Little bluestem/ Scribner's panicum</t>
  </si>
  <si>
    <t>https://nematode.unl.edu/aporoid44.jpg</t>
  </si>
  <si>
    <t>https://nematode.unl.edu/aporoid45.jpg</t>
  </si>
  <si>
    <t>Serbner's panicum</t>
  </si>
  <si>
    <t>https://nematode.unl.edu/aporoid46.jpg</t>
  </si>
  <si>
    <t>https://nematode.unl.edu/aporoid47.jpg</t>
  </si>
  <si>
    <t>https://nematode.unl.edu/aporoid48.jpg</t>
  </si>
  <si>
    <t>cuticle</t>
  </si>
  <si>
    <t>https://nematode.unl.edu/aporoid49.jpg</t>
  </si>
  <si>
    <t>https://nematode.unl.edu/aporoid5.jpg</t>
  </si>
  <si>
    <t>https://nematode.unl.edu/aporoid6.jpg</t>
  </si>
  <si>
    <t>https://nematode.unl.edu/aporoid7.jpg</t>
  </si>
  <si>
    <t>https://nematode.unl.edu/aporoid8.jpg</t>
  </si>
  <si>
    <t>supplements</t>
  </si>
  <si>
    <t>https://nematode.unl.edu/aporoid9.jpg</t>
  </si>
  <si>
    <t>https://nematode.unl.edu/apob1.jpg</t>
  </si>
  <si>
    <t>Aporcelaimellus obscurus</t>
  </si>
  <si>
    <t>https://nematode.unl.edu/apob10.jpg</t>
  </si>
  <si>
    <t>https://nematode.unl.edu/apob11.jpg</t>
  </si>
  <si>
    <t>https://nematode.unl.edu/apob12.jpg</t>
  </si>
  <si>
    <t>https://nematode.unl.edu/apob13.jpg</t>
  </si>
  <si>
    <t>https://nematode.unl.edu/apob14.jpg</t>
  </si>
  <si>
    <t>https://nematode.unl.edu/apob15.jpg</t>
  </si>
  <si>
    <t>https://nematode.unl.edu/apob16.jpg</t>
  </si>
  <si>
    <t>https://nematode.unl.edu/apob17.jpg</t>
  </si>
  <si>
    <t>https://nematode.unl.edu/apob18.jpg</t>
  </si>
  <si>
    <t>cardia</t>
  </si>
  <si>
    <t>https://nematode.unl.edu/apob19.jpg</t>
  </si>
  <si>
    <t>https://nematode.unl.edu/apob2.jpg</t>
  </si>
  <si>
    <t>https://nematode.unl.edu/apob20.jpg</t>
  </si>
  <si>
    <t>https://nematode.unl.edu/apob21.jpg</t>
  </si>
  <si>
    <t>https://nematode.unl.edu/apob3.jpg</t>
  </si>
  <si>
    <t>https://nematode.unl.edu/apob4.jpg</t>
  </si>
  <si>
    <t>https://nematode.unl.edu/apob5.jpg</t>
  </si>
  <si>
    <t>https://nematode.unl.edu/apob6.jpg</t>
  </si>
  <si>
    <t>https://nematode.unl.edu/apob7.jpg</t>
  </si>
  <si>
    <t>https://nematode.unl.edu/apob8.jpg</t>
  </si>
  <si>
    <t>https://nematode.unl.edu/apob9.jpg</t>
  </si>
  <si>
    <t>https://nematode.unl.edu/apobcmp.jpg</t>
  </si>
  <si>
    <t>https://nematode.unl.edu/apobs1.jpg</t>
  </si>
  <si>
    <t>lips</t>
  </si>
  <si>
    <t>https://nematode.unl.edu/apobs2.jpg</t>
  </si>
  <si>
    <t>stylet</t>
  </si>
  <si>
    <t>https://nematode.unl.edu/apobs3.jpg</t>
  </si>
  <si>
    <t>https://nematode.unl.edu/apobs4.jpg</t>
  </si>
  <si>
    <t>https://nematode.unl.edu/apobs5.jpg</t>
  </si>
  <si>
    <t>https://nematode.unl.edu/apobs6.jpg</t>
  </si>
  <si>
    <t>https://nematode.unl.edu/apobs7.jpg</t>
  </si>
  <si>
    <t>esophageal intestinal junstion</t>
  </si>
  <si>
    <t>https://nematode.unl.edu/aporcelob1.jpg</t>
  </si>
  <si>
    <t>Haughton impact crater, Devon Island, Nunavut</t>
  </si>
  <si>
    <t>https://nematode.unl.edu/aporcelob10.jpg</t>
  </si>
  <si>
    <t>https://nematode.unl.edu/aporcelob11.jpg</t>
  </si>
  <si>
    <t>https://nematode.unl.edu/aporcelob12.jpg</t>
  </si>
  <si>
    <t>https://nematode.unl.edu/aporcelob13.jpg</t>
  </si>
  <si>
    <t>https://nematode.unl.edu/aporcelob14.jpg</t>
  </si>
  <si>
    <t>https://nematode.unl.edu/aporcelob2.jpg</t>
  </si>
  <si>
    <t>https://nematode.unl.edu/aporcelob3.jpg</t>
  </si>
  <si>
    <t>https://nematode.unl.edu/aporcelob4.jpg</t>
  </si>
  <si>
    <t>https://nematode.unl.edu/aporcelob5.jpg</t>
  </si>
  <si>
    <t>https://nematode.unl.edu/aporcelob6.jpg</t>
  </si>
  <si>
    <t>https://nematode.unl.edu/aporcelob7.jpg</t>
  </si>
  <si>
    <t>https://nematode.unl.edu/aporcelob8.jpg</t>
  </si>
  <si>
    <t>https://nematode.unl.edu/aporcelob9.jpg</t>
  </si>
  <si>
    <t>https://nematode.unl.edu/aporus1.jpg</t>
  </si>
  <si>
    <t>Dalhart, Texas</t>
  </si>
  <si>
    <t>https://nematode.unl.edu/aporus10.jpg</t>
  </si>
  <si>
    <t>https://nematode.unl.edu/aporus11.jpg</t>
  </si>
  <si>
    <t>https://nematode.unl.edu/aporus12.jpg</t>
  </si>
  <si>
    <t>https://nematode.unl.edu/aporus2.jpg</t>
  </si>
  <si>
    <t>https://nematode.unl.edu/aporus3.jpg</t>
  </si>
  <si>
    <t>https://nematode.unl.edu/aporus4.jpg</t>
  </si>
  <si>
    <t>https://nematode.unl.edu/aporus5.jpg</t>
  </si>
  <si>
    <t>https://nematode.unl.edu/aporus6.jpg</t>
  </si>
  <si>
    <t>https://nematode.unl.edu/aporus7.jpg</t>
  </si>
  <si>
    <t>https://nematode.unl.edu/aporus8.jpg</t>
  </si>
  <si>
    <t>https://nematode.unl.edu/aporus9.jpg</t>
  </si>
  <si>
    <t>https://nematode.unl.edu/apscurus1.jpg</t>
  </si>
  <si>
    <t>South Dakota</t>
  </si>
  <si>
    <t>Bearberry</t>
  </si>
  <si>
    <t>https://nematode.unl.edu/apscurus10.jpg</t>
  </si>
  <si>
    <t>https://nematode.unl.edu/apscurus11.jpg</t>
  </si>
  <si>
    <t>https://nematode.unl.edu/apscurus2.jpg</t>
  </si>
  <si>
    <t>https://nematode.unl.edu/apscurus3.jpg</t>
  </si>
  <si>
    <t>https://nematode.unl.edu/apscurus4.jpg</t>
  </si>
  <si>
    <t>https://nematode.unl.edu/apscurus5.jpg</t>
  </si>
  <si>
    <t>https://nematode.unl.edu/apscurus6.jpg</t>
  </si>
  <si>
    <t>https://nematode.unl.edu/apscurus7.jpg</t>
  </si>
  <si>
    <t>https://nematode.unl.edu/apscurus8.jpg</t>
  </si>
  <si>
    <t>https://nematode.unl.edu/apscurus9.jpg</t>
  </si>
  <si>
    <t>https://nematode.unl.edu/appor1.jpg</t>
  </si>
  <si>
    <t>Aporcelaimellus porcus</t>
  </si>
  <si>
    <t>https://nematode.unl.edu/appor2.jpg</t>
  </si>
  <si>
    <t>https://nematode.unl.edu/appor3.jpg</t>
  </si>
  <si>
    <t>https://nematode.unl.edu/appor4.jpg</t>
  </si>
  <si>
    <t>https://nematode.unl.edu/appor5.jpg</t>
  </si>
  <si>
    <t>https://nematode.unl.edu/appor6.jpg</t>
  </si>
  <si>
    <t>https://nematode.unl.edu/appor7.jpg</t>
  </si>
  <si>
    <t>https://nematode.unl.edu/apore1.jpg</t>
  </si>
  <si>
    <t>50X</t>
  </si>
  <si>
    <t>Lava Mountain - Idaho</t>
  </si>
  <si>
    <t>Aporcelaimus eurydorys</t>
  </si>
  <si>
    <t>Aporcelaimus eurydoris</t>
  </si>
  <si>
    <t>Aporcelaimus</t>
  </si>
  <si>
    <t>https://nematode.unl.edu/apore2.jpg</t>
  </si>
  <si>
    <t>https://nematode.unl.edu/apore3.jpg</t>
  </si>
  <si>
    <t>https://nematode.unl.edu/apore4.jpg</t>
  </si>
  <si>
    <t>https://nematode.unl.edu/apore5.jpg</t>
  </si>
  <si>
    <t>https://nematode.unl.edu/apore6.jpg</t>
  </si>
  <si>
    <t>https://nematode.unl.edu/apta1.jpg</t>
  </si>
  <si>
    <t>Aporcelaimellus taylori</t>
  </si>
  <si>
    <t>Aporcella taylori</t>
  </si>
  <si>
    <t>Aporcella</t>
  </si>
  <si>
    <t>https://nematode.unl.edu/apta2.jpg</t>
  </si>
  <si>
    <t>https://nematode.unl.edu/apta3.jpg</t>
  </si>
  <si>
    <t>https://nematode.unl.edu/apta4.jpg</t>
  </si>
  <si>
    <t>https://nematode.unl.edu/apta5.jpg</t>
  </si>
  <si>
    <t>https://nematode.unl.edu/apta6.jpg</t>
  </si>
  <si>
    <t>https://nematode.unl.edu/ataycmp.jpg</t>
  </si>
  <si>
    <t>https://nematode.unl.edu/aquac1.jpg</t>
  </si>
  <si>
    <t>Aquatides christei</t>
  </si>
  <si>
    <t>Aquatides christiei</t>
  </si>
  <si>
    <t>Nygolaimidae</t>
  </si>
  <si>
    <t>Aquatides</t>
  </si>
  <si>
    <t>https://nematode.unl.edu/aquac10.jpg</t>
  </si>
  <si>
    <t>https://nematode.unl.edu/aquac11.jpg</t>
  </si>
  <si>
    <t>https://nematode.unl.edu/aquac12.jpg</t>
  </si>
  <si>
    <t>https://nematode.unl.edu/aquac13.jpg</t>
  </si>
  <si>
    <t>https://nematode.unl.edu/aquac14.jpg</t>
  </si>
  <si>
    <t>cardiae glands</t>
  </si>
  <si>
    <t>https://nematode.unl.edu/aquac15.jpg</t>
  </si>
  <si>
    <t>https://nematode.unl.edu/aquac16.jpg</t>
  </si>
  <si>
    <t>https://nematode.unl.edu/aquac17.jpg</t>
  </si>
  <si>
    <t>https://nematode.unl.edu/aquac18.jpg</t>
  </si>
  <si>
    <t>https://nematode.unl.edu/aquac19.jpg</t>
  </si>
  <si>
    <t>Seribner's panicum</t>
  </si>
  <si>
    <t>https://nematode.unl.edu/aquac2.jpg</t>
  </si>
  <si>
    <t>https://nematode.unl.edu/aquac20.jpg</t>
  </si>
  <si>
    <t>https://nematode.unl.edu/aquac21.jpg</t>
  </si>
  <si>
    <t>https://nematode.unl.edu/aquac22.jpg</t>
  </si>
  <si>
    <t>https://nematode.unl.edu/aquac3.jpg</t>
  </si>
  <si>
    <t>https://nematode.unl.edu/aquac4.jpg</t>
  </si>
  <si>
    <t>https://nematode.unl.edu/aquac5.jpg</t>
  </si>
  <si>
    <t>https://nematode.unl.edu/aquac6.jpg</t>
  </si>
  <si>
    <t>https://nematode.unl.edu/aquac7.jpg</t>
  </si>
  <si>
    <t>https://nematode.unl.edu/aquac8.jpg</t>
  </si>
  <si>
    <t>https://nematode.unl.edu/aquac9.jpg</t>
  </si>
  <si>
    <t>https://nematode.unl.edu/aquaccmp.jpg</t>
  </si>
  <si>
    <t>https://nematode.unl.edu/bacon1.jpg</t>
  </si>
  <si>
    <t>Basiria conura</t>
  </si>
  <si>
    <t>Basiria duplexa</t>
  </si>
  <si>
    <t>Basiria</t>
  </si>
  <si>
    <t>https://nematode.unl.edu/bacon2.jpg</t>
  </si>
  <si>
    <t>https://nematode.unl.edu/bacon3.jpg</t>
  </si>
  <si>
    <t>https://nematode.unl.edu/bacon4.jpg</t>
  </si>
  <si>
    <t>https://nematode.unl.edu/bacon5.jpg</t>
  </si>
  <si>
    <t>https://nematode.unl.edu/bacon6.jpg</t>
  </si>
  <si>
    <t>https://nematode.unl.edu/bobli1.jpg</t>
  </si>
  <si>
    <t>Basiria obliqua</t>
  </si>
  <si>
    <t>https://nematode.unl.edu/bobli2.jpg</t>
  </si>
  <si>
    <t>https://nematode.unl.edu/bobli3.jpg</t>
  </si>
  <si>
    <t>https://nematode.unl.edu/bobli4.jpg</t>
  </si>
  <si>
    <t>https://nematode.unl.edu/boblicmp.jpg</t>
  </si>
  <si>
    <t>https://nematode.unl.edu/basob1.jpg</t>
  </si>
  <si>
    <t>Basiria obliquua</t>
  </si>
  <si>
    <t>https://nematode.unl.edu/basob10.jpg</t>
  </si>
  <si>
    <t>https://nematode.unl.edu/basob11.jpg</t>
  </si>
  <si>
    <t>basal bulb</t>
  </si>
  <si>
    <t>https://nematode.unl.edu/basob12.jpg</t>
  </si>
  <si>
    <t>amphid</t>
  </si>
  <si>
    <t>https://nematode.unl.edu/basob13.jpg</t>
  </si>
  <si>
    <t>https://nematode.unl.edu/basob14.jpg</t>
  </si>
  <si>
    <t>https://nematode.unl.edu/basob15.jpg</t>
  </si>
  <si>
    <t>https://nematode.unl.edu/basob16.jpg</t>
  </si>
  <si>
    <t>https://nematode.unl.edu/basob17.jpg</t>
  </si>
  <si>
    <t>https://nematode.unl.edu/basob18.jpg</t>
  </si>
  <si>
    <t>https://nematode.unl.edu/basob19.jpg</t>
  </si>
  <si>
    <t>https://nematode.unl.edu/basob2.jpg</t>
  </si>
  <si>
    <t>https://nematode.unl.edu/basob20.jpg</t>
  </si>
  <si>
    <t>https://nematode.unl.edu/basob21.jpg</t>
  </si>
  <si>
    <t>https://nematode.unl.edu/basob22.jpg</t>
  </si>
  <si>
    <t>https://nematode.unl.edu/basob23.jpg</t>
  </si>
  <si>
    <t>https://nematode.unl.edu/basob24.jpg</t>
  </si>
  <si>
    <t>https://nematode.unl.edu/basob25.jpg</t>
  </si>
  <si>
    <t>https://nematode.unl.edu/basob26.jpg</t>
  </si>
  <si>
    <t>https://nematode.unl.edu/basob27.jpg</t>
  </si>
  <si>
    <t>https://nematode.unl.edu/basob28.jpg</t>
  </si>
  <si>
    <t>https://nematode.unl.edu/basob29.jpg</t>
  </si>
  <si>
    <t>https://nematode.unl.edu/basob3.jpg</t>
  </si>
  <si>
    <t>https://nematode.unl.edu/basob30.jpg</t>
  </si>
  <si>
    <t>Seribner's panicum/Bluegrass</t>
  </si>
  <si>
    <t>https://nematode.unl.edu/basob31.jpg</t>
  </si>
  <si>
    <t>https://nematode.unl.edu/basob4.jpg</t>
  </si>
  <si>
    <t>https://nematode.unl.edu/basob5.jpg</t>
  </si>
  <si>
    <t>https://nematode.unl.edu/basob6.jpg</t>
  </si>
  <si>
    <t>https://nematode.unl.edu/basob7.jpg</t>
  </si>
  <si>
    <t>https://nematode.unl.edu/basob8.jpg</t>
  </si>
  <si>
    <t>median bulb</t>
  </si>
  <si>
    <t>https://nematode.unl.edu/basob9.jpg</t>
  </si>
  <si>
    <t>https://nematode.unl.edu/bacla1.jpg</t>
  </si>
  <si>
    <t>Basiria clavicaudata</t>
  </si>
  <si>
    <t>Boleodorus clavicaudatus</t>
  </si>
  <si>
    <t>Boleodorus</t>
  </si>
  <si>
    <t>https://nematode.unl.edu/bacla2.jpg</t>
  </si>
  <si>
    <t>https://nematode.unl.edu/bacla3.jpg</t>
  </si>
  <si>
    <t>tail tip</t>
  </si>
  <si>
    <t>https://nematode.unl.edu/bacla4.jpg</t>
  </si>
  <si>
    <t>https://nematode.unl.edu/bacla5.jpg</t>
  </si>
  <si>
    <t>https://nematode.unl.edu/bacla6.jpg</t>
  </si>
  <si>
    <t>https://nematode.unl.edu/bacla7.jpg</t>
  </si>
  <si>
    <t>https://nematode.unl.edu/baclacmp.jpg</t>
  </si>
  <si>
    <t>https://nematode.unl.edu/baclak1.jpg</t>
  </si>
  <si>
    <t>https://nematode.unl.edu/baclak10.jpg</t>
  </si>
  <si>
    <t>https://nematode.unl.edu/baclak11.jpg</t>
  </si>
  <si>
    <t>https://nematode.unl.edu/baclak2.jpg</t>
  </si>
  <si>
    <t>https://nematode.unl.edu/baclak3.jpg</t>
  </si>
  <si>
    <t>https://nematode.unl.edu/baclak4.jpg</t>
  </si>
  <si>
    <t>https://nematode.unl.edu/baclak5.jpg</t>
  </si>
  <si>
    <t>https://nematode.unl.edu/baclak6.jpg</t>
  </si>
  <si>
    <t>https://nematode.unl.edu/baclak7.jpg</t>
  </si>
  <si>
    <t>https://nematode.unl.edu/baclak8.jpg</t>
  </si>
  <si>
    <t>https://nematode.unl.edu/baclak9.jpg</t>
  </si>
  <si>
    <t>https://nematode.unl.edu/eudenc1.jpg</t>
  </si>
  <si>
    <t>Colorado</t>
  </si>
  <si>
    <t>Boreolaimus enckellii</t>
  </si>
  <si>
    <t>Boreolaimus enckelli</t>
  </si>
  <si>
    <t>Boreolaimus</t>
  </si>
  <si>
    <t>https://nematode.unl.edu/eudenc2.jpg</t>
  </si>
  <si>
    <t>https://nematode.unl.edu/cactesh4.jpg</t>
  </si>
  <si>
    <t>Sheeder Prairie State Preserve, Iowa</t>
  </si>
  <si>
    <t>Cactodera</t>
  </si>
  <si>
    <t>Heteroderidae</t>
  </si>
  <si>
    <t>https://nematode.unl.edu/aceph1.jpg</t>
  </si>
  <si>
    <t>Acrobeles cephalatus</t>
  </si>
  <si>
    <t>Cephalobus cephalatus</t>
  </si>
  <si>
    <t>Cephalobus</t>
  </si>
  <si>
    <t>https://nematode.unl.edu/aceph10.jpg</t>
  </si>
  <si>
    <t>https://nematode.unl.edu/aceph11.jpg</t>
  </si>
  <si>
    <t>https://nematode.unl.edu/aceph12.jpg</t>
  </si>
  <si>
    <t>Little bluestem/Bluegrass</t>
  </si>
  <si>
    <t>https://nematode.unl.edu/aceph13.jpg</t>
  </si>
  <si>
    <t>https://nematode.unl.edu/aceph14.jpg</t>
  </si>
  <si>
    <t>https://nematode.unl.edu/aceph15.jpg</t>
  </si>
  <si>
    <t>https://nematode.unl.edu/aceph16.jpg</t>
  </si>
  <si>
    <t>https://nematode.unl.edu/aceph2.jpg</t>
  </si>
  <si>
    <t>https://nematode.unl.edu/aceph3.jpg</t>
  </si>
  <si>
    <t>https://nematode.unl.edu/aceph4.jpg</t>
  </si>
  <si>
    <t>https://nematode.unl.edu/aceph5.jpg</t>
  </si>
  <si>
    <t>https://nematode.unl.edu/aceph6.jpg</t>
  </si>
  <si>
    <t>https://nematode.unl.edu/aceph7.jpg</t>
  </si>
  <si>
    <t>https://nematode.unl.edu/aceph8.jpg</t>
  </si>
  <si>
    <t>https://nematode.unl.edu/aceph9.jpg</t>
  </si>
  <si>
    <t>https://nematode.unl.edu/cerser1.jpg</t>
  </si>
  <si>
    <t>probalae</t>
  </si>
  <si>
    <t>Cervidellus serricephalus</t>
  </si>
  <si>
    <t>Cervidellus vexilliger</t>
  </si>
  <si>
    <t>Cervidellus</t>
  </si>
  <si>
    <t>https://nematode.unl.edu/cerser2.jpg</t>
  </si>
  <si>
    <t>https://nematode.unl.edu/cerser3.jpg</t>
  </si>
  <si>
    <t>https://nematode.unl.edu/cserri1.jpg</t>
  </si>
  <si>
    <t>https://nematode.unl.edu/cserri2.jpg</t>
  </si>
  <si>
    <t>https://nematode.unl.edu/cserri3.jpg</t>
  </si>
  <si>
    <t>https://nematode.unl.edu/cserri4.jpg</t>
  </si>
  <si>
    <t>https://nematode.unl.edu/cserri5.jpg</t>
  </si>
  <si>
    <t>https://nematode.unl.edu/chraur.jpg</t>
  </si>
  <si>
    <t>Longs Peak - Rocky Mountain National, Colorado</t>
  </si>
  <si>
    <t>Chrysonema anurum</t>
  </si>
  <si>
    <t>Chrysonema aurum</t>
  </si>
  <si>
    <t>Chrysonema</t>
  </si>
  <si>
    <t>https://nematode.unl.edu/takac1.jpg</t>
  </si>
  <si>
    <t>Takamangai circulifera</t>
  </si>
  <si>
    <t>Crassolabium circuliferum</t>
  </si>
  <si>
    <t>Dorylaimidae</t>
  </si>
  <si>
    <t>Crassolabium</t>
  </si>
  <si>
    <t>https://nematode.unl.edu/takac10.jpg</t>
  </si>
  <si>
    <t>https://nematode.unl.edu/takac11.jpg</t>
  </si>
  <si>
    <t>https://nematode.unl.edu/takac12.jpg</t>
  </si>
  <si>
    <t>https://nematode.unl.edu/takac13.jpg</t>
  </si>
  <si>
    <t>https://nematode.unl.edu/takac14.jpg</t>
  </si>
  <si>
    <t>https://nematode.unl.edu/takac15.jpg</t>
  </si>
  <si>
    <t>https://nematode.unl.edu/takac16.jpg</t>
  </si>
  <si>
    <t>https://nematode.unl.edu/takac17.jpg</t>
  </si>
  <si>
    <t>100x</t>
  </si>
  <si>
    <t>https://nematode.unl.edu/takac18.jpg</t>
  </si>
  <si>
    <t>https://nematode.unl.edu/takac19.jpg</t>
  </si>
  <si>
    <t>https://nematode.unl.edu/takac2.jpg</t>
  </si>
  <si>
    <t>https://nematode.unl.edu/takac20.jpg</t>
  </si>
  <si>
    <t>https://nematode.unl.edu/takac21.jpg</t>
  </si>
  <si>
    <t>https://nematode.unl.edu/takac22.jpg</t>
  </si>
  <si>
    <t>https://nematode.unl.edu/takac23.jpg</t>
  </si>
  <si>
    <t>https://nematode.unl.edu/takac24.jpg</t>
  </si>
  <si>
    <t>https://nematode.unl.edu/takac25.jpg</t>
  </si>
  <si>
    <t>https://nematode.unl.edu/takac26.jpg</t>
  </si>
  <si>
    <t>https://nematode.unl.edu/takac27.jpg</t>
  </si>
  <si>
    <t>https://nematode.unl.edu/takac28.jpg</t>
  </si>
  <si>
    <t>https://nematode.unl.edu/takac29.jpg</t>
  </si>
  <si>
    <t>https://nematode.unl.edu/takac3.jpg</t>
  </si>
  <si>
    <t>https://nematode.unl.edu/takac30.jpg</t>
  </si>
  <si>
    <t>https://nematode.unl.edu/takac31.jpg</t>
  </si>
  <si>
    <t>400x</t>
  </si>
  <si>
    <t>https://nematode.unl.edu/takac32.jpg</t>
  </si>
  <si>
    <t>https://nematode.unl.edu/takac33.jpg</t>
  </si>
  <si>
    <t>https://nematode.unl.edu/takac34.jpg</t>
  </si>
  <si>
    <t>https://nematode.unl.edu/takac35.jpg</t>
  </si>
  <si>
    <t>https://nematode.unl.edu/takac36.jpg</t>
  </si>
  <si>
    <t>https://nematode.unl.edu/takac37.jpg</t>
  </si>
  <si>
    <t>https://nematode.unl.edu/takac38.jpg</t>
  </si>
  <si>
    <t>https://nematode.unl.edu/takac39.jpg</t>
  </si>
  <si>
    <t>https://nematode.unl.edu/takac4.jpg</t>
  </si>
  <si>
    <t>https://nematode.unl.edu/takac40.jpg</t>
  </si>
  <si>
    <t>https://nematode.unl.edu/takac5.jpg</t>
  </si>
  <si>
    <t>https://nematode.unl.edu/takac6.jpg</t>
  </si>
  <si>
    <t>1000x</t>
  </si>
  <si>
    <t>https://nematode.unl.edu/takac7.jpg</t>
  </si>
  <si>
    <t>https://nematode.unl.edu/takac8.jpg</t>
  </si>
  <si>
    <t>https://nematode.unl.edu/takac9.jpg</t>
  </si>
  <si>
    <t>https://nematode.unl.edu/takacmp.jpg</t>
  </si>
  <si>
    <t>https://nematode.unl.edu/takcul1.jpg</t>
  </si>
  <si>
    <t>https://nematode.unl.edu/takcul2.jpg</t>
  </si>
  <si>
    <t>https://nematode.unl.edu/takcul3.jpg</t>
  </si>
  <si>
    <t>https://nematode.unl.edu/takcul4.jpg</t>
  </si>
  <si>
    <t>https://nematode.unl.edu/takcul5.jpg</t>
  </si>
  <si>
    <t>https://nematode.unl.edu/takcul6.jpg</t>
  </si>
  <si>
    <t>https://nematode.unl.edu/takco1.jpg</t>
  </si>
  <si>
    <t>Takamangai confusa</t>
  </si>
  <si>
    <t>Crassolabium confusum</t>
  </si>
  <si>
    <t>https://nematode.unl.edu/takco2.jpg</t>
  </si>
  <si>
    <t>https://nematode.unl.edu/takco3.jpg</t>
  </si>
  <si>
    <t>https://nematode.unl.edu/takco4.jpg</t>
  </si>
  <si>
    <t>https://nematode.unl.edu/takco5.jpg</t>
  </si>
  <si>
    <t>https://nematode.unl.edu/takco6.jpg</t>
  </si>
  <si>
    <t>https://nematode.unl.edu/takco7.jpg</t>
  </si>
  <si>
    <t>https://nematode.unl.edu/thocmp.jpg</t>
  </si>
  <si>
    <t>https://nematode.unl.edu/thoco1.jpg</t>
  </si>
  <si>
    <t>Thonus confusus</t>
  </si>
  <si>
    <t>https://nematode.unl.edu/takcy1.jpg</t>
  </si>
  <si>
    <t>Takamangai cylindrica</t>
  </si>
  <si>
    <t>Crassolabium cylindricum</t>
  </si>
  <si>
    <t>https://nematode.unl.edu/takcy10.jpg</t>
  </si>
  <si>
    <t>https://nematode.unl.edu/takcy11.jpg</t>
  </si>
  <si>
    <t>https://nematode.unl.edu/takcy12.jpg</t>
  </si>
  <si>
    <t>https://nematode.unl.edu/takcy13.jpg</t>
  </si>
  <si>
    <t>https://nematode.unl.edu/takcy14.jpg</t>
  </si>
  <si>
    <t>https://nematode.unl.edu/takcy15.jpg</t>
  </si>
  <si>
    <t>https://nematode.unl.edu/takcy16.jpg</t>
  </si>
  <si>
    <t>https://nematode.unl.edu/takcy17.jpg</t>
  </si>
  <si>
    <t>https://nematode.unl.edu/takcy18.jpg</t>
  </si>
  <si>
    <t>https://nematode.unl.edu/takcy19.jpg</t>
  </si>
  <si>
    <t>https://nematode.unl.edu/takcy2.jpg</t>
  </si>
  <si>
    <t>https://nematode.unl.edu/takcy3.jpg</t>
  </si>
  <si>
    <t>https://nematode.unl.edu/takcy4.jpg</t>
  </si>
  <si>
    <t>https://nematode.unl.edu/takcy5.jpg</t>
  </si>
  <si>
    <t>https://nematode.unl.edu/takcy6.jpg</t>
  </si>
  <si>
    <t>https://nematode.unl.edu/takcy7.jpg</t>
  </si>
  <si>
    <t>https://nematode.unl.edu/takcy8.jpg</t>
  </si>
  <si>
    <t>https://nematode.unl.edu/takcy9.jpg</t>
  </si>
  <si>
    <t>https://nematode.unl.edu/takcyli4.jpg</t>
  </si>
  <si>
    <t>https://nematode.unl.edu/takcyli5.jpg</t>
  </si>
  <si>
    <t>https://nematode.unl.edu/takcyli6.jpg</t>
  </si>
  <si>
    <t>https://nematode.unl.edu/takcyli7.jpg</t>
  </si>
  <si>
    <t>https://nematode.unl.edu/takcyli8.jpg</t>
  </si>
  <si>
    <t>https://nematode.unl.edu/takcyli9.jpg</t>
  </si>
  <si>
    <t>https://nematode.unl.edu/tycylindcmp.jpg</t>
  </si>
  <si>
    <t>https://nematode.unl.edu/takalecmp.jpg</t>
  </si>
  <si>
    <t>Takamangai elegans</t>
  </si>
  <si>
    <t>Crassolabium elegans</t>
  </si>
  <si>
    <t>https://nematode.unl.edu/takel1.jpg</t>
  </si>
  <si>
    <t>https://nematode.unl.edu/takel2.jpg</t>
  </si>
  <si>
    <t>https://nematode.unl.edu/takel3.jpg</t>
  </si>
  <si>
    <t>https://nematode.unl.edu/takel4.jpg</t>
  </si>
  <si>
    <t>https://nematode.unl.edu/takel5.jpg</t>
  </si>
  <si>
    <t>https://nematode.unl.edu/takama1.jpg</t>
  </si>
  <si>
    <t>Takamangai major</t>
  </si>
  <si>
    <t>Crassolabium major</t>
  </si>
  <si>
    <t>https://nematode.unl.edu/takama2.jpg</t>
  </si>
  <si>
    <t>https://nematode.unl.edu/takama3.jpg</t>
  </si>
  <si>
    <t>https://nematode.unl.edu/takama4.jpg</t>
  </si>
  <si>
    <t>https://nematode.unl.edu/takama5.jpg</t>
  </si>
  <si>
    <t>https://nematode.unl.edu/takama6.jpg</t>
  </si>
  <si>
    <t>https://nematode.unl.edu/takan1.jpg</t>
  </si>
  <si>
    <t>Takamangai nothus</t>
  </si>
  <si>
    <t>Crassolabium nothus</t>
  </si>
  <si>
    <t>https://nematode.unl.edu/takan10.jpg</t>
  </si>
  <si>
    <t>https://nematode.unl.edu/takan11.jpg</t>
  </si>
  <si>
    <t>https://nematode.unl.edu/takan12.jpg</t>
  </si>
  <si>
    <t>https://nematode.unl.edu/takan13.jpg</t>
  </si>
  <si>
    <t>https://nematode.unl.edu/takan14.jpg</t>
  </si>
  <si>
    <t>https://nematode.unl.edu/takan15.jpg</t>
  </si>
  <si>
    <t>https://nematode.unl.edu/takan16.jpg</t>
  </si>
  <si>
    <t>https://nematode.unl.edu/takan2.jpg</t>
  </si>
  <si>
    <t>https://nematode.unl.edu/takan3.jpg</t>
  </si>
  <si>
    <t>https://nematode.unl.edu/takan4.jpg</t>
  </si>
  <si>
    <t>https://nematode.unl.edu/takan5.jpg</t>
  </si>
  <si>
    <t>https://nematode.unl.edu/takan6.jpg</t>
  </si>
  <si>
    <t>https://nematode.unl.edu/takan7.jpg</t>
  </si>
  <si>
    <t>https://nematode.unl.edu/takan8.jpg</t>
  </si>
  <si>
    <t>https://nematode.unl.edu/takan9.jpg</t>
  </si>
  <si>
    <t>https://nematode.unl.edu/tnothuscmp.jpg</t>
  </si>
  <si>
    <t>https://nematode.unl.edu/takas1.jpg</t>
  </si>
  <si>
    <t>Takamangai saccata</t>
  </si>
  <si>
    <t>Crassolabium saccatum</t>
  </si>
  <si>
    <t>https://nematode.unl.edu/takas10.jpg</t>
  </si>
  <si>
    <t>https://nematode.unl.edu/takas11.jpg</t>
  </si>
  <si>
    <t>https://nematode.unl.edu/takas12.jpg</t>
  </si>
  <si>
    <t>https://nematode.unl.edu/takas13.jpg</t>
  </si>
  <si>
    <t>https://nematode.unl.edu/takas2.jpg</t>
  </si>
  <si>
    <t>https://nematode.unl.edu/takas3.jpg</t>
  </si>
  <si>
    <t>https://nematode.unl.edu/takas4.jpg</t>
  </si>
  <si>
    <t>https://nematode.unl.edu/takas5.jpg</t>
  </si>
  <si>
    <t>https://nematode.unl.edu/takas6.jpg</t>
  </si>
  <si>
    <t>https://nematode.unl.edu/takas7.jpg</t>
  </si>
  <si>
    <t>https://nematode.unl.edu/takas8.jpg</t>
  </si>
  <si>
    <t>https://nematode.unl.edu/takas9.jpg</t>
  </si>
  <si>
    <t>https://nematode.unl.edu/takasacmp.jpg</t>
  </si>
  <si>
    <t>https://nematode.unl.edu/tsacca1.jpg</t>
  </si>
  <si>
    <t>Board</t>
  </si>
  <si>
    <t>https://nematode.unl.edu/tsacca2.jpg</t>
  </si>
  <si>
    <t>https://nematode.unl.edu/tsacca3.jpg</t>
  </si>
  <si>
    <t>https://nematode.unl.edu/tsacca4.jpg</t>
  </si>
  <si>
    <t>https://nematode.unl.edu/tsacca5.jpg</t>
  </si>
  <si>
    <t>https://nematode.unl.edu/cripavo1.jpg</t>
  </si>
  <si>
    <t>Avoca Prairie, Wisconsin</t>
  </si>
  <si>
    <t>largest natural tallgrass</t>
  </si>
  <si>
    <t>Criconema permistus</t>
  </si>
  <si>
    <t>Criconema permistum</t>
  </si>
  <si>
    <t>Criconematidae</t>
  </si>
  <si>
    <t>Criconema</t>
  </si>
  <si>
    <t>https://nematode.unl.edu/cripavo2.jpg</t>
  </si>
  <si>
    <t>https://nematode.unl.edu/cripavo3.jpg</t>
  </si>
  <si>
    <t>https://nematode.unl.edu/cripavo4.jpg</t>
  </si>
  <si>
    <t>midbody cuticle</t>
  </si>
  <si>
    <t>https://nematode.unl.edu/cricoo1.jpg</t>
  </si>
  <si>
    <t>Old Pali Highway, Oahu, Hawaii</t>
  </si>
  <si>
    <t>Criconemoices</t>
  </si>
  <si>
    <t>Criconemoides</t>
  </si>
  <si>
    <t>https://nematode.unl.edu/cricoo2.jpg</t>
  </si>
  <si>
    <t>https://nematode.unl.edu/cricoo3.jpg</t>
  </si>
  <si>
    <t>https://nematode.unl.edu/cricodel1.jpg</t>
  </si>
  <si>
    <t>Delaware</t>
  </si>
  <si>
    <t>potato</t>
  </si>
  <si>
    <t>Criconemoides inustitatus</t>
  </si>
  <si>
    <t>Criconemoides inusitatus</t>
  </si>
  <si>
    <t>https://nematode.unl.edu/cricodel2.jpg</t>
  </si>
  <si>
    <t>https://nematode.unl.edu/cricodel3.jpg</t>
  </si>
  <si>
    <t>https://nematode.unl.edu/cricoide1.jpg</t>
  </si>
  <si>
    <t>Pammel Woods, Iowa</t>
  </si>
  <si>
    <t>https://nematode.unl.edu/cricoide10.jpg</t>
  </si>
  <si>
    <t>https://nematode.unl.edu/cricoide11.jpg</t>
  </si>
  <si>
    <t>https://nematode.unl.edu/cricoide12.jpg</t>
  </si>
  <si>
    <t>https://nematode.unl.edu/cricoide13.jpg</t>
  </si>
  <si>
    <t>https://nematode.unl.edu/cricoide14.jpg</t>
  </si>
  <si>
    <t>https://nematode.unl.edu/cricoide2.jpg</t>
  </si>
  <si>
    <t>https://nematode.unl.edu/cricoide3.jpg</t>
  </si>
  <si>
    <t>https://nematode.unl.edu/cricoide4.jpg</t>
  </si>
  <si>
    <t>https://nematode.unl.edu/cricoide5.jpg</t>
  </si>
  <si>
    <t>https://nematode.unl.edu/cricoide6.jpg</t>
  </si>
  <si>
    <t>https://nematode.unl.edu/cricoide7.jpg</t>
  </si>
  <si>
    <t>reproductive tract</t>
  </si>
  <si>
    <t>https://nematode.unl.edu/cricoide8.jpg</t>
  </si>
  <si>
    <t>https://nematode.unl.edu/cricoide9.jpg</t>
  </si>
  <si>
    <t>tailannules</t>
  </si>
  <si>
    <t>https://nematode.unl.edu/ogmaflo1.jpg</t>
  </si>
  <si>
    <t>Edward Ball Wakulla Springs State Park, Florida</t>
  </si>
  <si>
    <t>magnolia</t>
  </si>
  <si>
    <t>Ogma fimbriatum</t>
  </si>
  <si>
    <t>Crossonema fimbriatum</t>
  </si>
  <si>
    <t>Crossonema</t>
  </si>
  <si>
    <t>https://nematode.unl.edu/ogmaflo10.jpg</t>
  </si>
  <si>
    <t>cephalic annules</t>
  </si>
  <si>
    <t>https://nematode.unl.edu/ogmaflo11.jpg</t>
  </si>
  <si>
    <t>https://nematode.unl.edu/ogmaflo12.jpg</t>
  </si>
  <si>
    <t>https://nematode.unl.edu/ogmaflo13.jpg</t>
  </si>
  <si>
    <t>https://nematode.unl.edu/ogmaflo14.jpg</t>
  </si>
  <si>
    <t>https://nematode.unl.edu/ogmaflo15.jpg</t>
  </si>
  <si>
    <t>https://nematode.unl.edu/ogmaflo2.jpg</t>
  </si>
  <si>
    <t>https://nematode.unl.edu/ogmaflo3.jpg</t>
  </si>
  <si>
    <t>https://nematode.unl.edu/ogmaflo4.jpg</t>
  </si>
  <si>
    <t>https://nematode.unl.edu/ogmaflo5.jpg</t>
  </si>
  <si>
    <t>https://nematode.unl.edu/ogmaflo6.jpg</t>
  </si>
  <si>
    <t>https://nematode.unl.edu/ogmaflo7.jpg</t>
  </si>
  <si>
    <t>https://nematode.unl.edu/ogmaflo8.jpg</t>
  </si>
  <si>
    <t>https://nematode.unl.edu/ogmaflo9.jpg</t>
  </si>
  <si>
    <t>https://nematode.unl.edu/apdu1.jpg</t>
  </si>
  <si>
    <t>Aporcelaimellus dubius</t>
  </si>
  <si>
    <t>Discolaimium geraldi</t>
  </si>
  <si>
    <t>Discolaimium</t>
  </si>
  <si>
    <t>https://nematode.unl.edu/apdu2.jpg</t>
  </si>
  <si>
    <t>https://nematode.unl.edu/apdu3.jpg</t>
  </si>
  <si>
    <t>https://nematode.unl.edu/apdu4.jpg</t>
  </si>
  <si>
    <t>https://nematode.unl.edu/apdu5.jpg</t>
  </si>
  <si>
    <t>https://nematode.unl.edu/nothenac1.jpg</t>
  </si>
  <si>
    <t>Utah</t>
  </si>
  <si>
    <t>iris</t>
  </si>
  <si>
    <t>Nothotylenchus acutus</t>
  </si>
  <si>
    <t>Ditylenchus acutus</t>
  </si>
  <si>
    <t>Anguinidae</t>
  </si>
  <si>
    <t>Ditylenchus</t>
  </si>
  <si>
    <t>https://nematode.unl.edu/nothenac10.jpg</t>
  </si>
  <si>
    <t>https://nematode.unl.edu/nothenac11.jpg</t>
  </si>
  <si>
    <t>https://nematode.unl.edu/nothenac12.jpg</t>
  </si>
  <si>
    <t>https://nematode.unl.edu/nothenac2.jpg</t>
  </si>
  <si>
    <t>https://nematode.unl.edu/nothenac3.jpg</t>
  </si>
  <si>
    <t>https://nematode.unl.edu/nothenac4.jpg</t>
  </si>
  <si>
    <t>https://nematode.unl.edu/nothenac5.jpg</t>
  </si>
  <si>
    <t>https://nematode.unl.edu/nothenac6.jpg</t>
  </si>
  <si>
    <t>https://nematode.unl.edu/nothenac7.jpg</t>
  </si>
  <si>
    <t>https://nematode.unl.edu/nothenac8.jpg</t>
  </si>
  <si>
    <t>https://nematode.unl.edu/nothenac9.jpg</t>
  </si>
  <si>
    <t>https://nematode.unl.edu/ditobe6.jpg</t>
  </si>
  <si>
    <t>pyriform basal bulb</t>
  </si>
  <si>
    <t>Switchgrass</t>
  </si>
  <si>
    <t>Ditylenchus abesus</t>
  </si>
  <si>
    <t>Ditylenchus obesus</t>
  </si>
  <si>
    <t>https://nematode.unl.edu/dorpa1.jpg</t>
  </si>
  <si>
    <t>Dorylaimellus parvulvus</t>
  </si>
  <si>
    <t>Dorylaimellus (Axodorylaimellus) parvulus</t>
  </si>
  <si>
    <t>Belondiridae</t>
  </si>
  <si>
    <t>Dorylaimellus</t>
  </si>
  <si>
    <t>https://nematode.unl.edu/dorpa10.jpg</t>
  </si>
  <si>
    <t>https://nematode.unl.edu/dorpa2.jpg</t>
  </si>
  <si>
    <t>https://nematode.unl.edu/dorpa3.jpg</t>
  </si>
  <si>
    <t>https://nematode.unl.edu/dorpa4.jpg</t>
  </si>
  <si>
    <t>https://nematode.unl.edu/dorpa5.jpg</t>
  </si>
  <si>
    <t>https://nematode.unl.edu/dorpa6.jpg</t>
  </si>
  <si>
    <t>https://nematode.unl.edu/dorpa7.jpg</t>
  </si>
  <si>
    <t>https://nematode.unl.edu/dorpa8.jpg</t>
  </si>
  <si>
    <t>https://nematode.unl.edu/dorpa9.jpg</t>
  </si>
  <si>
    <t>https://nematode.unl.edu/dordisc1.jpg</t>
  </si>
  <si>
    <t>Dorylaimellus discocephalus</t>
  </si>
  <si>
    <t>Dorylaimellus (Belondorylaimellus) discocephalus</t>
  </si>
  <si>
    <t>https://nematode.unl.edu/dordisc2.jpg</t>
  </si>
  <si>
    <t>https://nematode.unl.edu/dordisc3.jpg</t>
  </si>
  <si>
    <t>https://nematode.unl.edu/dordisc4.jpg</t>
  </si>
  <si>
    <t>https://nematode.unl.edu/dordisc5.jpg</t>
  </si>
  <si>
    <t>https://nematode.unl.edu/dordem1.jpg</t>
  </si>
  <si>
    <t>Caucasian bluestem</t>
  </si>
  <si>
    <t>Dorylaimellus demani</t>
  </si>
  <si>
    <t>Dorylaimellus (Dorylaimellus) demani</t>
  </si>
  <si>
    <t>https://nematode.unl.edu/dordem10.jpg</t>
  </si>
  <si>
    <t>https://nematode.unl.edu/dordem11.jpg</t>
  </si>
  <si>
    <t>https://nematode.unl.edu/dordem12.jpg</t>
  </si>
  <si>
    <t>https://nematode.unl.edu/dordem13.jpg</t>
  </si>
  <si>
    <t>https://nematode.unl.edu/dordem14.jpg</t>
  </si>
  <si>
    <t>https://nematode.unl.edu/dordem15.jpg</t>
  </si>
  <si>
    <t>https://nematode.unl.edu/dordem16.jpg</t>
  </si>
  <si>
    <t>https://nematode.unl.edu/dordem17.jpg</t>
  </si>
  <si>
    <t>https://nematode.unl.edu/dordem2.jpg</t>
  </si>
  <si>
    <t>https://nematode.unl.edu/dordem3.jpg</t>
  </si>
  <si>
    <t>https://nematode.unl.edu/dordem4.jpg</t>
  </si>
  <si>
    <t>https://nematode.unl.edu/dordem5.jpg</t>
  </si>
  <si>
    <t>https://nematode.unl.edu/dordem6.jpg</t>
  </si>
  <si>
    <t>https://nematode.unl.edu/dordem7.jpg</t>
  </si>
  <si>
    <t>https://nematode.unl.edu/dordem8.jpg</t>
  </si>
  <si>
    <t>https://nematode.unl.edu/dordem9.jpg</t>
  </si>
  <si>
    <t>https://nematode.unl.edu/dorgra1.jpg</t>
  </si>
  <si>
    <t>Dorylaimellus graminis</t>
  </si>
  <si>
    <t>Dorylaimellus (Dorylaimellus) graminis</t>
  </si>
  <si>
    <t>https://nematode.unl.edu/dorgra2.jpg</t>
  </si>
  <si>
    <t>https://nematode.unl.edu/dorgra3.jpg</t>
  </si>
  <si>
    <t>https://nematode.unl.edu/dorgra4.jpg</t>
  </si>
  <si>
    <t>https://nematode.unl.edu/dorlon1.jpg</t>
  </si>
  <si>
    <t>Dorylaimellus longicollis</t>
  </si>
  <si>
    <t>Dorylaimellus (Dorylaimellus) longicollis</t>
  </si>
  <si>
    <t>https://nematode.unl.edu/dorlon2.jpg</t>
  </si>
  <si>
    <t>https://nematode.unl.edu/dorlon3.jpg</t>
  </si>
  <si>
    <t>https://nematode.unl.edu/dorlon4.jpg</t>
  </si>
  <si>
    <t>https://nematode.unl.edu/dorlon5.jpg</t>
  </si>
  <si>
    <t>https://nematode.unl.edu/dordir1.jpg</t>
  </si>
  <si>
    <t>Dorylaimellus directus</t>
  </si>
  <si>
    <t>Dorylaimellus (Dorylaimellus) monticolus</t>
  </si>
  <si>
    <t>https://nematode.unl.edu/dordir2.jpg</t>
  </si>
  <si>
    <t>https://nematode.unl.edu/dordir3.jpg</t>
  </si>
  <si>
    <t>https://nematode.unl.edu/dordir4.jpg</t>
  </si>
  <si>
    <t>https://nematode.unl.edu/dordir5.jpg</t>
  </si>
  <si>
    <t>https://nematode.unl.edu/dordir6.jpg</t>
  </si>
  <si>
    <t>https://nematode.unl.edu/dordir7.jpg</t>
  </si>
  <si>
    <t>https://nematode.unl.edu/dordir8.jpg</t>
  </si>
  <si>
    <t>https://nematode.unl.edu/dordir9.jpg</t>
  </si>
  <si>
    <t>https://nematode.unl.edu/dormont1.jpg</t>
  </si>
  <si>
    <t>Dorylaimellus monticolus</t>
  </si>
  <si>
    <t>https://nematode.unl.edu/dormont10.jpg</t>
  </si>
  <si>
    <t>https://nematode.unl.edu/dormont11.jpg</t>
  </si>
  <si>
    <t>https://nematode.unl.edu/dormont12.jpg</t>
  </si>
  <si>
    <t>https://nematode.unl.edu/dormont2.jpg</t>
  </si>
  <si>
    <t>https://nematode.unl.edu/dormont3.jpg</t>
  </si>
  <si>
    <t>https://nematode.unl.edu/dormont4.jpg</t>
  </si>
  <si>
    <t>https://nematode.unl.edu/dormont5.jpg</t>
  </si>
  <si>
    <t>https://nematode.unl.edu/dormont6.jpg</t>
  </si>
  <si>
    <t>https://nematode.unl.edu/dormont7.jpg</t>
  </si>
  <si>
    <t>https://nematode.unl.edu/dormont8.jpg</t>
  </si>
  <si>
    <t>https://nematode.unl.edu/dormont9.jpg</t>
  </si>
  <si>
    <t>https://nematode.unl.edu/docci1.jpg</t>
  </si>
  <si>
    <t>Dorylaimellus occidentalis</t>
  </si>
  <si>
    <t>Dorylaimellus (Dorylaimellus) occidentalis</t>
  </si>
  <si>
    <t>https://nematode.unl.edu/docci10.jpg</t>
  </si>
  <si>
    <t>https://nematode.unl.edu/docci2.jpg</t>
  </si>
  <si>
    <t>https://nematode.unl.edu/docci3.jpg</t>
  </si>
  <si>
    <t>https://nematode.unl.edu/docci5.jpg</t>
  </si>
  <si>
    <t>https://nematode.unl.edu/docci6.jpg</t>
  </si>
  <si>
    <t>https://nematode.unl.edu/docci7.jpg</t>
  </si>
  <si>
    <t>https://nematode.unl.edu/docci8.jpg</t>
  </si>
  <si>
    <t>https://nematode.unl.edu/docci9.jpg</t>
  </si>
  <si>
    <t>https://nematode.unl.edu/dorocc1.jpg</t>
  </si>
  <si>
    <t>https://nematode.unl.edu/dorocc2.jpg</t>
  </si>
  <si>
    <t>https://nematode.unl.edu/dorocc3.jpg</t>
  </si>
  <si>
    <t>https://nematode.unl.edu/dorocc4.jpg</t>
  </si>
  <si>
    <t>https://nematode.unl.edu/dorocc5.jpg</t>
  </si>
  <si>
    <t>https://nematode.unl.edu/dorocc6.jpg</t>
  </si>
  <si>
    <t>https://nematode.unl.edu/doryo1.jpg</t>
  </si>
  <si>
    <t>https://nematode.unl.edu/doryo10.jpg</t>
  </si>
  <si>
    <t>esophageal muscles</t>
  </si>
  <si>
    <t>https://nematode.unl.edu/doryo11.jpg</t>
  </si>
  <si>
    <t>https://nematode.unl.edu/doryo12.jpg</t>
  </si>
  <si>
    <t>https://nematode.unl.edu/doryo13.jpg</t>
  </si>
  <si>
    <t>https://nematode.unl.edu/doryo14.jpg</t>
  </si>
  <si>
    <t>https://nematode.unl.edu/doryo15.jpg</t>
  </si>
  <si>
    <t>https://nematode.unl.edu/doryo16.jpg</t>
  </si>
  <si>
    <t>https://nematode.unl.edu/doryo17.jpg</t>
  </si>
  <si>
    <t>https://nematode.unl.edu/doryo19.jpg</t>
  </si>
  <si>
    <t>https://nematode.unl.edu/doryo2.jpg</t>
  </si>
  <si>
    <t>https://nematode.unl.edu/doryo20.jpg</t>
  </si>
  <si>
    <t>https://nematode.unl.edu/doryo21.jpg</t>
  </si>
  <si>
    <t>https://nematode.unl.edu/doryo22.jpg</t>
  </si>
  <si>
    <t>https://nematode.unl.edu/doryo23.jpg</t>
  </si>
  <si>
    <t>https://nematode.unl.edu/doryo3.jpg</t>
  </si>
  <si>
    <t>https://nematode.unl.edu/doryo4.jpg</t>
  </si>
  <si>
    <t>https://nematode.unl.edu/doryo5.jpg</t>
  </si>
  <si>
    <t>https://nematode.unl.edu/doryo6.jpg</t>
  </si>
  <si>
    <t>https://nematode.unl.edu/doryo7.jpg</t>
  </si>
  <si>
    <t>https://nematode.unl.edu/doryo8.jpg</t>
  </si>
  <si>
    <t>https://nematode.unl.edu/doryo9.jpg</t>
  </si>
  <si>
    <t>https://nematode.unl.edu/dorten1.jpg</t>
  </si>
  <si>
    <t>Dorylaimellus tenuidens</t>
  </si>
  <si>
    <t>Dorylaimellus (Dorylaimellus) tenuidens</t>
  </si>
  <si>
    <t>https://nematode.unl.edu/dorten10.jpg</t>
  </si>
  <si>
    <t>https://nematode.unl.edu/dorten11.jpg</t>
  </si>
  <si>
    <t>https://nematode.unl.edu/dorten12.jpg</t>
  </si>
  <si>
    <t>https://nematode.unl.edu/dorten13.jpg</t>
  </si>
  <si>
    <t>https://nematode.unl.edu/dorten14.jpg</t>
  </si>
  <si>
    <t>prerectum</t>
  </si>
  <si>
    <t>https://nematode.unl.edu/dorten2.jpg</t>
  </si>
  <si>
    <t>https://nematode.unl.edu/dorten3.jpg</t>
  </si>
  <si>
    <t>https://nematode.unl.edu/dorten4.jpg</t>
  </si>
  <si>
    <t>https://nematode.unl.edu/dorten5.jpg</t>
  </si>
  <si>
    <t>https://nematode.unl.edu/dorten6.jpg</t>
  </si>
  <si>
    <t>https://nematode.unl.edu/dorten7.jpg</t>
  </si>
  <si>
    <t>https://nematode.unl.edu/dorten8.jpg</t>
  </si>
  <si>
    <t>https://nematode.unl.edu/dorten9.jpg</t>
  </si>
  <si>
    <t>https://nematode.unl.edu/doryte1.jpg</t>
  </si>
  <si>
    <t>https://nematode.unl.edu/doryte2.jpg</t>
  </si>
  <si>
    <t>https://nematode.unl.edu/doryte3.jpg</t>
  </si>
  <si>
    <t>https://nematode.unl.edu/doryte4.jpg</t>
  </si>
  <si>
    <t>https://nematode.unl.edu/doryte5.jpg</t>
  </si>
  <si>
    <t>https://nematode.unl.edu/doryte6.jpg</t>
  </si>
  <si>
    <t>https://nematode.unl.edu/dotenu1.jpg</t>
  </si>
  <si>
    <t>https://nematode.unl.edu/dotenu2.jpg</t>
  </si>
  <si>
    <t>https://nematode.unl.edu/dotenu3.jpg</t>
  </si>
  <si>
    <t>https://nematode.unl.edu/dotenu4.jpg</t>
  </si>
  <si>
    <t>https://nematode.unl.edu/dotenu5.jpg</t>
  </si>
  <si>
    <t>https://nematode.unl.edu/dotenu6.jpg</t>
  </si>
  <si>
    <t>https://nematode.unl.edu/dotenu7.jpg</t>
  </si>
  <si>
    <t>https://nematode.unl.edu/dotenu8.jpg</t>
  </si>
  <si>
    <t>https://nematode.unl.edu/dorspic.jpg</t>
  </si>
  <si>
    <t>Dorylaimellus virginianus</t>
  </si>
  <si>
    <t>Dorylaimellus (Dorylaimellus) virginianus</t>
  </si>
  <si>
    <t>https://nematode.unl.edu/doryeso.jpg</t>
  </si>
  <si>
    <t>https://nematode.unl.edu/doryspr.jpg</t>
  </si>
  <si>
    <t>https://nematode.unl.edu/dorysup.jpg</t>
  </si>
  <si>
    <t>https://nematode.unl.edu/doryv1.jpg</t>
  </si>
  <si>
    <t>https://nematode.unl.edu/doryv10.jpg</t>
  </si>
  <si>
    <t>https://nematode.unl.edu/doryv11.jpg</t>
  </si>
  <si>
    <t>https://nematode.unl.edu/doryv12.jpg</t>
  </si>
  <si>
    <t>https://nematode.unl.edu/doryv13.jpg</t>
  </si>
  <si>
    <t>https://nematode.unl.edu/doryv14.jpg</t>
  </si>
  <si>
    <t>https://nematode.unl.edu/doryv15.jpg</t>
  </si>
  <si>
    <t>https://nematode.unl.edu/doryv16.jpg</t>
  </si>
  <si>
    <t>https://nematode.unl.edu/doryv17.jpg</t>
  </si>
  <si>
    <t>https://nematode.unl.edu/doryv2.jpg</t>
  </si>
  <si>
    <t>https://nematode.unl.edu/doryv3.jpg</t>
  </si>
  <si>
    <t>https://nematode.unl.edu/doryv4.jpg</t>
  </si>
  <si>
    <t>https://nematode.unl.edu/doryv6.jpg</t>
  </si>
  <si>
    <t>https://nematode.unl.edu/doryv7.jpg</t>
  </si>
  <si>
    <t>https://nematode.unl.edu/doryv8.jpg</t>
  </si>
  <si>
    <t>https://nematode.unl.edu/doryv9.jpg</t>
  </si>
  <si>
    <t>https://nematode.unl.edu/dvircmp.jpg</t>
  </si>
  <si>
    <t>https://nematode.unl.edu/dvirgin1.jpg</t>
  </si>
  <si>
    <t>https://nematode.unl.edu/dvirgin10.jpg</t>
  </si>
  <si>
    <t>https://nematode.unl.edu/dvirgin11.jpg</t>
  </si>
  <si>
    <t>anus</t>
  </si>
  <si>
    <t>https://nematode.unl.edu/dvirgin12.jpg</t>
  </si>
  <si>
    <t>https://nematode.unl.edu/dvirgin13.jpg</t>
  </si>
  <si>
    <t>https://nematode.unl.edu/dvirgin14.jpg</t>
  </si>
  <si>
    <t>https://nematode.unl.edu/dvirgin15.jpg</t>
  </si>
  <si>
    <t>https://nematode.unl.edu/dvirgin16.jpg</t>
  </si>
  <si>
    <t>https://nematode.unl.edu/dvirgin17.jpg</t>
  </si>
  <si>
    <t>https://nematode.unl.edu/dvirgin18.jpg</t>
  </si>
  <si>
    <t>https://nematode.unl.edu/dvirgin19.jpg</t>
  </si>
  <si>
    <t>https://nematode.unl.edu/dvirgin2.jpg</t>
  </si>
  <si>
    <t>https://nematode.unl.edu/dvirgin20.jpg</t>
  </si>
  <si>
    <t>https://nematode.unl.edu/dvirgin21.jpg</t>
  </si>
  <si>
    <t>https://nematode.unl.edu/dvirgin22.jpg</t>
  </si>
  <si>
    <t>https://nematode.unl.edu/dvirgin23.jpg</t>
  </si>
  <si>
    <t>https://nematode.unl.edu/dvirgin24.jpg</t>
  </si>
  <si>
    <t>https://nematode.unl.edu/dvirgin25.jpg</t>
  </si>
  <si>
    <t>Fragrant sumac</t>
  </si>
  <si>
    <t>https://nematode.unl.edu/dvirgin26.jpg</t>
  </si>
  <si>
    <t>https://nematode.unl.edu/dvirgin27.jpg</t>
  </si>
  <si>
    <t>https://nematode.unl.edu/dvirgin28.jpg</t>
  </si>
  <si>
    <t>https://nematode.unl.edu/dvirgin3.jpg</t>
  </si>
  <si>
    <t>https://nematode.unl.edu/dvirgin4.jpg</t>
  </si>
  <si>
    <t>https://nematode.unl.edu/dvirgin5.jpg</t>
  </si>
  <si>
    <t>https://nematode.unl.edu/dvirgin6.jpg</t>
  </si>
  <si>
    <t>https://nematode.unl.edu/dvirgin7.jpg</t>
  </si>
  <si>
    <t>https://nematode.unl.edu/dvirgin8.jpg</t>
  </si>
  <si>
    <t>https://nematode.unl.edu/dvirgin9.jpg</t>
  </si>
  <si>
    <t>https://nematode.unl.edu/dorae1.jpg</t>
  </si>
  <si>
    <t>Bigbluestem, Bluegrass</t>
  </si>
  <si>
    <t>Dorylaimellus aequalis</t>
  </si>
  <si>
    <t>Dorylaimellus (Mesodorylaimellus) aequalis</t>
  </si>
  <si>
    <t>https://nematode.unl.edu/dorae10.jpg</t>
  </si>
  <si>
    <t>https://nematode.unl.edu/dorae11.jpg</t>
  </si>
  <si>
    <t>https://nematode.unl.edu/dorae12.jpg</t>
  </si>
  <si>
    <t>https://nematode.unl.edu/dorae13.jpg</t>
  </si>
  <si>
    <t>https://nematode.unl.edu/dorae14.jpg</t>
  </si>
  <si>
    <t>https://nematode.unl.edu/dorae2.jpg</t>
  </si>
  <si>
    <t>https://nematode.unl.edu/dorae3.jpg</t>
  </si>
  <si>
    <t>https://nematode.unl.edu/dorae4.jpg</t>
  </si>
  <si>
    <t>https://nematode.unl.edu/dorae5.jpg</t>
  </si>
  <si>
    <t>https://nematode.unl.edu/dorae6.jpg</t>
  </si>
  <si>
    <t>https://nematode.unl.edu/dorae7.jpg</t>
  </si>
  <si>
    <t>https://nematode.unl.edu/dorae8.jpg</t>
  </si>
  <si>
    <t>https://nematode.unl.edu/dorae9.jpg</t>
  </si>
  <si>
    <t>https://nematode.unl.edu/dorycor1.jpg</t>
  </si>
  <si>
    <t>Doryllium comelli</t>
  </si>
  <si>
    <t>Doryllium cornelli</t>
  </si>
  <si>
    <t>Tylencholaimellidae</t>
  </si>
  <si>
    <t>Doryllium</t>
  </si>
  <si>
    <t>https://nematode.unl.edu/dorycor10.jpg</t>
  </si>
  <si>
    <t>https://nematode.unl.edu/dorycor11.jpg</t>
  </si>
  <si>
    <t>https://nematode.unl.edu/dorycor12.jpg</t>
  </si>
  <si>
    <t>https://nematode.unl.edu/dorycor13.jpg</t>
  </si>
  <si>
    <t>https://nematode.unl.edu/dorycor14.jpg</t>
  </si>
  <si>
    <t>https://nematode.unl.edu/dorycor15.jpg</t>
  </si>
  <si>
    <t>https://nematode.unl.edu/dorycor16.jpg</t>
  </si>
  <si>
    <t>https://nematode.unl.edu/dorycor17.jpg</t>
  </si>
  <si>
    <t>https://nematode.unl.edu/dorycor18.jpg</t>
  </si>
  <si>
    <t>https://nematode.unl.edu/dorycor19.jpg</t>
  </si>
  <si>
    <t>https://nematode.unl.edu/dorycor2.jpg</t>
  </si>
  <si>
    <t>https://nematode.unl.edu/dorycor20.jpg</t>
  </si>
  <si>
    <t>https://nematode.unl.edu/dorycor21.jpg</t>
  </si>
  <si>
    <t>https://nematode.unl.edu/dorycor22.jpg</t>
  </si>
  <si>
    <t>https://nematode.unl.edu/dorycor3.jpg</t>
  </si>
  <si>
    <t>https://nematode.unl.edu/dorycor4.jpg</t>
  </si>
  <si>
    <t>https://nematode.unl.edu/dorycor5.jpg</t>
  </si>
  <si>
    <t>https://nematode.unl.edu/dorycor6.jpg</t>
  </si>
  <si>
    <t>https://nematode.unl.edu/dorycor7.jpg</t>
  </si>
  <si>
    <t>https://nematode.unl.edu/dorycor8.jpg</t>
  </si>
  <si>
    <t>https://nematode.unl.edu/dorycor9.jpg</t>
  </si>
  <si>
    <t>https://nematode.unl.edu/ecumdraw.jpg</t>
  </si>
  <si>
    <t>Ecumenicus monhystera</t>
  </si>
  <si>
    <t>Ecumenicus monohystera</t>
  </si>
  <si>
    <t>Ecumenicus</t>
  </si>
  <si>
    <t>https://nematode.unl.edu/ecumo1.jpg</t>
  </si>
  <si>
    <t>https://nematode.unl.edu/ecumo10.jpg</t>
  </si>
  <si>
    <t>https://nematode.unl.edu/ecumo11.jpg</t>
  </si>
  <si>
    <t>https://nematode.unl.edu/ecumo12.jpg</t>
  </si>
  <si>
    <t>https://nematode.unl.edu/ecumo13.jpg</t>
  </si>
  <si>
    <t>https://nematode.unl.edu/ecumo14.jpg</t>
  </si>
  <si>
    <t>https://nematode.unl.edu/ecumo15.jpg</t>
  </si>
  <si>
    <t>https://nematode.unl.edu/ecumo16.jpg</t>
  </si>
  <si>
    <t>https://nematode.unl.edu/ecumo17.jpg</t>
  </si>
  <si>
    <t>https://nematode.unl.edu/ecumo18.jpg</t>
  </si>
  <si>
    <t>https://nematode.unl.edu/ecumo2.jpg</t>
  </si>
  <si>
    <t>https://nematode.unl.edu/ecumo20.jpg</t>
  </si>
  <si>
    <t>https://nematode.unl.edu/ecumo21.jpg</t>
  </si>
  <si>
    <t>https://nematode.unl.edu/ecumo22.jpg</t>
  </si>
  <si>
    <t>https://nematode.unl.edu/ecumo23.jpg</t>
  </si>
  <si>
    <t>https://nematode.unl.edu/ecumo24.jpg</t>
  </si>
  <si>
    <t>https://nematode.unl.edu/ecumo25.jpg</t>
  </si>
  <si>
    <t>https://nematode.unl.edu/ecumo26.jpg</t>
  </si>
  <si>
    <t>https://nematode.unl.edu/ecumo27.jpg</t>
  </si>
  <si>
    <t>https://nematode.unl.edu/ecumo3.jpg</t>
  </si>
  <si>
    <t>https://nematode.unl.edu/ecumo4.jpg</t>
  </si>
  <si>
    <t>ovary</t>
  </si>
  <si>
    <t>https://nematode.unl.edu/ecumo5.jpg</t>
  </si>
  <si>
    <t>https://nematode.unl.edu/ecumo6.jpg</t>
  </si>
  <si>
    <t>https://nematode.unl.edu/ecumo7.jpg</t>
  </si>
  <si>
    <t>https://nematode.unl.edu/ecumo8.jpg</t>
  </si>
  <si>
    <t>https://nematode.unl.edu/ecumo9.jpg</t>
  </si>
  <si>
    <t>https://nematode.unl.edu/ecumocmp.jpg</t>
  </si>
  <si>
    <t>https://nematode.unl.edu/ecumon1.jpg</t>
  </si>
  <si>
    <t>40x</t>
  </si>
  <si>
    <t>https://nematode.unl.edu/ecumon2.jpg</t>
  </si>
  <si>
    <t>https://nematode.unl.edu/ecumon3.jpg</t>
  </si>
  <si>
    <t>https://nematode.unl.edu/ecumon4.jpg</t>
  </si>
  <si>
    <t>https://nematode.unl.edu/ecumon5.jpg</t>
  </si>
  <si>
    <t>https://nematode.unl.edu/eudorp1.jpg</t>
  </si>
  <si>
    <t>Eudorylaimus pacsleri</t>
  </si>
  <si>
    <t>Eudorylaimus paesleri</t>
  </si>
  <si>
    <t>Eudorylaimus</t>
  </si>
  <si>
    <t>https://nematode.unl.edu/eudorp2.jpg</t>
  </si>
  <si>
    <t>https://nematode.unl.edu/eudorp3.jpg</t>
  </si>
  <si>
    <t>https://nematode.unl.edu/eudorp4.jpg</t>
  </si>
  <si>
    <t>https://nematode.unl.edu/eudorp5.jpg</t>
  </si>
  <si>
    <t>https://nematode.unl.edu/monfili.jpg</t>
  </si>
  <si>
    <t>Monhystera filiformis</t>
  </si>
  <si>
    <t>Eumonhystera filiformis</t>
  </si>
  <si>
    <t>Monhysterida</t>
  </si>
  <si>
    <t>Monhysteridae</t>
  </si>
  <si>
    <t>Eumonhystera</t>
  </si>
  <si>
    <t>https://nematode.unl.edu/fcyco1.jpg</t>
  </si>
  <si>
    <t>Filenchus cylindricollis</t>
  </si>
  <si>
    <t>Filenchus butteus</t>
  </si>
  <si>
    <t>Filenchus</t>
  </si>
  <si>
    <t>https://nematode.unl.edu/fcyco10.jpg</t>
  </si>
  <si>
    <t>https://nematode.unl.edu/fcyco11.jpg</t>
  </si>
  <si>
    <t>https://nematode.unl.edu/fcyco12.jpg</t>
  </si>
  <si>
    <t>https://nematode.unl.edu/fcyco2.jpg</t>
  </si>
  <si>
    <t>https://nematode.unl.edu/fcyco3.jpg</t>
  </si>
  <si>
    <t>https://nematode.unl.edu/fcyco4.jpg</t>
  </si>
  <si>
    <t>https://nematode.unl.edu/fcyco5.jpg</t>
  </si>
  <si>
    <t>https://nematode.unl.edu/fcyco6.jpg</t>
  </si>
  <si>
    <t>https://nematode.unl.edu/fcyco7.jpg</t>
  </si>
  <si>
    <t>https://nematode.unl.edu/fcyco8.jpg</t>
  </si>
  <si>
    <t>https://nematode.unl.edu/fcyco9.jpg</t>
  </si>
  <si>
    <t>https://nematode.unl.edu/fcylcmp.jpg</t>
  </si>
  <si>
    <t>https://nematode.unl.edu/ficyl1.jpg</t>
  </si>
  <si>
    <t>https://nematode.unl.edu/ficyl2.jpg</t>
  </si>
  <si>
    <t>https://nematode.unl.edu/ficyl3.jpg</t>
  </si>
  <si>
    <t>https://nematode.unl.edu/ficyl4.jpg</t>
  </si>
  <si>
    <t>https://nematode.unl.edu/ficyl5.jpg</t>
  </si>
  <si>
    <t>https://nematode.unl.edu/ficyl6.jpg</t>
  </si>
  <si>
    <t>https://nematode.unl.edu/fplat1.jpg</t>
  </si>
  <si>
    <t>Filenchus plattensis</t>
  </si>
  <si>
    <t>https://nematode.unl.edu/fplat10.jpg</t>
  </si>
  <si>
    <t>https://nematode.unl.edu/fplat11.jpg</t>
  </si>
  <si>
    <t>https://nematode.unl.edu/fplat2.jpg</t>
  </si>
  <si>
    <t>https://nematode.unl.edu/fplat3.jpg</t>
  </si>
  <si>
    <t>https://nematode.unl.edu/fplat4.jpg</t>
  </si>
  <si>
    <t>https://nematode.unl.edu/fplat5.jpg</t>
  </si>
  <si>
    <t>https://nematode.unl.edu/fplat6.jpg</t>
  </si>
  <si>
    <t>https://nematode.unl.edu/fplat7.jpg</t>
  </si>
  <si>
    <t>https://nematode.unl.edu/fplat8.jpg</t>
  </si>
  <si>
    <t>https://nematode.unl.edu/fplat9.jpg</t>
  </si>
  <si>
    <t>https://nematode.unl.edu/fplatcmp.jpg</t>
  </si>
  <si>
    <t>https://nematode.unl.edu/fithor14.jpg</t>
  </si>
  <si>
    <t>Filenchus thomei</t>
  </si>
  <si>
    <t>Filenchus thornei</t>
  </si>
  <si>
    <t>https://nematode.unl.edu/fithor4.jpg</t>
  </si>
  <si>
    <t>https://nematode.unl.edu/fithor7.jpg</t>
  </si>
  <si>
    <t>https://nematode.unl.edu/merbus1.jpg</t>
  </si>
  <si>
    <t>gubernaculum</t>
  </si>
  <si>
    <t>Merlinius superbus</t>
  </si>
  <si>
    <t>Geocenamus superbus</t>
  </si>
  <si>
    <t>Dolichodoridae</t>
  </si>
  <si>
    <t>Geocenamus</t>
  </si>
  <si>
    <t>https://nematode.unl.edu/merbus2.jpg</t>
  </si>
  <si>
    <t>spicule</t>
  </si>
  <si>
    <t>https://nematode.unl.edu/merbus3.jpg</t>
  </si>
  <si>
    <t>https://nematode.unl.edu/monvillo.jpg</t>
  </si>
  <si>
    <t>Monhystera villosa</t>
  </si>
  <si>
    <t>Geomonhystera villosa</t>
  </si>
  <si>
    <t>Geomonhystera</t>
  </si>
  <si>
    <t>https://nematode.unl.edu/heteri1.jpg</t>
  </si>
  <si>
    <t>Turf</t>
  </si>
  <si>
    <t>Heterodera iri</t>
  </si>
  <si>
    <t>Heterodera ustinovi</t>
  </si>
  <si>
    <t>Heterodera</t>
  </si>
  <si>
    <t>https://nematode.unl.edu/heteri10.jpg</t>
  </si>
  <si>
    <t>https://nematode.unl.edu/heteri11.jpg</t>
  </si>
  <si>
    <t>turf</t>
  </si>
  <si>
    <t>https://nematode.unl.edu/heteri12.jpg</t>
  </si>
  <si>
    <t>https://nematode.unl.edu/heteri13.jpg</t>
  </si>
  <si>
    <t>https://nematode.unl.edu/heteri2.jpg</t>
  </si>
  <si>
    <t>https://nematode.unl.edu/heteri3.jpg</t>
  </si>
  <si>
    <t>https://nematode.unl.edu/heteri4.jpg</t>
  </si>
  <si>
    <t>https://nematode.unl.edu/heteri5.jpg</t>
  </si>
  <si>
    <t>https://nematode.unl.edu/heteri6.jpg</t>
  </si>
  <si>
    <t>https://nematode.unl.edu/heteri7.jpg</t>
  </si>
  <si>
    <t>https://nematode.unl.edu/heteri8.jpg</t>
  </si>
  <si>
    <t>https://nematode.unl.edu/heteri9.jpg</t>
  </si>
  <si>
    <t>https://nematode.unl.edu/encha1.jpg</t>
  </si>
  <si>
    <t>Enchodelus arcuatus</t>
  </si>
  <si>
    <t>Heterodorus arcuatus</t>
  </si>
  <si>
    <t>Nordiidae</t>
  </si>
  <si>
    <t>Heterodorus</t>
  </si>
  <si>
    <t>https://nematode.unl.edu/encha10.jpg</t>
  </si>
  <si>
    <t>https://nematode.unl.edu/encha11.jpg</t>
  </si>
  <si>
    <t>https://nematode.unl.edu/encha12.jpg</t>
  </si>
  <si>
    <t>https://nematode.unl.edu/encha13.jpg</t>
  </si>
  <si>
    <t>https://nematode.unl.edu/encha14.jpg</t>
  </si>
  <si>
    <t>https://nematode.unl.edu/encha15.jpg</t>
  </si>
  <si>
    <t>https://nematode.unl.edu/encha16.jpg</t>
  </si>
  <si>
    <t>https://nematode.unl.edu/encha17.jpg</t>
  </si>
  <si>
    <t>https://nematode.unl.edu/encha18.jpg</t>
  </si>
  <si>
    <t>https://nematode.unl.edu/encha19.jpg</t>
  </si>
  <si>
    <t>https://nematode.unl.edu/encha2.jpg</t>
  </si>
  <si>
    <t>https://nematode.unl.edu/encha20.jpg</t>
  </si>
  <si>
    <t>https://nematode.unl.edu/encha21.jpg</t>
  </si>
  <si>
    <t>https://nematode.unl.edu/encha22.jpg</t>
  </si>
  <si>
    <t>https://nematode.unl.edu/encha23.jpg</t>
  </si>
  <si>
    <t>https://nematode.unl.edu/encha24.jpg</t>
  </si>
  <si>
    <t>https://nematode.unl.edu/encha25.jpg</t>
  </si>
  <si>
    <t>https://nematode.unl.edu/encha26.jpg</t>
  </si>
  <si>
    <t>https://nematode.unl.edu/encha27.jpg</t>
  </si>
  <si>
    <t>https://nematode.unl.edu/encha28.jpg</t>
  </si>
  <si>
    <t>https://nematode.unl.edu/encha29.jpg</t>
  </si>
  <si>
    <t>https://nematode.unl.edu/encha3.jpg</t>
  </si>
  <si>
    <t>https://nematode.unl.edu/encha30.jpg</t>
  </si>
  <si>
    <t>https://nematode.unl.edu/encha31.jpg</t>
  </si>
  <si>
    <t>https://nematode.unl.edu/encha32.jpg</t>
  </si>
  <si>
    <t>https://nematode.unl.edu/encha33.jpg</t>
  </si>
  <si>
    <t>https://nematode.unl.edu/encha34.jpg</t>
  </si>
  <si>
    <t>https://nematode.unl.edu/encha4.jpg</t>
  </si>
  <si>
    <t>https://nematode.unl.edu/encha5.jpg</t>
  </si>
  <si>
    <t>https://nematode.unl.edu/encha6.jpg</t>
  </si>
  <si>
    <t>https://nematode.unl.edu/encha7.jpg</t>
  </si>
  <si>
    <t>https://nematode.unl.edu/encha8.jpg</t>
  </si>
  <si>
    <t>https://nematode.unl.edu/encha9.jpg</t>
  </si>
  <si>
    <t>https://nematode.unl.edu/encb1.jpg</t>
  </si>
  <si>
    <t>Enchodelus brevidentatus</t>
  </si>
  <si>
    <t>Heterodorus brevidentatus</t>
  </si>
  <si>
    <t>https://nematode.unl.edu/encb2.jpg</t>
  </si>
  <si>
    <t>https://nematode.unl.edu/encb3.jpg</t>
  </si>
  <si>
    <t>https://nematode.unl.edu/encb4.jpg</t>
  </si>
  <si>
    <t>https://nematode.unl.edu/encb5.jpg</t>
  </si>
  <si>
    <t>https://nematode.unl.edu/encb6.jpg</t>
  </si>
  <si>
    <t>https://nematode.unl.edu/encb7.jpg</t>
  </si>
  <si>
    <t>https://nematode.unl.edu/encbre1.jpg</t>
  </si>
  <si>
    <t>https://nematode.unl.edu/encbre2.jpg</t>
  </si>
  <si>
    <t>Summit</t>
  </si>
  <si>
    <t>https://nematode.unl.edu/encbre3.jpg</t>
  </si>
  <si>
    <t>https://nematode.unl.edu/encbre4.jpg</t>
  </si>
  <si>
    <t>https://nematode.unl.edu/encbre5.jpg</t>
  </si>
  <si>
    <t>https://nematode.unl.edu/encbre6.jpg</t>
  </si>
  <si>
    <t>https://nematode.unl.edu/encbre7.jpg</t>
  </si>
  <si>
    <t>https://nematode.unl.edu/encbre8.jpg</t>
  </si>
  <si>
    <t>https://nematode.unl.edu/enchbr1.jpg</t>
  </si>
  <si>
    <t>https://nematode.unl.edu/enchbr10.jpg</t>
  </si>
  <si>
    <t>https://nematode.unl.edu/enchbr11.jpg</t>
  </si>
  <si>
    <t>https://nematode.unl.edu/enchbr12.jpg</t>
  </si>
  <si>
    <t>https://nematode.unl.edu/enchbr13.jpg</t>
  </si>
  <si>
    <t>https://nematode.unl.edu/enchbr14.jpg</t>
  </si>
  <si>
    <t>https://nematode.unl.edu/enchbr15.jpg</t>
  </si>
  <si>
    <t>https://nematode.unl.edu/enchbr16.jpg</t>
  </si>
  <si>
    <t>https://nematode.unl.edu/enchbr17.jpg</t>
  </si>
  <si>
    <t>https://nematode.unl.edu/enchbr18.jpg</t>
  </si>
  <si>
    <t>https://nematode.unl.edu/enchbr19.jpg</t>
  </si>
  <si>
    <t>https://nematode.unl.edu/enchbr2.jpg</t>
  </si>
  <si>
    <t>https://nematode.unl.edu/enchbr20.jpg</t>
  </si>
  <si>
    <t>https://nematode.unl.edu/enchbr21.jpg</t>
  </si>
  <si>
    <t>https://nematode.unl.edu/enchbr3.jpg</t>
  </si>
  <si>
    <t>https://nematode.unl.edu/enchbr4.jpg</t>
  </si>
  <si>
    <t>https://nematode.unl.edu/enchbr5.jpg</t>
  </si>
  <si>
    <t>https://nematode.unl.edu/enchbr6.jpg</t>
  </si>
  <si>
    <t>https://nematode.unl.edu/enchbr7.jpg</t>
  </si>
  <si>
    <t>https://nematode.unl.edu/enchbr8.jpg</t>
  </si>
  <si>
    <t>https://nematode.unl.edu/enchbr9.jpg</t>
  </si>
  <si>
    <t>https://nematode.unl.edu/mafus1.jpg</t>
  </si>
  <si>
    <t>Malenchus fusiformis</t>
  </si>
  <si>
    <t>Malenchus (Malenchus) fusiformis</t>
  </si>
  <si>
    <t>Malenchus</t>
  </si>
  <si>
    <t>https://nematode.unl.edu/mafus2.jpg</t>
  </si>
  <si>
    <t>https://nematode.unl.edu/mafus3.jpg</t>
  </si>
  <si>
    <t>https://nematode.unl.edu/mafus4.jpg</t>
  </si>
  <si>
    <t>https://nematode.unl.edu/mafus5.jpg</t>
  </si>
  <si>
    <t>https://nematode.unl.edu/mafus6.jpg</t>
  </si>
  <si>
    <t>https://nematode.unl.edu/mafuscmp.jpg</t>
  </si>
  <si>
    <t>https://nematode.unl.edu/musiform1.jpg</t>
  </si>
  <si>
    <t>https://nematode.unl.edu/musiform10.jpg</t>
  </si>
  <si>
    <t>https://nematode.unl.edu/musiform11.jpg</t>
  </si>
  <si>
    <t>https://nematode.unl.edu/musiform12.jpg</t>
  </si>
  <si>
    <t>https://nematode.unl.edu/musiform13.jpg</t>
  </si>
  <si>
    <t>https://nematode.unl.edu/musiform14.jpg</t>
  </si>
  <si>
    <t>https://nematode.unl.edu/musiform15.jpg</t>
  </si>
  <si>
    <t>https://nematode.unl.edu/musiform16.jpg</t>
  </si>
  <si>
    <t>https://nematode.unl.edu/musiform2.jpg</t>
  </si>
  <si>
    <t>https://nematode.unl.edu/musiform3.jpg</t>
  </si>
  <si>
    <t>https://nematode.unl.edu/musiform4.jpg</t>
  </si>
  <si>
    <t>https://nematode.unl.edu/musiform5.jpg</t>
  </si>
  <si>
    <t>https://nematode.unl.edu/musiform6.jpg</t>
  </si>
  <si>
    <t>https://nematode.unl.edu/musiform7.jpg</t>
  </si>
  <si>
    <t>https://nematode.unl.edu/musiform8.jpg</t>
  </si>
  <si>
    <t>https://nematode.unl.edu/musiform9.jpg</t>
  </si>
  <si>
    <t>https://nematode.unl.edu/malent1.jpg</t>
  </si>
  <si>
    <t>Rocky Mountain National Park, Colorado</t>
  </si>
  <si>
    <t>Dwarf Fir Forest</t>
  </si>
  <si>
    <t>Malenchus truncatus</t>
  </si>
  <si>
    <t>Malenchus (Malenchus) truncatus</t>
  </si>
  <si>
    <t>https://nematode.unl.edu/malent2.jpg</t>
  </si>
  <si>
    <t>https://nematode.unl.edu/malent3.jpg</t>
  </si>
  <si>
    <t>https://nematode.unl.edu/malent4.jpg</t>
  </si>
  <si>
    <t>https://nematode.unl.edu/malent5.jpg</t>
  </si>
  <si>
    <t>https://nematode.unl.edu/malentdrw.jpg</t>
  </si>
  <si>
    <t>https://nematode.unl.edu/macrosh1.jpg</t>
  </si>
  <si>
    <t>tallgrass prairie</t>
  </si>
  <si>
    <t>Macroposthonia</t>
  </si>
  <si>
    <t>Mesocriconema</t>
  </si>
  <si>
    <t>https://nematode.unl.edu/macrosh10.jpg</t>
  </si>
  <si>
    <t>https://nematode.unl.edu/macrosh11.jpg</t>
  </si>
  <si>
    <t>https://nematode.unl.edu/macrosh12.jpg</t>
  </si>
  <si>
    <t>crenation</t>
  </si>
  <si>
    <t>https://nematode.unl.edu/macrosh13.jpg</t>
  </si>
  <si>
    <t>https://nematode.unl.edu/macrosh2.jpg</t>
  </si>
  <si>
    <t>https://nematode.unl.edu/macrosh3.jpg</t>
  </si>
  <si>
    <t>https://nematode.unl.edu/macrosh4.jpg</t>
  </si>
  <si>
    <t>https://nematode.unl.edu/macrosh5.jpg</t>
  </si>
  <si>
    <t>https://nematode.unl.edu/macrosh6.jpg</t>
  </si>
  <si>
    <t>https://nematode.unl.edu/macrosh7.jpg</t>
  </si>
  <si>
    <t>https://nematode.unl.edu/macrosh8.jpg</t>
  </si>
  <si>
    <t>https://nematode.unl.edu/macrosh9.jpg</t>
  </si>
  <si>
    <t>https://nematode.unl.edu/macwilliam5.jpg</t>
  </si>
  <si>
    <t>Williams Prairie Preserve - Johnson County, Iowa</t>
  </si>
  <si>
    <t>Mesocriconema sp</t>
  </si>
  <si>
    <t>https://nematode.unl.edu/macrop1.jpg</t>
  </si>
  <si>
    <t>Macroposthonia curvata</t>
  </si>
  <si>
    <t>Mesocriconema curvatum</t>
  </si>
  <si>
    <t>https://nematode.unl.edu/macrop2.jpg</t>
  </si>
  <si>
    <t>https://nematode.unl.edu/macrop3.jpg</t>
  </si>
  <si>
    <t>https://nematode.unl.edu/macrop4.jpg</t>
  </si>
  <si>
    <t>https://nematode.unl.edu/macrop5.jpg</t>
  </si>
  <si>
    <t>https://nematode.unl.edu/macrop6.jpg</t>
  </si>
  <si>
    <t>https://nematode.unl.edu/mesavo25.jpg</t>
  </si>
  <si>
    <t>Mesocriconema curvtum</t>
  </si>
  <si>
    <t>https://nematode.unl.edu/mesavo26.jpg</t>
  </si>
  <si>
    <t>https://nematode.unl.edu/mesavo28.jpg</t>
  </si>
  <si>
    <t>https://nematode.unl.edu/mesavo29.jpg</t>
  </si>
  <si>
    <t>https://nematode.unl.edu/mesavo3.jpg</t>
  </si>
  <si>
    <t>https://nematode.unl.edu/meckroth14.jpg</t>
  </si>
  <si>
    <t>Mesocriconema kiranovae</t>
  </si>
  <si>
    <t>Mesocriconema kirjanovae</t>
  </si>
  <si>
    <t>https://nematode.unl.edu/meckroth19.jpg</t>
  </si>
  <si>
    <t>Roth Prairie Natural Area, Arkansas</t>
  </si>
  <si>
    <t>weeds</t>
  </si>
  <si>
    <t>https://nematode.unl.edu/meckroth13.jpg</t>
  </si>
  <si>
    <t>Mesocriconema kirfanovae</t>
  </si>
  <si>
    <t>https://nematode.unl.edu/mesph1.jpg</t>
  </si>
  <si>
    <t>Mesocriconema sphaerocephala</t>
  </si>
  <si>
    <t>Mesocriconema sphaerocephalum</t>
  </si>
  <si>
    <t>https://nematode.unl.edu/mesph2.jpg</t>
  </si>
  <si>
    <t>https://nematode.unl.edu/mesph3.jpg</t>
  </si>
  <si>
    <t>anastomoses</t>
  </si>
  <si>
    <t>https://nematode.unl.edu/mesph4.jpg</t>
  </si>
  <si>
    <t>https://nematode.unl.edu/mesph5.jpg</t>
  </si>
  <si>
    <t>https://nematode.unl.edu/mesph6.jpg</t>
  </si>
  <si>
    <t>anastomosis</t>
  </si>
  <si>
    <t>https://nematode.unl.edu/mesph7.jpg</t>
  </si>
  <si>
    <t>https://nematode.unl.edu/mesph8.jpg</t>
  </si>
  <si>
    <t>https://nematode.unl.edu/mylonmo1.jpg</t>
  </si>
  <si>
    <t>Mylonchulus montanus</t>
  </si>
  <si>
    <t>Montonchus montanus</t>
  </si>
  <si>
    <t>Mononchida</t>
  </si>
  <si>
    <t>Mylonchulidae</t>
  </si>
  <si>
    <t>Montonchus</t>
  </si>
  <si>
    <t>https://nematode.unl.edu/mylonmo10.jpg</t>
  </si>
  <si>
    <t>https://nematode.unl.edu/mylonmo11.jpg</t>
  </si>
  <si>
    <t>https://nematode.unl.edu/mylonmo12.jpg</t>
  </si>
  <si>
    <t>https://nematode.unl.edu/mylonmo2.jpg</t>
  </si>
  <si>
    <t>https://nematode.unl.edu/mylonmo3.jpg</t>
  </si>
  <si>
    <t>https://nematode.unl.edu/mylonmo4.jpg</t>
  </si>
  <si>
    <t>https://nematode.unl.edu/mylonmo5.jpg</t>
  </si>
  <si>
    <t>https://nematode.unl.edu/mylonmo6.jpg</t>
  </si>
  <si>
    <t>https://nematode.unl.edu/mylonmo7.jpg</t>
  </si>
  <si>
    <t>https://nematode.unl.edu/mylonmo8.jpg</t>
  </si>
  <si>
    <t>https://nematode.unl.edu/mylonmo9.jpg</t>
  </si>
  <si>
    <t>https://nematode.unl.edu/mymont1.jpg</t>
  </si>
  <si>
    <t>https://nematode.unl.edu/mymont2.jpg</t>
  </si>
  <si>
    <t>https://nematode.unl.edu/mymont3.jpg</t>
  </si>
  <si>
    <t>https://nematode.unl.edu/mymont4.jpg</t>
  </si>
  <si>
    <t>https://nematode.unl.edu/mymont5.jpg</t>
  </si>
  <si>
    <t>https://nematode.unl.edu/mymont6.jpg</t>
  </si>
  <si>
    <t>https://nematode.unl.edu/mymont7.jpg</t>
  </si>
  <si>
    <t>https://nematode.unl.edu/mymonta1.jpg</t>
  </si>
  <si>
    <t>https://nematode.unl.edu/mymonta10.jpg</t>
  </si>
  <si>
    <t>https://nematode.unl.edu/mymonta11.jpg</t>
  </si>
  <si>
    <t>Jumbo Valley, fen (unique wetland type), Cherry County, Nebraska</t>
  </si>
  <si>
    <t>https://nematode.unl.edu/mymonta12.jpg</t>
  </si>
  <si>
    <t>https://nematode.unl.edu/mymonta13.jpg</t>
  </si>
  <si>
    <t>denticles</t>
  </si>
  <si>
    <t>Jumbo Valley, sandhills, Cherry County, Nebraska</t>
  </si>
  <si>
    <t xml:space="preserve"> </t>
  </si>
  <si>
    <t>https://nematode.unl.edu/mymonta14.jpg</t>
  </si>
  <si>
    <t>https://nematode.unl.edu/mymonta15.jpg</t>
  </si>
  <si>
    <t>https://nematode.unl.edu/mymonta2.jpg</t>
  </si>
  <si>
    <t>https://nematode.unl.edu/mymonta3.jpg</t>
  </si>
  <si>
    <t>https://nematode.unl.edu/mymonta4.jpg</t>
  </si>
  <si>
    <t>https://nematode.unl.edu/mymonta5.jpg</t>
  </si>
  <si>
    <t>https://nematode.unl.edu/mymonta6.jpg</t>
  </si>
  <si>
    <t>https://nematode.unl.edu/mymonta7.jpg</t>
  </si>
  <si>
    <t>https://nematode.unl.edu/mymonta8.jpg</t>
  </si>
  <si>
    <t>https://nematode.unl.edu/mymonta9.jpg</t>
  </si>
  <si>
    <t>https://nematode.unl.edu/mymontus1.jpg</t>
  </si>
  <si>
    <t>https://nematode.unl.edu/mymontus10.jpg</t>
  </si>
  <si>
    <t>https://nematode.unl.edu/mymontus2.jpg</t>
  </si>
  <si>
    <t>https://nematode.unl.edu/mymontus3.jpg</t>
  </si>
  <si>
    <t>https://nematode.unl.edu/mymontus4.jpg</t>
  </si>
  <si>
    <t>https://nematode.unl.edu/mymontus5.jpg</t>
  </si>
  <si>
    <t>https://nematode.unl.edu/mymontus6.jpg</t>
  </si>
  <si>
    <t>https://nematode.unl.edu/mymontus7.jpg</t>
  </si>
  <si>
    <t>https://nematode.unl.edu/mymontus8.jpg</t>
  </si>
  <si>
    <t>https://nematode.unl.edu/mymontus9.jpg</t>
  </si>
  <si>
    <t>https://nematode.unl.edu/mylopar1.jpg</t>
  </si>
  <si>
    <t>Mylonchulus parabrachyurus</t>
  </si>
  <si>
    <t>Mylonchulus parabrachyuris</t>
  </si>
  <si>
    <t>Mylonchulus</t>
  </si>
  <si>
    <t>https://nematode.unl.edu/mylopar2.jpg</t>
  </si>
  <si>
    <t>https://nematode.unl.edu/mylopar3.jpg</t>
  </si>
  <si>
    <t>https://nematode.unl.edu/mylopar4.jpg</t>
  </si>
  <si>
    <t>https://nematode.unl.edu/mylopar5.jpg</t>
  </si>
  <si>
    <t>https://nematode.unl.edu/mylopar6.jpg</t>
  </si>
  <si>
    <t>https://nematode.unl.edu/mylopar7.jpg</t>
  </si>
  <si>
    <t>https://nematode.unl.edu/mylopar8.jpg</t>
  </si>
  <si>
    <t>https://nematode.unl.edu/myparab1.jpg</t>
  </si>
  <si>
    <t>https://nematode.unl.edu/myparab10.jpg</t>
  </si>
  <si>
    <t>https://nematode.unl.edu/myparab11.jpg</t>
  </si>
  <si>
    <t>https://nematode.unl.edu/myparab12.jpg</t>
  </si>
  <si>
    <t>https://nematode.unl.edu/myparab13.jpg</t>
  </si>
  <si>
    <t>https://nematode.unl.edu/myparab14.jpg</t>
  </si>
  <si>
    <t>https://nematode.unl.edu/myparab15.jpg</t>
  </si>
  <si>
    <t>https://nematode.unl.edu/myparab16.jpg</t>
  </si>
  <si>
    <t>https://nematode.unl.edu/myparab17.jpg</t>
  </si>
  <si>
    <t>https://nematode.unl.edu/myparab18.jpg</t>
  </si>
  <si>
    <t>https://nematode.unl.edu/myparab19.jpg</t>
  </si>
  <si>
    <t>https://nematode.unl.edu/myparab2.jpg</t>
  </si>
  <si>
    <t>https://nematode.unl.edu/myparab20.jpg</t>
  </si>
  <si>
    <t>https://nematode.unl.edu/myparab21.jpg</t>
  </si>
  <si>
    <t>https://nematode.unl.edu/myparab22.jpg</t>
  </si>
  <si>
    <t>https://nematode.unl.edu/myparab23.jpg</t>
  </si>
  <si>
    <t>https://nematode.unl.edu/myparab24.jpg</t>
  </si>
  <si>
    <t>https://nematode.unl.edu/myparab25.jpg</t>
  </si>
  <si>
    <t>https://nematode.unl.edu/myparab26.jpg</t>
  </si>
  <si>
    <t>https://nematode.unl.edu/myparab27.jpg</t>
  </si>
  <si>
    <t>https://nematode.unl.edu/myparab28.jpg</t>
  </si>
  <si>
    <t>https://nematode.unl.edu/myparab29.jpg</t>
  </si>
  <si>
    <t>https://nematode.unl.edu/myparab3.jpg</t>
  </si>
  <si>
    <t>https://nematode.unl.edu/myparab30.jpg</t>
  </si>
  <si>
    <t>https://nematode.unl.edu/myparab31.jpg</t>
  </si>
  <si>
    <t>https://nematode.unl.edu/myparab32.jpg</t>
  </si>
  <si>
    <t>https://nematode.unl.edu/myparab33.jpg</t>
  </si>
  <si>
    <t>https://nematode.unl.edu/myparab4.jpg</t>
  </si>
  <si>
    <t>https://nematode.unl.edu/myparab5.jpg</t>
  </si>
  <si>
    <t>https://nematode.unl.edu/myparab6.jpg</t>
  </si>
  <si>
    <t>https://nematode.unl.edu/myparab7.jpg</t>
  </si>
  <si>
    <t>https://nematode.unl.edu/myparab8.jpg</t>
  </si>
  <si>
    <t>https://nematode.unl.edu/myparab9.jpg</t>
  </si>
  <si>
    <t>https://nematode.unl.edu/myparyurus1.jpg</t>
  </si>
  <si>
    <t>https://nematode.unl.edu/myparyurus2.jpg</t>
  </si>
  <si>
    <t>https://nematode.unl.edu/maffin1.jpg</t>
  </si>
  <si>
    <t>Merlinius affinis</t>
  </si>
  <si>
    <t>Nagelus affinis</t>
  </si>
  <si>
    <t>Nagelus</t>
  </si>
  <si>
    <t>https://nematode.unl.edu/maffin2.jpg</t>
  </si>
  <si>
    <t>gubernaculum, heavy sclerotization</t>
  </si>
  <si>
    <t>https://nematode.unl.edu/maffin3.jpg</t>
  </si>
  <si>
    <t>https://nematode.unl.edu/maffin4.jpg</t>
  </si>
  <si>
    <t>head, heavy sclerotization</t>
  </si>
  <si>
    <t>https://nematode.unl.edu/meralp1.jpg</t>
  </si>
  <si>
    <t>Trail Ridge Road - Rocky Mountain National Park, Colorado</t>
  </si>
  <si>
    <t>https://nematode.unl.edu/meralp2.jpg</t>
  </si>
  <si>
    <t>https://nematode.unl.edu/meralp3.jpg</t>
  </si>
  <si>
    <t>https://nematode.unl.edu/meralp4.jpg</t>
  </si>
  <si>
    <t>https://nematode.unl.edu/meralp5.jpg</t>
  </si>
  <si>
    <t>https://nematode.unl.edu/meralp6.jpg</t>
  </si>
  <si>
    <t>https://nematode.unl.edu/meralp7.jpg</t>
  </si>
  <si>
    <t>https://nematode.unl.edu/meralp8.jpg</t>
  </si>
  <si>
    <t>https://nematode.unl.edu/meralp9.jpg</t>
  </si>
  <si>
    <t>https://nematode.unl.edu/malpin1.jpg</t>
  </si>
  <si>
    <t>Merlinius alpinus</t>
  </si>
  <si>
    <t>Nagelus alpinus</t>
  </si>
  <si>
    <t>https://nematode.unl.edu/monic1.jpg</t>
  </si>
  <si>
    <t>Merlinius conicus</t>
  </si>
  <si>
    <t>Nagelus conicus</t>
  </si>
  <si>
    <t>https://nematode.unl.edu/monic2.jpg</t>
  </si>
  <si>
    <t>stylet knobs</t>
  </si>
  <si>
    <t>https://nematode.unl.edu/monic3.jpg</t>
  </si>
  <si>
    <t>https://nematode.unl.edu/mergra1.jpg</t>
  </si>
  <si>
    <t>Merlinius grandis</t>
  </si>
  <si>
    <t>Nagelus grandis</t>
  </si>
  <si>
    <t>https://nematode.unl.edu/merling1.jpg</t>
  </si>
  <si>
    <t>Albany county, Wyoming</t>
  </si>
  <si>
    <t>native grassland</t>
  </si>
  <si>
    <t>https://nematode.unl.edu/merling2.jpg</t>
  </si>
  <si>
    <t>https://nematode.unl.edu/merling3.jpg</t>
  </si>
  <si>
    <t>https://nematode.unl.edu/merling4.jpg</t>
  </si>
  <si>
    <t>labialannules</t>
  </si>
  <si>
    <t>https://nematode.unl.edu/merling5.jpg</t>
  </si>
  <si>
    <t>https://nematode.unl.edu/merling6.jpg</t>
  </si>
  <si>
    <t>spermatheca</t>
  </si>
  <si>
    <t>https://nematode.unl.edu/merling7.jpg</t>
  </si>
  <si>
    <t>https://nematode.unl.edu/mineat1.jpg</t>
  </si>
  <si>
    <t>Merlinius lineatus</t>
  </si>
  <si>
    <t>Nagelus lineatus</t>
  </si>
  <si>
    <t>https://nematode.unl.edu/mineat2.jpg</t>
  </si>
  <si>
    <t>https://nematode.unl.edu/mineat3.jpg</t>
  </si>
  <si>
    <t>https://nematode.unl.edu/mermac1.jpg</t>
  </si>
  <si>
    <t>Merlinius macrodens</t>
  </si>
  <si>
    <t>Nagelus macrodens</t>
  </si>
  <si>
    <t>https://nematode.unl.edu/odeca1.jpg</t>
  </si>
  <si>
    <t>Ogma decalineatum</t>
  </si>
  <si>
    <t>Ogma decalineatus</t>
  </si>
  <si>
    <t>Ogma</t>
  </si>
  <si>
    <t>https://nematode.unl.edu/odeca2.jpg</t>
  </si>
  <si>
    <t>https://nematode.unl.edu/odeca3.jpg</t>
  </si>
  <si>
    <t>https://nematode.unl.edu/odeca4.jpg</t>
  </si>
  <si>
    <t>https://nematode.unl.edu/odecomp.jpg</t>
  </si>
  <si>
    <t>https://nematode.unl.edu/ogde1.jpg</t>
  </si>
  <si>
    <t>https://nematode.unl.edu/ogde10.jpg</t>
  </si>
  <si>
    <t>https://nematode.unl.edu/ogde2.jpg</t>
  </si>
  <si>
    <t>https://nematode.unl.edu/ogde3.jpg</t>
  </si>
  <si>
    <t>https://nematode.unl.edu/ogde4.jpg</t>
  </si>
  <si>
    <t>https://nematode.unl.edu/ogde6.jpg</t>
  </si>
  <si>
    <t>https://nematode.unl.edu/ogde7.jpg</t>
  </si>
  <si>
    <t>https://nematode.unl.edu/ogde8.jpg</t>
  </si>
  <si>
    <t>https://nematode.unl.edu/ogde9.jpg</t>
  </si>
  <si>
    <t>https://nematode.unl.edu/ogdebier1.jpg</t>
  </si>
  <si>
    <t>Schluckebier Prairie State Natural Area, Wisconsin</t>
  </si>
  <si>
    <t>https://nematode.unl.edu/ogdebier2.jpg</t>
  </si>
  <si>
    <t>https://nematode.unl.edu/ogdebier3.jpg</t>
  </si>
  <si>
    <t>https://nematode.unl.edu/ogdebier4.jpg</t>
  </si>
  <si>
    <t>https://nematode.unl.edu/ogdebier5.jpg</t>
  </si>
  <si>
    <t>https://nematode.unl.edu/ogdebier6.jpg</t>
  </si>
  <si>
    <t>https://nematode.unl.edu/ogdec1.jpg</t>
  </si>
  <si>
    <t>https://nematode.unl.edu/ogdec10.jpg</t>
  </si>
  <si>
    <t>https://nematode.unl.edu/ogdec11.jpg</t>
  </si>
  <si>
    <t>https://nematode.unl.edu/ogdec12.jpg</t>
  </si>
  <si>
    <t>https://nematode.unl.edu/ogdec13.jpg</t>
  </si>
  <si>
    <t>https://nematode.unl.edu/ogdec18.jpg</t>
  </si>
  <si>
    <t>https://nematode.unl.edu/ogdec19.jpg</t>
  </si>
  <si>
    <t>https://nematode.unl.edu/ogdec2.jpg</t>
  </si>
  <si>
    <t>https://nematode.unl.edu/ogdec20.jpg</t>
  </si>
  <si>
    <t>https://nematode.unl.edu/ogdec21.jpg</t>
  </si>
  <si>
    <t>https://nematode.unl.edu/ogdec22.jpg</t>
  </si>
  <si>
    <t>spicules/gubernaculum</t>
  </si>
  <si>
    <t>https://nematode.unl.edu/ogdec23.jpg</t>
  </si>
  <si>
    <t>https://nematode.unl.edu/ogdec24.jpg</t>
  </si>
  <si>
    <t>https://nematode.unl.edu/ogdec25.jpg</t>
  </si>
  <si>
    <t>Nine Mile Prairie, Lancaster County, Section A- transect, Nebraska</t>
  </si>
  <si>
    <t>https://nematode.unl.edu/ogdec26.jpg</t>
  </si>
  <si>
    <t>https://nematode.unl.edu/ogdec27.jpg</t>
  </si>
  <si>
    <t>https://nematode.unl.edu/ogdec28.jpg</t>
  </si>
  <si>
    <t>https://nematode.unl.edu/ogdec29.jpg</t>
  </si>
  <si>
    <t>https://nematode.unl.edu/ogdec3.jpg</t>
  </si>
  <si>
    <t>https://nematode.unl.edu/ogdec30.jpg</t>
  </si>
  <si>
    <t>https://nematode.unl.edu/ogdec31.jpg</t>
  </si>
  <si>
    <t>https://nematode.unl.edu/ogdec32.jpg</t>
  </si>
  <si>
    <t>https://nematode.unl.edu/ogdec33.jpg</t>
  </si>
  <si>
    <t>https://nematode.unl.edu/ogdec34.jpg</t>
  </si>
  <si>
    <t>https://nematode.unl.edu/ogdec4.jpg</t>
  </si>
  <si>
    <t>https://nematode.unl.edu/ogdec5.jpg</t>
  </si>
  <si>
    <t>https://nematode.unl.edu/ogdec6.jpg</t>
  </si>
  <si>
    <t>https://nematode.unl.edu/ogdec7.jpg</t>
  </si>
  <si>
    <t>https://nematode.unl.edu/ogdec8.jpg</t>
  </si>
  <si>
    <t>scales</t>
  </si>
  <si>
    <t>https://nematode.unl.edu/ogdec9.jpg</t>
  </si>
  <si>
    <t>https://nematode.unl.edu/ogmadeth1.jpg</t>
  </si>
  <si>
    <t>Thomas County, Nebraska</t>
  </si>
  <si>
    <t>https://nematode.unl.edu/ogmadeth2.jpg</t>
  </si>
  <si>
    <t>https://nematode.unl.edu/ogmadeth3.jpg</t>
  </si>
  <si>
    <t>https://nematode.unl.edu/ogmadeth4.jpg</t>
  </si>
  <si>
    <t>https://nematode.unl.edu/ogmoc1.jpg</t>
  </si>
  <si>
    <t>Mount Philo State Park, Vermont</t>
  </si>
  <si>
    <t>maple, white pine and birch trees</t>
  </si>
  <si>
    <t>Ogma octangulare</t>
  </si>
  <si>
    <t>Ogma octangularis</t>
  </si>
  <si>
    <t>https://nematode.unl.edu/ogmoc10.jpg</t>
  </si>
  <si>
    <t>https://nematode.unl.edu/ogmoc11.jpg</t>
  </si>
  <si>
    <t>https://nematode.unl.edu/ogmoc12.jpg</t>
  </si>
  <si>
    <t>https://nematode.unl.edu/ogmoc13.jpg</t>
  </si>
  <si>
    <t>https://nematode.unl.edu/ogmoc14.jpg</t>
  </si>
  <si>
    <t>https://nematode.unl.edu/ogmoc15.jpg</t>
  </si>
  <si>
    <t>https://nematode.unl.edu/ogmoc2.jpg</t>
  </si>
  <si>
    <t>https://nematode.unl.edu/ogmoc3.jpg</t>
  </si>
  <si>
    <t>labial region</t>
  </si>
  <si>
    <t>https://nematode.unl.edu/ogmoc4.jpg</t>
  </si>
  <si>
    <t>https://nematode.unl.edu/ogmoc5.jpg</t>
  </si>
  <si>
    <t>https://nematode.unl.edu/ogmoc6.jpg</t>
  </si>
  <si>
    <t>https://nematode.unl.edu/ogmoc7.jpg</t>
  </si>
  <si>
    <t>https://nematode.unl.edu/ogmoc8.jpg</t>
  </si>
  <si>
    <t>https://nematode.unl.edu/ogmoc9.jpg</t>
  </si>
  <si>
    <t>cephalic disc</t>
  </si>
  <si>
    <t>https://nematode.unl.edu/ooctan1.jpg</t>
  </si>
  <si>
    <t>Governor Dodge State Park , Wisconsin</t>
  </si>
  <si>
    <t>pines</t>
  </si>
  <si>
    <t>https://nematode.unl.edu/ooctan2.jpg</t>
  </si>
  <si>
    <t>https://nematode.unl.edu/ooctan3.jpg</t>
  </si>
  <si>
    <t>https://nematode.unl.edu/ooctan4.jpg</t>
  </si>
  <si>
    <t>https://nematode.unl.edu/cricomo10.jpg</t>
  </si>
  <si>
    <t>Missouri</t>
  </si>
  <si>
    <t>Neolobocriconema serratum</t>
  </si>
  <si>
    <t>Ogma serratus</t>
  </si>
  <si>
    <t>https://nematode.unl.edu/cricomo11.jpg</t>
  </si>
  <si>
    <t>https://nematode.unl.edu/cricomo12.jpg</t>
  </si>
  <si>
    <t>https://nematode.unl.edu/cricomo13.jpg</t>
  </si>
  <si>
    <t>https://nematode.unl.edu/cricomo9.jpg</t>
  </si>
  <si>
    <t>https://nematode.unl.edu/ogserne1.jpg</t>
  </si>
  <si>
    <t>Nebraska nursery</t>
  </si>
  <si>
    <t>https://nematode.unl.edu/ogserne2.jpg</t>
  </si>
  <si>
    <t>https://nematode.unl.edu/ogserne3.jpg</t>
  </si>
  <si>
    <t>https://nematode.unl.edu/ogserne4.jpg</t>
  </si>
  <si>
    <t>https://nematode.unl.edu/laparafec1.jpg</t>
  </si>
  <si>
    <t>La Selva Biological Station, Costa Rica</t>
  </si>
  <si>
    <t>Forest understory</t>
  </si>
  <si>
    <t>Laimydorus parafecundus</t>
  </si>
  <si>
    <t>Paradorylaimus parafecundus</t>
  </si>
  <si>
    <t>Paradorylaimus</t>
  </si>
  <si>
    <t>https://nematode.unl.edu/laparafec10.jpg</t>
  </si>
  <si>
    <t>forestunderstory</t>
  </si>
  <si>
    <t>https://nematode.unl.edu/laparafec11.jpg</t>
  </si>
  <si>
    <t>Costa Rica, La Selva Biological Station</t>
  </si>
  <si>
    <t>soil</t>
  </si>
  <si>
    <t>https://nematode.unl.edu/laparafec12.jpg</t>
  </si>
  <si>
    <t>anterior ovary, eggs,vulva, posterior ovary</t>
  </si>
  <si>
    <t>https://nematode.unl.edu/laparafec13.jpg</t>
  </si>
  <si>
    <t>https://nematode.unl.edu/laparafec14.jpg</t>
  </si>
  <si>
    <t>https://nematode.unl.edu/laparafec15.jpg</t>
  </si>
  <si>
    <t>DN</t>
  </si>
  <si>
    <t>https://nematode.unl.edu/laparafec16.jpg</t>
  </si>
  <si>
    <t>https://nematode.unl.edu/laparafec17.jpg</t>
  </si>
  <si>
    <t>https://nematode.unl.edu/laparafec18.jpg</t>
  </si>
  <si>
    <t>posterior ovary</t>
  </si>
  <si>
    <t>https://nematode.unl.edu/laparafec19.jpg</t>
  </si>
  <si>
    <t>https://nematode.unl.edu/laparafec2.jpg</t>
  </si>
  <si>
    <t>https://nematode.unl.edu/laparafec20.jpg</t>
  </si>
  <si>
    <t>https://nematode.unl.edu/laparafec21.jpg</t>
  </si>
  <si>
    <t>https://nematode.unl.edu/laparafec22.jpg</t>
  </si>
  <si>
    <t>https://nematode.unl.edu/laparafec23.jpg</t>
  </si>
  <si>
    <t>https://nematode.unl.edu/laparafec24.jpg</t>
  </si>
  <si>
    <t>https://nematode.unl.edu/laparafec25.jpg</t>
  </si>
  <si>
    <t>https://nematode.unl.edu/laparafec26.jpg</t>
  </si>
  <si>
    <t>https://nematode.unl.edu/laparafec27.jpg</t>
  </si>
  <si>
    <t>https://nematode.unl.edu/laparafec28.jpg</t>
  </si>
  <si>
    <t>https://nematode.unl.edu/laparafec3.jpg</t>
  </si>
  <si>
    <t>https://nematode.unl.edu/laparafec4.jpg</t>
  </si>
  <si>
    <t>dorsal gland nucleus</t>
  </si>
  <si>
    <t>https://nematode.unl.edu/laparafec5.jpg</t>
  </si>
  <si>
    <t>https://nematode.unl.edu/laparafec6.jpg</t>
  </si>
  <si>
    <t>anterior ovary</t>
  </si>
  <si>
    <t>https://nematode.unl.edu/laparafec7.jpg</t>
  </si>
  <si>
    <t>egg</t>
  </si>
  <si>
    <t>https://nematode.unl.edu/laparafec8.jpg</t>
  </si>
  <si>
    <t>vulva/vagina</t>
  </si>
  <si>
    <t>https://nematode.unl.edu/laparafec9.jpg</t>
  </si>
  <si>
    <t>https://nematode.unl.edu/amphido1.jpg</t>
  </si>
  <si>
    <t>Amphidelus dolichurus</t>
  </si>
  <si>
    <t>Paramphidelus dolichurus</t>
  </si>
  <si>
    <t>Paramphidelus</t>
  </si>
  <si>
    <t>https://nematode.unl.edu/ahyan1.jpg</t>
  </si>
  <si>
    <t>Amphidelus hyans</t>
  </si>
  <si>
    <t>Paramphidelus hyans</t>
  </si>
  <si>
    <t>https://nematode.unl.edu/ahyan2.jpg</t>
  </si>
  <si>
    <t>https://nematode.unl.edu/ahyan3.jpg</t>
  </si>
  <si>
    <t>https://nematode.unl.edu/ahyan4.jpg</t>
  </si>
  <si>
    <t>https://nematode.unl.edu/ampus1.jpg</t>
  </si>
  <si>
    <t>Amphidelus pusillus</t>
  </si>
  <si>
    <t>Paramphidelus pusillus</t>
  </si>
  <si>
    <t>https://nematode.unl.edu/ampus2.jpg</t>
  </si>
  <si>
    <t>https://nematode.unl.edu/ampus3.jpg</t>
  </si>
  <si>
    <t>https://nematode.unl.edu/ampus4.jpg</t>
  </si>
  <si>
    <t>https://nematode.unl.edu/ampus5.jpg</t>
  </si>
  <si>
    <t>https://nematode.unl.edu/ampus6.jpg</t>
  </si>
  <si>
    <t>https://nematode.unl.edu/parap1.jpg</t>
  </si>
  <si>
    <t>Paraphelenchus pseudoparictinus</t>
  </si>
  <si>
    <t>Paraphelenchus pseudoparietinus</t>
  </si>
  <si>
    <t>Aphelenchidae</t>
  </si>
  <si>
    <t>Paraphelenchus</t>
  </si>
  <si>
    <t>https://nematode.unl.edu/parap2.jpg</t>
  </si>
  <si>
    <t>https://nematode.unl.edu/parap3.jpg</t>
  </si>
  <si>
    <t>https://nematode.unl.edu/parap4.jpg</t>
  </si>
  <si>
    <t>https://nematode.unl.edu/parap5.jpg</t>
  </si>
  <si>
    <t>https://nematode.unl.edu/parap6.jpg</t>
  </si>
  <si>
    <t>https://nematode.unl.edu/parap7.jpg</t>
  </si>
  <si>
    <t>https://nematode.unl.edu/parap8.jpg</t>
  </si>
  <si>
    <t>https://nematode.unl.edu/graci2.jpg</t>
  </si>
  <si>
    <t>Gracilacus</t>
  </si>
  <si>
    <t>Paratylenchus</t>
  </si>
  <si>
    <t>Tylenchulidae</t>
  </si>
  <si>
    <t>https://nematode.unl.edu/gracic1.jpg</t>
  </si>
  <si>
    <t>Gracilacus acicula</t>
  </si>
  <si>
    <t>Paratylenchus aciculus</t>
  </si>
  <si>
    <t>https://nematode.unl.edu/gracic2.jpg</t>
  </si>
  <si>
    <t>https://nematode.unl.edu/gracic3.jpg</t>
  </si>
  <si>
    <t>https://nematode.unl.edu/gracic4.jpg</t>
  </si>
  <si>
    <t>https://nematode.unl.edu/gracic5.jpg</t>
  </si>
  <si>
    <t>https://nematode.unl.edu/gracic6.jpg</t>
  </si>
  <si>
    <t>https://nematode.unl.edu/gracul1.jpg</t>
  </si>
  <si>
    <t>Gracilacus aculenta</t>
  </si>
  <si>
    <t>Paratylenchus aculentus</t>
  </si>
  <si>
    <t>https://nematode.unl.edu/gracul2.jpg</t>
  </si>
  <si>
    <t>https://nematode.unl.edu/gracul3.jpg</t>
  </si>
  <si>
    <t>https://nematode.unl.edu/gracul4.jpg</t>
  </si>
  <si>
    <t>https://nematode.unl.edu/graculcmp.jpg</t>
  </si>
  <si>
    <t>https://nematode.unl.edu/glatscan.jpg</t>
  </si>
  <si>
    <t>Gracilacus latescens</t>
  </si>
  <si>
    <t>Paratylenchus latescens</t>
  </si>
  <si>
    <t>https://nematode.unl.edu/grala1.jpg</t>
  </si>
  <si>
    <t>https://nematode.unl.edu/grala10.jpg</t>
  </si>
  <si>
    <t>https://nematode.unl.edu/grala11.jpg</t>
  </si>
  <si>
    <t>https://nematode.unl.edu/grala12.jpg</t>
  </si>
  <si>
    <t>https://nematode.unl.edu/grala13.jpg</t>
  </si>
  <si>
    <t>https://nematode.unl.edu/grala14.jpg</t>
  </si>
  <si>
    <t>https://nematode.unl.edu/grala15.jpg</t>
  </si>
  <si>
    <t>https://nematode.unl.edu/grala2.jpg</t>
  </si>
  <si>
    <t>https://nematode.unl.edu/grala3.jpg</t>
  </si>
  <si>
    <t>https://nematode.unl.edu/grala4.jpg</t>
  </si>
  <si>
    <t>https://nematode.unl.edu/grala5.jpg</t>
  </si>
  <si>
    <t>https://nematode.unl.edu/grala6.jpg</t>
  </si>
  <si>
    <t>https://nematode.unl.edu/grala7.jpg</t>
  </si>
  <si>
    <t>https://nematode.unl.edu/grala8.jpg</t>
  </si>
  <si>
    <t>https://nematode.unl.edu/grala9.jpg</t>
  </si>
  <si>
    <t>https://nematode.unl.edu/paraprobo1.jpg</t>
  </si>
  <si>
    <t>Burr Oak Canyon, Nebraska</t>
  </si>
  <si>
    <t>oaks</t>
  </si>
  <si>
    <t>Pratylenchus projectus</t>
  </si>
  <si>
    <t>Paratylenchus projectus</t>
  </si>
  <si>
    <t>https://nematode.unl.edu/paraprobo2.jpg</t>
  </si>
  <si>
    <t>https://nematode.unl.edu/paraprobo3.jpg</t>
  </si>
  <si>
    <t>https://nematode.unl.edu/paraprojedrw.jpg</t>
  </si>
  <si>
    <t>https://nematode.unl.edu/rhater1.jpg</t>
  </si>
  <si>
    <t>Rhabditis terricola</t>
  </si>
  <si>
    <t>Pelodera pseudoteres</t>
  </si>
  <si>
    <t>Rhabditidae</t>
  </si>
  <si>
    <t>Pelodera</t>
  </si>
  <si>
    <t>https://nematode.unl.edu/rhater2.jpg</t>
  </si>
  <si>
    <t>https://nematode.unl.edu/rhater3.jpg</t>
  </si>
  <si>
    <t>https://nematode.unl.edu/rhater4.jpg</t>
  </si>
  <si>
    <t>https://nematode.unl.edu/rhater5.jpg</t>
  </si>
  <si>
    <t>https://nematode.unl.edu/rhater6.jpg</t>
  </si>
  <si>
    <t>https://nematode.unl.edu/rhater7.jpg</t>
  </si>
  <si>
    <t>https://nematode.unl.edu/rhater8.jpg</t>
  </si>
  <si>
    <t>https://nematode.unl.edu/pletho1.jpg</t>
  </si>
  <si>
    <t>Plectus thornei</t>
  </si>
  <si>
    <t>Plectus cancellatus</t>
  </si>
  <si>
    <t>Plectida</t>
  </si>
  <si>
    <t>Plectidae</t>
  </si>
  <si>
    <t>Plectus</t>
  </si>
  <si>
    <t>https://nematode.unl.edu/plemi1.jpg</t>
  </si>
  <si>
    <t>Plectus minor</t>
  </si>
  <si>
    <t>Plectus geophilus</t>
  </si>
  <si>
    <t>https://nematode.unl.edu/plemi2.jpg</t>
  </si>
  <si>
    <t>https://nematode.unl.edu/plemi3.jpg</t>
  </si>
  <si>
    <t>https://nematode.unl.edu/plemi4.jpg</t>
  </si>
  <si>
    <t>https://nematode.unl.edu/plemi5.jpg</t>
  </si>
  <si>
    <t>https://nematode.unl.edu/pmakrod1.jpg</t>
  </si>
  <si>
    <t>Plectus makrodemas</t>
  </si>
  <si>
    <t>Plectus macrodemas</t>
  </si>
  <si>
    <t>https://nematode.unl.edu/pmakrod2.jpg</t>
  </si>
  <si>
    <t>https://nematode.unl.edu/pmakrod3.jpg</t>
  </si>
  <si>
    <t>https://nematode.unl.edu/pmakrod4.jpg</t>
  </si>
  <si>
    <t>https://nematode.unl.edu/pmakrod5.jpg</t>
  </si>
  <si>
    <t>https://nematode.unl.edu/pmakrod6.jpg</t>
  </si>
  <si>
    <t>stoma</t>
  </si>
  <si>
    <t>https://nematode.unl.edu/pmakrod7.jpg</t>
  </si>
  <si>
    <t>https://nematode.unl.edu/pmakrod8.jpg</t>
  </si>
  <si>
    <t>https://nematode.unl.edu/plemak1.jpg</t>
  </si>
  <si>
    <t>Plectus makrodemus</t>
  </si>
  <si>
    <t>https://nematode.unl.edu/plemak2.jpg</t>
  </si>
  <si>
    <t>https://nematode.unl.edu/plemak3.jpg</t>
  </si>
  <si>
    <t>https://nematode.unl.edu/plemak4.jpg</t>
  </si>
  <si>
    <t>https://nematode.unl.edu/plemak5.jpg</t>
  </si>
  <si>
    <t>https://nematode.unl.edu/heterob1.jpg</t>
  </si>
  <si>
    <t>forest floor litter</t>
  </si>
  <si>
    <t>Heterocephalobus</t>
  </si>
  <si>
    <t>Pseudacrobeles</t>
  </si>
  <si>
    <t>https://nematode.unl.edu/heterob2.jpg</t>
  </si>
  <si>
    <t>https://nematode.unl.edu/heterob3.jpg</t>
  </si>
  <si>
    <t>https://nematode.unl.edu/heterob4.jpg</t>
  </si>
  <si>
    <t>https://nematode.unl.edu/eucela1.jpg</t>
  </si>
  <si>
    <t>Eucephalobus laevis</t>
  </si>
  <si>
    <t>Pseudacrobeles (Pseudacrobeles) laevis</t>
  </si>
  <si>
    <t>https://nematode.unl.edu/eucela2.jpg</t>
  </si>
  <si>
    <t>https://nematode.unl.edu/eucep1.jpg</t>
  </si>
  <si>
    <t>https://nematode.unl.edu/eucep2.jpg</t>
  </si>
  <si>
    <t>https://nematode.unl.edu/eucep3.jpg</t>
  </si>
  <si>
    <t>https://nematode.unl.edu/eucep4.jpg</t>
  </si>
  <si>
    <t>https://nematode.unl.edu/eucep5.jpg</t>
  </si>
  <si>
    <t>https://nematode.unl.edu/eucep6.jpg</t>
  </si>
  <si>
    <t>https://nematode.unl.edu/eucep7.jpg</t>
  </si>
  <si>
    <t>https://nematode.unl.edu/euladraw.jpg</t>
  </si>
  <si>
    <t>https://nematode.unl.edu/eucet1.jpg</t>
  </si>
  <si>
    <t>Eucephalobus teres</t>
  </si>
  <si>
    <t>Pseudacrobeles (Pseudacrobeles) teres</t>
  </si>
  <si>
    <t>https://nematode.unl.edu/eucet2.jpg</t>
  </si>
  <si>
    <t>https://nematode.unl.edu/eucet3.jpg</t>
  </si>
  <si>
    <t>https://nematode.unl.edu/eucet4.jpg</t>
  </si>
  <si>
    <t>https://nematode.unl.edu/eula10.jpg</t>
  </si>
  <si>
    <t>https://nematode.unl.edu/eula11.jpg</t>
  </si>
  <si>
    <t>https://nematode.unl.edu/eula12.jpg</t>
  </si>
  <si>
    <t>https://nematode.unl.edu/eula13.jpg</t>
  </si>
  <si>
    <t>https://nematode.unl.edu/eula15.jpg</t>
  </si>
  <si>
    <t>https://nematode.unl.edu/eula16.jpg</t>
  </si>
  <si>
    <t>Big Bluestem</t>
  </si>
  <si>
    <t>https://nematode.unl.edu/eula17.jpg</t>
  </si>
  <si>
    <t>Big Bluestem\Little bluestem</t>
  </si>
  <si>
    <t>https://nematode.unl.edu/eula18.jpg</t>
  </si>
  <si>
    <t>https://nematode.unl.edu/eula19.jpg</t>
  </si>
  <si>
    <t>https://nematode.unl.edu/eula20.jpg</t>
  </si>
  <si>
    <t>https://nematode.unl.edu/eula21.jpg</t>
  </si>
  <si>
    <t>https://nematode.unl.edu/eula22.jpg</t>
  </si>
  <si>
    <t>https://nematode.unl.edu/eula23.jpg</t>
  </si>
  <si>
    <t>https://nematode.unl.edu/eula24.jpg</t>
  </si>
  <si>
    <t>https://nematode.unl.edu/eula25.jpg</t>
  </si>
  <si>
    <t>Little bluestem\Bluegrass</t>
  </si>
  <si>
    <t>https://nematode.unl.edu/eula26.jpg</t>
  </si>
  <si>
    <t>https://nematode.unl.edu/eula27.jpg</t>
  </si>
  <si>
    <t>https://nematode.unl.edu/eula28.jpg</t>
  </si>
  <si>
    <t>https://nematode.unl.edu/eula29.jpg</t>
  </si>
  <si>
    <t>https://nematode.unl.edu/eula30.jpg</t>
  </si>
  <si>
    <t>https://nematode.unl.edu/eula31.jpg</t>
  </si>
  <si>
    <t>https://nematode.unl.edu/eula32.jpg</t>
  </si>
  <si>
    <t>https://nematode.unl.edu/eula33.jpg</t>
  </si>
  <si>
    <t>https://nematode.unl.edu/eula34.jpg</t>
  </si>
  <si>
    <t>https://nematode.unl.edu/eula35.jpg</t>
  </si>
  <si>
    <t>https://nematode.unl.edu/eula36.jpg</t>
  </si>
  <si>
    <t>https://nematode.unl.edu/eula37.jpg</t>
  </si>
  <si>
    <t>https://nematode.unl.edu/eula38.jpg</t>
  </si>
  <si>
    <t>https://nematode.unl.edu/eula4.jpg</t>
  </si>
  <si>
    <t>https://nematode.unl.edu/eula5.jpg</t>
  </si>
  <si>
    <t>https://nematode.unl.edu/eula6.jpg</t>
  </si>
  <si>
    <t>https://nematode.unl.edu/eula7.jpg</t>
  </si>
  <si>
    <t>https://nematode.unl.edu/eula8.jpg</t>
  </si>
  <si>
    <t>https://nematode.unl.edu/eula9.jpg</t>
  </si>
  <si>
    <t>https://nematode.unl.edu/euter1.jpg</t>
  </si>
  <si>
    <t>https://nematode.unl.edu/euter10.jpg</t>
  </si>
  <si>
    <t>https://nematode.unl.edu/euter11.jpg</t>
  </si>
  <si>
    <t>https://nematode.unl.edu/euter12.jpg</t>
  </si>
  <si>
    <t>nerve ring</t>
  </si>
  <si>
    <t>https://nematode.unl.edu/euter13.jpg</t>
  </si>
  <si>
    <t>https://nematode.unl.edu/euter14.jpg</t>
  </si>
  <si>
    <t>https://nematode.unl.edu/euter15.jpg</t>
  </si>
  <si>
    <t>https://nematode.unl.edu/euter16.jpg</t>
  </si>
  <si>
    <t>https://nematode.unl.edu/euter17.jpg</t>
  </si>
  <si>
    <t>https://nematode.unl.edu/euter18.jpg</t>
  </si>
  <si>
    <t>https://nematode.unl.edu/euter19.jpg</t>
  </si>
  <si>
    <t>https://nematode.unl.edu/euter2.jpg</t>
  </si>
  <si>
    <t>https://nematode.unl.edu/euter20.jpg</t>
  </si>
  <si>
    <t>https://nematode.unl.edu/euter21.jpg</t>
  </si>
  <si>
    <t>https://nematode.unl.edu/euter22.jpg</t>
  </si>
  <si>
    <t>https://nematode.unl.edu/euter23.jpg</t>
  </si>
  <si>
    <t>https://nematode.unl.edu/euter24.jpg</t>
  </si>
  <si>
    <t>https://nematode.unl.edu/euter25.jpg</t>
  </si>
  <si>
    <t>https://nematode.unl.edu/euter26.jpg</t>
  </si>
  <si>
    <t>https://nematode.unl.edu/euter27.jpg</t>
  </si>
  <si>
    <t>https://nematode.unl.edu/euter28.jpg</t>
  </si>
  <si>
    <t>https://nematode.unl.edu/euter29.jpg</t>
  </si>
  <si>
    <t>https://nematode.unl.edu/euter3.jpg</t>
  </si>
  <si>
    <t>https://nematode.unl.edu/euter30.jpg</t>
  </si>
  <si>
    <t>https://nematode.unl.edu/euter4.jpg</t>
  </si>
  <si>
    <t>https://nematode.unl.edu/euter5.jpg</t>
  </si>
  <si>
    <t>https://nematode.unl.edu/euter6.jpg</t>
  </si>
  <si>
    <t>https://nematode.unl.edu/euter7.jpg</t>
  </si>
  <si>
    <t>https://nematode.unl.edu/euter8.jpg</t>
  </si>
  <si>
    <t>Scribner's panicum/ Bluegrass</t>
  </si>
  <si>
    <t>https://nematode.unl.edu/euter9.jpg</t>
  </si>
  <si>
    <t>https://nematode.unl.edu/merlins1.jpg</t>
  </si>
  <si>
    <t>Merlinius</t>
  </si>
  <si>
    <t>Scutylenchus</t>
  </si>
  <si>
    <t>Telotylenchidae</t>
  </si>
  <si>
    <t>https://nematode.unl.edu/merlins2.jpg</t>
  </si>
  <si>
    <t>https://nematode.unl.edu/merlins3.jpg</t>
  </si>
  <si>
    <t>https://nematode.unl.edu/merlins4.jpg</t>
  </si>
  <si>
    <t>https://nematode.unl.edu/merlins5.jpg</t>
  </si>
  <si>
    <t>https://nematode.unl.edu/merlins6.jpg</t>
  </si>
  <si>
    <t>https://nematode.unl.edu/terat1.jpg</t>
  </si>
  <si>
    <t>Long's Peak, Colorado, Summit</t>
  </si>
  <si>
    <t>Teratocephalus terrestris</t>
  </si>
  <si>
    <t>Teratocephalus deconincki</t>
  </si>
  <si>
    <t>Teratocephalidae</t>
  </si>
  <si>
    <t>Teratocephalus</t>
  </si>
  <si>
    <t>https://nematode.unl.edu/terat19.jpg</t>
  </si>
  <si>
    <t>https://nematode.unl.edu/terat2.jpg</t>
  </si>
  <si>
    <t>https://nematode.unl.edu/terat3.jpg</t>
  </si>
  <si>
    <t>https://nematode.unl.edu/terat4.jpg</t>
  </si>
  <si>
    <t>https://nematode.unl.edu/terat5.jpg</t>
  </si>
  <si>
    <t>https://nematode.unl.edu/teratcmp.jpg</t>
  </si>
  <si>
    <t>https://nematode.unl.edu/domidom1.jpg</t>
  </si>
  <si>
    <t>Dominicactinolaimus dominicus</t>
  </si>
  <si>
    <t>Trachactinolaimus dominicus</t>
  </si>
  <si>
    <t>Actinolaimidae</t>
  </si>
  <si>
    <t>Trachactinolaimus</t>
  </si>
  <si>
    <t>https://nematode.unl.edu/domidom2.jpg</t>
  </si>
  <si>
    <t>https://nematode.unl.edu/domidom3.jpg</t>
  </si>
  <si>
    <t>https://nematode.unl.edu/domidom4.jpg</t>
  </si>
  <si>
    <t>https://nematode.unl.edu/domidom5.jpg</t>
  </si>
  <si>
    <t>https://nematode.unl.edu/domidom6.jpg</t>
  </si>
  <si>
    <t>https://nematode.unl.edu/domidom7.jpg</t>
  </si>
  <si>
    <t>https://nematode.unl.edu/domidom8.jpg</t>
  </si>
  <si>
    <t>https://nematode.unl.edu/trip1.jpg</t>
  </si>
  <si>
    <t>Trichodorus proximus</t>
  </si>
  <si>
    <t>Trichodorus obtusus</t>
  </si>
  <si>
    <t>Triplonchida</t>
  </si>
  <si>
    <t>Trichodoridae</t>
  </si>
  <si>
    <t>Trichodorus</t>
  </si>
  <si>
    <t>https://nematode.unl.edu/trip10.jpg</t>
  </si>
  <si>
    <t>https://nematode.unl.edu/trip11.jpg</t>
  </si>
  <si>
    <t>https://nematode.unl.edu/trip12.jpg</t>
  </si>
  <si>
    <t>https://nematode.unl.edu/trip13.jpg</t>
  </si>
  <si>
    <t>https://nematode.unl.edu/trip14.jpg</t>
  </si>
  <si>
    <t>https://nematode.unl.edu/trip15.jpg</t>
  </si>
  <si>
    <t>https://nematode.unl.edu/trip16.jpg</t>
  </si>
  <si>
    <t>onchiostyle/lips</t>
  </si>
  <si>
    <t>https://nematode.unl.edu/trip17.jpg</t>
  </si>
  <si>
    <t>https://nematode.unl.edu/trip18.jpg</t>
  </si>
  <si>
    <t>https://nematode.unl.edu/trip2.jpg</t>
  </si>
  <si>
    <t>https://nematode.unl.edu/trip3.jpg</t>
  </si>
  <si>
    <t>https://nematode.unl.edu/trip4.jpg</t>
  </si>
  <si>
    <t>https://nematode.unl.edu/trip5.jpg</t>
  </si>
  <si>
    <t>https://nematode.unl.edu/trip6.jpg</t>
  </si>
  <si>
    <t>https://nematode.unl.edu/trip7.jpg</t>
  </si>
  <si>
    <t>https://nematode.unl.edu/trip8.jpg</t>
  </si>
  <si>
    <t>https://nematode.unl.edu/trip9.jpg</t>
  </si>
  <si>
    <t>https://nematode.unl.edu/tripcmp.jpg</t>
  </si>
  <si>
    <t>https://nematode.unl.edu/tripro1.jpg</t>
  </si>
  <si>
    <t>https://nematode.unl.edu/tripro10.jpg</t>
  </si>
  <si>
    <t>https://nematode.unl.edu/tripro11.jpg</t>
  </si>
  <si>
    <t>https://nematode.unl.edu/tripro12.jpg</t>
  </si>
  <si>
    <t>https://nematode.unl.edu/tripro13.jpg</t>
  </si>
  <si>
    <t>https://nematode.unl.edu/tripro14.jpg</t>
  </si>
  <si>
    <t>https://nematode.unl.edu/tripro15.jpg</t>
  </si>
  <si>
    <t>https://nematode.unl.edu/tripro16.jpg</t>
  </si>
  <si>
    <t>https://nematode.unl.edu/tripro2.jpg</t>
  </si>
  <si>
    <t>https://nematode.unl.edu/tripro3.jpg</t>
  </si>
  <si>
    <t>https://nematode.unl.edu/tripro4.jpg</t>
  </si>
  <si>
    <t>https://nematode.unl.edu/tripro5.jpg</t>
  </si>
  <si>
    <t>https://nematode.unl.edu/tripro6.jpg</t>
  </si>
  <si>
    <t>https://nematode.unl.edu/tripro7.jpg</t>
  </si>
  <si>
    <t>https://nematode.unl.edu/tripro8.jpg</t>
  </si>
  <si>
    <t>https://nematode.unl.edu/tripro9.jpg</t>
  </si>
  <si>
    <t>https://nematode.unl.edu/tripsupp.jpg</t>
  </si>
  <si>
    <t>https://nematode.unl.edu/crtylecric1.jpg</t>
  </si>
  <si>
    <t>Tylenchocrionema</t>
  </si>
  <si>
    <t>Tylenchocriconema</t>
  </si>
  <si>
    <t>https://nematode.unl.edu/crtylecric2.jpg</t>
  </si>
  <si>
    <t>https://nematode.unl.edu/crtylecric3.jpg</t>
  </si>
  <si>
    <t>https://nematode.unl.edu/crtylecric4.jpg</t>
  </si>
  <si>
    <t>https://nematode.unl.edu/crtylecric5.jpg</t>
  </si>
  <si>
    <t>https://nematode.unl.edu/crtylecric6.jpg</t>
  </si>
  <si>
    <t>https://nematode.unl.edu/tymax1.jpg</t>
  </si>
  <si>
    <t>Sauertylenchus maximus</t>
  </si>
  <si>
    <t>Tylenchorhynchus maximus</t>
  </si>
  <si>
    <t>Tylenchorhynchus</t>
  </si>
  <si>
    <t>https://nematode.unl.edu/tymax10.jpg</t>
  </si>
  <si>
    <t>https://nematode.unl.edu/tymax12.jpg</t>
  </si>
  <si>
    <t>https://nematode.unl.edu/tymax13.jpg</t>
  </si>
  <si>
    <t>https://nematode.unl.edu/tymax14.jpg</t>
  </si>
  <si>
    <t>https://nematode.unl.edu/tymax15.jpg</t>
  </si>
  <si>
    <t>https://nematode.unl.edu/tymax16.jpg</t>
  </si>
  <si>
    <t>https://nematode.unl.edu/tymax17.jpg</t>
  </si>
  <si>
    <t>https://nematode.unl.edu/tymax2.jpg</t>
  </si>
  <si>
    <t>https://nematode.unl.edu/tymax3.jpg</t>
  </si>
  <si>
    <t>https://nematode.unl.edu/tymax4.jpg</t>
  </si>
  <si>
    <t>https://nematode.unl.edu/tymax5.jpg</t>
  </si>
  <si>
    <t>https://nematode.unl.edu/tymax6.jpg</t>
  </si>
  <si>
    <t>https://nematode.unl.edu/tymax7.jpg</t>
  </si>
  <si>
    <t>https://nematode.unl.edu/tymax8.jpg</t>
  </si>
  <si>
    <t>https://nematode.unl.edu/tymax9.jpg</t>
  </si>
  <si>
    <t>https://nematode.unl.edu/tymaxcmp.jpg</t>
  </si>
  <si>
    <t>https://nematode.unl.edu/tynchmax1.jpg</t>
  </si>
  <si>
    <t>https://nematode.unl.edu/tynchmax2.jpg</t>
  </si>
  <si>
    <t>https://nematode.unl.edu/tynchmax3.jpg</t>
  </si>
  <si>
    <t>https://nematode.unl.edu/tynchmax4.jpg</t>
  </si>
  <si>
    <t>https://nematode.unl.edu/tynchmax5.jpg</t>
  </si>
  <si>
    <t>https://nematode.unl.edu/tynchmax8.jpg</t>
  </si>
  <si>
    <t>https://nematode.unl.edu/tynchmax9.jpg</t>
  </si>
  <si>
    <t>https://nematode.unl.edu/tydav1.jpg</t>
  </si>
  <si>
    <t>Tylenchus davainei</t>
  </si>
  <si>
    <t>Tylenchus elegans</t>
  </si>
  <si>
    <t>Tylenchus</t>
  </si>
  <si>
    <t>https://nematode.unl.edu/tydav10.jpg</t>
  </si>
  <si>
    <t>https://nematode.unl.edu/tydav11.jpg</t>
  </si>
  <si>
    <t>https://nematode.unl.edu/tydav12.jpg</t>
  </si>
  <si>
    <t>https://nematode.unl.edu/tydav13.jpg</t>
  </si>
  <si>
    <t>https://nematode.unl.edu/tydav14.jpg</t>
  </si>
  <si>
    <t>https://nematode.unl.edu/tydav15.jpg</t>
  </si>
  <si>
    <t>https://nematode.unl.edu/tydav16.jpg</t>
  </si>
  <si>
    <t>https://nematode.unl.edu/tydav17.jpg</t>
  </si>
  <si>
    <t>https://nematode.unl.edu/tydav18.jpg</t>
  </si>
  <si>
    <t>https://nematode.unl.edu/tydav19.jpg</t>
  </si>
  <si>
    <t>https://nematode.unl.edu/tydav2.jpg</t>
  </si>
  <si>
    <t>https://nematode.unl.edu/tydav20.jpg</t>
  </si>
  <si>
    <t>https://nematode.unl.edu/tydav21.jpg</t>
  </si>
  <si>
    <t>https://nematode.unl.edu/tydav23.jpg</t>
  </si>
  <si>
    <t>https://nematode.unl.edu/tydav24.jpg</t>
  </si>
  <si>
    <t>https://nematode.unl.edu/tydav25.jpg</t>
  </si>
  <si>
    <t>https://nematode.unl.edu/tydav26.jpg</t>
  </si>
  <si>
    <t>https://nematode.unl.edu/tydav3.jpg</t>
  </si>
  <si>
    <t>https://nematode.unl.edu/tydav4.jpg</t>
  </si>
  <si>
    <t>https://nematode.unl.edu/tydav5.jpg</t>
  </si>
  <si>
    <t>https://nematode.unl.edu/tydav6.jpg</t>
  </si>
  <si>
    <t>https://nematode.unl.edu/tydav7.jpg</t>
  </si>
  <si>
    <t>bursa</t>
  </si>
  <si>
    <t>https://nematode.unl.edu/tydav8.jpg</t>
  </si>
  <si>
    <t>https://nematode.unl.edu/tydav9.jpg</t>
  </si>
  <si>
    <t>https://nematode.unl.edu/tydavacmp.jpg</t>
  </si>
  <si>
    <t>https://nematode.unl.edu/tydavcmp.jpg</t>
  </si>
  <si>
    <t>https://nematode.unl.edu/fexi1.jpg</t>
  </si>
  <si>
    <t>Filenchus exiguus</t>
  </si>
  <si>
    <t>Tylenchus kreisi</t>
  </si>
  <si>
    <t>https://nematode.unl.edu/fexi10.jpg</t>
  </si>
  <si>
    <t>https://nematode.unl.edu/fexi11.jpg</t>
  </si>
  <si>
    <t>https://nematode.unl.edu/fexi2.jpg</t>
  </si>
  <si>
    <t>https://nematode.unl.edu/fexi3.jpg</t>
  </si>
  <si>
    <t>https://nematode.unl.edu/fexi4.jpg</t>
  </si>
  <si>
    <t>https://nematode.unl.edu/fexi5.jpg</t>
  </si>
  <si>
    <t>https://nematode.unl.edu/fexi6.jpg</t>
  </si>
  <si>
    <t>https://nematode.unl.edu/fexi7.jpg</t>
  </si>
  <si>
    <t>https://nematode.unl.edu/fexi8.jpg</t>
  </si>
  <si>
    <t>https://nematode.unl.edu/fexi9.jpg</t>
  </si>
  <si>
    <t>https://nematode.unl.edu/filex.jpg</t>
  </si>
  <si>
    <t>https://nematode.unl.edu/filex1.jpg</t>
  </si>
  <si>
    <t>https://nematode.unl.edu/filex10.jpg</t>
  </si>
  <si>
    <t>https://nematode.unl.edu/filex11.jpg</t>
  </si>
  <si>
    <t>https://nematode.unl.edu/filex12.jpg</t>
  </si>
  <si>
    <t>https://nematode.unl.edu/filex13.jpg</t>
  </si>
  <si>
    <t>https://nematode.unl.edu/filex2.jpg</t>
  </si>
  <si>
    <t>https://nematode.unl.edu/filex3.jpg</t>
  </si>
  <si>
    <t>https://nematode.unl.edu/filex4.jpg</t>
  </si>
  <si>
    <t>https://nematode.unl.edu/filex5.jpg</t>
  </si>
  <si>
    <t>https://nematode.unl.edu/filex6.jpg</t>
  </si>
  <si>
    <t>https://nematode.unl.edu/filex7.jpg</t>
  </si>
  <si>
    <t>https://nematode.unl.edu/filex8.jpg</t>
  </si>
  <si>
    <t>https://nematode.unl.edu/filex9.jpg</t>
  </si>
  <si>
    <t>https://nematode.unl.edu/filexcmp.jpg</t>
  </si>
  <si>
    <t>https://nematode.unl.edu/xenocrimacoll.jpg</t>
  </si>
  <si>
    <t>Xenocriconemella macrodorus</t>
  </si>
  <si>
    <t>Xenocriconemella macrodora</t>
  </si>
  <si>
    <t>Xenocriconemella</t>
  </si>
  <si>
    <t>https://nematode.unl.edu/achroma1.jpg</t>
  </si>
  <si>
    <t>Cherry County, Nebraska</t>
  </si>
  <si>
    <t>Jumbo Valley Fen</t>
  </si>
  <si>
    <t>Achromadora</t>
  </si>
  <si>
    <t>Chromadorida</t>
  </si>
  <si>
    <t>Achromadoridae</t>
  </si>
  <si>
    <t>https://nematode.unl.edu/achroma10.jpg</t>
  </si>
  <si>
    <t>https://nematode.unl.edu/achroma2.jpg</t>
  </si>
  <si>
    <t>https://nematode.unl.edu/achroma3.jpg</t>
  </si>
  <si>
    <t>https://nematode.unl.edu/achroma4.jpg</t>
  </si>
  <si>
    <t>https://nematode.unl.edu/achroma5.jpg</t>
  </si>
  <si>
    <t>https://nematode.unl.edu/achroma6.jpg</t>
  </si>
  <si>
    <t>corpus</t>
  </si>
  <si>
    <t>https://nematode.unl.edu/achroma7.jpg</t>
  </si>
  <si>
    <t>https://nematode.unl.edu/achroma8.jpg</t>
  </si>
  <si>
    <t>https://nematode.unl.edu/achroma9.jpg</t>
  </si>
  <si>
    <t>https://nematode.unl.edu/achrsp1.jpg</t>
  </si>
  <si>
    <t>https://nematode.unl.edu/achrsp2.jpg</t>
  </si>
  <si>
    <t>https://nematode.unl.edu/achrsp3.jpg</t>
  </si>
  <si>
    <t>https://nematode.unl.edu/achrsp4.jpg</t>
  </si>
  <si>
    <t>https://nematode.unl.edu/achrsp5.jpg</t>
  </si>
  <si>
    <t>https://nematode.unl.edu/achrsp6.jpg</t>
  </si>
  <si>
    <t>https://nematode.unl.edu/achrsp7.jpg</t>
  </si>
  <si>
    <t>https://nematode.unl.edu/achrsp8.jpg</t>
  </si>
  <si>
    <t>https://nematode.unl.edu/achrsp9.jpg</t>
  </si>
  <si>
    <t>https://nematode.unl.edu/achrspk1.jpg</t>
  </si>
  <si>
    <t>https://nematode.unl.edu/achrspk10.jpg</t>
  </si>
  <si>
    <t>https://nematode.unl.edu/achrspk11.jpg</t>
  </si>
  <si>
    <t>https://nematode.unl.edu/achrspk12.jpg</t>
  </si>
  <si>
    <t>https://nematode.unl.edu/achrspk14.jpg</t>
  </si>
  <si>
    <t>https://nematode.unl.edu/achrspk15.jpg</t>
  </si>
  <si>
    <t>https://nematode.unl.edu/achrspk16.jpg</t>
  </si>
  <si>
    <t>https://nematode.unl.edu/achrspk17.jpg</t>
  </si>
  <si>
    <t>https://nematode.unl.edu/achrspk18.jpg</t>
  </si>
  <si>
    <t>Bluesgrass</t>
  </si>
  <si>
    <t>https://nematode.unl.edu/achrspk19.jpg</t>
  </si>
  <si>
    <t>https://nematode.unl.edu/achrspk2.jpg</t>
  </si>
  <si>
    <t>https://nematode.unl.edu/achrspk20.jpg</t>
  </si>
  <si>
    <t>https://nematode.unl.edu/achrspk21.jpg</t>
  </si>
  <si>
    <t>https://nematode.unl.edu/achrspk3.jpg</t>
  </si>
  <si>
    <t>https://nematode.unl.edu/achrspk4.jpg</t>
  </si>
  <si>
    <t>https://nematode.unl.edu/achrspk5.jpg</t>
  </si>
  <si>
    <t>https://nematode.unl.edu/achrspk6.jpg</t>
  </si>
  <si>
    <t>https://nematode.unl.edu/achrspk7.jpg</t>
  </si>
  <si>
    <t>https://nematode.unl.edu/achrspk8.jpg</t>
  </si>
  <si>
    <t>https://nematode.unl.edu/achrspk9.jpg</t>
  </si>
  <si>
    <t>https://nematode.unl.edu/acrobe1.jpg</t>
  </si>
  <si>
    <t>https://nematode.unl.edu/acrobe2.jpg</t>
  </si>
  <si>
    <t>https://nematode.unl.edu/acrobe3.jpg</t>
  </si>
  <si>
    <t>https://nematode.unl.edu/acrobe4.jpg</t>
  </si>
  <si>
    <t>https://nematode.unl.edu/acrobe5.jpg</t>
  </si>
  <si>
    <t>https://nematode.unl.edu/Acrobeles_ciliatus_head.jpg</t>
  </si>
  <si>
    <t>https://nematode.unl.edu/accil1.jpg</t>
  </si>
  <si>
    <t>Sunegeass</t>
  </si>
  <si>
    <t>Acrobeles ciliatus</t>
  </si>
  <si>
    <t>https://nematode.unl.edu/accil10.jpg</t>
  </si>
  <si>
    <t>https://nematode.unl.edu/accil11.jpg</t>
  </si>
  <si>
    <t>https://nematode.unl.edu/accil12.jpg</t>
  </si>
  <si>
    <t>Blucgess</t>
  </si>
  <si>
    <t>https://nematode.unl.edu/accil13.jpg</t>
  </si>
  <si>
    <t>https://nematode.unl.edu/accil14.jpg</t>
  </si>
  <si>
    <t>https://nematode.unl.edu/accil15.jpg</t>
  </si>
  <si>
    <t>https://nematode.unl.edu/accil16.jpg</t>
  </si>
  <si>
    <t>https://nematode.unl.edu/accil17.jpg</t>
  </si>
  <si>
    <t>https://nematode.unl.edu/accil18.jpg</t>
  </si>
  <si>
    <t>https://nematode.unl.edu/accil19.jpg</t>
  </si>
  <si>
    <t>https://nematode.unl.edu/accil2.jpg</t>
  </si>
  <si>
    <t>https://nematode.unl.edu/accil21.jpg</t>
  </si>
  <si>
    <t>https://nematode.unl.edu/accil22.jpg</t>
  </si>
  <si>
    <t>https://nematode.unl.edu/accil23.jpg</t>
  </si>
  <si>
    <t>https://nematode.unl.edu/accil3.jpg</t>
  </si>
  <si>
    <t>https://nematode.unl.edu/accil4.jpg</t>
  </si>
  <si>
    <t>https://nematode.unl.edu/accil5.jpg</t>
  </si>
  <si>
    <t>https://nematode.unl.edu/accil6.jpg</t>
  </si>
  <si>
    <t>https://nematode.unl.edu/accil7.jpg</t>
  </si>
  <si>
    <t>https://nematode.unl.edu/accil8.jpg</t>
  </si>
  <si>
    <t>https://nematode.unl.edu/accil9.jpg</t>
  </si>
  <si>
    <t>https://nematode.unl.edu/accilidrw.jpg</t>
  </si>
  <si>
    <t>https://nematode.unl.edu/acomp1.jpg</t>
  </si>
  <si>
    <t>Acrobeles complexus</t>
  </si>
  <si>
    <t>https://nematode.unl.edu/acomp2.jpg</t>
  </si>
  <si>
    <t>https://nematode.unl.edu/acomp3.jpg</t>
  </si>
  <si>
    <t>https://nematode.unl.edu/acomp4.jpg</t>
  </si>
  <si>
    <t>https://nematode.unl.edu/acomp5.jpg</t>
  </si>
  <si>
    <t>probolae</t>
  </si>
  <si>
    <t>https://nematode.unl.edu/acomp6.jpg</t>
  </si>
  <si>
    <t>phasmid</t>
  </si>
  <si>
    <t>https://nematode.unl.edu/acomp7.jpg</t>
  </si>
  <si>
    <t>https://nematode.unl.edu/acomp8.jpg</t>
  </si>
  <si>
    <t>https://nematode.unl.edu/acromp1.jpg</t>
  </si>
  <si>
    <t>https://nematode.unl.edu/acromp2.jpg</t>
  </si>
  <si>
    <t>https://nematode.unl.edu/acromp3.jpg</t>
  </si>
  <si>
    <t>https://nematode.unl.edu/acromp4.jpg</t>
  </si>
  <si>
    <t>https://nematode.unl.edu/acromp5.jpg</t>
  </si>
  <si>
    <t>https://nematode.unl.edu/acromp6.jpg</t>
  </si>
  <si>
    <t>https://nematode.unl.edu/accte1.jpg</t>
  </si>
  <si>
    <t>Acrobeles ctenocephalus</t>
  </si>
  <si>
    <t>https://nematode.unl.edu/accte2.jpg</t>
  </si>
  <si>
    <t>https://nematode.unl.edu/accte3.jpg</t>
  </si>
  <si>
    <t>https://nematode.unl.edu/acten1.jpg</t>
  </si>
  <si>
    <t>https://nematode.unl.edu/acten10.jpg</t>
  </si>
  <si>
    <t>https://nematode.unl.edu/acten11.jpg</t>
  </si>
  <si>
    <t>https://nematode.unl.edu/acten12.jpg</t>
  </si>
  <si>
    <t>https://nematode.unl.edu/acten13.jpg</t>
  </si>
  <si>
    <t>https://nematode.unl.edu/acten14.jpg</t>
  </si>
  <si>
    <t>https://nematode.unl.edu/acten15.jpg</t>
  </si>
  <si>
    <t>https://nematode.unl.edu/acten16.jpg</t>
  </si>
  <si>
    <t>https://nematode.unl.edu/acten17.jpg</t>
  </si>
  <si>
    <t>https://nematode.unl.edu/acten18.jpg</t>
  </si>
  <si>
    <t>https://nematode.unl.edu/acten19.jpg</t>
  </si>
  <si>
    <t>https://nematode.unl.edu/acten2.jpg</t>
  </si>
  <si>
    <t>https://nematode.unl.edu/acten3.jpg</t>
  </si>
  <si>
    <t>https://nematode.unl.edu/acten4.jpg</t>
  </si>
  <si>
    <t>https://nematode.unl.edu/acten5.jpg</t>
  </si>
  <si>
    <t>https://nematode.unl.edu/acten6.jpg</t>
  </si>
  <si>
    <t>https://nematode.unl.edu/acten7.jpg</t>
  </si>
  <si>
    <t>https://nematode.unl.edu/acten8.jpg</t>
  </si>
  <si>
    <t>https://nematode.unl.edu/acten9.jpg</t>
  </si>
  <si>
    <t>https://nematode.unl.edu/acrap1.jpg</t>
  </si>
  <si>
    <t>Acrobeloides apiculatus</t>
  </si>
  <si>
    <t>https://nematode.unl.edu/acrap2.jpg</t>
  </si>
  <si>
    <t>https://nematode.unl.edu/acrap4.jpg</t>
  </si>
  <si>
    <t>https://nematode.unl.edu/acrap5.jpg</t>
  </si>
  <si>
    <t>https://nematode.unl.edu/acroen1.jpg</t>
  </si>
  <si>
    <t>Acrobeloides enoplus</t>
  </si>
  <si>
    <t>https://nematode.unl.edu/acroen2.jpg</t>
  </si>
  <si>
    <t>https://nematode.unl.edu/acroen3.jpg</t>
  </si>
  <si>
    <t>https://nematode.unl.edu/acroen4.jpg</t>
  </si>
  <si>
    <t>https://nematode.unl.edu/acroen5.jpg</t>
  </si>
  <si>
    <t>https://nematode.unl.edu/acroen6.jpg</t>
  </si>
  <si>
    <t>https://nematode.unl.edu/acroen7.jpg</t>
  </si>
  <si>
    <t>https://nematode.unl.edu/acbuts1.jpg</t>
  </si>
  <si>
    <t>Acrobeloides maximus</t>
  </si>
  <si>
    <t>https://nematode.unl.edu/acbuts2.jpg</t>
  </si>
  <si>
    <t>https://nematode.unl.edu/acbuts3.jpg</t>
  </si>
  <si>
    <t>https://nematode.unl.edu/acbuts4.jpg</t>
  </si>
  <si>
    <t>https://nematode.unl.edu/acmax1.jpg</t>
  </si>
  <si>
    <t>https://nematode.unl.edu/acmax2.jpg</t>
  </si>
  <si>
    <t>https://nematode.unl.edu/acrol1.jpg</t>
  </si>
  <si>
    <t>Acrolobus</t>
  </si>
  <si>
    <t>https://nematode.unl.edu/acrol2.jpg</t>
  </si>
  <si>
    <t>https://nematode.unl.edu/acrol3.jpg</t>
  </si>
  <si>
    <t>https://nematode.unl.edu/acrolo1.jpg</t>
  </si>
  <si>
    <t>https://nematode.unl.edu/acrolo2.jpg</t>
  </si>
  <si>
    <t>https://nematode.unl.edu/acrolo3.jpg</t>
  </si>
  <si>
    <t>https://nematode.unl.edu/acrolo4.jpg</t>
  </si>
  <si>
    <t>https://nematode.unl.edu/acrost1.jpg</t>
  </si>
  <si>
    <t>Acrostichus</t>
  </si>
  <si>
    <t>Diplogastridae</t>
  </si>
  <si>
    <t>https://nematode.unl.edu/acrost2.jpg</t>
  </si>
  <si>
    <t>https://nematode.unl.edu/acrost3.jpg</t>
  </si>
  <si>
    <t>https://nematode.unl.edu/acrost4.jpg</t>
  </si>
  <si>
    <t>https://nematode.unl.edu/acrost5.jpg</t>
  </si>
  <si>
    <t>https://nematode.unl.edu/actinc1.jpg</t>
  </si>
  <si>
    <t>Actinca</t>
  </si>
  <si>
    <t>https://nematode.unl.edu/actinc10.jpg</t>
  </si>
  <si>
    <t>longitudinal lines</t>
  </si>
  <si>
    <t>https://nematode.unl.edu/actinc11.jpg</t>
  </si>
  <si>
    <t>https://nematode.unl.edu/actinc12.jpg</t>
  </si>
  <si>
    <t>https://nematode.unl.edu/actinc13.jpg</t>
  </si>
  <si>
    <t>https://nematode.unl.edu/actinc14.jpg</t>
  </si>
  <si>
    <t>dorsal gland oriface</t>
  </si>
  <si>
    <t>https://nematode.unl.edu/actinc15.jpg</t>
  </si>
  <si>
    <t>basal pharynx</t>
  </si>
  <si>
    <t>https://nematode.unl.edu/actinc16.jpg</t>
  </si>
  <si>
    <t>https://nematode.unl.edu/actinc17.jpg</t>
  </si>
  <si>
    <t>https://nematode.unl.edu/actinc2.jpg</t>
  </si>
  <si>
    <t>https://nematode.unl.edu/actinc22.jpg</t>
  </si>
  <si>
    <t>https://nematode.unl.edu/actinc23.jpg</t>
  </si>
  <si>
    <t>https://nematode.unl.edu/actinc24.jpg</t>
  </si>
  <si>
    <t>testis</t>
  </si>
  <si>
    <t>https://nematode.unl.edu/actinc25.jpg</t>
  </si>
  <si>
    <t>https://nematode.unl.edu/actinc26.jpg</t>
  </si>
  <si>
    <t>https://nematode.unl.edu/actinc27.jpg</t>
  </si>
  <si>
    <t>https://nematode.unl.edu/actinc28.jpg</t>
  </si>
  <si>
    <t>https://nematode.unl.edu/actinc29.jpg</t>
  </si>
  <si>
    <t>https://nematode.unl.edu/actinc3.jpg</t>
  </si>
  <si>
    <t>https://nematode.unl.edu/actinc30.jpg</t>
  </si>
  <si>
    <t>sperm</t>
  </si>
  <si>
    <t>https://nematode.unl.edu/actinc31.jpg</t>
  </si>
  <si>
    <t>https://nematode.unl.edu/actinc32.jpg</t>
  </si>
  <si>
    <t>fascicles</t>
  </si>
  <si>
    <t>https://nematode.unl.edu/actinc33.jpg</t>
  </si>
  <si>
    <t>https://nematode.unl.edu/actinc34.jpg</t>
  </si>
  <si>
    <t>https://nematode.unl.edu/actinc35.jpg</t>
  </si>
  <si>
    <t>https://nematode.unl.edu/actinc36.jpg</t>
  </si>
  <si>
    <t>https://nematode.unl.edu/actinc37.jpg</t>
  </si>
  <si>
    <t>https://nematode.unl.edu/actinc38.jpg</t>
  </si>
  <si>
    <t>https://nematode.unl.edu/actinc39.jpg</t>
  </si>
  <si>
    <t>https://nematode.unl.edu/actinc4.jpg</t>
  </si>
  <si>
    <t>https://nematode.unl.edu/actinc40.jpg</t>
  </si>
  <si>
    <t>DN/DO</t>
  </si>
  <si>
    <t>https://nematode.unl.edu/actinc41.jpg</t>
  </si>
  <si>
    <t>S1O/S2O</t>
  </si>
  <si>
    <t>https://nematode.unl.edu/actinc42.jpg</t>
  </si>
  <si>
    <t>https://nematode.unl.edu/actinc43.jpg</t>
  </si>
  <si>
    <t>https://nematode.unl.edu/actinc44.jpg</t>
  </si>
  <si>
    <t>https://nematode.unl.edu/actinc45.jpg</t>
  </si>
  <si>
    <t>https://nematode.unl.edu/actinc46.jpg</t>
  </si>
  <si>
    <t>pharynx</t>
  </si>
  <si>
    <t>https://nematode.unl.edu/actinc47.jpg</t>
  </si>
  <si>
    <t>https://nematode.unl.edu/actinc48.jpg</t>
  </si>
  <si>
    <t>https://nematode.unl.edu/actinc49.jpg</t>
  </si>
  <si>
    <t>https://nematode.unl.edu/actinc5.jpg</t>
  </si>
  <si>
    <t>https://nematode.unl.edu/actinc50.jpg</t>
  </si>
  <si>
    <t>https://nematode.unl.edu/actinc51.jpg</t>
  </si>
  <si>
    <t>https://nematode.unl.edu/actinc52.jpg</t>
  </si>
  <si>
    <t>pharyngeal bulb</t>
  </si>
  <si>
    <t>https://nematode.unl.edu/actinc53.jpg</t>
  </si>
  <si>
    <t>https://nematode.unl.edu/actinc54.jpg</t>
  </si>
  <si>
    <t>https://nematode.unl.edu/actinc6.jpg</t>
  </si>
  <si>
    <t>https://nematode.unl.edu/actinc7.jpg</t>
  </si>
  <si>
    <t>https://nematode.unl.edu/actinc8.jpg</t>
  </si>
  <si>
    <t>https://nematode.unl.edu/actinc9.jpg</t>
  </si>
  <si>
    <t>https://nematode.unl.edu/aagri1.jpg</t>
  </si>
  <si>
    <t>https://nematode.unl.edu/aagri2.jpg</t>
  </si>
  <si>
    <t>https://nematode.unl.edu/aagri3.jpg</t>
  </si>
  <si>
    <t>https://nematode.unl.edu/aagri4.jpg</t>
  </si>
  <si>
    <t>https://nematode.unl.edu/aagri5.jpg</t>
  </si>
  <si>
    <t>https://nematode.unl.edu/agla10.jpg</t>
  </si>
  <si>
    <t>https://nematode.unl.edu/agla11.jpg</t>
  </si>
  <si>
    <t>https://nematode.unl.edu/agla12.jpg</t>
  </si>
  <si>
    <t>https://nematode.unl.edu/agla2.jpg</t>
  </si>
  <si>
    <t>https://nematode.unl.edu/agla3.jpg</t>
  </si>
  <si>
    <t>https://nematode.unl.edu/agla4.jpg</t>
  </si>
  <si>
    <t>https://nematode.unl.edu/agla5.jpg</t>
  </si>
  <si>
    <t>https://nematode.unl.edu/agla6.jpg</t>
  </si>
  <si>
    <t>https://nematode.unl.edu/agla7.jpg</t>
  </si>
  <si>
    <t>https://nematode.unl.edu/agla8.jpg</t>
  </si>
  <si>
    <t>https://nematode.unl.edu/agla9.jpg</t>
  </si>
  <si>
    <t>https://nematode.unl.edu/agdak1.jpg</t>
  </si>
  <si>
    <t>Aglenchus dakotensis</t>
  </si>
  <si>
    <t>https://nematode.unl.edu/agdak2.jpg</t>
  </si>
  <si>
    <t>https://nematode.unl.edu/amuk1.jpg</t>
  </si>
  <si>
    <t>Aglenchus muktii</t>
  </si>
  <si>
    <t>https://nematode.unl.edu/amuk10.jpg</t>
  </si>
  <si>
    <t>https://nematode.unl.edu/amuk11.jpg</t>
  </si>
  <si>
    <t>https://nematode.unl.edu/amuk2.jpg</t>
  </si>
  <si>
    <t>https://nematode.unl.edu/amuk3.jpg</t>
  </si>
  <si>
    <t>https://nematode.unl.edu/amuk4.jpg</t>
  </si>
  <si>
    <t>https://nematode.unl.edu/amuk5.jpg</t>
  </si>
  <si>
    <t>https://nematode.unl.edu/amuk6.jpg</t>
  </si>
  <si>
    <t>https://nematode.unl.edu/amuk7.jpg</t>
  </si>
  <si>
    <t>https://nematode.unl.edu/amuk8.jpg</t>
  </si>
  <si>
    <t>https://nematode.unl.edu/amuk9.jpg</t>
  </si>
  <si>
    <t>https://nematode.unl.edu/akrov1.jpg</t>
  </si>
  <si>
    <t>Akrotonus vigor</t>
  </si>
  <si>
    <t>Akrotonus</t>
  </si>
  <si>
    <t>https://nematode.unl.edu/akrov10.jpg</t>
  </si>
  <si>
    <t>guiding ring</t>
  </si>
  <si>
    <t>https://nematode.unl.edu/akrov11.jpg</t>
  </si>
  <si>
    <t>https://nematode.unl.edu/akrov12.jpg</t>
  </si>
  <si>
    <t>https://nematode.unl.edu/akrov13.jpg</t>
  </si>
  <si>
    <t>https://nematode.unl.edu/akrov14.jpg</t>
  </si>
  <si>
    <t>https://nematode.unl.edu/akrov15.jpg</t>
  </si>
  <si>
    <t>https://nematode.unl.edu/akrov16.jpg</t>
  </si>
  <si>
    <t>https://nematode.unl.edu/akrov17.jpg</t>
  </si>
  <si>
    <t>https://nematode.unl.edu/akrov18.jpg</t>
  </si>
  <si>
    <t>https://nematode.unl.edu/akrov19.jpg</t>
  </si>
  <si>
    <t>https://nematode.unl.edu/akrov2.jpg</t>
  </si>
  <si>
    <t>https://nematode.unl.edu/akrov20.jpg</t>
  </si>
  <si>
    <t>https://nematode.unl.edu/akrov21.jpg</t>
  </si>
  <si>
    <t>https://nematode.unl.edu/akrov22.jpg</t>
  </si>
  <si>
    <t>https://nematode.unl.edu/akrov3.jpg</t>
  </si>
  <si>
    <t>https://nematode.unl.edu/akrov4.jpg</t>
  </si>
  <si>
    <t>https://nematode.unl.edu/akrov5.jpg</t>
  </si>
  <si>
    <t>https://nematode.unl.edu/akrov6.jpg</t>
  </si>
  <si>
    <t>https://nematode.unl.edu/akrov7.jpg</t>
  </si>
  <si>
    <t>https://nematode.unl.edu/akrov8.jpg</t>
  </si>
  <si>
    <t>https://nematode.unl.edu/akrov9.jpg</t>
  </si>
  <si>
    <t>https://nematode.unl.edu/akrovcmp.jpg</t>
  </si>
  <si>
    <t>https://nematode.unl.edu/alaisp1.jpg</t>
  </si>
  <si>
    <t>https://nematode.unl.edu/alaisp2.jpg</t>
  </si>
  <si>
    <t>https://nematode.unl.edu/alaisp3.jpg</t>
  </si>
  <si>
    <t>https://nematode.unl.edu/alaisp4.jpg</t>
  </si>
  <si>
    <t>https://nematode.unl.edu/alaisp5.jpg</t>
  </si>
  <si>
    <t>https://nematode.unl.edu/alaisp6.jpg</t>
  </si>
  <si>
    <t>https://nematode.unl.edu/alacut1.jpg</t>
  </si>
  <si>
    <t>Alaimus acutus</t>
  </si>
  <si>
    <t>https://nematode.unl.edu/alacut2.jpg</t>
  </si>
  <si>
    <t>https://nematode.unl.edu/alacut3.jpg</t>
  </si>
  <si>
    <t>https://nematode.unl.edu/alacut4.jpg</t>
  </si>
  <si>
    <t>https://nematode.unl.edu/alacut5.jpg</t>
  </si>
  <si>
    <t>https://nematode.unl.edu/alar1.jpg</t>
  </si>
  <si>
    <t>Alaimus arcuatus</t>
  </si>
  <si>
    <t>https://nematode.unl.edu/alar2.jpg</t>
  </si>
  <si>
    <t>https://nematode.unl.edu/alar3.jpg</t>
  </si>
  <si>
    <t>https://nematode.unl.edu/alimarc1.jpg</t>
  </si>
  <si>
    <t>https://nematode.unl.edu/alimarc2.jpg</t>
  </si>
  <si>
    <t>https://nematode.unl.edu/alimarc3.jpg</t>
  </si>
  <si>
    <t>https://nematode.unl.edu/alimarc4.jpg</t>
  </si>
  <si>
    <t>https://nematode.unl.edu/alaimino1.jpg</t>
  </si>
  <si>
    <t>Alaimus minor</t>
  </si>
  <si>
    <t>https://nematode.unl.edu/alaimino2.jpg</t>
  </si>
  <si>
    <t>https://nematode.unl.edu/alaimino3.jpg</t>
  </si>
  <si>
    <t>https://nematode.unl.edu/alaimino4.jpg</t>
  </si>
  <si>
    <t>https://nematode.unl.edu/alaimu1.jpg</t>
  </si>
  <si>
    <t>Alaimus mucronatus</t>
  </si>
  <si>
    <t>https://nematode.unl.edu/alaimu2.jpg</t>
  </si>
  <si>
    <t>https://nematode.unl.edu/alaimu3.jpg</t>
  </si>
  <si>
    <t>https://nematode.unl.edu/alaimu4.jpg</t>
  </si>
  <si>
    <t>https://nematode.unl.edu/alaimu5.jpg</t>
  </si>
  <si>
    <t>https://nematode.unl.edu/alaimu6.jpg</t>
  </si>
  <si>
    <t>https://nematode.unl.edu/alaimu7.jpg</t>
  </si>
  <si>
    <t>https://nematode.unl.edu/alam1.jpg</t>
  </si>
  <si>
    <t>https://nematode.unl.edu/alam2.jpg</t>
  </si>
  <si>
    <t>https://nematode.unl.edu/alam3.jpg</t>
  </si>
  <si>
    <t>https://nematode.unl.edu/alam4.jpg</t>
  </si>
  <si>
    <t>https://nematode.unl.edu/alamp1.jpg</t>
  </si>
  <si>
    <t>Alaimus parvus</t>
  </si>
  <si>
    <t>https://nematode.unl.edu/alamp10.jpg</t>
  </si>
  <si>
    <t>https://nematode.unl.edu/alamp11.jpg</t>
  </si>
  <si>
    <t>https://nematode.unl.edu/alamp12.jpg</t>
  </si>
  <si>
    <t>https://nematode.unl.edu/alamp13.jpg</t>
  </si>
  <si>
    <t>https://nematode.unl.edu/alamp14.jpg</t>
  </si>
  <si>
    <t>https://nematode.unl.edu/alamp15.jpg</t>
  </si>
  <si>
    <t>https://nematode.unl.edu/alamp16.jpg</t>
  </si>
  <si>
    <t>https://nematode.unl.edu/alamp17.jpg</t>
  </si>
  <si>
    <t>https://nematode.unl.edu/alamp2.jpg</t>
  </si>
  <si>
    <t>https://nematode.unl.edu/alamp3.jpg</t>
  </si>
  <si>
    <t>https://nematode.unl.edu/alamp4.jpg</t>
  </si>
  <si>
    <t>https://nematode.unl.edu/alamp5.jpg</t>
  </si>
  <si>
    <t>https://nematode.unl.edu/alamp6.jpg</t>
  </si>
  <si>
    <t>https://nematode.unl.edu/alamp7.jpg</t>
  </si>
  <si>
    <t>https://nematode.unl.edu/alamp8.jpg</t>
  </si>
  <si>
    <t>https://nematode.unl.edu/alamp9.jpg</t>
  </si>
  <si>
    <t>https://nematode.unl.edu/alprimit1.jpg</t>
  </si>
  <si>
    <t>Alaimus primitivus</t>
  </si>
  <si>
    <t>https://nematode.unl.edu/alprimit2.jpg</t>
  </si>
  <si>
    <t>https://nematode.unl.edu/alprimit3.jpg</t>
  </si>
  <si>
    <t>https://nematode.unl.edu/alprimit4.jpg</t>
  </si>
  <si>
    <t>https://nematode.unl.edu/alprimit5.jpg</t>
  </si>
  <si>
    <t>https://nematode.unl.edu/aprim1.jpg</t>
  </si>
  <si>
    <t>https://nematode.unl.edu/aprim10.jpg</t>
  </si>
  <si>
    <t>https://nematode.unl.edu/aprim12.jpg</t>
  </si>
  <si>
    <t>https://nematode.unl.edu/aprim13.jpg</t>
  </si>
  <si>
    <t>https://nematode.unl.edu/aprim14.jpg</t>
  </si>
  <si>
    <t>https://nematode.unl.edu/aprim15.jpg</t>
  </si>
  <si>
    <t>https://nematode.unl.edu/aprim16.jpg</t>
  </si>
  <si>
    <t>https://nematode.unl.edu/aprim17.jpg</t>
  </si>
  <si>
    <t>https://nematode.unl.edu/aprim18.jpg</t>
  </si>
  <si>
    <t>https://nematode.unl.edu/aprim19.jpg</t>
  </si>
  <si>
    <t>https://nematode.unl.edu/aprim2.jpg</t>
  </si>
  <si>
    <t>https://nematode.unl.edu/aprim3.jpg</t>
  </si>
  <si>
    <t>https://nematode.unl.edu/aprim4.jpg</t>
  </si>
  <si>
    <t>https://nematode.unl.edu/aprim5.jpg</t>
  </si>
  <si>
    <t>https://nematode.unl.edu/aprim6.jpg</t>
  </si>
  <si>
    <t>https://nematode.unl.edu/aprim7.jpg</t>
  </si>
  <si>
    <t>https://nematode.unl.edu/aprim8.jpg</t>
  </si>
  <si>
    <t>https://nematode.unl.edu/aprim9.jpg</t>
  </si>
  <si>
    <t>https://nematode.unl.edu/alloall1.jpg</t>
  </si>
  <si>
    <t>Allodorylaimus allgeni</t>
  </si>
  <si>
    <t>https://nematode.unl.edu/alloall10.jpg</t>
  </si>
  <si>
    <t>https://nematode.unl.edu/alloall11.jpg</t>
  </si>
  <si>
    <t>https://nematode.unl.edu/alloall2.jpg</t>
  </si>
  <si>
    <t>https://nematode.unl.edu/alloall3.jpg</t>
  </si>
  <si>
    <t>https://nematode.unl.edu/alloall4.jpg</t>
  </si>
  <si>
    <t>https://nematode.unl.edu/alloall5.jpg</t>
  </si>
  <si>
    <t>https://nematode.unl.edu/alloall6.jpg</t>
  </si>
  <si>
    <t>https://nematode.unl.edu/alloall7.jpg</t>
  </si>
  <si>
    <t>https://nematode.unl.edu/alloall8.jpg</t>
  </si>
  <si>
    <t>https://nematode.unl.edu/alloall9.jpg</t>
  </si>
  <si>
    <t>https://nematode.unl.edu/alloallcmp.jpg</t>
  </si>
  <si>
    <t>https://nematode.unl.edu/allou1.jpg</t>
  </si>
  <si>
    <t>Allodorylaimus uniformis</t>
  </si>
  <si>
    <t>https://nematode.unl.edu/allou2.jpg</t>
  </si>
  <si>
    <t>https://nematode.unl.edu/allou3.jpg</t>
  </si>
  <si>
    <t>https://nematode.unl.edu/allou4.jpg</t>
  </si>
  <si>
    <t>https://nematode.unl.edu/alloucmp.jpg</t>
  </si>
  <si>
    <t>https://nematode.unl.edu/amphid1.jpg</t>
  </si>
  <si>
    <t>Amphidelus</t>
  </si>
  <si>
    <t>https://nematode.unl.edu/amphid10.jpg</t>
  </si>
  <si>
    <t>https://nematode.unl.edu/amphid11.jpg</t>
  </si>
  <si>
    <t>https://nematode.unl.edu/amphid12.jpg</t>
  </si>
  <si>
    <t>https://nematode.unl.edu/amphid13.jpg</t>
  </si>
  <si>
    <t>https://nematode.unl.edu/amphid14.jpg</t>
  </si>
  <si>
    <t>https://nematode.unl.edu/amphid15.jpg</t>
  </si>
  <si>
    <t>https://nematode.unl.edu/amphid16.jpg</t>
  </si>
  <si>
    <t>https://nematode.unl.edu/amphid17.jpg</t>
  </si>
  <si>
    <t>https://nematode.unl.edu/amphid18.jpg</t>
  </si>
  <si>
    <t>https://nematode.unl.edu/amphid19.jpg</t>
  </si>
  <si>
    <t>https://nematode.unl.edu/amphid2.jpg</t>
  </si>
  <si>
    <t>https://nematode.unl.edu/amphid20.jpg</t>
  </si>
  <si>
    <t>https://nematode.unl.edu/amphid21.jpg</t>
  </si>
  <si>
    <t>https://nematode.unl.edu/amphid3.jpg</t>
  </si>
  <si>
    <t>https://nematode.unl.edu/amphid4.jpg</t>
  </si>
  <si>
    <t>https://nematode.unl.edu/amphid5.jpg</t>
  </si>
  <si>
    <t>https://nematode.unl.edu/amphid6.jpg</t>
  </si>
  <si>
    <t>https://nematode.unl.edu/amphid7.jpg</t>
  </si>
  <si>
    <t>https://nematode.unl.edu/amphid8.jpg</t>
  </si>
  <si>
    <t>https://nematode.unl.edu/amphid9.jpg</t>
  </si>
  <si>
    <t>https://nematode.unl.edu/amphis1.jpg</t>
  </si>
  <si>
    <t>Amphidelus studeri</t>
  </si>
  <si>
    <t>https://nematode.unl.edu/amphis10.jpg</t>
  </si>
  <si>
    <t>https://nematode.unl.edu/amphis11.jpg</t>
  </si>
  <si>
    <t>https://nematode.unl.edu/amphis12.jpg</t>
  </si>
  <si>
    <t>https://nematode.unl.edu/amphis13.jpg</t>
  </si>
  <si>
    <t>https://nematode.unl.edu/amphis2.jpg</t>
  </si>
  <si>
    <t>https://nematode.unl.edu/amphis3.jpg</t>
  </si>
  <si>
    <t>https://nematode.unl.edu/amphis4.jpg</t>
  </si>
  <si>
    <t>https://nematode.unl.edu/amphis5.jpg</t>
  </si>
  <si>
    <t>https://nematode.unl.edu/amphis6.jpg</t>
  </si>
  <si>
    <t>intestinal junction</t>
  </si>
  <si>
    <t>https://nematode.unl.edu/amphis7.jpg</t>
  </si>
  <si>
    <t>https://nematode.unl.edu/amphis8.jpg</t>
  </si>
  <si>
    <t>https://nematode.unl.edu/amphis9.jpg</t>
  </si>
  <si>
    <t>https://nematode.unl.edu/anagsma1.jpg</t>
  </si>
  <si>
    <t>Great Smoky Mountains National Park, Tennessee</t>
  </si>
  <si>
    <t>Anaplectus</t>
  </si>
  <si>
    <t>https://nematode.unl.edu/anagsma2.jpg</t>
  </si>
  <si>
    <t>https://nematode.unl.edu/anagsma3.jpg</t>
  </si>
  <si>
    <t>https://nematode.unl.edu/anagsma4.jpg</t>
  </si>
  <si>
    <t>https://nematode.unl.edu/anagsma5.jpg</t>
  </si>
  <si>
    <t>https://nematode.unl.edu/anagsma6.jpg</t>
  </si>
  <si>
    <t>lateral pores</t>
  </si>
  <si>
    <t>https://nematode.unl.edu/anapha1.jpg</t>
  </si>
  <si>
    <t>https://nematode.unl.edu/anapha10.jpg</t>
  </si>
  <si>
    <t>https://nematode.unl.edu/anapha11.jpg</t>
  </si>
  <si>
    <t>https://nematode.unl.edu/anapha12.jpg</t>
  </si>
  <si>
    <t>https://nematode.unl.edu/anapha13.jpg</t>
  </si>
  <si>
    <t>https://nematode.unl.edu/anapha14.jpg</t>
  </si>
  <si>
    <t>https://nematode.unl.edu/anapha2.jpg</t>
  </si>
  <si>
    <t>https://nematode.unl.edu/anapha3.jpg</t>
  </si>
  <si>
    <t>https://nematode.unl.edu/anapha4.jpg</t>
  </si>
  <si>
    <t>https://nematode.unl.edu/anapha5.jpg</t>
  </si>
  <si>
    <t>https://nematode.unl.edu/anapha6.jpg</t>
  </si>
  <si>
    <t>https://nematode.unl.edu/anapha7.jpg</t>
  </si>
  <si>
    <t>https://nematode.unl.edu/anapha8.jpg</t>
  </si>
  <si>
    <t>https://nematode.unl.edu/anapha9.jpg</t>
  </si>
  <si>
    <t>https://nematode.unl.edu/anapl22.jpg</t>
  </si>
  <si>
    <t>https://nematode.unl.edu/anapl23.jpg</t>
  </si>
  <si>
    <t>https://nematode.unl.edu/anapl24.jpg</t>
  </si>
  <si>
    <t>https://nematode.unl.edu/anapl25.jpg</t>
  </si>
  <si>
    <t>https://nematode.unl.edu/anaplec1.jpg</t>
  </si>
  <si>
    <t>https://nematode.unl.edu/anaplec10.jpg</t>
  </si>
  <si>
    <t>https://nematode.unl.edu/anaplec11.jpg</t>
  </si>
  <si>
    <t>https://nematode.unl.edu/anaplec12.jpg</t>
  </si>
  <si>
    <t>https://nematode.unl.edu/anaplec13.jpg</t>
  </si>
  <si>
    <t>https://nematode.unl.edu/anaplec14.jpg</t>
  </si>
  <si>
    <t>testes</t>
  </si>
  <si>
    <t>https://nematode.unl.edu/anaplec15.jpg</t>
  </si>
  <si>
    <t>https://nematode.unl.edu/anaplec16.jpg</t>
  </si>
  <si>
    <t>https://nematode.unl.edu/anaplec17.jpg</t>
  </si>
  <si>
    <t>https://nematode.unl.edu/anaplec18.jpg</t>
  </si>
  <si>
    <t>https://nematode.unl.edu/anaplec19.jpg</t>
  </si>
  <si>
    <t>https://nematode.unl.edu/anaplec2.jpg</t>
  </si>
  <si>
    <t>https://nematode.unl.edu/anaplec3.jpg</t>
  </si>
  <si>
    <t>https://nematode.unl.edu/anaplec4.jpg</t>
  </si>
  <si>
    <t>https://nematode.unl.edu/anaplec5.jpg</t>
  </si>
  <si>
    <t>https://nematode.unl.edu/anaplec6.jpg</t>
  </si>
  <si>
    <t>https://nematode.unl.edu/anaplec7.jpg</t>
  </si>
  <si>
    <t>https://nematode.unl.edu/anaplec8.jpg</t>
  </si>
  <si>
    <t>https://nematode.unl.edu/anaplec9.jpg</t>
  </si>
  <si>
    <t>https://nematode.unl.edu/anaptus1.jpg</t>
  </si>
  <si>
    <t>https://nematode.unl.edu/anaptus2.jpg</t>
  </si>
  <si>
    <t>https://nematode.unl.edu/anaptus3.jpg</t>
  </si>
  <si>
    <t>https://nematode.unl.edu/anaptus4.jpg</t>
  </si>
  <si>
    <t>https://nematode.unl.edu/anaptus5.jpg</t>
  </si>
  <si>
    <t>https://nematode.unl.edu/anaptus6.jpg</t>
  </si>
  <si>
    <t>https://nematode.unl.edu/anaptus7.jpg</t>
  </si>
  <si>
    <t>https://nematode.unl.edu/anaptus8.jpg</t>
  </si>
  <si>
    <t>https://nematode.unl.edu/aagro1.jpg</t>
  </si>
  <si>
    <t>Laboratory specimen</t>
  </si>
  <si>
    <t>Anguina agrostis</t>
  </si>
  <si>
    <t>Anguina</t>
  </si>
  <si>
    <t>https://nematode.unl.edu/aagro10.jpg</t>
  </si>
  <si>
    <t>https://nematode.unl.edu/aagro11.jpg</t>
  </si>
  <si>
    <t>https://nematode.unl.edu/aagro12.jpg</t>
  </si>
  <si>
    <t>https://nematode.unl.edu/aagro13.jpg</t>
  </si>
  <si>
    <t>https://nematode.unl.edu/aagro14.jpg</t>
  </si>
  <si>
    <t>https://nematode.unl.edu/aagro15.jpg</t>
  </si>
  <si>
    <t>https://nematode.unl.edu/aagro16.jpg</t>
  </si>
  <si>
    <t>https://nematode.unl.edu/aagro17.jpg</t>
  </si>
  <si>
    <t>https://nematode.unl.edu/aagro18.jpg</t>
  </si>
  <si>
    <t>https://nematode.unl.edu/aagro19.jpg</t>
  </si>
  <si>
    <t>https://nematode.unl.edu/aagro2.jpg</t>
  </si>
  <si>
    <t>https://nematode.unl.edu/aagro20.jpg</t>
  </si>
  <si>
    <t>https://nematode.unl.edu/aagro3.jpg</t>
  </si>
  <si>
    <t>https://nematode.unl.edu/aagro4.jpg</t>
  </si>
  <si>
    <t>https://nematode.unl.edu/aagro5.jpg</t>
  </si>
  <si>
    <t>https://nematode.unl.edu/aagro6.jpg</t>
  </si>
  <si>
    <t>https://nematode.unl.edu/aagro7.jpg</t>
  </si>
  <si>
    <t>https://nematode.unl.edu/aagro8.jpg</t>
  </si>
  <si>
    <t>https://nematode.unl.edu/aagro9.jpg</t>
  </si>
  <si>
    <t>https://nematode.unl.edu/anguipa1.jpg</t>
  </si>
  <si>
    <t>Half Moon Bay, California</t>
  </si>
  <si>
    <t>Anguina pacificae</t>
  </si>
  <si>
    <t>https://nematode.unl.edu/anguipa2.jpg</t>
  </si>
  <si>
    <t>https://nematode.unl.edu/anguipa3.jpg</t>
  </si>
  <si>
    <t>https://nematode.unl.edu/anguipa4.jpg</t>
  </si>
  <si>
    <t>https://nematode.unl.edu/anguipa5.jpg</t>
  </si>
  <si>
    <t>https://nematode.unl.edu/anguipa6.jpg</t>
  </si>
  <si>
    <t>https://nematode.unl.edu/antriti1.jpg</t>
  </si>
  <si>
    <t>USDA</t>
  </si>
  <si>
    <t>Anguina tritici</t>
  </si>
  <si>
    <t>https://nematode.unl.edu/antriti10.jpg</t>
  </si>
  <si>
    <t>https://nematode.unl.edu/antriti11.jpg</t>
  </si>
  <si>
    <t>https://nematode.unl.edu/antriti12.jpg</t>
  </si>
  <si>
    <t>https://nematode.unl.edu/antriti13.jpg</t>
  </si>
  <si>
    <t>https://nematode.unl.edu/antriti14.jpg</t>
  </si>
  <si>
    <t>https://nematode.unl.edu/antriti15.jpg</t>
  </si>
  <si>
    <t>https://nematode.unl.edu/antriti2.jpg</t>
  </si>
  <si>
    <t>https://nematode.unl.edu/antriti3.jpg</t>
  </si>
  <si>
    <t>https://nematode.unl.edu/antriti4.jpg</t>
  </si>
  <si>
    <t>https://nematode.unl.edu/antriti5.jpg</t>
  </si>
  <si>
    <t>https://nematode.unl.edu/antriti6.jpg</t>
  </si>
  <si>
    <t>https://nematode.unl.edu/antriti7.jpg</t>
  </si>
  <si>
    <t>https://nematode.unl.edu/antriti8.jpg</t>
  </si>
  <si>
    <t>https://nematode.unl.edu/antriti9.jpg</t>
  </si>
  <si>
    <t>https://nematode.unl.edu/aerol1.jpg</t>
  </si>
  <si>
    <t>Aorolaimus</t>
  </si>
  <si>
    <t>Hoplolaimidae</t>
  </si>
  <si>
    <t>https://nematode.unl.edu/aerol2.jpg</t>
  </si>
  <si>
    <t>https://nematode.unl.edu/aerol3.jpg</t>
  </si>
  <si>
    <t>https://nematode.unl.edu/aorola1.jpg</t>
  </si>
  <si>
    <t>https://nematode.unl.edu/aorola2.jpg</t>
  </si>
  <si>
    <t>https://nematode.unl.edu/atorp1.jpg</t>
  </si>
  <si>
    <t>Aorolaimus torpidus</t>
  </si>
  <si>
    <t>https://nematode.unl.edu/atorp2.jpg</t>
  </si>
  <si>
    <t>https://nematode.unl.edu/atorp3.jpg</t>
  </si>
  <si>
    <t>https://nematode.unl.edu/atorp4.jpg</t>
  </si>
  <si>
    <t>https://nematode.unl.edu/atorp5.jpg</t>
  </si>
  <si>
    <t>https://nematode.unl.edu/atorp6.jpg</t>
  </si>
  <si>
    <t>https://nematode.unl.edu/aphas1.jpg</t>
  </si>
  <si>
    <t>Aphanolaimus</t>
  </si>
  <si>
    <t>Aphanolaimidae</t>
  </si>
  <si>
    <t>https://nematode.unl.edu/aphelha1.jpg</t>
  </si>
  <si>
    <t>https://nematode.unl.edu/aphelha2.jpg</t>
  </si>
  <si>
    <t>https://nematode.unl.edu/aphelha3.jpg</t>
  </si>
  <si>
    <t>https://nematode.unl.edu/aphelha4.jpg</t>
  </si>
  <si>
    <t>https://nematode.unl.edu/aphelha5.jpg</t>
  </si>
  <si>
    <t>https://nematode.unl.edu/aphelha6.jpg</t>
  </si>
  <si>
    <t>https://nematode.unl.edu/aphelha7.jpg</t>
  </si>
  <si>
    <t>https://nematode.unl.edu/aphelha8.jpg</t>
  </si>
  <si>
    <t>https://nematode.unl.edu/abess1.jpg</t>
  </si>
  <si>
    <t>Aphelenchoides besseyi</t>
  </si>
  <si>
    <t>https://nematode.unl.edu/abess2.jpg</t>
  </si>
  <si>
    <t>Little bluestem/Sporobolus</t>
  </si>
  <si>
    <t>https://nematode.unl.edu/abess3.jpg</t>
  </si>
  <si>
    <t>https://nematode.unl.edu/abess4.jpg</t>
  </si>
  <si>
    <t>https://nematode.unl.edu/abesscmp.jpg</t>
  </si>
  <si>
    <t>https://nematode.unl.edu/abesse1.jpg</t>
  </si>
  <si>
    <t>https://nematode.unl.edu/abesse10.jpg</t>
  </si>
  <si>
    <t>https://nematode.unl.edu/abesse11.jpg</t>
  </si>
  <si>
    <t>https://nematode.unl.edu/abesse12.jpg</t>
  </si>
  <si>
    <t>https://nematode.unl.edu/abesse2.jpg</t>
  </si>
  <si>
    <t>https://nematode.unl.edu/abesse3.jpg</t>
  </si>
  <si>
    <t>https://nematode.unl.edu/abesse4.jpg</t>
  </si>
  <si>
    <t>https://nematode.unl.edu/abesse5.jpg</t>
  </si>
  <si>
    <t>https://nematode.unl.edu/abesse6.jpg</t>
  </si>
  <si>
    <t>https://nematode.unl.edu/abesse7.jpg</t>
  </si>
  <si>
    <t>https://nematode.unl.edu/abesse8.jpg</t>
  </si>
  <si>
    <t>https://nematode.unl.edu/abesse9.jpg</t>
  </si>
  <si>
    <t>https://nematode.unl.edu/aphbic1.jpg</t>
  </si>
  <si>
    <t>Aphelenchoides bicaudatus</t>
  </si>
  <si>
    <t>https://nematode.unl.edu/aphbic2.jpg</t>
  </si>
  <si>
    <t>https://nematode.unl.edu/aphbic3.jpg</t>
  </si>
  <si>
    <t>https://nematode.unl.edu/aphcent1.jpg</t>
  </si>
  <si>
    <t>Aphelenchoides centralis</t>
  </si>
  <si>
    <t>https://nematode.unl.edu/aphcent2.jpg</t>
  </si>
  <si>
    <t>https://nematode.unl.edu/aphcent3.jpg</t>
  </si>
  <si>
    <t>https://nematode.unl.edu/aphcent4.jpg</t>
  </si>
  <si>
    <t>https://nematode.unl.edu/aphcent5.jpg</t>
  </si>
  <si>
    <t>https://nematode.unl.edu/aphcent6.jpg</t>
  </si>
  <si>
    <t>https://nematode.unl.edu/aphcla1.jpg</t>
  </si>
  <si>
    <t>Aphelenchoides clarus</t>
  </si>
  <si>
    <t>https://nematode.unl.edu/aphcla10.jpg</t>
  </si>
  <si>
    <t>https://nematode.unl.edu/aphcla11.jpg</t>
  </si>
  <si>
    <t>https://nematode.unl.edu/aphcla2.jpg</t>
  </si>
  <si>
    <t>https://nematode.unl.edu/aphcla3.jpg</t>
  </si>
  <si>
    <t>https://nematode.unl.edu/aphcla4.jpg</t>
  </si>
  <si>
    <t>https://nematode.unl.edu/aphcla5.jpg</t>
  </si>
  <si>
    <t>https://nematode.unl.edu/aphcla6.jpg</t>
  </si>
  <si>
    <t>https://nematode.unl.edu/aphcla7.jpg</t>
  </si>
  <si>
    <t>https://nematode.unl.edu/aphcla9.jpg</t>
  </si>
  <si>
    <t>https://nematode.unl.edu/aphclacmp.jpg</t>
  </si>
  <si>
    <t>https://nematode.unl.edu/aconfu1.jpg</t>
  </si>
  <si>
    <t>Aphelenchoides confusus</t>
  </si>
  <si>
    <t>https://nematode.unl.edu/aconfu2.jpg</t>
  </si>
  <si>
    <t>https://nematode.unl.edu/aconfu3.jpg</t>
  </si>
  <si>
    <t>https://nematode.unl.edu/aconfu4.jpg</t>
  </si>
  <si>
    <t>https://nematode.unl.edu/aphdac1.jpg</t>
  </si>
  <si>
    <t>Aphelenchoides dactylocerus</t>
  </si>
  <si>
    <t>https://nematode.unl.edu/aphdac2.jpg</t>
  </si>
  <si>
    <t>https://nematode.unl.edu/aphdac3.jpg</t>
  </si>
  <si>
    <t>https://nematode.unl.edu/aobtucmp.jpg</t>
  </si>
  <si>
    <t>Aphelenchoides obtusus</t>
  </si>
  <si>
    <t>https://nematode.unl.edu/aphpa1.jpg</t>
  </si>
  <si>
    <t>Aphelenchoides parietinus</t>
  </si>
  <si>
    <t>https://nematode.unl.edu/aphpa2.jpg</t>
  </si>
  <si>
    <t>https://nematode.unl.edu/aphpa4.jpg</t>
  </si>
  <si>
    <t>https://nematode.unl.edu/aphpa3.jpg</t>
  </si>
  <si>
    <t>Aphelenchoides penetious</t>
  </si>
  <si>
    <t>https://nematode.unl.edu/appus1.jpg</t>
  </si>
  <si>
    <t>Aphelenchoides pusillus</t>
  </si>
  <si>
    <t>https://nematode.unl.edu/appus10.jpg</t>
  </si>
  <si>
    <t>https://nematode.unl.edu/appus2.jpg</t>
  </si>
  <si>
    <t>https://nematode.unl.edu/appus3.jpg</t>
  </si>
  <si>
    <t>https://nematode.unl.edu/appus4.jpg</t>
  </si>
  <si>
    <t>https://nematode.unl.edu/appus5.jpg</t>
  </si>
  <si>
    <t>https://nematode.unl.edu/appus6.jpg</t>
  </si>
  <si>
    <t>https://nematode.unl.edu/appus7.jpg</t>
  </si>
  <si>
    <t>https://nematode.unl.edu/appus8.jpg</t>
  </si>
  <si>
    <t>https://nematode.unl.edu/appus9.jpg</t>
  </si>
  <si>
    <t>https://nematode.unl.edu/appuscmp.jpg</t>
  </si>
  <si>
    <t>https://nematode.unl.edu/aphvi1.jpg</t>
  </si>
  <si>
    <t>Aphelenchoides vigor</t>
  </si>
  <si>
    <t>https://nematode.unl.edu/aphvi2.jpg</t>
  </si>
  <si>
    <t>https://nematode.unl.edu/aphvicmp.jpg</t>
  </si>
  <si>
    <t>https://nematode.unl.edu/aphen1.jpg</t>
  </si>
  <si>
    <t>Aphelenchus</t>
  </si>
  <si>
    <t>https://nematode.unl.edu/aphen2.jpg</t>
  </si>
  <si>
    <t>https://nematode.unl.edu/aphen3.jpg</t>
  </si>
  <si>
    <t>https://nematode.unl.edu/aphen4.jpg</t>
  </si>
  <si>
    <t>https://nematode.unl.edu/aphen5.jpg</t>
  </si>
  <si>
    <t>https://nematode.unl.edu/aaven1.jpg</t>
  </si>
  <si>
    <t>Aphelenchus avenae</t>
  </si>
  <si>
    <t>https://nematode.unl.edu/aaven10.jpg</t>
  </si>
  <si>
    <t>https://nematode.unl.edu/aaven11.jpg</t>
  </si>
  <si>
    <t>https://nematode.unl.edu/aaven2.jpg</t>
  </si>
  <si>
    <t>https://nematode.unl.edu/aaven3.jpg</t>
  </si>
  <si>
    <t>https://nematode.unl.edu/aaven4.jpg</t>
  </si>
  <si>
    <t>https://nematode.unl.edu/aaven5.jpg</t>
  </si>
  <si>
    <t>https://nematode.unl.edu/aaven6.jpg</t>
  </si>
  <si>
    <t>https://nematode.unl.edu/aaven7.jpg</t>
  </si>
  <si>
    <t>https://nematode.unl.edu/aaven8.jpg</t>
  </si>
  <si>
    <t>https://nematode.unl.edu/aaven9.jpg</t>
  </si>
  <si>
    <t>Bigblucstem/ ittle bluestem</t>
  </si>
  <si>
    <t>https://nematode.unl.edu/apagw1.jpg</t>
  </si>
  <si>
    <t>The George Washington Masonic National Memorial, Virginia</t>
  </si>
  <si>
    <t>https://nematode.unl.edu/apagw2.jpg</t>
  </si>
  <si>
    <t>https://nematode.unl.edu/apagw3.jpg</t>
  </si>
  <si>
    <t>https://nematode.unl.edu/aphave1.jpg</t>
  </si>
  <si>
    <t>https://nematode.unl.edu/apole1.jpg</t>
  </si>
  <si>
    <t>hermaphrodite</t>
  </si>
  <si>
    <t>Apoleptonchus</t>
  </si>
  <si>
    <t>Leptonchidae</t>
  </si>
  <si>
    <t>https://nematode.unl.edu/apole2.jpg</t>
  </si>
  <si>
    <t>https://nematode.unl.edu/apole3.jpg</t>
  </si>
  <si>
    <t>https://nematode.unl.edu/apole4.jpg</t>
  </si>
  <si>
    <t>https://nematode.unl.edu/apole5.jpg</t>
  </si>
  <si>
    <t>https://nematode.unl.edu/apole6.jpg</t>
  </si>
  <si>
    <t>https://nematode.unl.edu/apole7.jpg</t>
  </si>
  <si>
    <t>https://nematode.unl.edu/aporcar.jpg</t>
  </si>
  <si>
    <t>https://nematode.unl.edu/aporcr1.jpg</t>
  </si>
  <si>
    <t>https://nematode.unl.edu/aporcr2.jpg</t>
  </si>
  <si>
    <t>https://nematode.unl.edu/aporcr3.jpg</t>
  </si>
  <si>
    <t>https://nematode.unl.edu/aporcr4.jpg</t>
  </si>
  <si>
    <t>https://nematode.unl.edu/aporcr5.jpg</t>
  </si>
  <si>
    <t>https://nematode.unl.edu/aporcr6.jpg</t>
  </si>
  <si>
    <t>https://nematode.unl.edu/aporcr7.jpg</t>
  </si>
  <si>
    <t>https://nematode.unl.edu/aporcr8.jpg</t>
  </si>
  <si>
    <t>https://nematode.unl.edu/aporcr9.jpg</t>
  </si>
  <si>
    <t>https://nematode.unl.edu/aporcut.jpg</t>
  </si>
  <si>
    <t>https://nematode.unl.edu/aporeso.jpg</t>
  </si>
  <si>
    <t>https://nematode.unl.edu/aporlip.jpg</t>
  </si>
  <si>
    <t>https://nematode.unl.edu/aporsp1.jpg</t>
  </si>
  <si>
    <t>https://nematode.unl.edu/aporsp2.jpg</t>
  </si>
  <si>
    <t>https://nematode.unl.edu/aporsp3.jpg</t>
  </si>
  <si>
    <t>https://nematode.unl.edu/aporsp4.jpg</t>
  </si>
  <si>
    <t>https://nematode.unl.edu/aporsp5.jpg</t>
  </si>
  <si>
    <t>https://nematode.unl.edu/aporsp6.jpg</t>
  </si>
  <si>
    <t>https://nematode.unl.edu/aporsp7.jpg</t>
  </si>
  <si>
    <t>https://nematode.unl.edu/aporsp8.jpg</t>
  </si>
  <si>
    <t>https://nematode.unl.edu/aporsp9.jpg</t>
  </si>
  <si>
    <t>https://nematode.unl.edu/aporspr.jpg</t>
  </si>
  <si>
    <t>https://nematode.unl.edu/aportl.jpg</t>
  </si>
  <si>
    <t>https://nematode.unl.edu/aporwhl.jpg</t>
  </si>
  <si>
    <t>https://nematode.unl.edu/acapcmp.jpg</t>
  </si>
  <si>
    <t>Aporcelaimellus capitatus</t>
  </si>
  <si>
    <t>https://nematode.unl.edu/apcap1.jpg</t>
  </si>
  <si>
    <t>https://nematode.unl.edu/apcap10.jpg</t>
  </si>
  <si>
    <t>https://nematode.unl.edu/apcap11.jpg</t>
  </si>
  <si>
    <t>https://nematode.unl.edu/apcap12.jpg</t>
  </si>
  <si>
    <t>https://nematode.unl.edu/apcap13.jpg</t>
  </si>
  <si>
    <t>https://nematode.unl.edu/apcap14.jpg</t>
  </si>
  <si>
    <t>https://nematode.unl.edu/apcap15.jpg</t>
  </si>
  <si>
    <t>https://nematode.unl.edu/apcap16.jpg</t>
  </si>
  <si>
    <t>https://nematode.unl.edu/apcap17.jpg</t>
  </si>
  <si>
    <t>https://nematode.unl.edu/apcap18.jpg</t>
  </si>
  <si>
    <t>https://nematode.unl.edu/apcap19.jpg</t>
  </si>
  <si>
    <t>https://nematode.unl.edu/apcap2.jpg</t>
  </si>
  <si>
    <t>https://nematode.unl.edu/apcap20.jpg</t>
  </si>
  <si>
    <t>https://nematode.unl.edu/apcap21.jpg</t>
  </si>
  <si>
    <t>https://nematode.unl.edu/apcap22.jpg</t>
  </si>
  <si>
    <t>odontostyle</t>
  </si>
  <si>
    <t>https://nematode.unl.edu/apcap23.jpg</t>
  </si>
  <si>
    <t>https://nematode.unl.edu/apcap24.jpg</t>
  </si>
  <si>
    <t>https://nematode.unl.edu/apcap25.jpg</t>
  </si>
  <si>
    <t>https://nematode.unl.edu/apcap26.jpg</t>
  </si>
  <si>
    <t>https://nematode.unl.edu/apcap27.jpg</t>
  </si>
  <si>
    <t>https://nematode.unl.edu/apcap28.jpg</t>
  </si>
  <si>
    <t>https://nematode.unl.edu/apcap29.jpg</t>
  </si>
  <si>
    <t>https://nematode.unl.edu/apcap3.jpg</t>
  </si>
  <si>
    <t>https://nematode.unl.edu/apcap30.jpg</t>
  </si>
  <si>
    <t>https://nematode.unl.edu/apcap31.jpg</t>
  </si>
  <si>
    <t>https://nematode.unl.edu/apcap32.jpg</t>
  </si>
  <si>
    <t>https://nematode.unl.edu/apcap33.jpg</t>
  </si>
  <si>
    <t>https://nematode.unl.edu/apcap34.jpg</t>
  </si>
  <si>
    <t>https://nematode.unl.edu/apcap4.jpg</t>
  </si>
  <si>
    <t>https://nematode.unl.edu/apcap5.jpg</t>
  </si>
  <si>
    <t>https://nematode.unl.edu/apcap6.jpg</t>
  </si>
  <si>
    <t>https://nematode.unl.edu/apcap7.jpg</t>
  </si>
  <si>
    <t>https://nematode.unl.edu/apcap8.jpg</t>
  </si>
  <si>
    <t>https://nematode.unl.edu/apcap9.jpg</t>
  </si>
  <si>
    <t>https://nematode.unl.edu/aporc1.jpg</t>
  </si>
  <si>
    <t>https://nematode.unl.edu/aporc2.jpg</t>
  </si>
  <si>
    <t>https://nematode.unl.edu/aporc3.jpg</t>
  </si>
  <si>
    <t>https://nematode.unl.edu/aporc4.jpg</t>
  </si>
  <si>
    <t>https://nematode.unl.edu/aporcdrw.jpg</t>
  </si>
  <si>
    <t>https://nematode.unl.edu/apcla1.jpg</t>
  </si>
  <si>
    <t>Aporcelaimellus clamus</t>
  </si>
  <si>
    <t>https://nematode.unl.edu/apcla10.jpg</t>
  </si>
  <si>
    <t>gut(prerectum)</t>
  </si>
  <si>
    <t>https://nematode.unl.edu/apcla11.jpg</t>
  </si>
  <si>
    <t>https://nematode.unl.edu/apcla2.jpg</t>
  </si>
  <si>
    <t>https://nematode.unl.edu/apcla3.jpg</t>
  </si>
  <si>
    <t>https://nematode.unl.edu/apcla4.jpg</t>
  </si>
  <si>
    <t>https://nematode.unl.edu/apcla5.jpg</t>
  </si>
  <si>
    <t>https://nematode.unl.edu/apcla6.jpg</t>
  </si>
  <si>
    <t>https://nematode.unl.edu/apcla7.jpg</t>
  </si>
  <si>
    <t>https://nematode.unl.edu/apcla8.jpg</t>
  </si>
  <si>
    <t>https://nematode.unl.edu/apcla9.jpg</t>
  </si>
  <si>
    <t>https://nematode.unl.edu/apoco1.jpg</t>
  </si>
  <si>
    <t>Aporcelaimellus conoidus</t>
  </si>
  <si>
    <t>https://nematode.unl.edu/apoco10.jpg</t>
  </si>
  <si>
    <t>https://nematode.unl.edu/apoco11.jpg</t>
  </si>
  <si>
    <t>https://nematode.unl.edu/apoco12.jpg</t>
  </si>
  <si>
    <t>https://nematode.unl.edu/apoco13.jpg</t>
  </si>
  <si>
    <t>https://nematode.unl.edu/apoco14.jpg</t>
  </si>
  <si>
    <t>https://nematode.unl.edu/apoco15.jpg</t>
  </si>
  <si>
    <t>https://nematode.unl.edu/apoco16.jpg</t>
  </si>
  <si>
    <t>https://nematode.unl.edu/apoco2.jpg</t>
  </si>
  <si>
    <t>https://nematode.unl.edu/apoco3.jpg</t>
  </si>
  <si>
    <t>https://nematode.unl.edu/apoco4.jpg</t>
  </si>
  <si>
    <t>https://nematode.unl.edu/apoco5.jpg</t>
  </si>
  <si>
    <t>https://nematode.unl.edu/apoco6.jpg</t>
  </si>
  <si>
    <t>https://nematode.unl.edu/apoco7.jpg</t>
  </si>
  <si>
    <t>https://nematode.unl.edu/apoco8.jpg</t>
  </si>
  <si>
    <t>https://nematode.unl.edu/apoco9.jpg</t>
  </si>
  <si>
    <t>https://nematode.unl.edu/apoidus1.jpg</t>
  </si>
  <si>
    <t>https://nematode.unl.edu/apoidus2.jpg</t>
  </si>
  <si>
    <t>https://nematode.unl.edu/apoidus3.jpg</t>
  </si>
  <si>
    <t>https://nematode.unl.edu/apoidus4.jpg</t>
  </si>
  <si>
    <t>https://nematode.unl.edu/apoidus5.jpg</t>
  </si>
  <si>
    <t>https://nematode.unl.edu/apeleg1.jpg</t>
  </si>
  <si>
    <t>Aporcelaimellus elegans</t>
  </si>
  <si>
    <t>https://nematode.unl.edu/apeleg10.jpg</t>
  </si>
  <si>
    <t>https://nematode.unl.edu/apeleg2.jpg</t>
  </si>
  <si>
    <t>https://nematode.unl.edu/apeleg3.jpg</t>
  </si>
  <si>
    <t>https://nematode.unl.edu/apeleg4.jpg</t>
  </si>
  <si>
    <t>https://nematode.unl.edu/apeleg5.jpg</t>
  </si>
  <si>
    <t>https://nematode.unl.edu/apeleg6.jpg</t>
  </si>
  <si>
    <t>https://nematode.unl.edu/apeleg7.jpg</t>
  </si>
  <si>
    <t>https://nematode.unl.edu/apeleg8.jpg</t>
  </si>
  <si>
    <t>https://nematode.unl.edu/apeleg9.jpg</t>
  </si>
  <si>
    <t>https://nematode.unl.edu/apeury10.jpg</t>
  </si>
  <si>
    <t>Aporcelaimellus eurydorys</t>
  </si>
  <si>
    <t>https://nematode.unl.edu/apeury11.jpg</t>
  </si>
  <si>
    <t>https://nematode.unl.edu/apeury12.jpg</t>
  </si>
  <si>
    <t>https://nematode.unl.edu/apeury13.jpg</t>
  </si>
  <si>
    <t>https://nematode.unl.edu/apeury14.jpg</t>
  </si>
  <si>
    <t>https://nematode.unl.edu/apeury15.jpg</t>
  </si>
  <si>
    <t>https://nematode.unl.edu/apeury16.jpg</t>
  </si>
  <si>
    <t>https://nematode.unl.edu/apeury17.jpg</t>
  </si>
  <si>
    <t>https://nematode.unl.edu/apeury9.jpg</t>
  </si>
  <si>
    <t>https://nematode.unl.edu/akry1.jpg</t>
  </si>
  <si>
    <t>Aporcelaimellus krygeri</t>
  </si>
  <si>
    <t>https://nematode.unl.edu/akry2.jpg</t>
  </si>
  <si>
    <t>https://nematode.unl.edu/akry3.jpg</t>
  </si>
  <si>
    <t>https://nematode.unl.edu/akry4.jpg</t>
  </si>
  <si>
    <t>https://nematode.unl.edu/akry5.jpg</t>
  </si>
  <si>
    <t>https://nematode.unl.edu/akry6.jpg</t>
  </si>
  <si>
    <t>https://nematode.unl.edu/akry7.jpg</t>
  </si>
  <si>
    <t>https://nematode.unl.edu/akrycmp.jpg</t>
  </si>
  <si>
    <t>https://nematode.unl.edu/apkry1.jpg</t>
  </si>
  <si>
    <t>https://nematode.unl.edu/apkry10.jpg</t>
  </si>
  <si>
    <t>https://nematode.unl.edu/apkry11.jpg</t>
  </si>
  <si>
    <t>https://nematode.unl.edu/apkry12.jpg</t>
  </si>
  <si>
    <t>https://nematode.unl.edu/apkry13.jpg</t>
  </si>
  <si>
    <t>https://nematode.unl.edu/apkry14.jpg</t>
  </si>
  <si>
    <t>https://nematode.unl.edu/apkry15.jpg</t>
  </si>
  <si>
    <t>https://nematode.unl.edu/apkry16.jpg</t>
  </si>
  <si>
    <t>https://nematode.unl.edu/apkry17.jpg</t>
  </si>
  <si>
    <t>https://nematode.unl.edu/apkry18.jpg</t>
  </si>
  <si>
    <t>https://nematode.unl.edu/apkry19.jpg</t>
  </si>
  <si>
    <t>https://nematode.unl.edu/apkry2.jpg</t>
  </si>
  <si>
    <t>https://nematode.unl.edu/apkry20.jpg</t>
  </si>
  <si>
    <t>https://nematode.unl.edu/apkry21.jpg</t>
  </si>
  <si>
    <t>https://nematode.unl.edu/apkry22.jpg</t>
  </si>
  <si>
    <t>https://nematode.unl.edu/apkry23.jpg</t>
  </si>
  <si>
    <t>https://nematode.unl.edu/apkry24.jpg</t>
  </si>
  <si>
    <t>https://nematode.unl.edu/apkry25.jpg</t>
  </si>
  <si>
    <t>https://nematode.unl.edu/apkry27.jpg</t>
  </si>
  <si>
    <t>https://nematode.unl.edu/apkry28.jpg</t>
  </si>
  <si>
    <t>https://nematode.unl.edu/apkry29.jpg</t>
  </si>
  <si>
    <t>https://nematode.unl.edu/apkry3.jpg</t>
  </si>
  <si>
    <t>https://nematode.unl.edu/apkry30.jpg</t>
  </si>
  <si>
    <t>https://nematode.unl.edu/apkry31.jpg</t>
  </si>
  <si>
    <t>https://nematode.unl.edu/apkry32.jpg</t>
  </si>
  <si>
    <t>https://nematode.unl.edu/apkry33.jpg</t>
  </si>
  <si>
    <t>https://nematode.unl.edu/apkry34.jpg</t>
  </si>
  <si>
    <t>https://nematode.unl.edu/apkry35.jpg</t>
  </si>
  <si>
    <t>https://nematode.unl.edu/apkry36.jpg</t>
  </si>
  <si>
    <t>https://nematode.unl.edu/apkry37.jpg</t>
  </si>
  <si>
    <t>https://nematode.unl.edu/apkry38.jpg</t>
  </si>
  <si>
    <t>https://nematode.unl.edu/apkry39.jpg</t>
  </si>
  <si>
    <t>https://nematode.unl.edu/apkry4.jpg</t>
  </si>
  <si>
    <t>https://nematode.unl.edu/apkry40.jpg</t>
  </si>
  <si>
    <t>https://nematode.unl.edu/apkry41.jpg</t>
  </si>
  <si>
    <t>https://nematode.unl.edu/apkry42.jpg</t>
  </si>
  <si>
    <t>https://nematode.unl.edu/apkry43.jpg</t>
  </si>
  <si>
    <t>https://nematode.unl.edu/apkry44.jpg</t>
  </si>
  <si>
    <t>https://nematode.unl.edu/apkry45.jpg</t>
  </si>
  <si>
    <t>https://nematode.unl.edu/apkry46.jpg</t>
  </si>
  <si>
    <t>https://nematode.unl.edu/apkry47.jpg</t>
  </si>
  <si>
    <t>https://nematode.unl.edu/apkry48.jpg</t>
  </si>
  <si>
    <t>https://nematode.unl.edu/apkry49.jpg</t>
  </si>
  <si>
    <t>https://nematode.unl.edu/apkry5.jpg</t>
  </si>
  <si>
    <t>https://nematode.unl.edu/apkry50.jpg</t>
  </si>
  <si>
    <t>https://nematode.unl.edu/apkry51.jpg</t>
  </si>
  <si>
    <t>https://nematode.unl.edu/apkry52.jpg</t>
  </si>
  <si>
    <t>https://nematode.unl.edu/apkry53.jpg</t>
  </si>
  <si>
    <t>https://nematode.unl.edu/apkry54.jpg</t>
  </si>
  <si>
    <t>https://nematode.unl.edu/apkry55.jpg</t>
  </si>
  <si>
    <t>https://nematode.unl.edu/apkry56.jpg</t>
  </si>
  <si>
    <t>https://nematode.unl.edu/apkry57.jpg</t>
  </si>
  <si>
    <t>https://nematode.unl.edu/apkry58.jpg</t>
  </si>
  <si>
    <t>https://nematode.unl.edu/apkry59.jpg</t>
  </si>
  <si>
    <t>https://nematode.unl.edu/apkry6.jpg</t>
  </si>
  <si>
    <t>https://nematode.unl.edu/apkry60.jpg</t>
  </si>
  <si>
    <t>https://nematode.unl.edu/apkry61.jpg</t>
  </si>
  <si>
    <t>https://nematode.unl.edu/apkry62.jpg</t>
  </si>
  <si>
    <t>https://nematode.unl.edu/apkry63.jpg</t>
  </si>
  <si>
    <t>https://nematode.unl.edu/apkry7.jpg</t>
  </si>
  <si>
    <t>https://nematode.unl.edu/apkry8.jpg</t>
  </si>
  <si>
    <t>https://nematode.unl.edu/apkry9.jpg</t>
  </si>
  <si>
    <t>https://nematode.unl.edu/aporkry1.jpg</t>
  </si>
  <si>
    <t>https://nematode.unl.edu/aporkry2.jpg</t>
  </si>
  <si>
    <t>https://nematode.unl.edu/aporkry3.jpg</t>
  </si>
  <si>
    <t>https://nematode.unl.edu/aporkry4.jpg</t>
  </si>
  <si>
    <t>https://nematode.unl.edu/aplac1.jpg</t>
  </si>
  <si>
    <t>Aporcelaimellus placus</t>
  </si>
  <si>
    <t>https://nematode.unl.edu/aplac2.jpg</t>
  </si>
  <si>
    <t>https://nematode.unl.edu/aplac3.jpg</t>
  </si>
  <si>
    <t>https://nematode.unl.edu/aplac4.jpg</t>
  </si>
  <si>
    <t>https://nematode.unl.edu/aporpl1.jpg</t>
  </si>
  <si>
    <t>https://nematode.unl.edu/aporpl2.jpg</t>
  </si>
  <si>
    <t>https://nematode.unl.edu/aporpl3.jpg</t>
  </si>
  <si>
    <t>https://nematode.unl.edu/aporpl4.jpg</t>
  </si>
  <si>
    <t>https://nematode.unl.edu/aporpl5.jpg</t>
  </si>
  <si>
    <t>https://nematode.unl.edu/aporpl6.jpg</t>
  </si>
  <si>
    <t>https://nematode.unl.edu/appl1.jpg</t>
  </si>
  <si>
    <t>https://nematode.unl.edu/appl10.jpg</t>
  </si>
  <si>
    <t>https://nematode.unl.edu/appl11.jpg</t>
  </si>
  <si>
    <t>https://nematode.unl.edu/appl12.jpg</t>
  </si>
  <si>
    <t>https://nematode.unl.edu/appl13.jpg</t>
  </si>
  <si>
    <t>https://nematode.unl.edu/appl14.jpg</t>
  </si>
  <si>
    <t>https://nematode.unl.edu/appl15.jpg</t>
  </si>
  <si>
    <t>https://nematode.unl.edu/appl16.jpg</t>
  </si>
  <si>
    <t>https://nematode.unl.edu/appl17.jpg</t>
  </si>
  <si>
    <t>https://nematode.unl.edu/appl18.jpg</t>
  </si>
  <si>
    <t>https://nematode.unl.edu/appl19.jpg</t>
  </si>
  <si>
    <t>https://nematode.unl.edu/appl2.jpg</t>
  </si>
  <si>
    <t>https://nematode.unl.edu/appl20.jpg</t>
  </si>
  <si>
    <t>https://nematode.unl.edu/appl21.jpg</t>
  </si>
  <si>
    <t>https://nematode.unl.edu/appl3.jpg</t>
  </si>
  <si>
    <t>https://nematode.unl.edu/appl4.jpg</t>
  </si>
  <si>
    <t>https://nematode.unl.edu/appl5.jpg</t>
  </si>
  <si>
    <t>https://nematode.unl.edu/appl6.jpg</t>
  </si>
  <si>
    <t>https://nematode.unl.edu/appl7.jpg</t>
  </si>
  <si>
    <t>https://nematode.unl.edu/appl8.jpg</t>
  </si>
  <si>
    <t>https://nematode.unl.edu/appl9.jpg</t>
  </si>
  <si>
    <t>https://nematode.unl.edu/alabia1.jpg</t>
  </si>
  <si>
    <t>Aporcelaimium labiatum</t>
  </si>
  <si>
    <t>https://nematode.unl.edu/alabia2.jpg</t>
  </si>
  <si>
    <t>https://nematode.unl.edu/alabia3.jpg</t>
  </si>
  <si>
    <t>https://nematode.unl.edu/alabia4.jpg</t>
  </si>
  <si>
    <t>https://nematode.unl.edu/alabia5.jpg</t>
  </si>
  <si>
    <t>https://nematode.unl.edu/alabia6.jpg</t>
  </si>
  <si>
    <t>https://nematode.unl.edu/aporces1.jpg</t>
  </si>
  <si>
    <t>Kearney, Nebraska</t>
  </si>
  <si>
    <t>https://nematode.unl.edu/apamer1.jpg</t>
  </si>
  <si>
    <t>Aporcelaimus americanus</t>
  </si>
  <si>
    <t>https://nematode.unl.edu/apamer10.jpg</t>
  </si>
  <si>
    <t>https://nematode.unl.edu/apamer11.jpg</t>
  </si>
  <si>
    <t>https://nematode.unl.edu/apamer12.jpg</t>
  </si>
  <si>
    <t>https://nematode.unl.edu/apamer13.jpg</t>
  </si>
  <si>
    <t>https://nematode.unl.edu/apamer14.jpg</t>
  </si>
  <si>
    <t>https://nematode.unl.edu/apamer15.jpg</t>
  </si>
  <si>
    <t>https://nematode.unl.edu/apamer16.jpg</t>
  </si>
  <si>
    <t>https://nematode.unl.edu/apamer17.jpg</t>
  </si>
  <si>
    <t>https://nematode.unl.edu/apamer2.jpg</t>
  </si>
  <si>
    <t>https://nematode.unl.edu/apamer3.jpg</t>
  </si>
  <si>
    <t>https://nematode.unl.edu/apamer4.jpg</t>
  </si>
  <si>
    <t>https://nematode.unl.edu/apamer5.jpg</t>
  </si>
  <si>
    <t>https://nematode.unl.edu/apamer6.jpg</t>
  </si>
  <si>
    <t>https://nematode.unl.edu/apamer7.jpg</t>
  </si>
  <si>
    <t>https://nematode.unl.edu/apamer8.jpg</t>
  </si>
  <si>
    <t>https://nematode.unl.edu/apamer9.jpg</t>
  </si>
  <si>
    <t>https://nematode.unl.edu/aporam1.jpg</t>
  </si>
  <si>
    <t>https://nematode.unl.edu/aporam2.jpg</t>
  </si>
  <si>
    <t>https://nematode.unl.edu/aporam3.jpg</t>
  </si>
  <si>
    <t>https://nematode.unl.edu/aporam4.jpg</t>
  </si>
  <si>
    <t>https://nematode.unl.edu/aporam5.jpg</t>
  </si>
  <si>
    <t>https://nematode.unl.edu/aporam6.jpg</t>
  </si>
  <si>
    <t>https://nematode.unl.edu/aporam7.jpg</t>
  </si>
  <si>
    <t>https://nematode.unl.edu/aporam8.jpg</t>
  </si>
  <si>
    <t>https://nematode.unl.edu/appach1.jpg</t>
  </si>
  <si>
    <t>Aporcelaimus pachydermus</t>
  </si>
  <si>
    <t>https://nematode.unl.edu/appach2.jpg</t>
  </si>
  <si>
    <t>https://nematode.unl.edu/appachydraw.jpg</t>
  </si>
  <si>
    <t>https://nematode.unl.edu/aptida1.jpg</t>
  </si>
  <si>
    <t>Aprutides</t>
  </si>
  <si>
    <t>https://nematode.unl.edu/aptida10.jpg</t>
  </si>
  <si>
    <t>https://nematode.unl.edu/aptida11.jpg</t>
  </si>
  <si>
    <t>https://nematode.unl.edu/aptida2.jpg</t>
  </si>
  <si>
    <t>https://nematode.unl.edu/aptida3.jpg</t>
  </si>
  <si>
    <t>https://nematode.unl.edu/aptida4.jpg</t>
  </si>
  <si>
    <t>https://nematode.unl.edu/aptida5.jpg</t>
  </si>
  <si>
    <t>https://nematode.unl.edu/aptida6.jpg</t>
  </si>
  <si>
    <t>https://nematode.unl.edu/aptida8.jpg</t>
  </si>
  <si>
    <t>https://nematode.unl.edu/aptida9.jpg</t>
  </si>
  <si>
    <t>https://nematode.unl.edu/aptidb1.jpg</t>
  </si>
  <si>
    <t>https://nematode.unl.edu/aptidb10.jpg</t>
  </si>
  <si>
    <t>https://nematode.unl.edu/aptidb11.jpg</t>
  </si>
  <si>
    <t>https://nematode.unl.edu/aptidb12.jpg</t>
  </si>
  <si>
    <t>https://nematode.unl.edu/aptidb13.jpg</t>
  </si>
  <si>
    <t>https://nematode.unl.edu/aptidb14.jpg</t>
  </si>
  <si>
    <t>https://nematode.unl.edu/aptidb15.jpg</t>
  </si>
  <si>
    <t>https://nematode.unl.edu/aptidb18.jpg</t>
  </si>
  <si>
    <t>https://nematode.unl.edu/aptidb19.jpg</t>
  </si>
  <si>
    <t>https://nematode.unl.edu/aptidb2.jpg</t>
  </si>
  <si>
    <t>https://nematode.unl.edu/aptidb20.jpg</t>
  </si>
  <si>
    <t>https://nematode.unl.edu/aptidb21.jpg</t>
  </si>
  <si>
    <t>https://nematode.unl.edu/aptidb22.jpg</t>
  </si>
  <si>
    <t>https://nematode.unl.edu/aptidb23.jpg</t>
  </si>
  <si>
    <t>https://nematode.unl.edu/aptidb24.jpg</t>
  </si>
  <si>
    <t>https://nematode.unl.edu/aptidb25.jpg</t>
  </si>
  <si>
    <t>https://nematode.unl.edu/aptidb26.jpg</t>
  </si>
  <si>
    <t>https://nematode.unl.edu/aptidb27.jpg</t>
  </si>
  <si>
    <t>https://nematode.unl.edu/aptidb28.jpg</t>
  </si>
  <si>
    <t>https://nematode.unl.edu/aptidb29.jpg</t>
  </si>
  <si>
    <t>https://nematode.unl.edu/aptidb3.jpg</t>
  </si>
  <si>
    <t>https://nematode.unl.edu/aptidb30.jpg</t>
  </si>
  <si>
    <t>https://nematode.unl.edu/aptidb31.jpg</t>
  </si>
  <si>
    <t>https://nematode.unl.edu/aptidb32.jpg</t>
  </si>
  <si>
    <t>https://nematode.unl.edu/aptidb33.jpg</t>
  </si>
  <si>
    <t>https://nematode.unl.edu/aptidb34.jpg</t>
  </si>
  <si>
    <t>https://nematode.unl.edu/aptidb35.jpg</t>
  </si>
  <si>
    <t>https://nematode.unl.edu/aptidb4.jpg</t>
  </si>
  <si>
    <t>https://nematode.unl.edu/aptidb5.jpg</t>
  </si>
  <si>
    <t>https://nematode.unl.edu/aptidb6.jpg</t>
  </si>
  <si>
    <t>https://nematode.unl.edu/aptidb7.jpg</t>
  </si>
  <si>
    <t>https://nematode.unl.edu/aptidb8.jpg</t>
  </si>
  <si>
    <t>https://nematode.unl.edu/aquar1.jpg</t>
  </si>
  <si>
    <t>Aquatides rotundicaudatus</t>
  </si>
  <si>
    <t>https://nematode.unl.edu/aquar10.jpg</t>
  </si>
  <si>
    <t>https://nematode.unl.edu/aquar11.jpg</t>
  </si>
  <si>
    <t>https://nematode.unl.edu/aquar2.jpg</t>
  </si>
  <si>
    <t>https://nematode.unl.edu/aquar3.jpg</t>
  </si>
  <si>
    <t>https://nematode.unl.edu/aquar4.jpg</t>
  </si>
  <si>
    <t>https://nematode.unl.edu/aquar5.jpg</t>
  </si>
  <si>
    <t>https://nematode.unl.edu/aquar6.jpg</t>
  </si>
  <si>
    <t>https://nematode.unl.edu/aquar7.jpg</t>
  </si>
  <si>
    <t>https://nematode.unl.edu/aquar8.jpg</t>
  </si>
  <si>
    <t>https://nematode.unl.edu/aquar9.jpg</t>
  </si>
  <si>
    <t>https://nematode.unl.edu/aquarcmp.jpg</t>
  </si>
  <si>
    <t>https://nematode.unl.edu/axoneck.jpg</t>
  </si>
  <si>
    <t>Axonchium</t>
  </si>
  <si>
    <t>https://nematode.unl.edu/axampl1.jpg</t>
  </si>
  <si>
    <t>Axonchium amplicolle</t>
  </si>
  <si>
    <t>https://nematode.unl.edu/axampl10.jpg</t>
  </si>
  <si>
    <t>https://nematode.unl.edu/axampl11.jpg</t>
  </si>
  <si>
    <t>esophageal musculature</t>
  </si>
  <si>
    <t>https://nematode.unl.edu/axampl12.jpg</t>
  </si>
  <si>
    <t>https://nematode.unl.edu/axampl2.jpg</t>
  </si>
  <si>
    <t>https://nematode.unl.edu/axampl3.jpg</t>
  </si>
  <si>
    <t>https://nematode.unl.edu/axampl4.jpg</t>
  </si>
  <si>
    <t>https://nematode.unl.edu/axampl5.jpg</t>
  </si>
  <si>
    <t>https://nematode.unl.edu/axampl6.jpg</t>
  </si>
  <si>
    <t>https://nematode.unl.edu/axampl7.jpg</t>
  </si>
  <si>
    <t>https://nematode.unl.edu/axampl8.jpg</t>
  </si>
  <si>
    <t>https://nematode.unl.edu/axampl9.jpg</t>
  </si>
  <si>
    <t>https://nematode.unl.edu/agiga1.jpg</t>
  </si>
  <si>
    <t>Axonchium gigas</t>
  </si>
  <si>
    <t>https://nematode.unl.edu/agiga2.jpg</t>
  </si>
  <si>
    <t>https://nematode.unl.edu/agiga3.jpg</t>
  </si>
  <si>
    <t>https://nematode.unl.edu/agiga4.jpg</t>
  </si>
  <si>
    <t>https://nematode.unl.edu/agiga5.jpg</t>
  </si>
  <si>
    <t>https://nematode.unl.edu/agiga6.jpg</t>
  </si>
  <si>
    <t>https://nematode.unl.edu/agiga7.jpg</t>
  </si>
  <si>
    <t>https://nematode.unl.edu/agiga8.jpg</t>
  </si>
  <si>
    <t>https://nematode.unl.edu/agiga9.jpg</t>
  </si>
  <si>
    <t>https://nematode.unl.edu/axogi1.jpg</t>
  </si>
  <si>
    <t>https://nematode.unl.edu/axogi2.jpg</t>
  </si>
  <si>
    <t>https://nematode.unl.edu/axogi3.jpg</t>
  </si>
  <si>
    <t>https://nematode.unl.edu/axogi4.jpg</t>
  </si>
  <si>
    <t>https://nematode.unl.edu/axogi5.jpg</t>
  </si>
  <si>
    <t>https://nematode.unl.edu/axogi6.jpg</t>
  </si>
  <si>
    <t>https://nematode.unl.edu/axogi7.jpg</t>
  </si>
  <si>
    <t>https://nematode.unl.edu/axogi8.jpg</t>
  </si>
  <si>
    <t>https://nematode.unl.edu/axmica.jpg</t>
  </si>
  <si>
    <t>Axonchium micans</t>
  </si>
  <si>
    <t>https://nematode.unl.edu/axmica10.jpg</t>
  </si>
  <si>
    <t>https://nematode.unl.edu/axmica11.jpg</t>
  </si>
  <si>
    <t>https://nematode.unl.edu/axmica12.jpg</t>
  </si>
  <si>
    <t>https://nematode.unl.edu/axmica13.jpg</t>
  </si>
  <si>
    <t>https://nematode.unl.edu/axmica14.jpg</t>
  </si>
  <si>
    <t>https://nematode.unl.edu/axmica15.jpg</t>
  </si>
  <si>
    <t>https://nematode.unl.edu/axmica16.jpg</t>
  </si>
  <si>
    <t>https://nematode.unl.edu/axmica17.jpg</t>
  </si>
  <si>
    <t>https://nematode.unl.edu/axmica18.jpg</t>
  </si>
  <si>
    <t>https://nematode.unl.edu/axmica19.jpg</t>
  </si>
  <si>
    <t>https://nematode.unl.edu/axmica2.jpg</t>
  </si>
  <si>
    <t>https://nematode.unl.edu/axmica20.jpg</t>
  </si>
  <si>
    <t>esophageal contriction</t>
  </si>
  <si>
    <t>https://nematode.unl.edu/axmica21.jpg</t>
  </si>
  <si>
    <t>https://nematode.unl.edu/axmica22.jpg</t>
  </si>
  <si>
    <t>https://nematode.unl.edu/axmica23.jpg</t>
  </si>
  <si>
    <t>https://nematode.unl.edu/axmica24.jpg</t>
  </si>
  <si>
    <t>esophageal bulb</t>
  </si>
  <si>
    <t>https://nematode.unl.edu/axmica25.jpg</t>
  </si>
  <si>
    <t>https://nematode.unl.edu/axmica26.jpg</t>
  </si>
  <si>
    <t>https://nematode.unl.edu/axmica27.jpg</t>
  </si>
  <si>
    <t>https://nematode.unl.edu/axmica28.jpg</t>
  </si>
  <si>
    <t>https://nematode.unl.edu/axmica29.jpg</t>
  </si>
  <si>
    <t>https://nematode.unl.edu/axmica3.jpg</t>
  </si>
  <si>
    <t>https://nematode.unl.edu/axmica30.jpg</t>
  </si>
  <si>
    <t>https://nematode.unl.edu/axmica31.jpg</t>
  </si>
  <si>
    <t>https://nematode.unl.edu/axmica32.jpg</t>
  </si>
  <si>
    <t>anterior esophagus</t>
  </si>
  <si>
    <t>https://nematode.unl.edu/axmica33.jpg</t>
  </si>
  <si>
    <t>https://nematode.unl.edu/axmica34.jpg</t>
  </si>
  <si>
    <t>https://nematode.unl.edu/axmica35.jpg</t>
  </si>
  <si>
    <t>https://nematode.unl.edu/axmica36.jpg</t>
  </si>
  <si>
    <t>https://nematode.unl.edu/axmica37.jpg</t>
  </si>
  <si>
    <t>https://nematode.unl.edu/axmica38.jpg</t>
  </si>
  <si>
    <t>https://nematode.unl.edu/axmica39.jpg</t>
  </si>
  <si>
    <t>https://nematode.unl.edu/axmica4.jpg</t>
  </si>
  <si>
    <t>https://nematode.unl.edu/axmica40.jpg</t>
  </si>
  <si>
    <t>https://nematode.unl.edu/axmica41.jpg</t>
  </si>
  <si>
    <t>https://nematode.unl.edu/axmica42.jpg</t>
  </si>
  <si>
    <t>https://nematode.unl.edu/axmica43.jpg</t>
  </si>
  <si>
    <t>https://nematode.unl.edu/axmica44.jpg</t>
  </si>
  <si>
    <t>https://nematode.unl.edu/axmica45.jpg</t>
  </si>
  <si>
    <t>https://nematode.unl.edu/axmica5.jpg</t>
  </si>
  <si>
    <t>https://nematode.unl.edu/axmica6.jpg</t>
  </si>
  <si>
    <t>https://nematode.unl.edu/axmica7.jpg</t>
  </si>
  <si>
    <t>https://nematode.unl.edu/axmica8.jpg</t>
  </si>
  <si>
    <t>https://nematode.unl.edu/axmica9.jpg</t>
  </si>
  <si>
    <t>https://nematode.unl.edu/axmicmp.jpg</t>
  </si>
  <si>
    <t>https://nematode.unl.edu/axomi1.jpg</t>
  </si>
  <si>
    <t>https://nematode.unl.edu/axomi10.jpg</t>
  </si>
  <si>
    <t>https://nematode.unl.edu/axomi2.jpg</t>
  </si>
  <si>
    <t>https://nematode.unl.edu/axomi3.jpg</t>
  </si>
  <si>
    <t>https://nematode.unl.edu/axomi4.jpg</t>
  </si>
  <si>
    <t>https://nematode.unl.edu/axomi5.jpg</t>
  </si>
  <si>
    <t>https://nematode.unl.edu/axomi6.jpg</t>
  </si>
  <si>
    <t>https://nematode.unl.edu/axomi7.jpg</t>
  </si>
  <si>
    <t>https://nematode.unl.edu/axomi8.jpg</t>
  </si>
  <si>
    <t>https://nematode.unl.edu/axomi9.jpg</t>
  </si>
  <si>
    <t>https://nematode.unl.edu/axser1.jpg</t>
  </si>
  <si>
    <t>Axonchium serpens</t>
  </si>
  <si>
    <t>https://nematode.unl.edu/axser10.jpg</t>
  </si>
  <si>
    <t>https://nematode.unl.edu/axser11.jpg</t>
  </si>
  <si>
    <t>https://nematode.unl.edu/axser12.jpg</t>
  </si>
  <si>
    <t>https://nematode.unl.edu/axser13.jpg</t>
  </si>
  <si>
    <t>https://nematode.unl.edu/axser14.jpg</t>
  </si>
  <si>
    <t>https://nematode.unl.edu/axser15.jpg</t>
  </si>
  <si>
    <t>https://nematode.unl.edu/axser16.jpg</t>
  </si>
  <si>
    <t>https://nematode.unl.edu/axser17.jpg</t>
  </si>
  <si>
    <t>https://nematode.unl.edu/axser18.jpg</t>
  </si>
  <si>
    <t>https://nematode.unl.edu/axser19.jpg</t>
  </si>
  <si>
    <t>https://nematode.unl.edu/axser2.jpg</t>
  </si>
  <si>
    <t>https://nematode.unl.edu/axser20.jpg</t>
  </si>
  <si>
    <t>https://nematode.unl.edu/axser21.jpg</t>
  </si>
  <si>
    <t>https://nematode.unl.edu/axser3.jpg</t>
  </si>
  <si>
    <t>https://nematode.unl.edu/axser4.jpg</t>
  </si>
  <si>
    <t>parasites</t>
  </si>
  <si>
    <t>https://nematode.unl.edu/axser5.jpg</t>
  </si>
  <si>
    <t>https://nematode.unl.edu/axser6.jpg</t>
  </si>
  <si>
    <t>https://nematode.unl.edu/axser7.jpg</t>
  </si>
  <si>
    <t>https://nematode.unl.edu/axser8.jpg</t>
  </si>
  <si>
    <t>https://nematode.unl.edu/axser9.jpg</t>
  </si>
  <si>
    <t>https://nematode.unl.edu/axsocmp.jpg</t>
  </si>
  <si>
    <t>Axonchium solitaire</t>
  </si>
  <si>
    <t>https://nematode.unl.edu/axsoli1.jpg</t>
  </si>
  <si>
    <t>https://nematode.unl.edu/axsoli2.jpg</t>
  </si>
  <si>
    <t>https://nematode.unl.edu/axsoli3.jpg</t>
  </si>
  <si>
    <t>https://nematode.unl.edu/axsoli4.jpg</t>
  </si>
  <si>
    <t>https://nematode.unl.edu/axsoli5.jpg</t>
  </si>
  <si>
    <t>https://nematode.unl.edu/axsoli6.jpg</t>
  </si>
  <si>
    <t>https://nematode.unl.edu/axsoli7.jpg</t>
  </si>
  <si>
    <t>https://nematode.unl.edu/axsoli8.jpg</t>
  </si>
  <si>
    <t>https://nematode.unl.edu/axsospr.jpg</t>
  </si>
  <si>
    <t>Axonchium solitare</t>
  </si>
  <si>
    <t>https://nematode.unl.edu/axsotl.jpg</t>
  </si>
  <si>
    <t>https://nematode.unl.edu/axoth1.jpg</t>
  </si>
  <si>
    <t>Axonchium thornei</t>
  </si>
  <si>
    <t>https://nematode.unl.edu/axoth2.jpg</t>
  </si>
  <si>
    <t>https://nematode.unl.edu/axoth3.jpg</t>
  </si>
  <si>
    <t>dorsal gland nuclei</t>
  </si>
  <si>
    <t>https://nematode.unl.edu/axoth4.jpg</t>
  </si>
  <si>
    <t>https://nematode.unl.edu/axoth5.jpg</t>
  </si>
  <si>
    <t>https://nematode.unl.edu/axoth6.jpg</t>
  </si>
  <si>
    <t>https://nematode.unl.edu/axoth7.jpg</t>
  </si>
  <si>
    <t>https://nematode.unl.edu/axova1.jpg</t>
  </si>
  <si>
    <t>Axonchium vaginatum</t>
  </si>
  <si>
    <t>https://nematode.unl.edu/axova2.jpg</t>
  </si>
  <si>
    <t>https://nematode.unl.edu/axova3.jpg</t>
  </si>
  <si>
    <t>https://nematode.unl.edu/axova4.jpg</t>
  </si>
  <si>
    <t>https://nematode.unl.edu/axova5.jpg</t>
  </si>
  <si>
    <t>https://nematode.unl.edu/axova6.jpg</t>
  </si>
  <si>
    <t>https://nematode.unl.edu/axova7.jpg</t>
  </si>
  <si>
    <t>z-organ</t>
  </si>
  <si>
    <t>https://nematode.unl.edu/axova8.jpg</t>
  </si>
  <si>
    <t>https://nematode.unl.edu/bakin1.jpg</t>
  </si>
  <si>
    <t>Grundy County, Illinois</t>
  </si>
  <si>
    <t>Bakernema inaequale</t>
  </si>
  <si>
    <t>Bakernema</t>
  </si>
  <si>
    <t>https://nematode.unl.edu/bakin10.jpg</t>
  </si>
  <si>
    <t>https://nematode.unl.edu/bakin11.jpg</t>
  </si>
  <si>
    <t>https://nematode.unl.edu/bakin12.jpg</t>
  </si>
  <si>
    <t>cuticle anterior</t>
  </si>
  <si>
    <t>https://nematode.unl.edu/bakin13.jpg</t>
  </si>
  <si>
    <t>cuticle posterior</t>
  </si>
  <si>
    <t>https://nematode.unl.edu/bakin14.jpg</t>
  </si>
  <si>
    <t>https://nematode.unl.edu/bakin15.jpg</t>
  </si>
  <si>
    <t>https://nematode.unl.edu/bakin16.jpg</t>
  </si>
  <si>
    <t>https://nematode.unl.edu/bakin17.jpg</t>
  </si>
  <si>
    <t>head / scales</t>
  </si>
  <si>
    <t>https://nematode.unl.edu/bakin18.jpg</t>
  </si>
  <si>
    <t>tail / vulva flap</t>
  </si>
  <si>
    <t>https://nematode.unl.edu/bakin19.jpg</t>
  </si>
  <si>
    <t>https://nematode.unl.edu/bakin2.jpg</t>
  </si>
  <si>
    <t>https://nematode.unl.edu/bakin20.jpg</t>
  </si>
  <si>
    <t>https://nematode.unl.edu/bakin21.jpg</t>
  </si>
  <si>
    <t>https://nematode.unl.edu/bakin22.jpg</t>
  </si>
  <si>
    <t>https://nematode.unl.edu/bakin23.jpg</t>
  </si>
  <si>
    <t>https://nematode.unl.edu/bakin24.jpg</t>
  </si>
  <si>
    <t>tail dorsal view</t>
  </si>
  <si>
    <t>https://nematode.unl.edu/bakin25.jpg</t>
  </si>
  <si>
    <t>tail lateral view</t>
  </si>
  <si>
    <t>https://nematode.unl.edu/bakin26.jpg</t>
  </si>
  <si>
    <t>https://nematode.unl.edu/bakin3.jpg</t>
  </si>
  <si>
    <t>https://nematode.unl.edu/bakin4.jpg</t>
  </si>
  <si>
    <t>https://nematode.unl.edu/bakin5.jpg</t>
  </si>
  <si>
    <t>https://nematode.unl.edu/bakin6.jpg</t>
  </si>
  <si>
    <t>anteriorannules</t>
  </si>
  <si>
    <t>https://nematode.unl.edu/bakin7.jpg</t>
  </si>
  <si>
    <t>https://nematode.unl.edu/bakin8.jpg</t>
  </si>
  <si>
    <t>https://nematode.unl.edu/bakin9.jpg</t>
  </si>
  <si>
    <t>https://nematode.unl.edu/binaequa1.jpg</t>
  </si>
  <si>
    <t>Pachaug State Forest, Connecticut</t>
  </si>
  <si>
    <t>https://nematode.unl.edu/binaequa10.jpg</t>
  </si>
  <si>
    <t>https://nematode.unl.edu/binaequa11.jpg</t>
  </si>
  <si>
    <t>https://nematode.unl.edu/binaequa12.jpg</t>
  </si>
  <si>
    <t>https://nematode.unl.edu/binaequa13.jpg</t>
  </si>
  <si>
    <t>reproductive system</t>
  </si>
  <si>
    <t>https://nematode.unl.edu/binaequa14.jpg</t>
  </si>
  <si>
    <t>https://nematode.unl.edu/binaequa15.jpg</t>
  </si>
  <si>
    <t>https://nematode.unl.edu/binaequa2.jpg</t>
  </si>
  <si>
    <t>https://nematode.unl.edu/binaequa3.jpg</t>
  </si>
  <si>
    <t>https://nematode.unl.edu/binaequa4.jpg</t>
  </si>
  <si>
    <t>https://nematode.unl.edu/binaequa5.jpg</t>
  </si>
  <si>
    <t>https://nematode.unl.edu/binaequa6.jpg</t>
  </si>
  <si>
    <t>https://nematode.unl.edu/binaequa7.jpg</t>
  </si>
  <si>
    <t>lateral lines</t>
  </si>
  <si>
    <t>https://nematode.unl.edu/binaequa8.jpg</t>
  </si>
  <si>
    <t>https://nematode.unl.edu/binaequa9.jpg</t>
  </si>
  <si>
    <t>https://nematode.unl.edu/binasm1.jpg</t>
  </si>
  <si>
    <t>https://nematode.unl.edu/binasm2.jpg</t>
  </si>
  <si>
    <t>https://nematode.unl.edu/binasm3.jpg</t>
  </si>
  <si>
    <t>https://nematode.unl.edu/binasm4.jpg</t>
  </si>
  <si>
    <t>https://nematode.unl.edu/binasm5.jpg</t>
  </si>
  <si>
    <t>https://nematode.unl.edu/binasm6.jpg</t>
  </si>
  <si>
    <t>anterior cuticle</t>
  </si>
  <si>
    <t>https://nematode.unl.edu/binasm7.jpg</t>
  </si>
  <si>
    <t>https://nematode.unl.edu/baber1.jpg</t>
  </si>
  <si>
    <t>Basiria aberrans</t>
  </si>
  <si>
    <t>https://nematode.unl.edu/baber2.jpg</t>
  </si>
  <si>
    <t>https://nematode.unl.edu/baber3.jpg</t>
  </si>
  <si>
    <t>https://nematode.unl.edu/baber4.jpg</t>
  </si>
  <si>
    <t>https://nematode.unl.edu/baber5.jpg</t>
  </si>
  <si>
    <t>https://nematode.unl.edu/baber6.jpg</t>
  </si>
  <si>
    <t>https://nematode.unl.edu/baber7.jpg</t>
  </si>
  <si>
    <t>https://nematode.unl.edu/baber8.jpg</t>
  </si>
  <si>
    <t>https://nematode.unl.edu/baffi1.jpg</t>
  </si>
  <si>
    <t>Basiria affinis</t>
  </si>
  <si>
    <t>https://nematode.unl.edu/baffi10.jpg</t>
  </si>
  <si>
    <t>https://nematode.unl.edu/baffi11.jpg</t>
  </si>
  <si>
    <t>https://nematode.unl.edu/baffi12.jpg</t>
  </si>
  <si>
    <t>https://nematode.unl.edu/baffi13.jpg</t>
  </si>
  <si>
    <t>https://nematode.unl.edu/baffi14.jpg</t>
  </si>
  <si>
    <t>https://nematode.unl.edu/baffi15.jpg</t>
  </si>
  <si>
    <t>https://nematode.unl.edu/baffi16.jpg</t>
  </si>
  <si>
    <t>https://nematode.unl.edu/baffi17.jpg</t>
  </si>
  <si>
    <t>https://nematode.unl.edu/baffi18.jpg</t>
  </si>
  <si>
    <t>https://nematode.unl.edu/baffi19.jpg</t>
  </si>
  <si>
    <t>https://nematode.unl.edu/baffi2.jpg</t>
  </si>
  <si>
    <t>https://nematode.unl.edu/baffi20.jpg</t>
  </si>
  <si>
    <t>https://nematode.unl.edu/baffi21.jpg</t>
  </si>
  <si>
    <t>https://nematode.unl.edu/baffi3.jpg</t>
  </si>
  <si>
    <t>https://nematode.unl.edu/baffi4.jpg</t>
  </si>
  <si>
    <t>https://nematode.unl.edu/baffi5.jpg</t>
  </si>
  <si>
    <t>https://nematode.unl.edu/baffi6.jpg</t>
  </si>
  <si>
    <t>https://nematode.unl.edu/baffi7.jpg</t>
  </si>
  <si>
    <t>https://nematode.unl.edu/baffi8.jpg</t>
  </si>
  <si>
    <t>https://nematode.unl.edu/baffi9.jpg</t>
  </si>
  <si>
    <t>https://nematode.unl.edu/bafficmp.jpg</t>
  </si>
  <si>
    <t>https://nematode.unl.edu/bagra1.jpg</t>
  </si>
  <si>
    <t>Basiria graminophila</t>
  </si>
  <si>
    <t>https://nematode.unl.edu/bagra10.jpg</t>
  </si>
  <si>
    <t>https://nematode.unl.edu/bagra2.jpg</t>
  </si>
  <si>
    <t>amphid aperature</t>
  </si>
  <si>
    <t>https://nematode.unl.edu/bagra3.jpg</t>
  </si>
  <si>
    <t>https://nematode.unl.edu/bagra4.jpg</t>
  </si>
  <si>
    <t>https://nematode.unl.edu/bagra5.jpg</t>
  </si>
  <si>
    <t>https://nematode.unl.edu/bagra6.jpg</t>
  </si>
  <si>
    <t>https://nematode.unl.edu/bagra7.jpg</t>
  </si>
  <si>
    <t>https://nematode.unl.edu/bagra8.jpg</t>
  </si>
  <si>
    <t>https://nematode.unl.edu/bagra9.jpg</t>
  </si>
  <si>
    <t>https://nematode.unl.edu/bagracmp.jpg</t>
  </si>
  <si>
    <t>https://nematode.unl.edu/basim1.jpg</t>
  </si>
  <si>
    <t>Basiria similis</t>
  </si>
  <si>
    <t>https://nematode.unl.edu/basim10.jpg</t>
  </si>
  <si>
    <t>https://nematode.unl.edu/basim11.jpg</t>
  </si>
  <si>
    <t>https://nematode.unl.edu/basim12.jpg</t>
  </si>
  <si>
    <t>https://nematode.unl.edu/basim13.jpg</t>
  </si>
  <si>
    <t>https://nematode.unl.edu/basim14.jpg</t>
  </si>
  <si>
    <t>https://nematode.unl.edu/basim15.jpg</t>
  </si>
  <si>
    <t>https://nematode.unl.edu/basim16.jpg</t>
  </si>
  <si>
    <t>https://nematode.unl.edu/basim17.jpg</t>
  </si>
  <si>
    <t>https://nematode.unl.edu/basim18.jpg</t>
  </si>
  <si>
    <t>https://nematode.unl.edu/basim19.jpg</t>
  </si>
  <si>
    <t>https://nematode.unl.edu/basim2.jpg</t>
  </si>
  <si>
    <t>https://nematode.unl.edu/basim20.jpg</t>
  </si>
  <si>
    <t>https://nematode.unl.edu/basim21.jpg</t>
  </si>
  <si>
    <t>https://nematode.unl.edu/basim22.jpg</t>
  </si>
  <si>
    <t>https://nematode.unl.edu/basim3.jpg</t>
  </si>
  <si>
    <t>https://nematode.unl.edu/basim4.jpg</t>
  </si>
  <si>
    <t>https://nematode.unl.edu/basim5.jpg</t>
  </si>
  <si>
    <t>https://nematode.unl.edu/basim6.jpg</t>
  </si>
  <si>
    <t>https://nematode.unl.edu/basim7.jpg</t>
  </si>
  <si>
    <t>https://nematode.unl.edu/basim8.jpg</t>
  </si>
  <si>
    <t>https://nematode.unl.edu/basim9.jpg</t>
  </si>
  <si>
    <t>https://nematode.unl.edu/basimil1.jpg</t>
  </si>
  <si>
    <t>https://nematode.unl.edu/basimil2.jpg</t>
  </si>
  <si>
    <t>https://nematode.unl.edu/basimil3.jpg</t>
  </si>
  <si>
    <t>https://nematode.unl.edu/bassi1.jpg</t>
  </si>
  <si>
    <t>https://nematode.unl.edu/bassi10.jpg</t>
  </si>
  <si>
    <t>https://nematode.unl.edu/bassi2.jpg</t>
  </si>
  <si>
    <t>https://nematode.unl.edu/bassi3.jpg</t>
  </si>
  <si>
    <t>https://nematode.unl.edu/bassi4.jpg</t>
  </si>
  <si>
    <t>https://nematode.unl.edu/bassi5.jpg</t>
  </si>
  <si>
    <t>https://nematode.unl.edu/bassi6.jpg</t>
  </si>
  <si>
    <t>https://nematode.unl.edu/bassi7.jpg</t>
  </si>
  <si>
    <t>https://nematode.unl.edu/bassi8.jpg</t>
  </si>
  <si>
    <t>https://nematode.unl.edu/bassi9.jpg</t>
  </si>
  <si>
    <t>https://nematode.unl.edu/bassicmp.jpg</t>
  </si>
  <si>
    <t>https://nematode.unl.edu/basti1.jpg</t>
  </si>
  <si>
    <t>Bastiania</t>
  </si>
  <si>
    <t>Bastianiidae</t>
  </si>
  <si>
    <t>https://nematode.unl.edu/basti10.jpg</t>
  </si>
  <si>
    <t>https://nematode.unl.edu/basti11.jpg</t>
  </si>
  <si>
    <t>https://nematode.unl.edu/basti12.jpg</t>
  </si>
  <si>
    <t>https://nematode.unl.edu/basti13.jpg</t>
  </si>
  <si>
    <t>https://nematode.unl.edu/basti14.jpg</t>
  </si>
  <si>
    <t>https://nematode.unl.edu/basti15.jpg</t>
  </si>
  <si>
    <t>https://nematode.unl.edu/basti16.jpg</t>
  </si>
  <si>
    <t>https://nematode.unl.edu/basti17.jpg</t>
  </si>
  <si>
    <t>https://nematode.unl.edu/basti2.jpg</t>
  </si>
  <si>
    <t>https://nematode.unl.edu/basti3.jpg</t>
  </si>
  <si>
    <t>https://nematode.unl.edu/basti4.jpg</t>
  </si>
  <si>
    <t>https://nematode.unl.edu/basti5.jpg</t>
  </si>
  <si>
    <t>https://nematode.unl.edu/basti6.jpg</t>
  </si>
  <si>
    <t>https://nematode.unl.edu/basti7.jpg</t>
  </si>
  <si>
    <t>https://nematode.unl.edu/basti8.jpg</t>
  </si>
  <si>
    <t>https://nematode.unl.edu/basti9.jpg</t>
  </si>
  <si>
    <t>https://nematode.unl.edu/bathyoc1.jpg</t>
  </si>
  <si>
    <t>Texas potato field</t>
  </si>
  <si>
    <t>Bathyodontus cylindricus</t>
  </si>
  <si>
    <t>Bathyodontidae</t>
  </si>
  <si>
    <t>Bathyodontus</t>
  </si>
  <si>
    <t>https://nematode.unl.edu/bathyoc10.jpg</t>
  </si>
  <si>
    <t>https://nematode.unl.edu/bathyoc11.jpg</t>
  </si>
  <si>
    <t>https://nematode.unl.edu/bathyoc12.jpg</t>
  </si>
  <si>
    <t>https://nematode.unl.edu/bathyoc13.jpg</t>
  </si>
  <si>
    <t>https://nematode.unl.edu/bathyoc2.jpg</t>
  </si>
  <si>
    <t>https://nematode.unl.edu/bathyoc3.jpg</t>
  </si>
  <si>
    <t>https://nematode.unl.edu/bathyoc4.jpg</t>
  </si>
  <si>
    <t>https://nematode.unl.edu/bathyoc5.jpg</t>
  </si>
  <si>
    <t>https://nematode.unl.edu/bathyoc6.jpg</t>
  </si>
  <si>
    <t>https://nematode.unl.edu/bathyoc7.jpg</t>
  </si>
  <si>
    <t>head/stoma/tooth</t>
  </si>
  <si>
    <t>https://nematode.unl.edu/bathyoc8.jpg</t>
  </si>
  <si>
    <t>https://nematode.unl.edu/bathyoc9.jpg</t>
  </si>
  <si>
    <t>https://nematode.unl.edu/beapit1.jpg</t>
  </si>
  <si>
    <t>Belondira apitica</t>
  </si>
  <si>
    <t>Belondira</t>
  </si>
  <si>
    <t>https://nematode.unl.edu/beapit10.jpg</t>
  </si>
  <si>
    <t>https://nematode.unl.edu/beapit11.jpg</t>
  </si>
  <si>
    <t>https://nematode.unl.edu/beapit12.jpg</t>
  </si>
  <si>
    <t>https://nematode.unl.edu/beapit13.jpg</t>
  </si>
  <si>
    <t>https://nematode.unl.edu/beapit14.jpg</t>
  </si>
  <si>
    <t>https://nematode.unl.edu/beapit15.jpg</t>
  </si>
  <si>
    <t>https://nematode.unl.edu/beapit16.jpg</t>
  </si>
  <si>
    <t>https://nematode.unl.edu/beapit2.jpg</t>
  </si>
  <si>
    <t>https://nematode.unl.edu/beapit3.jpg</t>
  </si>
  <si>
    <t>https://nematode.unl.edu/beapit4.jpg</t>
  </si>
  <si>
    <t>https://nematode.unl.edu/beapit5.jpg</t>
  </si>
  <si>
    <t>https://nematode.unl.edu/beapit6.jpg</t>
  </si>
  <si>
    <t>https://nematode.unl.edu/beapit7.jpg</t>
  </si>
  <si>
    <t>https://nematode.unl.edu/beapit8.jpg</t>
  </si>
  <si>
    <t>https://nematode.unl.edu/beapit9.jpg</t>
  </si>
  <si>
    <t>https://nematode.unl.edu/belap1.jpg</t>
  </si>
  <si>
    <t>https://nematode.unl.edu/belap10.jpg</t>
  </si>
  <si>
    <t>https://nematode.unl.edu/belap11.jpg</t>
  </si>
  <si>
    <t>https://nematode.unl.edu/belap12.jpg</t>
  </si>
  <si>
    <t>https://nematode.unl.edu/belap13.jpg</t>
  </si>
  <si>
    <t>intestine</t>
  </si>
  <si>
    <t>https://nematode.unl.edu/belap14.jpg</t>
  </si>
  <si>
    <t>https://nematode.unl.edu/belap15.jpg</t>
  </si>
  <si>
    <t>https://nematode.unl.edu/belap16.jpg</t>
  </si>
  <si>
    <t>https://nematode.unl.edu/belap17.jpg</t>
  </si>
  <si>
    <t>https://nematode.unl.edu/belap18.jpg</t>
  </si>
  <si>
    <t>https://nematode.unl.edu/belap19.jpg</t>
  </si>
  <si>
    <t>https://nematode.unl.edu/belap2.jpg</t>
  </si>
  <si>
    <t>https://nematode.unl.edu/belap20.jpg</t>
  </si>
  <si>
    <t>https://nematode.unl.edu/belap21.jpg</t>
  </si>
  <si>
    <t>https://nematode.unl.edu/belap22.jpg</t>
  </si>
  <si>
    <t>https://nematode.unl.edu/belap23.jpg</t>
  </si>
  <si>
    <t>https://nematode.unl.edu/belap24.jpg</t>
  </si>
  <si>
    <t>https://nematode.unl.edu/belap25.jpg</t>
  </si>
  <si>
    <t>https://nematode.unl.edu/belap26.jpg</t>
  </si>
  <si>
    <t>https://nematode.unl.edu/belap27.jpg</t>
  </si>
  <si>
    <t>https://nematode.unl.edu/belap28.jpg</t>
  </si>
  <si>
    <t>https://nematode.unl.edu/belap29.jpg</t>
  </si>
  <si>
    <t>https://nematode.unl.edu/belap3.jpg</t>
  </si>
  <si>
    <t>posterior midbody</t>
  </si>
  <si>
    <t>https://nematode.unl.edu/belap30.jpg</t>
  </si>
  <si>
    <t>https://nematode.unl.edu/belap4.jpg</t>
  </si>
  <si>
    <t>anterior testis</t>
  </si>
  <si>
    <t>https://nematode.unl.edu/belap5.jpg</t>
  </si>
  <si>
    <t>https://nematode.unl.edu/belap6.jpg</t>
  </si>
  <si>
    <t>https://nematode.unl.edu/belap7.jpg</t>
  </si>
  <si>
    <t>https://nematode.unl.edu/belap8.jpg</t>
  </si>
  <si>
    <t>https://nematode.unl.edu/belap9.jpg</t>
  </si>
  <si>
    <t>https://nematode.unl.edu/belapcmp.jpg</t>
  </si>
  <si>
    <t>https://nematode.unl.edu/becla1.jpg</t>
  </si>
  <si>
    <t>Belondira clava</t>
  </si>
  <si>
    <t>https://nematode.unl.edu/becla10.jpg</t>
  </si>
  <si>
    <t>https://nematode.unl.edu/becla2.jpg</t>
  </si>
  <si>
    <t>https://nematode.unl.edu/becla3.jpg</t>
  </si>
  <si>
    <t>https://nematode.unl.edu/becla4.jpg</t>
  </si>
  <si>
    <t>https://nematode.unl.edu/becla5.jpg</t>
  </si>
  <si>
    <t>https://nematode.unl.edu/becla6.jpg</t>
  </si>
  <si>
    <t>https://nematode.unl.edu/becla7.jpg</t>
  </si>
  <si>
    <t>https://nematode.unl.edu/becla8.jpg</t>
  </si>
  <si>
    <t>posterior esophagus</t>
  </si>
  <si>
    <t>https://nematode.unl.edu/becla9.jpg</t>
  </si>
  <si>
    <t>https://nematode.unl.edu/bepar1.jpg</t>
  </si>
  <si>
    <t>Belondira parva</t>
  </si>
  <si>
    <t>https://nematode.unl.edu/bepar10.jpg</t>
  </si>
  <si>
    <t>https://nematode.unl.edu/bepar11.jpg</t>
  </si>
  <si>
    <t>https://nematode.unl.edu/bepar12.jpg</t>
  </si>
  <si>
    <t>https://nematode.unl.edu/bepar13.jpg</t>
  </si>
  <si>
    <t>https://nematode.unl.edu/bepar14.jpg</t>
  </si>
  <si>
    <t>https://nematode.unl.edu/bepar15.jpg</t>
  </si>
  <si>
    <t>https://nematode.unl.edu/bepar16.jpg</t>
  </si>
  <si>
    <t>https://nematode.unl.edu/bepar17.jpg</t>
  </si>
  <si>
    <t>https://nematode.unl.edu/bepar18.jpg</t>
  </si>
  <si>
    <t>https://nematode.unl.edu/bepar19.jpg</t>
  </si>
  <si>
    <t>https://nematode.unl.edu/bepar2.jpg</t>
  </si>
  <si>
    <t>https://nematode.unl.edu/bepar20.jpg</t>
  </si>
  <si>
    <t>https://nematode.unl.edu/bepar21.jpg</t>
  </si>
  <si>
    <t>https://nematode.unl.edu/bepar22.jpg</t>
  </si>
  <si>
    <t>https://nematode.unl.edu/bepar23.jpg</t>
  </si>
  <si>
    <t>https://nematode.unl.edu/bepar24.jpg</t>
  </si>
  <si>
    <t>https://nematode.unl.edu/bepar25.jpg</t>
  </si>
  <si>
    <t>https://nematode.unl.edu/bepar26.jpg</t>
  </si>
  <si>
    <t>https://nematode.unl.edu/bepar27.jpg</t>
  </si>
  <si>
    <t>https://nematode.unl.edu/bepar28.jpg</t>
  </si>
  <si>
    <t>https://nematode.unl.edu/bepar29.jpg</t>
  </si>
  <si>
    <t>https://nematode.unl.edu/bepar3.jpg</t>
  </si>
  <si>
    <t>https://nematode.unl.edu/bepar30.jpg</t>
  </si>
  <si>
    <t>https://nematode.unl.edu/bepar4.jpg</t>
  </si>
  <si>
    <t>https://nematode.unl.edu/bepar5.jpg</t>
  </si>
  <si>
    <t>https://nematode.unl.edu/bepar6.jpg</t>
  </si>
  <si>
    <t>https://nematode.unl.edu/bepar7.jpg</t>
  </si>
  <si>
    <t>https://nematode.unl.edu/bepar8.jpg</t>
  </si>
  <si>
    <t>https://nematode.unl.edu/bepar9.jpg</t>
  </si>
  <si>
    <t>https://nematode.unl.edu/beparcmp.jpg</t>
  </si>
  <si>
    <t>https://nematode.unl.edu/belons1.jpg</t>
  </si>
  <si>
    <t>Poteet, Texas</t>
  </si>
  <si>
    <t>Belonolaimus longicaudatus</t>
  </si>
  <si>
    <t>Belonolaimus</t>
  </si>
  <si>
    <t>https://nematode.unl.edu/belons2.jpg</t>
  </si>
  <si>
    <t>https://nematode.unl.edu/blong1.jpg</t>
  </si>
  <si>
    <t>https://nematode.unl.edu/blong3.jpg</t>
  </si>
  <si>
    <t>https://nematode.unl.edu/bolehed.jpg</t>
  </si>
  <si>
    <t>https://nematode.unl.edu/boletl.jpg</t>
  </si>
  <si>
    <t>https://nematode.unl.edu/bolspr.jpg</t>
  </si>
  <si>
    <t>https://nematode.unl.edu/bolvulv.jpg</t>
  </si>
  <si>
    <t>https://nematode.unl.edu/bacu1.jpg</t>
  </si>
  <si>
    <t>Boleodorus acutus</t>
  </si>
  <si>
    <t>https://nematode.unl.edu/bacu11.jpg</t>
  </si>
  <si>
    <t>https://nematode.unl.edu/bacu12.jpg</t>
  </si>
  <si>
    <t>https://nematode.unl.edu/bacu13.jpg</t>
  </si>
  <si>
    <t>https://nematode.unl.edu/bacu14.jpg</t>
  </si>
  <si>
    <t>https://nematode.unl.edu/bacu15.jpg</t>
  </si>
  <si>
    <t>https://nematode.unl.edu/bacu16.jpg</t>
  </si>
  <si>
    <t>https://nematode.unl.edu/bacu17.jpg</t>
  </si>
  <si>
    <t>https://nematode.unl.edu/bacu18.jpg</t>
  </si>
  <si>
    <t>https://nematode.unl.edu/bacu19.jpg</t>
  </si>
  <si>
    <t>https://nematode.unl.edu/bacu20.jpg</t>
  </si>
  <si>
    <t>https://nematode.unl.edu/bacu21.jpg</t>
  </si>
  <si>
    <t>https://nematode.unl.edu/bacu22.jpg</t>
  </si>
  <si>
    <t>https://nematode.unl.edu/bacu23.jpg</t>
  </si>
  <si>
    <t>https://nematode.unl.edu/bacu24.jpg</t>
  </si>
  <si>
    <t>https://nematode.unl.edu/bacu25.jpg</t>
  </si>
  <si>
    <t>https://nematode.unl.edu/bacu26.jpg</t>
  </si>
  <si>
    <t>https://nematode.unl.edu/bacu27.jpg</t>
  </si>
  <si>
    <t>https://nematode.unl.edu/bacu28.jpg</t>
  </si>
  <si>
    <t>https://nematode.unl.edu/bacu29.jpg</t>
  </si>
  <si>
    <t>https://nematode.unl.edu/bacu3.jpg</t>
  </si>
  <si>
    <t>https://nematode.unl.edu/bacu31.jpg</t>
  </si>
  <si>
    <t>https://nematode.unl.edu/bacu32.jpg</t>
  </si>
  <si>
    <t>https://nematode.unl.edu/bacu33.jpg</t>
  </si>
  <si>
    <t>https://nematode.unl.edu/bacu35.jpg</t>
  </si>
  <si>
    <t>https://nematode.unl.edu/bacu36.jpg</t>
  </si>
  <si>
    <t>https://nematode.unl.edu/bacu37.jpg</t>
  </si>
  <si>
    <t>https://nematode.unl.edu/bacu38.jpg</t>
  </si>
  <si>
    <t>https://nematode.unl.edu/bacu4.jpg</t>
  </si>
  <si>
    <t>https://nematode.unl.edu/bacu40.jpg</t>
  </si>
  <si>
    <t>https://nematode.unl.edu/bacu41.jpg</t>
  </si>
  <si>
    <t>https://nematode.unl.edu/bacu42.jpg</t>
  </si>
  <si>
    <t>https://nematode.unl.edu/bacu43.jpg</t>
  </si>
  <si>
    <t>https://nematode.unl.edu/bacu44.jpg</t>
  </si>
  <si>
    <t>https://nematode.unl.edu/bacu45.jpg</t>
  </si>
  <si>
    <t>https://nematode.unl.edu/bacu46.jpg</t>
  </si>
  <si>
    <t>https://nematode.unl.edu/bacu47.jpg</t>
  </si>
  <si>
    <t>https://nematode.unl.edu/bacu48.jpg</t>
  </si>
  <si>
    <t>https://nematode.unl.edu/bacu50.jpg</t>
  </si>
  <si>
    <t>https://nematode.unl.edu/bacu6.jpg</t>
  </si>
  <si>
    <t>https://nematode.unl.edu/bacu7.jpg</t>
  </si>
  <si>
    <t>https://nematode.unl.edu/bacu8.jpg</t>
  </si>
  <si>
    <t>https://nematode.unl.edu/bacu9.jpg</t>
  </si>
  <si>
    <t>https://nematode.unl.edu/bacucmp.jpg</t>
  </si>
  <si>
    <t>https://nematode.unl.edu/bacut1.jpg</t>
  </si>
  <si>
    <t>https://nematode.unl.edu/bacut10.jpg</t>
  </si>
  <si>
    <t>https://nematode.unl.edu/bacut2.jpg</t>
  </si>
  <si>
    <t>https://nematode.unl.edu/bacut3.jpg</t>
  </si>
  <si>
    <t>https://nematode.unl.edu/bacut4.jpg</t>
  </si>
  <si>
    <t>https://nematode.unl.edu/bacut5.jpg</t>
  </si>
  <si>
    <t>https://nematode.unl.edu/bacut6.jpg</t>
  </si>
  <si>
    <t>https://nematode.unl.edu/bacut7.jpg</t>
  </si>
  <si>
    <t>https://nematode.unl.edu/bacut8.jpg</t>
  </si>
  <si>
    <t>https://nematode.unl.edu/bacut9.jpg</t>
  </si>
  <si>
    <t>https://nematode.unl.edu/bolac1.jpg</t>
  </si>
  <si>
    <t>Homestead National Historical Park, Gage County, Nebraska</t>
  </si>
  <si>
    <t>https://nematode.unl.edu/bolac2.jpg</t>
  </si>
  <si>
    <t>https://nematode.unl.edu/bolac3.jpg</t>
  </si>
  <si>
    <t>https://nematode.unl.edu/bolac4.jpg</t>
  </si>
  <si>
    <t>https://nematode.unl.edu/bolac5.jpg</t>
  </si>
  <si>
    <t>https://nematode.unl.edu/bolac6.jpg</t>
  </si>
  <si>
    <t>https://nematode.unl.edu/bolac7.jpg</t>
  </si>
  <si>
    <t>https://nematode.unl.edu/bolac8.jpg</t>
  </si>
  <si>
    <t>https://nematode.unl.edu/bolac9.jpg</t>
  </si>
  <si>
    <t>https://nematode.unl.edu/bolsi1.jpg</t>
  </si>
  <si>
    <t>Boleodorus similis</t>
  </si>
  <si>
    <t>https://nematode.unl.edu/bolsi10.jpg</t>
  </si>
  <si>
    <t>https://nematode.unl.edu/bolsi11.jpg</t>
  </si>
  <si>
    <t>https://nematode.unl.edu/bolsi12.jpg</t>
  </si>
  <si>
    <t>https://nematode.unl.edu/bolsi13.jpg</t>
  </si>
  <si>
    <t>https://nematode.unl.edu/bolsi14.jpg</t>
  </si>
  <si>
    <t>https://nematode.unl.edu/bolsi15.jpg</t>
  </si>
  <si>
    <t>https://nematode.unl.edu/bolsi16.jpg</t>
  </si>
  <si>
    <t>https://nematode.unl.edu/bolsi17.jpg</t>
  </si>
  <si>
    <t>https://nematode.unl.edu/bolsi18.jpg</t>
  </si>
  <si>
    <t>https://nematode.unl.edu/bolsi2.jpg</t>
  </si>
  <si>
    <t>https://nematode.unl.edu/bolsi3.jpg</t>
  </si>
  <si>
    <t>https://nematode.unl.edu/bolsi4.jpg</t>
  </si>
  <si>
    <t>https://nematode.unl.edu/bolsi5.jpg</t>
  </si>
  <si>
    <t>https://nematode.unl.edu/bolsi6.jpg</t>
  </si>
  <si>
    <t>https://nematode.unl.edu/bolsi7.jpg</t>
  </si>
  <si>
    <t>https://nematode.unl.edu/bolsi8.jpg</t>
  </si>
  <si>
    <t>https://nematode.unl.edu/bolsi9.jpg</t>
  </si>
  <si>
    <t>https://nematode.unl.edu/bolsicmp.jpg</t>
  </si>
  <si>
    <t>https://nematode.unl.edu/both1.jpg</t>
  </si>
  <si>
    <t>Boleodorus thylactus</t>
  </si>
  <si>
    <t>https://nematode.unl.edu/both10.jpg</t>
  </si>
  <si>
    <t>https://nematode.unl.edu/both11.jpg</t>
  </si>
  <si>
    <t>https://nematode.unl.edu/both12.jpg</t>
  </si>
  <si>
    <t>https://nematode.unl.edu/both13.jpg</t>
  </si>
  <si>
    <t>https://nematode.unl.edu/both14.jpg</t>
  </si>
  <si>
    <t>https://nematode.unl.edu/both15.jpg</t>
  </si>
  <si>
    <t>https://nematode.unl.edu/both16.jpg</t>
  </si>
  <si>
    <t>https://nematode.unl.edu/both17.jpg</t>
  </si>
  <si>
    <t>https://nematode.unl.edu/both18.jpg</t>
  </si>
  <si>
    <t>https://nematode.unl.edu/both19.jpg</t>
  </si>
  <si>
    <t>https://nematode.unl.edu/both2.jpg</t>
  </si>
  <si>
    <t>https://nematode.unl.edu/both20.jpg</t>
  </si>
  <si>
    <t>https://nematode.unl.edu/both21.jpg</t>
  </si>
  <si>
    <t>https://nematode.unl.edu/both3.jpg</t>
  </si>
  <si>
    <t>https://nematode.unl.edu/both4.jpg</t>
  </si>
  <si>
    <t>https://nematode.unl.edu/both5.jpg</t>
  </si>
  <si>
    <t>https://nematode.unl.edu/both6.jpg</t>
  </si>
  <si>
    <t>https://nematode.unl.edu/both7.jpg</t>
  </si>
  <si>
    <t>https://nematode.unl.edu/both8.jpg</t>
  </si>
  <si>
    <t>https://nematode.unl.edu/both9.jpg</t>
  </si>
  <si>
    <t>https://nematode.unl.edu/bothcmp.jpg</t>
  </si>
  <si>
    <t>https://nematode.unl.edu/bothyl1.jpg</t>
  </si>
  <si>
    <t>https://nematode.unl.edu/bothyl2.jpg</t>
  </si>
  <si>
    <t>https://nematode.unl.edu/bothyl3.jpg</t>
  </si>
  <si>
    <t>https://nematode.unl.edu/bothyl4.jpg</t>
  </si>
  <si>
    <t>https://nematode.unl.edu/bothyl5.jpg</t>
  </si>
  <si>
    <t>https://nematode.unl.edu/bthhead.jpg</t>
  </si>
  <si>
    <t>Keim Hall - Campus Maps , University of Nebraska,Nebraska</t>
  </si>
  <si>
    <t>https://nematode.unl.edu/bthtail.jpg</t>
  </si>
  <si>
    <t>https://nematode.unl.edu/bunon1.jpg</t>
  </si>
  <si>
    <t>Bunonema</t>
  </si>
  <si>
    <t>Bunonematidae</t>
  </si>
  <si>
    <t>https://nematode.unl.edu/bunon10.jpg</t>
  </si>
  <si>
    <t>https://nematode.unl.edu/bunon11.jpg</t>
  </si>
  <si>
    <t>https://nematode.unl.edu/bunon12.jpg</t>
  </si>
  <si>
    <t>https://nematode.unl.edu/bunon13.jpg</t>
  </si>
  <si>
    <t>https://nematode.unl.edu/bunon14.jpg</t>
  </si>
  <si>
    <t>https://nematode.unl.edu/bunon15.jpg</t>
  </si>
  <si>
    <t>https://nematode.unl.edu/bunon16.jpg</t>
  </si>
  <si>
    <t>https://nematode.unl.edu/bunon17.jpg</t>
  </si>
  <si>
    <t>https://nematode.unl.edu/bunon18.jpg</t>
  </si>
  <si>
    <t>armor</t>
  </si>
  <si>
    <t>https://nematode.unl.edu/bunon19.jpg</t>
  </si>
  <si>
    <t>https://nematode.unl.edu/bunon2.jpg</t>
  </si>
  <si>
    <t>https://nematode.unl.edu/bunon20.jpg</t>
  </si>
  <si>
    <t>https://nematode.unl.edu/bunon21.jpg</t>
  </si>
  <si>
    <t>https://nematode.unl.edu/bunon22.jpg</t>
  </si>
  <si>
    <t>https://nematode.unl.edu/bunon23.jpg</t>
  </si>
  <si>
    <t>https://nematode.unl.edu/bunon24.jpg</t>
  </si>
  <si>
    <t>https://nematode.unl.edu/bunon25.jpg</t>
  </si>
  <si>
    <t>https://nematode.unl.edu/bunon26.jpg</t>
  </si>
  <si>
    <t>https://nematode.unl.edu/bunon3.jpg</t>
  </si>
  <si>
    <t>https://nematode.unl.edu/bunon4.jpg</t>
  </si>
  <si>
    <t>https://nematode.unl.edu/bunon5.jpg</t>
  </si>
  <si>
    <t>https://nematode.unl.edu/bunon6.jpg</t>
  </si>
  <si>
    <t>https://nematode.unl.edu/bunon7.jpg</t>
  </si>
  <si>
    <t>https://nematode.unl.edu/bunon8.jpg</t>
  </si>
  <si>
    <t>https://nematode.unl.edu/bunon9.jpg</t>
  </si>
  <si>
    <t>https://nematode.unl.edu/bunsa1.jpg</t>
  </si>
  <si>
    <t>https://nematode.unl.edu/bunsa2.jpg</t>
  </si>
  <si>
    <t>https://nematode.unl.edu/bunsa3.jpg</t>
  </si>
  <si>
    <t>https://nematode.unl.edu/bunsa4.jpg</t>
  </si>
  <si>
    <t>https://nematode.unl.edu/bunsa5.jpg</t>
  </si>
  <si>
    <t>https://nematode.unl.edu/bunsa6.jpg</t>
  </si>
  <si>
    <t>https://nematode.unl.edu/bunsa7.jpg</t>
  </si>
  <si>
    <t>https://nematode.unl.edu/bunsa8.jpg</t>
  </si>
  <si>
    <t>https://nematode.unl.edu/bunsb1.jpg</t>
  </si>
  <si>
    <t>https://nematode.unl.edu/bunsb2.jpg</t>
  </si>
  <si>
    <t>https://nematode.unl.edu/bunsb3.jpg</t>
  </si>
  <si>
    <t>https://nematode.unl.edu/bunsb4.jpg</t>
  </si>
  <si>
    <t>https://nematode.unl.edu/bretic1.jpg</t>
  </si>
  <si>
    <t>Bunonema reticulatum</t>
  </si>
  <si>
    <t>https://nematode.unl.edu/bretic2.jpg</t>
  </si>
  <si>
    <t>https://nematode.unl.edu/bretic3.jpg</t>
  </si>
  <si>
    <t>https://nematode.unl.edu/bretic4.jpg</t>
  </si>
  <si>
    <t>https://nematode.unl.edu/bretic5.jpg</t>
  </si>
  <si>
    <t>amour</t>
  </si>
  <si>
    <t>https://nematode.unl.edu/bretic6.jpg</t>
  </si>
  <si>
    <t>https://nematode.unl.edu/bursap1.jpg</t>
  </si>
  <si>
    <t>Lincoln, Nebraska</t>
  </si>
  <si>
    <t>Scotch Pine</t>
  </si>
  <si>
    <t>Bursaphelenchus</t>
  </si>
  <si>
    <t>https://nematode.unl.edu/bursap2.jpg</t>
  </si>
  <si>
    <t>https://nematode.unl.edu/bursap3.jpg</t>
  </si>
  <si>
    <t>https://nematode.unl.edu/bursap4.jpg</t>
  </si>
  <si>
    <t>https://nematode.unl.edu/bursap5.jpg</t>
  </si>
  <si>
    <t>https://nematode.unl.edu/buxy1.jpg</t>
  </si>
  <si>
    <t>Falls City, Nebraska</t>
  </si>
  <si>
    <t>Bursaphelenchus xylophilus</t>
  </si>
  <si>
    <t>https://nematode.unl.edu/buxy10.jpg</t>
  </si>
  <si>
    <t>https://nematode.unl.edu/buxy11.jpg</t>
  </si>
  <si>
    <t>https://nematode.unl.edu/buxy12.jpg</t>
  </si>
  <si>
    <t>https://nematode.unl.edu/buxy13.jpg</t>
  </si>
  <si>
    <t>https://nematode.unl.edu/buxy14.jpg</t>
  </si>
  <si>
    <t>https://nematode.unl.edu/buxy15.jpg</t>
  </si>
  <si>
    <t>https://nematode.unl.edu/buxy16.jpg</t>
  </si>
  <si>
    <t>https://nematode.unl.edu/buxy17.jpg</t>
  </si>
  <si>
    <t>https://nematode.unl.edu/buxy18.jpg</t>
  </si>
  <si>
    <t>https://nematode.unl.edu/buxy19.jpg</t>
  </si>
  <si>
    <t>https://nematode.unl.edu/buxy2.jpg</t>
  </si>
  <si>
    <t>https://nematode.unl.edu/buxy20.jpg</t>
  </si>
  <si>
    <t>https://nematode.unl.edu/buxy21.jpg</t>
  </si>
  <si>
    <t>https://nematode.unl.edu/buxy22.jpg</t>
  </si>
  <si>
    <t>dorsal gland orifice</t>
  </si>
  <si>
    <t>https://nematode.unl.edu/buxy23.jpg</t>
  </si>
  <si>
    <t>https://nematode.unl.edu/buxy24.jpg</t>
  </si>
  <si>
    <t>https://nematode.unl.edu/buxy25.jpg</t>
  </si>
  <si>
    <t>https://nematode.unl.edu/buxy26.jpg</t>
  </si>
  <si>
    <t>https://nematode.unl.edu/buxy27.jpg</t>
  </si>
  <si>
    <t>https://nematode.unl.edu/buxy28.jpg</t>
  </si>
  <si>
    <t>https://nematode.unl.edu/buxy29.jpg</t>
  </si>
  <si>
    <t>https://nematode.unl.edu/buxy3.jpg</t>
  </si>
  <si>
    <t>https://nematode.unl.edu/buxy30.jpg</t>
  </si>
  <si>
    <t>https://nematode.unl.edu/buxy31.jpg</t>
  </si>
  <si>
    <t>https://nematode.unl.edu/buxy4.jpg</t>
  </si>
  <si>
    <t>https://nematode.unl.edu/buxy5.jpg</t>
  </si>
  <si>
    <t>https://nematode.unl.edu/buxy6.jpg</t>
  </si>
  <si>
    <t>https://nematode.unl.edu/buxy7.jpg</t>
  </si>
  <si>
    <t>https://nematode.unl.edu/buxy8.jpg</t>
  </si>
  <si>
    <t>https://nematode.unl.edu/buxy9.jpg</t>
  </si>
  <si>
    <t>https://nematode.unl.edu/cactesh1.jpg</t>
  </si>
  <si>
    <t>https://nematode.unl.edu/cactesh2.jpg</t>
  </si>
  <si>
    <t>https://nematode.unl.edu/cactesh3.jpg</t>
  </si>
  <si>
    <t>https://nematode.unl.edu/cactesh5.jpg</t>
  </si>
  <si>
    <t>oesophageal overlap</t>
  </si>
  <si>
    <t>https://nematode.unl.edu/cactesh6.jpg</t>
  </si>
  <si>
    <t>https://nematode.unl.edu/cactesh7.jpg</t>
  </si>
  <si>
    <t>https://nematode.unl.edu/cactesh8.jpg</t>
  </si>
  <si>
    <t>https://nematode.unl.edu/cactode1.jpg</t>
  </si>
  <si>
    <t>Niobrara River,  Nebraska</t>
  </si>
  <si>
    <t>https://nematode.unl.edu/cactode10.jpg</t>
  </si>
  <si>
    <t>https://nematode.unl.edu/cactode11.jpg</t>
  </si>
  <si>
    <t>https://nematode.unl.edu/cactode12.jpg</t>
  </si>
  <si>
    <t>https://nematode.unl.edu/cactode13.jpg</t>
  </si>
  <si>
    <t>https://nematode.unl.edu/cactode14.jpg</t>
  </si>
  <si>
    <t>https://nematode.unl.edu/cactode15.jpg</t>
  </si>
  <si>
    <t>https://nematode.unl.edu/cactode16.jpg</t>
  </si>
  <si>
    <t>https://nematode.unl.edu/cactode17.jpg</t>
  </si>
  <si>
    <t>https://nematode.unl.edu/cactode18.jpg</t>
  </si>
  <si>
    <t>https://nematode.unl.edu/cactode19.jpg</t>
  </si>
  <si>
    <t>https://nematode.unl.edu/cactode2.jpg</t>
  </si>
  <si>
    <t>https://nematode.unl.edu/cactode20.jpg</t>
  </si>
  <si>
    <t>https://nematode.unl.edu/cactode21.jpg</t>
  </si>
  <si>
    <t>https://nematode.unl.edu/cactode22.jpg</t>
  </si>
  <si>
    <t>https://nematode.unl.edu/cactode23.jpg</t>
  </si>
  <si>
    <t>https://nematode.unl.edu/cactode24.jpg</t>
  </si>
  <si>
    <t>https://nematode.unl.edu/cactode3.jpg</t>
  </si>
  <si>
    <t>https://nematode.unl.edu/cactode4.jpg</t>
  </si>
  <si>
    <t>https://nematode.unl.edu/cactode5.jpg</t>
  </si>
  <si>
    <t>https://nematode.unl.edu/cactode6.jpg</t>
  </si>
  <si>
    <t>https://nematode.unl.edu/cactode7.jpg</t>
  </si>
  <si>
    <t>https://nematode.unl.edu/cactode8.jpg</t>
  </si>
  <si>
    <t>https://nematode.unl.edu/cactode9.jpg</t>
  </si>
  <si>
    <t>https://nematode.unl.edu/cactowyo1.jpg</t>
  </si>
  <si>
    <t>Laramie, Wyoming</t>
  </si>
  <si>
    <t>https://nematode.unl.edu/cactowyo2.jpg</t>
  </si>
  <si>
    <t>https://nematode.unl.edu/cactowyo3.jpg</t>
  </si>
  <si>
    <t>https://nematode.unl.edu/cactowyo4.jpg</t>
  </si>
  <si>
    <t>https://nematode.unl.edu/cactowyo5.jpg</t>
  </si>
  <si>
    <t>https://nematode.unl.edu/cactowyo6.jpg</t>
  </si>
  <si>
    <t>https://nematode.unl.edu/cactow1.jpg</t>
  </si>
  <si>
    <t>cyst</t>
  </si>
  <si>
    <t>63X</t>
  </si>
  <si>
    <t>Cactodera weissi</t>
  </si>
  <si>
    <t>https://nematode.unl.edu/cactow2.jpg</t>
  </si>
  <si>
    <t>https://nematode.unl.edu/cactow5.jpg</t>
  </si>
  <si>
    <t>https://nematode.unl.edu/cactowe1.jpg</t>
  </si>
  <si>
    <t>Douglas County, Colorado</t>
  </si>
  <si>
    <t>https://nematode.unl.edu/cactowe2.jpg</t>
  </si>
  <si>
    <t>https://nematode.unl.edu/caenor1.jpg</t>
  </si>
  <si>
    <t>Caenorhabditis</t>
  </si>
  <si>
    <t>https://nematode.unl.edu/caenor2.jpg</t>
  </si>
  <si>
    <t>https://nematode.unl.edu/caenor3.jpg</t>
  </si>
  <si>
    <t>https://nematode.unl.edu/caenor4.jpg</t>
  </si>
  <si>
    <t>https://nematode.unl.edu/caenor5.jpg</t>
  </si>
  <si>
    <t>https://nematode.unl.edu/calicy1.jpg</t>
  </si>
  <si>
    <t>Arkansas</t>
  </si>
  <si>
    <t>Redbud</t>
  </si>
  <si>
    <t>Californidorus cylindricaudatus</t>
  </si>
  <si>
    <t>Californidorus</t>
  </si>
  <si>
    <t>https://nematode.unl.edu/calicy2.jpg</t>
  </si>
  <si>
    <t>https://nematode.unl.edu/calicy3.jpg</t>
  </si>
  <si>
    <t>https://nematode.unl.edu/calicy4.jpg</t>
  </si>
  <si>
    <t>https://nematode.unl.edu/calicy5.jpg</t>
  </si>
  <si>
    <t>https://nematode.unl.edu/calicy6.jpg</t>
  </si>
  <si>
    <t>https://nematode.unl.edu/calicy7.jpg</t>
  </si>
  <si>
    <t>https://nematode.unl.edu/calodo1.jpg</t>
  </si>
  <si>
    <t>Minnesota</t>
  </si>
  <si>
    <t>Calodorylaimus</t>
  </si>
  <si>
    <t>https://nematode.unl.edu/calodo2.jpg</t>
  </si>
  <si>
    <t>https://nematode.unl.edu/calodo3.jpg</t>
  </si>
  <si>
    <t>https://nematode.unl.edu/calodo4.jpg</t>
  </si>
  <si>
    <t>https://nematode.unl.edu/calodo5.jpg</t>
  </si>
  <si>
    <t>https://nematode.unl.edu/calodo6.jpg</t>
  </si>
  <si>
    <t>https://nematode.unl.edu/calodo7.jpg</t>
  </si>
  <si>
    <t>https://nematode.unl.edu/calodo8.jpg</t>
  </si>
  <si>
    <t>https://nematode.unl.edu/camde1.jpg</t>
  </si>
  <si>
    <t>Campydora demonstrans</t>
  </si>
  <si>
    <t>Campydoridae</t>
  </si>
  <si>
    <t>Campydora</t>
  </si>
  <si>
    <t>https://nematode.unl.edu/camde10.jpg</t>
  </si>
  <si>
    <t>https://nematode.unl.edu/camde11.jpg</t>
  </si>
  <si>
    <t>https://nematode.unl.edu/camde12.jpg</t>
  </si>
  <si>
    <t>https://nematode.unl.edu/camde13.jpg</t>
  </si>
  <si>
    <t>https://nematode.unl.edu/camde14.jpg</t>
  </si>
  <si>
    <t>https://nematode.unl.edu/camde2.jpg</t>
  </si>
  <si>
    <t>https://nematode.unl.edu/camde3.jpg</t>
  </si>
  <si>
    <t>https://nematode.unl.edu/camde4.jpg</t>
  </si>
  <si>
    <t>https://nematode.unl.edu/camde5.jpg</t>
  </si>
  <si>
    <t>https://nematode.unl.edu/camde6.jpg</t>
  </si>
  <si>
    <t>https://nematode.unl.edu/camde7.jpg</t>
  </si>
  <si>
    <t>https://nematode.unl.edu/camde8.jpg</t>
  </si>
  <si>
    <t>https://nematode.unl.edu/camde9.jpg</t>
  </si>
  <si>
    <t>https://nematode.unl.edu/camdecmp.jpg</t>
  </si>
  <si>
    <t>https://nematode.unl.edu/campde1.jpg</t>
  </si>
  <si>
    <t>https://nematode.unl.edu/campde10.jpg</t>
  </si>
  <si>
    <t>https://nematode.unl.edu/campde11.jpg</t>
  </si>
  <si>
    <t>https://nematode.unl.edu/campde12.jpg</t>
  </si>
  <si>
    <t>https://nematode.unl.edu/campde2.jpg</t>
  </si>
  <si>
    <t>https://nematode.unl.edu/campde3.jpg</t>
  </si>
  <si>
    <t>https://nematode.unl.edu/campde4.jpg</t>
  </si>
  <si>
    <t>https://nematode.unl.edu/campde5.jpg</t>
  </si>
  <si>
    <t>https://nematode.unl.edu/campde6.jpg</t>
  </si>
  <si>
    <t>https://nematode.unl.edu/campde7.jpg</t>
  </si>
  <si>
    <t>https://nematode.unl.edu/campde8.jpg</t>
  </si>
  <si>
    <t>https://nematode.unl.edu/campde9.jpg</t>
  </si>
  <si>
    <t>https://nematode.unl.edu/capilo1.jpg</t>
  </si>
  <si>
    <t>Mount Rushmore National Memorial, South Dakota</t>
  </si>
  <si>
    <t>Capilonchus</t>
  </si>
  <si>
    <t>Tylencholaimidae</t>
  </si>
  <si>
    <t>https://nematode.unl.edu/capilo2.jpg</t>
  </si>
  <si>
    <t>https://nematode.unl.edu/capilo3.jpg</t>
  </si>
  <si>
    <t>https://nematode.unl.edu/capilo4.jpg</t>
  </si>
  <si>
    <t>https://nematode.unl.edu/capilo5.jpg</t>
  </si>
  <si>
    <t>https://nematode.unl.edu/carcharolaimus_head2.jpg</t>
  </si>
  <si>
    <t>Carcharolaimus teres</t>
  </si>
  <si>
    <t>Carcharolaimus</t>
  </si>
  <si>
    <t>https://nematode.unl.edu/carter1.jpg</t>
  </si>
  <si>
    <t>Ord, Nebraska</t>
  </si>
  <si>
    <t>https://nematode.unl.edu/carter2.jpg</t>
  </si>
  <si>
    <t>https://nematode.unl.edu/carter3.jpg</t>
  </si>
  <si>
    <t>https://nematode.unl.edu/carter4.jpg</t>
  </si>
  <si>
    <t>https://nematode.unl.edu/carter5.jpg</t>
  </si>
  <si>
    <t>https://nematode.unl.edu/cater1.jpg</t>
  </si>
  <si>
    <t>Texas</t>
  </si>
  <si>
    <t>https://nematode.unl.edu/cater10.jpg</t>
  </si>
  <si>
    <t>https://nematode.unl.edu/cater2.jpg</t>
  </si>
  <si>
    <t>https://nematode.unl.edu/cater3.jpg</t>
  </si>
  <si>
    <t>https://nematode.unl.edu/cater4.jpg</t>
  </si>
  <si>
    <t>https://nematode.unl.edu/cater5.jpg</t>
  </si>
  <si>
    <t>DO</t>
  </si>
  <si>
    <t>https://nematode.unl.edu/cater6.jpg</t>
  </si>
  <si>
    <t>https://nematode.unl.edu/cater7.jpg</t>
  </si>
  <si>
    <t>VS LO</t>
  </si>
  <si>
    <t>https://nematode.unl.edu/cater8.jpg</t>
  </si>
  <si>
    <t>https://nematode.unl.edu/cater9.jpg</t>
  </si>
  <si>
    <t>https://nematode.unl.edu/cepha1.jpg</t>
  </si>
  <si>
    <t>https://nematode.unl.edu/cepha10.jpg</t>
  </si>
  <si>
    <t>https://nematode.unl.edu/cepha11.jpg</t>
  </si>
  <si>
    <t>https://nematode.unl.edu/cepha12.jpg</t>
  </si>
  <si>
    <t>https://nematode.unl.edu/cepha13.jpg</t>
  </si>
  <si>
    <t>https://nematode.unl.edu/cepha14.jpg</t>
  </si>
  <si>
    <t>https://nematode.unl.edu/cepha15.jpg</t>
  </si>
  <si>
    <t>https://nematode.unl.edu/cepha16.jpg</t>
  </si>
  <si>
    <t>https://nematode.unl.edu/cepha17.jpg</t>
  </si>
  <si>
    <t>https://nematode.unl.edu/cepha18.jpg</t>
  </si>
  <si>
    <t>https://nematode.unl.edu/cepha19.jpg</t>
  </si>
  <si>
    <t>https://nematode.unl.edu/cepha2.jpg</t>
  </si>
  <si>
    <t>https://nematode.unl.edu/cepha3.jpg</t>
  </si>
  <si>
    <t>https://nematode.unl.edu/cepha4.jpg</t>
  </si>
  <si>
    <t>https://nematode.unl.edu/cepha5.jpg</t>
  </si>
  <si>
    <t>https://nematode.unl.edu/cepha6.jpg</t>
  </si>
  <si>
    <t>https://nematode.unl.edu/cepha7.jpg</t>
  </si>
  <si>
    <t>https://nematode.unl.edu/cepha8.jpg</t>
  </si>
  <si>
    <t>https://nematode.unl.edu/cepha9.jpg</t>
  </si>
  <si>
    <t>https://nematode.unl.edu/cephal1.jpg</t>
  </si>
  <si>
    <t>https://nematode.unl.edu/cephal10.jpg</t>
  </si>
  <si>
    <t>https://nematode.unl.edu/cephal2.jpg</t>
  </si>
  <si>
    <t>https://nematode.unl.edu/cephal3.jpg</t>
  </si>
  <si>
    <t>https://nematode.unl.edu/cephal4.jpg</t>
  </si>
  <si>
    <t>https://nematode.unl.edu/cephal5.jpg</t>
  </si>
  <si>
    <t>https://nematode.unl.edu/cephal6.jpg</t>
  </si>
  <si>
    <t>https://nematode.unl.edu/cephal7.jpg</t>
  </si>
  <si>
    <t>https://nematode.unl.edu/cephal8.jpg</t>
  </si>
  <si>
    <t>https://nematode.unl.edu/cephal9.jpg</t>
  </si>
  <si>
    <t>https://nematode.unl.edu/cephas1.jpg</t>
  </si>
  <si>
    <t>https://nematode.unl.edu/cervid1.jpg</t>
  </si>
  <si>
    <t>https://nematode.unl.edu/cervid2.jpg</t>
  </si>
  <si>
    <t>https://nematode.unl.edu/cervid3.jpg</t>
  </si>
  <si>
    <t>https://nematode.unl.edu/cervid4.jpg</t>
  </si>
  <si>
    <t>https://nematode.unl.edu/chilo1.jpg</t>
  </si>
  <si>
    <t>Chiloplacus propinquus</t>
  </si>
  <si>
    <t>Chiloplacus</t>
  </si>
  <si>
    <t>https://nematode.unl.edu/chilo10.jpg</t>
  </si>
  <si>
    <t>https://nematode.unl.edu/chilo11.jpg</t>
  </si>
  <si>
    <t>https://nematode.unl.edu/chilo12.jpg</t>
  </si>
  <si>
    <t>https://nematode.unl.edu/chilo13.jpg</t>
  </si>
  <si>
    <t>https://nematode.unl.edu/chilo2.jpg</t>
  </si>
  <si>
    <t>https://nematode.unl.edu/chilo3.jpg</t>
  </si>
  <si>
    <t>https://nematode.unl.edu/chilo4.jpg</t>
  </si>
  <si>
    <t>https://nematode.unl.edu/chilo5.jpg</t>
  </si>
  <si>
    <t>https://nematode.unl.edu/chilo6.jpg</t>
  </si>
  <si>
    <t>https://nematode.unl.edu/chilo7.jpg</t>
  </si>
  <si>
    <t>https://nematode.unl.edu/chilo8.jpg</t>
  </si>
  <si>
    <t>https://nematode.unl.edu/chilo9.jpg</t>
  </si>
  <si>
    <t>https://nematode.unl.edu/chilos1.jpg</t>
  </si>
  <si>
    <t>Chiloplacus symmetricus</t>
  </si>
  <si>
    <t>https://nematode.unl.edu/chilos10.jpg</t>
  </si>
  <si>
    <t>https://nematode.unl.edu/chilos11.jpg</t>
  </si>
  <si>
    <t>https://nematode.unl.edu/chilos12.jpg</t>
  </si>
  <si>
    <t>https://nematode.unl.edu/chilos13.jpg</t>
  </si>
  <si>
    <t>https://nematode.unl.edu/chilos14.jpg</t>
  </si>
  <si>
    <t>https://nematode.unl.edu/chilos15.jpg</t>
  </si>
  <si>
    <t>https://nematode.unl.edu/chilos16.jpg</t>
  </si>
  <si>
    <t>https://nematode.unl.edu/chilos17.jpg</t>
  </si>
  <si>
    <t>https://nematode.unl.edu/chilos18.jpg</t>
  </si>
  <si>
    <t>https://nematode.unl.edu/chilos19.jpg</t>
  </si>
  <si>
    <t>https://nematode.unl.edu/chilos2.jpg</t>
  </si>
  <si>
    <t>https://nematode.unl.edu/chilos20.jpg</t>
  </si>
  <si>
    <t>https://nematode.unl.edu/chilos21.jpg</t>
  </si>
  <si>
    <t>mid esophagus</t>
  </si>
  <si>
    <t>https://nematode.unl.edu/chilos22.jpg</t>
  </si>
  <si>
    <t>https://nematode.unl.edu/chilos23.jpg</t>
  </si>
  <si>
    <t>https://nematode.unl.edu/chilos24.jpg</t>
  </si>
  <si>
    <t>https://nematode.unl.edu/chilos25.jpg</t>
  </si>
  <si>
    <t>https://nematode.unl.edu/chilos26.jpg</t>
  </si>
  <si>
    <t>https://nematode.unl.edu/chilos27.jpg</t>
  </si>
  <si>
    <t>https://nematode.unl.edu/chilos28.jpg</t>
  </si>
  <si>
    <t>https://nematode.unl.edu/chilos29.jpg</t>
  </si>
  <si>
    <t>https://nematode.unl.edu/chilos3.jpg</t>
  </si>
  <si>
    <t>https://nematode.unl.edu/chilos30.jpg</t>
  </si>
  <si>
    <t>https://nematode.unl.edu/chilos31.jpg</t>
  </si>
  <si>
    <t>https://nematode.unl.edu/chilos32.jpg</t>
  </si>
  <si>
    <t>https://nematode.unl.edu/chilos33.jpg</t>
  </si>
  <si>
    <t>https://nematode.unl.edu/chilos34.jpg</t>
  </si>
  <si>
    <t>https://nematode.unl.edu/chilos35.jpg</t>
  </si>
  <si>
    <t>https://nematode.unl.edu/chilos36.jpg</t>
  </si>
  <si>
    <t>https://nematode.unl.edu/chilos37.jpg</t>
  </si>
  <si>
    <t>https://nematode.unl.edu/chilos38.jpg</t>
  </si>
  <si>
    <t>https://nematode.unl.edu/chilos39.jpg</t>
  </si>
  <si>
    <t>https://nematode.unl.edu/chilos40.jpg</t>
  </si>
  <si>
    <t>https://nematode.unl.edu/chilos41.jpg</t>
  </si>
  <si>
    <t>https://nematode.unl.edu/chilos42.jpg</t>
  </si>
  <si>
    <t>https://nematode.unl.edu/chilos43.jpg</t>
  </si>
  <si>
    <t>https://nematode.unl.edu/chilos44.jpg</t>
  </si>
  <si>
    <t>https://nematode.unl.edu/chilos45.jpg</t>
  </si>
  <si>
    <t>https://nematode.unl.edu/chilos46.jpg</t>
  </si>
  <si>
    <t>https://nematode.unl.edu/chilos47.jpg</t>
  </si>
  <si>
    <t>https://nematode.unl.edu/chilos5.jpg</t>
  </si>
  <si>
    <t>https://nematode.unl.edu/chilos6.jpg</t>
  </si>
  <si>
    <t>https://nematode.unl.edu/chilos7.jpg</t>
  </si>
  <si>
    <t>https://nematode.unl.edu/chilos8.jpg</t>
  </si>
  <si>
    <t>https://nematode.unl.edu/chilos9.jpg</t>
  </si>
  <si>
    <t>https://nematode.unl.edu/chiple1.jpg</t>
  </si>
  <si>
    <t>Chiloplectus</t>
  </si>
  <si>
    <t>https://nematode.unl.edu/chiple10.jpg</t>
  </si>
  <si>
    <t>https://nematode.unl.edu/chiple11.jpg</t>
  </si>
  <si>
    <t>https://nematode.unl.edu/chiple12.jpg</t>
  </si>
  <si>
    <t>https://nematode.unl.edu/chiple13.jpg</t>
  </si>
  <si>
    <t>https://nematode.unl.edu/chiple14.jpg</t>
  </si>
  <si>
    <t>https://nematode.unl.edu/chiple15.jpg</t>
  </si>
  <si>
    <t>https://nematode.unl.edu/chiple16.jpg</t>
  </si>
  <si>
    <t>https://nematode.unl.edu/chiple17.jpg</t>
  </si>
  <si>
    <t>https://nematode.unl.edu/chiple2.jpg</t>
  </si>
  <si>
    <t>https://nematode.unl.edu/chiple3.jpg</t>
  </si>
  <si>
    <t>https://nematode.unl.edu/chiple4.jpg</t>
  </si>
  <si>
    <t>https://nematode.unl.edu/chiple5.jpg</t>
  </si>
  <si>
    <t>https://nematode.unl.edu/chiple6.jpg</t>
  </si>
  <si>
    <t>https://nematode.unl.edu/chiple7.jpg</t>
  </si>
  <si>
    <t>https://nematode.unl.edu/chiple8.jpg</t>
  </si>
  <si>
    <t>https://nematode.unl.edu/chiple9.jpg</t>
  </si>
  <si>
    <t>https://nematode.unl.edu/chronog1.jpg</t>
  </si>
  <si>
    <t>Chronogaster</t>
  </si>
  <si>
    <t>Chronogastridae</t>
  </si>
  <si>
    <t>https://nematode.unl.edu/clap1.jpg</t>
  </si>
  <si>
    <t>Clarkus papillatus</t>
  </si>
  <si>
    <t>Mononchidae</t>
  </si>
  <si>
    <t>Clarkus</t>
  </si>
  <si>
    <t>https://nematode.unl.edu/clap10.jpg</t>
  </si>
  <si>
    <t>https://nematode.unl.edu/clap11.jpg</t>
  </si>
  <si>
    <t>https://nematode.unl.edu/clap12.jpg</t>
  </si>
  <si>
    <t>https://nematode.unl.edu/clap2.jpg</t>
  </si>
  <si>
    <t>https://nematode.unl.edu/clap3.jpg</t>
  </si>
  <si>
    <t>https://nematode.unl.edu/clap4.jpg</t>
  </si>
  <si>
    <t>https://nematode.unl.edu/clap5.jpg</t>
  </si>
  <si>
    <t>https://nematode.unl.edu/clap6.jpg</t>
  </si>
  <si>
    <t>https://nematode.unl.edu/clap7.jpg</t>
  </si>
  <si>
    <t>https://nematode.unl.edu/clap8.jpg</t>
  </si>
  <si>
    <t>https://nematode.unl.edu/clap9.jpg</t>
  </si>
  <si>
    <t>https://nematode.unl.edu/clavoid1.jpg</t>
  </si>
  <si>
    <t>Clavicaudoides</t>
  </si>
  <si>
    <t>https://nematode.unl.edu/clavoid2.jpg</t>
  </si>
  <si>
    <t>https://nematode.unl.edu/clavoid3.jpg</t>
  </si>
  <si>
    <t>https://nematode.unl.edu/clavoid4.jpg</t>
  </si>
  <si>
    <t>https://nematode.unl.edu/clavoid5.jpg</t>
  </si>
  <si>
    <t>https://nematode.unl.edu/clavoid6.jpg</t>
  </si>
  <si>
    <t>https://nematode.unl.edu/clavoid7.jpg</t>
  </si>
  <si>
    <t>https://nematode.unl.edu/clavoid8.jpg</t>
  </si>
  <si>
    <t>https://nematode.unl.edu/clavoid9.jpg</t>
  </si>
  <si>
    <t>https://nematode.unl.edu/cobbo1.jpg</t>
  </si>
  <si>
    <t>Cobbonchus</t>
  </si>
  <si>
    <t>https://nematode.unl.edu/cobbo2.jpg</t>
  </si>
  <si>
    <t>esophagus base</t>
  </si>
  <si>
    <t>https://nematode.unl.edu/cobbo3.jpg</t>
  </si>
  <si>
    <t>https://nematode.unl.edu/cobbo4.jpg</t>
  </si>
  <si>
    <t>https://nematode.unl.edu/coomb1.jpg</t>
  </si>
  <si>
    <t>Coomansinema brevicauda</t>
  </si>
  <si>
    <t>Thornenematidae</t>
  </si>
  <si>
    <t>Coomansinema</t>
  </si>
  <si>
    <t>https://nematode.unl.edu/coomb10.jpg</t>
  </si>
  <si>
    <t>https://nematode.unl.edu/coomb11.jpg</t>
  </si>
  <si>
    <t>https://nematode.unl.edu/coomb12.jpg</t>
  </si>
  <si>
    <t>https://nematode.unl.edu/coomb13.jpg</t>
  </si>
  <si>
    <t>https://nematode.unl.edu/coomb14.jpg</t>
  </si>
  <si>
    <t>https://nematode.unl.edu/coomb15.jpg</t>
  </si>
  <si>
    <t>https://nematode.unl.edu/coomb16.jpg</t>
  </si>
  <si>
    <t>https://nematode.unl.edu/coomb17.jpg</t>
  </si>
  <si>
    <t>https://nematode.unl.edu/coomb18.jpg</t>
  </si>
  <si>
    <t>https://nematode.unl.edu/coomb19.jpg</t>
  </si>
  <si>
    <t>https://nematode.unl.edu/coomb2.jpg</t>
  </si>
  <si>
    <t>https://nematode.unl.edu/coomb20.jpg</t>
  </si>
  <si>
    <t>https://nematode.unl.edu/coomb3.jpg</t>
  </si>
  <si>
    <t>https://nematode.unl.edu/coomb4.jpg</t>
  </si>
  <si>
    <t>https://nematode.unl.edu/coomb5.jpg</t>
  </si>
  <si>
    <t>https://nematode.unl.edu/coomb6.jpg</t>
  </si>
  <si>
    <t>https://nematode.unl.edu/coomb7.jpg</t>
  </si>
  <si>
    <t>https://nematode.unl.edu/coomb8.jpg</t>
  </si>
  <si>
    <t>https://nematode.unl.edu/coomb9.jpg</t>
  </si>
  <si>
    <t>https://nematode.unl.edu/coslesp1.jpg</t>
  </si>
  <si>
    <t>Coslenchus</t>
  </si>
  <si>
    <t>https://nematode.unl.edu/coslesp10.jpg</t>
  </si>
  <si>
    <t>https://nematode.unl.edu/coslesp11.jpg</t>
  </si>
  <si>
    <t>https://nematode.unl.edu/coslesp12.jpg</t>
  </si>
  <si>
    <t>https://nematode.unl.edu/coslesp13.jpg</t>
  </si>
  <si>
    <t>https://nematode.unl.edu/coslesp14.jpg</t>
  </si>
  <si>
    <t>https://nematode.unl.edu/coslesp15.jpg</t>
  </si>
  <si>
    <t>https://nematode.unl.edu/coslesp16.jpg</t>
  </si>
  <si>
    <t>vulva (ventral view)</t>
  </si>
  <si>
    <t>https://nematode.unl.edu/coslesp17.jpg</t>
  </si>
  <si>
    <t>https://nematode.unl.edu/coslesp18.jpg</t>
  </si>
  <si>
    <t>https://nematode.unl.edu/coslesp19.jpg</t>
  </si>
  <si>
    <t>https://nematode.unl.edu/coslesp2.jpg</t>
  </si>
  <si>
    <t>https://nematode.unl.edu/coslesp20.jpg</t>
  </si>
  <si>
    <t>https://nematode.unl.edu/coslesp21.jpg</t>
  </si>
  <si>
    <t>https://nematode.unl.edu/coslesp22.jpg</t>
  </si>
  <si>
    <t>https://nematode.unl.edu/coslesp23.jpg</t>
  </si>
  <si>
    <t>https://nematode.unl.edu/coslesp24.jpg</t>
  </si>
  <si>
    <t>https://nematode.unl.edu/coslesp25.jpg</t>
  </si>
  <si>
    <t>https://nematode.unl.edu/coslesp26.jpg</t>
  </si>
  <si>
    <t>https://nematode.unl.edu/coslesp3.jpg</t>
  </si>
  <si>
    <t>https://nematode.unl.edu/coslesp4.jpg</t>
  </si>
  <si>
    <t>https://nematode.unl.edu/coslesp5.jpg</t>
  </si>
  <si>
    <t>https://nematode.unl.edu/coslesp6.jpg</t>
  </si>
  <si>
    <t>https://nematode.unl.edu/coslesp7.jpg</t>
  </si>
  <si>
    <t>https://nematode.unl.edu/coslesp8.jpg</t>
  </si>
  <si>
    <t>https://nematode.unl.edu/coslesp9.jpg</t>
  </si>
  <si>
    <t>https://nematode.unl.edu/cosco1.jpg</t>
  </si>
  <si>
    <t>Coslenchus costatus</t>
  </si>
  <si>
    <t>https://nematode.unl.edu/cosco10.jpg</t>
  </si>
  <si>
    <t>https://nematode.unl.edu/cosco11.jpg</t>
  </si>
  <si>
    <t>https://nematode.unl.edu/cosco12.jpg</t>
  </si>
  <si>
    <t>https://nematode.unl.edu/cosco13.jpg</t>
  </si>
  <si>
    <t>https://nematode.unl.edu/cosco14.jpg</t>
  </si>
  <si>
    <t>https://nematode.unl.edu/cosco15.jpg</t>
  </si>
  <si>
    <t>https://nematode.unl.edu/cosco16.jpg</t>
  </si>
  <si>
    <t>https://nematode.unl.edu/cosco2.jpg</t>
  </si>
  <si>
    <t>https://nematode.unl.edu/cosco3.jpg</t>
  </si>
  <si>
    <t>https://nematode.unl.edu/cosco4.jpg</t>
  </si>
  <si>
    <t>https://nematode.unl.edu/cosco5.jpg</t>
  </si>
  <si>
    <t>https://nematode.unl.edu/cosco6.jpg</t>
  </si>
  <si>
    <t>https://nematode.unl.edu/cosco7.jpg</t>
  </si>
  <si>
    <t>https://nematode.unl.edu/cosco8.jpg</t>
  </si>
  <si>
    <t>https://nematode.unl.edu/cosco9.jpg</t>
  </si>
  <si>
    <t>https://nematode.unl.edu/coscocmp.jpg</t>
  </si>
  <si>
    <t>https://nematode.unl.edu/coscos1.jpg</t>
  </si>
  <si>
    <t>https://nematode.unl.edu/coscos2.jpg</t>
  </si>
  <si>
    <t>https://nematode.unl.edu/coscos3.jpg</t>
  </si>
  <si>
    <t>https://nematode.unl.edu/coscos4.jpg</t>
  </si>
  <si>
    <t>https://nematode.unl.edu/coscos5.jpg</t>
  </si>
  <si>
    <t>https://nematode.unl.edu/coscos6.jpg</t>
  </si>
  <si>
    <t>https://nematode.unl.edu/cosleco1.jpg</t>
  </si>
  <si>
    <t>https://nematode.unl.edu/cosleco2.jpg</t>
  </si>
  <si>
    <t>https://nematode.unl.edu/cosleco3.jpg</t>
  </si>
  <si>
    <t>https://nematode.unl.edu/cosleco4.jpg</t>
  </si>
  <si>
    <t>https://nematode.unl.edu/cosleco5.jpg</t>
  </si>
  <si>
    <t>https://nematode.unl.edu/cosleco6.jpg</t>
  </si>
  <si>
    <t>https://nematode.unl.edu/cosleco7.jpg</t>
  </si>
  <si>
    <t>https://nematode.unl.edu/cosleco8.jpg</t>
  </si>
  <si>
    <t>https://nematode.unl.edu/cosleco9.jpg</t>
  </si>
  <si>
    <t>https://nematode.unl.edu/cricomosno1.jpg</t>
  </si>
  <si>
    <t>Bangtail Divide, Bozeman, Montana</t>
  </si>
  <si>
    <t>https://nematode.unl.edu/cricomosno2.jpg</t>
  </si>
  <si>
    <t>https://nematode.unl.edu/cricomosno3.jpg</t>
  </si>
  <si>
    <t>lip region</t>
  </si>
  <si>
    <t>https://nematode.unl.edu/cricomosno4.jpg</t>
  </si>
  <si>
    <t>https://nematode.unl.edu/cricomosno5.jpg</t>
  </si>
  <si>
    <t>excretory pore</t>
  </si>
  <si>
    <t>https://nematode.unl.edu/cricowar1.jpg</t>
  </si>
  <si>
    <t>Washington Park Arboretum, Washington</t>
  </si>
  <si>
    <t>https://nematode.unl.edu/cricowar2.jpg</t>
  </si>
  <si>
    <t>https://nematode.unl.edu/cricowar3.jpg</t>
  </si>
  <si>
    <t>https://nematode.unl.edu/cricowar4.jpg</t>
  </si>
  <si>
    <t>https://nematode.unl.edu/cricsilver1.jpg</t>
  </si>
  <si>
    <t>Silver Falls State Park, Oregon</t>
  </si>
  <si>
    <t>https://nematode.unl.edu/cricsilver10.jpg</t>
  </si>
  <si>
    <t>https://nematode.unl.edu/cricsilver11.jpg</t>
  </si>
  <si>
    <t>https://nematode.unl.edu/cricsilver12.jpg</t>
  </si>
  <si>
    <t>annules</t>
  </si>
  <si>
    <t>https://nematode.unl.edu/cricsilver2.jpg</t>
  </si>
  <si>
    <t>https://nematode.unl.edu/cricsilver3.jpg</t>
  </si>
  <si>
    <t>https://nematode.unl.edu/cricsilver4.jpg</t>
  </si>
  <si>
    <t>https://nematode.unl.edu/cricsilver5.jpg</t>
  </si>
  <si>
    <t>https://nematode.unl.edu/cricsilver6.jpg</t>
  </si>
  <si>
    <t>https://nematode.unl.edu/cricsilver7.jpg</t>
  </si>
  <si>
    <t>https://nematode.unl.edu/cricsilver8.jpg</t>
  </si>
  <si>
    <t>https://nematode.unl.edu/cricsilver9.jpg</t>
  </si>
  <si>
    <t>https://nematode.unl.edu/criloup1.jpg</t>
  </si>
  <si>
    <t>Loup River, Nebraska</t>
  </si>
  <si>
    <t>https://nematode.unl.edu/criloup2.jpg</t>
  </si>
  <si>
    <t>https://nematode.unl.edu/criloup3.jpg</t>
  </si>
  <si>
    <t>https://nematode.unl.edu/discrismo1.jpg</t>
  </si>
  <si>
    <t>Black Elk Peak (Harney Peak), South Dakota</t>
  </si>
  <si>
    <t>https://nematode.unl.edu/discrismo2.jpg</t>
  </si>
  <si>
    <t>https://nematode.unl.edu/discrismo3.jpg</t>
  </si>
  <si>
    <t>https://nematode.unl.edu/discrismo4.jpg</t>
  </si>
  <si>
    <t>https://nematode.unl.edu/discrismo5.jpg</t>
  </si>
  <si>
    <t>https://nematode.unl.edu/cripew1.jpg</t>
  </si>
  <si>
    <t>https://nematode.unl.edu/cripew2.jpg</t>
  </si>
  <si>
    <t>https://nematode.unl.edu/cripew3.jpg</t>
  </si>
  <si>
    <t>https://nematode.unl.edu/cripew4.jpg</t>
  </si>
  <si>
    <t>https://nematode.unl.edu/discrish1.jpg</t>
  </si>
  <si>
    <t>https://nematode.unl.edu/discrish2.jpg</t>
  </si>
  <si>
    <t>https://nematode.unl.edu/discrish3.jpg</t>
  </si>
  <si>
    <t>https://nematode.unl.edu/discrish4.jpg</t>
  </si>
  <si>
    <t>https://nematode.unl.edu/discrish5.jpg</t>
  </si>
  <si>
    <t>https://nematode.unl.edu/discrish6.jpg</t>
  </si>
  <si>
    <t>https://nematode.unl.edu/discrish7.jpg</t>
  </si>
  <si>
    <t>https://nematode.unl.edu/crispha1.jpg</t>
  </si>
  <si>
    <t>oak / pine</t>
  </si>
  <si>
    <t>Criconema sphagni</t>
  </si>
  <si>
    <t>https://nematode.unl.edu/crispha10.jpg</t>
  </si>
  <si>
    <t>https://nematode.unl.edu/crispha11.jpg</t>
  </si>
  <si>
    <t>https://nematode.unl.edu/crispha12.jpg</t>
  </si>
  <si>
    <t>https://nematode.unl.edu/crispha13.jpg</t>
  </si>
  <si>
    <t>https://nematode.unl.edu/crispha14.jpg</t>
  </si>
  <si>
    <t>https://nematode.unl.edu/crispha2.jpg</t>
  </si>
  <si>
    <t>https://nematode.unl.edu/crispha3.jpg</t>
  </si>
  <si>
    <t>https://nematode.unl.edu/crispha4.jpg</t>
  </si>
  <si>
    <t>https://nematode.unl.edu/crispha5.jpg</t>
  </si>
  <si>
    <t>https://nematode.unl.edu/crispha6.jpg</t>
  </si>
  <si>
    <t>https://nematode.unl.edu/crispha7.jpg</t>
  </si>
  <si>
    <t>https://nematode.unl.edu/crispha8.jpg</t>
  </si>
  <si>
    <t>https://nematode.unl.edu/crispha9.jpg</t>
  </si>
  <si>
    <t>https://nematode.unl.edu/crispi1.jpg</t>
  </si>
  <si>
    <t>Great Smoky Mountains National Park, Albright Grove, Tennessee</t>
  </si>
  <si>
    <t>https://nematode.unl.edu/crispi2.jpg</t>
  </si>
  <si>
    <t>https://nematode.unl.edu/crispi3.jpg</t>
  </si>
  <si>
    <t>https://nematode.unl.edu/cricomex1.jpg</t>
  </si>
  <si>
    <t>San Juan, Puerto Rico</t>
  </si>
  <si>
    <t>https://nematode.unl.edu/cricomex2.jpg</t>
  </si>
  <si>
    <t>https://nematode.unl.edu/cricomex3.jpg</t>
  </si>
  <si>
    <t>https://nematode.unl.edu/cricomex4.jpg</t>
  </si>
  <si>
    <t>https://nematode.unl.edu/cricomex5.jpg</t>
  </si>
  <si>
    <t>https://nematode.unl.edu/cricomex6.jpg</t>
  </si>
  <si>
    <t>https://nematode.unl.edu/cricomt1.jpg</t>
  </si>
  <si>
    <t>Montana</t>
  </si>
  <si>
    <t>https://nematode.unl.edu/cricomt10.jpg</t>
  </si>
  <si>
    <t>https://nematode.unl.edu/cricomt11.jpg</t>
  </si>
  <si>
    <t>https://nematode.unl.edu/cricomt12.jpg</t>
  </si>
  <si>
    <t>https://nematode.unl.edu/cricomt13.jpg</t>
  </si>
  <si>
    <t>https://nematode.unl.edu/cricomt14.jpg</t>
  </si>
  <si>
    <t>https://nematode.unl.edu/cricomt15.jpg</t>
  </si>
  <si>
    <t>https://nematode.unl.edu/cricomt16.jpg</t>
  </si>
  <si>
    <t>https://nematode.unl.edu/cricomt17.jpg</t>
  </si>
  <si>
    <t>https://nematode.unl.edu/cricomt18.jpg</t>
  </si>
  <si>
    <t>https://nematode.unl.edu/cricomt19.jpg</t>
  </si>
  <si>
    <t>https://nematode.unl.edu/cricomt2.jpg</t>
  </si>
  <si>
    <t>https://nematode.unl.edu/cricomt3.jpg</t>
  </si>
  <si>
    <t>https://nematode.unl.edu/cricomt4.jpg</t>
  </si>
  <si>
    <t>https://nematode.unl.edu/cricomt5.jpg</t>
  </si>
  <si>
    <t>https://nematode.unl.edu/cricomt6.jpg</t>
  </si>
  <si>
    <t>https://nematode.unl.edu/cricomt7.jpg</t>
  </si>
  <si>
    <t>https://nematode.unl.edu/cricomt8.jpg</t>
  </si>
  <si>
    <t>https://nematode.unl.edu/cricomt9.jpg</t>
  </si>
  <si>
    <t>https://nematode.unl.edu/nothocrif1.jpg</t>
  </si>
  <si>
    <t>200x</t>
  </si>
  <si>
    <t>Old Fall River Road - Rocky Mountain National Park, Colorado</t>
  </si>
  <si>
    <t>conifers</t>
  </si>
  <si>
    <t>https://nematode.unl.edu/nothocrif2.jpg</t>
  </si>
  <si>
    <t>https://nematode.unl.edu/nothocrif3.jpg</t>
  </si>
  <si>
    <t>https://nematode.unl.edu/nothocrif4.jpg</t>
  </si>
  <si>
    <t>https://nematode.unl.edu/nothocrif5.jpg</t>
  </si>
  <si>
    <t>https://nematode.unl.edu/nothocrif6.jpg</t>
  </si>
  <si>
    <t>https://nematode.unl.edu/nothocrif7.jpg</t>
  </si>
  <si>
    <t>https://nematode.unl.edu/nothocrif8.jpg</t>
  </si>
  <si>
    <t>https://nematode.unl.edu/nothocrif9.jpg</t>
  </si>
  <si>
    <t>https://nematode.unl.edu/croidan1.jpg</t>
  </si>
  <si>
    <t>Durango, Colorado</t>
  </si>
  <si>
    <t>Gambles's oak</t>
  </si>
  <si>
    <t>Criconemoides annulatus</t>
  </si>
  <si>
    <t>https://nematode.unl.edu/croidan10.jpg</t>
  </si>
  <si>
    <t>annules midbody</t>
  </si>
  <si>
    <t>https://nematode.unl.edu/croidan11.jpg</t>
  </si>
  <si>
    <t>https://nematode.unl.edu/croidan12.jpg</t>
  </si>
  <si>
    <t>https://nematode.unl.edu/croidan2.jpg</t>
  </si>
  <si>
    <t>https://nematode.unl.edu/croidan3.jpg</t>
  </si>
  <si>
    <t>excretory duct</t>
  </si>
  <si>
    <t>https://nematode.unl.edu/croidan4.jpg</t>
  </si>
  <si>
    <t>annules lateral view</t>
  </si>
  <si>
    <t>https://nematode.unl.edu/croidan5.jpg</t>
  </si>
  <si>
    <t>https://nematode.unl.edu/croidan6.jpg</t>
  </si>
  <si>
    <t>https://nematode.unl.edu/croidan7.jpg</t>
  </si>
  <si>
    <t>https://nematode.unl.edu/croidan8.jpg</t>
  </si>
  <si>
    <t>https://nematode.unl.edu/croidan9.jpg</t>
  </si>
  <si>
    <t>https://nematode.unl.edu/cricostamm1.jpg</t>
  </si>
  <si>
    <t>Perkins County, Nebraska</t>
  </si>
  <si>
    <t>Criconemoides informis</t>
  </si>
  <si>
    <t>https://nematode.unl.edu/cricostamm2.jpg</t>
  </si>
  <si>
    <t>https://nematode.unl.edu/cricostamm3.jpg</t>
  </si>
  <si>
    <t>https://nematode.unl.edu/cricostamm4.jpg</t>
  </si>
  <si>
    <t>https://nematode.unl.edu/crinfo1.jpg</t>
  </si>
  <si>
    <t>https://nematode.unl.edu/crinfo2.jpg</t>
  </si>
  <si>
    <t>https://nematode.unl.edu/crinfo3.jpg</t>
  </si>
  <si>
    <t>https://nematode.unl.edu/crinfo4.jpg</t>
  </si>
  <si>
    <t>submedian lobes</t>
  </si>
  <si>
    <t>https://nematode.unl.edu/croidinfo1.jpg</t>
  </si>
  <si>
    <t>corn</t>
  </si>
  <si>
    <t>https://nematode.unl.edu/croidinfo2.jpg</t>
  </si>
  <si>
    <t>https://nematode.unl.edu/croidinfo3.jpg</t>
  </si>
  <si>
    <t>face</t>
  </si>
  <si>
    <t>https://nematode.unl.edu/croidinfo4.jpg</t>
  </si>
  <si>
    <t>https://nematode.unl.edu/croidinfo5.jpg</t>
  </si>
  <si>
    <t>https://nematode.unl.edu/croidinfo6.jpg</t>
  </si>
  <si>
    <t>https://nematode.unl.edu/croidinfo7.jpg</t>
  </si>
  <si>
    <t>https://nematode.unl.edu/croidinfo8.jpg</t>
  </si>
  <si>
    <t>https://nematode.unl.edu/cricomo1.jpg</t>
  </si>
  <si>
    <t>Criconmema</t>
  </si>
  <si>
    <t>https://nematode.unl.edu/cricomo2.jpg</t>
  </si>
  <si>
    <t>https://nematode.unl.edu/cricomo3.jpg</t>
  </si>
  <si>
    <t>https://nematode.unl.edu/cricomo4.jpg</t>
  </si>
  <si>
    <t>https://nematode.unl.edu/cricomo5.jpg</t>
  </si>
  <si>
    <t>https://nematode.unl.edu/cricomo6.jpg</t>
  </si>
  <si>
    <t>https://nematode.unl.edu/cricomo7.jpg</t>
  </si>
  <si>
    <t>https://nematode.unl.edu/cricomo8.jpg</t>
  </si>
  <si>
    <t>tail cuticle</t>
  </si>
  <si>
    <t>https://nematode.unl.edu/crocop1.jpg</t>
  </si>
  <si>
    <t>Gully moss</t>
  </si>
  <si>
    <t>Crocodorylaimus paraincae</t>
  </si>
  <si>
    <t>Crocodorylaimus</t>
  </si>
  <si>
    <t>https://nematode.unl.edu/crocop2.jpg</t>
  </si>
  <si>
    <t>https://nematode.unl.edu/crocop3.jpg</t>
  </si>
  <si>
    <t>https://nematode.unl.edu/crocop4.jpg</t>
  </si>
  <si>
    <t>https://nematode.unl.edu/crocop5.jpg</t>
  </si>
  <si>
    <t>https://nematode.unl.edu/crocop6.jpg</t>
  </si>
  <si>
    <t>https://nematode.unl.edu/crocop7.jpg</t>
  </si>
  <si>
    <t>https://nematode.unl.edu/crosson1.jpg</t>
  </si>
  <si>
    <t>Smith Falls State Park - Nebraska</t>
  </si>
  <si>
    <t>https://nematode.unl.edu/crosson10.jpg</t>
  </si>
  <si>
    <t>https://nematode.unl.edu/crosson11.jpg</t>
  </si>
  <si>
    <t>https://nematode.unl.edu/crosson2.jpg</t>
  </si>
  <si>
    <t>https://nematode.unl.edu/crosson3.jpg</t>
  </si>
  <si>
    <t>https://nematode.unl.edu/crosson4.jpg</t>
  </si>
  <si>
    <t>https://nematode.unl.edu/crosson5.jpg</t>
  </si>
  <si>
    <t>scales posterior</t>
  </si>
  <si>
    <t>https://nematode.unl.edu/crosson6.jpg</t>
  </si>
  <si>
    <t>https://nematode.unl.edu/crosson7.jpg</t>
  </si>
  <si>
    <t>https://nematode.unl.edu/crosson8.jpg</t>
  </si>
  <si>
    <t>https://nematode.unl.edu/crosson9.jpg</t>
  </si>
  <si>
    <t>https://nematode.unl.edu/ogmaf1.jpg</t>
  </si>
  <si>
    <t>https://nematode.unl.edu/ogmaf10.jpg</t>
  </si>
  <si>
    <t>cephalicannules</t>
  </si>
  <si>
    <t>Serpentine soil, Maryland</t>
  </si>
  <si>
    <t>Little bluestem / oak</t>
  </si>
  <si>
    <t>https://nematode.unl.edu/ogmaf11.jpg</t>
  </si>
  <si>
    <t>https://nematode.unl.edu/ogmaf12.jpg</t>
  </si>
  <si>
    <t>https://nematode.unl.edu/ogmaf13.jpg</t>
  </si>
  <si>
    <t>https://nematode.unl.edu/ogmaf2.jpg</t>
  </si>
  <si>
    <t>https://nematode.unl.edu/ogmaf3.jpg</t>
  </si>
  <si>
    <t>https://nematode.unl.edu/ogmaf4.jpg</t>
  </si>
  <si>
    <t>https://nematode.unl.edu/ogmaf5.jpg</t>
  </si>
  <si>
    <t>https://nematode.unl.edu/ogmaf6.jpg</t>
  </si>
  <si>
    <t>https://nematode.unl.edu/ogmaf7.jpg</t>
  </si>
  <si>
    <t>https://nematode.unl.edu/ogmaf8.jpg</t>
  </si>
  <si>
    <t>https://nematode.unl.edu/ogmaf9.jpg</t>
  </si>
  <si>
    <t>https://nematode.unl.edu/ogmaflo16.jpg</t>
  </si>
  <si>
    <t>https://nematode.unl.edu/ogmenze1.jpg</t>
  </si>
  <si>
    <t>Crossonema menzeli</t>
  </si>
  <si>
    <t>https://nematode.unl.edu/ogmenze2.jpg</t>
  </si>
  <si>
    <t>https://nematode.unl.edu/ogmenze3.jpg</t>
  </si>
  <si>
    <t>https://nematode.unl.edu/ogmenze4.jpg</t>
  </si>
  <si>
    <t>https://nematode.unl.edu/ogmenze5.jpg</t>
  </si>
  <si>
    <t>https://nematode.unl.edu/ogmenze6.jpg</t>
  </si>
  <si>
    <t>https://nematode.unl.edu/ogmenze7.jpg</t>
  </si>
  <si>
    <t>https://nematode.unl.edu/omenze1.jpg</t>
  </si>
  <si>
    <t>spruce-fir Forest</t>
  </si>
  <si>
    <t>https://nematode.unl.edu/omenze10.jpg</t>
  </si>
  <si>
    <t>https://nematode.unl.edu/omenze11.jpg</t>
  </si>
  <si>
    <t>https://nematode.unl.edu/omenze12.jpg</t>
  </si>
  <si>
    <t>vulva-lateral view</t>
  </si>
  <si>
    <t>https://nematode.unl.edu/omenze13.jpg</t>
  </si>
  <si>
    <t>https://nematode.unl.edu/omenze14.jpg</t>
  </si>
  <si>
    <t>https://nematode.unl.edu/omenze15.jpg</t>
  </si>
  <si>
    <t>https://nematode.unl.edu/omenze16.jpg</t>
  </si>
  <si>
    <t>https://nematode.unl.edu/omenze17.jpg</t>
  </si>
  <si>
    <t>https://nematode.unl.edu/omenze18.jpg</t>
  </si>
  <si>
    <t>https://nematode.unl.edu/omenze19.jpg</t>
  </si>
  <si>
    <t>Great Smoky Mountains National Park, Mt. LeConte, Sevier County, Tennessee</t>
  </si>
  <si>
    <t>moss</t>
  </si>
  <si>
    <t>https://nematode.unl.edu/omenze2.jpg</t>
  </si>
  <si>
    <t>https://nematode.unl.edu/omenze20.jpg</t>
  </si>
  <si>
    <t>https://nematode.unl.edu/omenze21.jpg</t>
  </si>
  <si>
    <t>https://nematode.unl.edu/omenze22.jpg</t>
  </si>
  <si>
    <t>https://nematode.unl.edu/omenze23.jpg</t>
  </si>
  <si>
    <t>https://nematode.unl.edu/omenze24.jpg</t>
  </si>
  <si>
    <t>https://nematode.unl.edu/omenze25.jpg</t>
  </si>
  <si>
    <t>https://nematode.unl.edu/omenze26.jpg</t>
  </si>
  <si>
    <t>https://nematode.unl.edu/omenze27.jpg</t>
  </si>
  <si>
    <t>Great Smoky Mountains National Park, Chimneys, Tennessee</t>
  </si>
  <si>
    <t>https://nematode.unl.edu/omenze28.jpg</t>
  </si>
  <si>
    <t>https://nematode.unl.edu/omenze29.jpg</t>
  </si>
  <si>
    <t>https://nematode.unl.edu/omenze3.jpg</t>
  </si>
  <si>
    <t>https://nematode.unl.edu/omenze30.jpg</t>
  </si>
  <si>
    <t>https://nematode.unl.edu/omenze31.jpg</t>
  </si>
  <si>
    <t>https://nematode.unl.edu/omenze4.jpg</t>
  </si>
  <si>
    <t>https://nematode.unl.edu/omenze5.jpg</t>
  </si>
  <si>
    <t>https://nematode.unl.edu/omenze6.jpg</t>
  </si>
  <si>
    <t>https://nematode.unl.edu/omenze7.jpg</t>
  </si>
  <si>
    <t>https://nematode.unl.edu/omenze8.jpg</t>
  </si>
  <si>
    <t>https://nematode.unl.edu/omenze9.jpg</t>
  </si>
  <si>
    <t>https://nematode.unl.edu/cyli1.jpg</t>
  </si>
  <si>
    <t>Cylindrolaimus</t>
  </si>
  <si>
    <t>Araeolaimida</t>
  </si>
  <si>
    <t>Diplopeltidae</t>
  </si>
  <si>
    <t>https://nematode.unl.edu/cyli2.jpg</t>
  </si>
  <si>
    <t>https://nematode.unl.edu/cyli3.jpg</t>
  </si>
  <si>
    <t>https://nematode.unl.edu/cylmus1.jpg</t>
  </si>
  <si>
    <t>https://nematode.unl.edu/cylmus10.jpg</t>
  </si>
  <si>
    <t>https://nematode.unl.edu/cylmus11.jpg</t>
  </si>
  <si>
    <t>https://nematode.unl.edu/cylmus12.jpg</t>
  </si>
  <si>
    <t>https://nematode.unl.edu/cylmus13.jpg</t>
  </si>
  <si>
    <t>https://nematode.unl.edu/cylmus14.jpg</t>
  </si>
  <si>
    <t>https://nematode.unl.edu/cylmus2.jpg</t>
  </si>
  <si>
    <t>https://nematode.unl.edu/cylmus3.jpg</t>
  </si>
  <si>
    <t>https://nematode.unl.edu/cylmus4.jpg</t>
  </si>
  <si>
    <t>https://nematode.unl.edu/cylmus5.jpg</t>
  </si>
  <si>
    <t>https://nematode.unl.edu/cylmus6.jpg</t>
  </si>
  <si>
    <t>https://nematode.unl.edu/cylmus7.jpg</t>
  </si>
  <si>
    <t>https://nematode.unl.edu/cylmus8.jpg</t>
  </si>
  <si>
    <t>https://nematode.unl.edu/cylmus9.jpg</t>
  </si>
  <si>
    <t>https://nematode.unl.edu/dacty1.jpg</t>
  </si>
  <si>
    <t>Dactyluraxonchium</t>
  </si>
  <si>
    <t>https://nematode.unl.edu/dacty2.jpg</t>
  </si>
  <si>
    <t>https://nematode.unl.edu/dacty3.jpg</t>
  </si>
  <si>
    <t>https://nematode.unl.edu/dacty4.jpg</t>
  </si>
  <si>
    <t>https://nematode.unl.edu/dacty5.jpg</t>
  </si>
  <si>
    <t>https://nematode.unl.edu/dacty6.jpg</t>
  </si>
  <si>
    <t>https://nematode.unl.edu/dacty7.jpg</t>
  </si>
  <si>
    <t>https://nematode.unl.edu/desmohd.jpg</t>
  </si>
  <si>
    <t>Desmolaimus</t>
  </si>
  <si>
    <t>Linhomoeidae</t>
  </si>
  <si>
    <t>https://nematode.unl.edu/dipla1.jpg</t>
  </si>
  <si>
    <t>Diphtherophora lata</t>
  </si>
  <si>
    <t>Diphtherophoridae</t>
  </si>
  <si>
    <t>Diphtherophora</t>
  </si>
  <si>
    <t>https://nematode.unl.edu/dipla10.jpg</t>
  </si>
  <si>
    <t>Male</t>
  </si>
  <si>
    <t>https://nematode.unl.edu/dipla11.jpg</t>
  </si>
  <si>
    <t>https://nematode.unl.edu/dipla12.jpg</t>
  </si>
  <si>
    <t>https://nematode.unl.edu/dipla13.jpg</t>
  </si>
  <si>
    <t>https://nematode.unl.edu/dipla15.jpg</t>
  </si>
  <si>
    <t>https://nematode.unl.edu/dipla2.jpg</t>
  </si>
  <si>
    <t>https://nematode.unl.edu/dipla3.jpg</t>
  </si>
  <si>
    <t>https://nematode.unl.edu/dipla4.jpg</t>
  </si>
  <si>
    <t>https://nematode.unl.edu/dipla5.jpg</t>
  </si>
  <si>
    <t>https://nematode.unl.edu/dipla6.jpg</t>
  </si>
  <si>
    <t>https://nematode.unl.edu/dipla7.jpg</t>
  </si>
  <si>
    <t>https://nematode.unl.edu/dipla8.jpg</t>
  </si>
  <si>
    <t>https://nematode.unl.edu/dipla9.jpg</t>
  </si>
  <si>
    <t>https://nematode.unl.edu/diplacmp.jpg</t>
  </si>
  <si>
    <t>https://nematode.unl.edu/diplat1.jpg</t>
  </si>
  <si>
    <t>https://nematode.unl.edu/diplat2.jpg</t>
  </si>
  <si>
    <t>https://nematode.unl.edu/diplat3.jpg</t>
  </si>
  <si>
    <t>https://nematode.unl.edu/dipladrw.jpg</t>
  </si>
  <si>
    <t>Diphtherophora latum</t>
  </si>
  <si>
    <t>https://nematode.unl.edu/diphob1.jpg</t>
  </si>
  <si>
    <t>Diphtherophora obesus</t>
  </si>
  <si>
    <t>https://nematode.unl.edu/diphob2.jpg</t>
  </si>
  <si>
    <t>https://nematode.unl.edu/diphob3.jpg</t>
  </si>
  <si>
    <t>https://nematode.unl.edu/diphob4.jpg</t>
  </si>
  <si>
    <t>https://nematode.unl.edu/diphob5.jpg</t>
  </si>
  <si>
    <t>https://nematode.unl.edu/dipo1.jpg</t>
  </si>
  <si>
    <t>https://nematode.unl.edu/dipo10.jpg</t>
  </si>
  <si>
    <t>https://nematode.unl.edu/dipo11.jpg</t>
  </si>
  <si>
    <t>https://nematode.unl.edu/dipo2.jpg</t>
  </si>
  <si>
    <t>https://nematode.unl.edu/dipo3.jpg</t>
  </si>
  <si>
    <t>https://nematode.unl.edu/dipo4.jpg</t>
  </si>
  <si>
    <t>https://nematode.unl.edu/dipo5.jpg</t>
  </si>
  <si>
    <t>https://nematode.unl.edu/dipo6.jpg</t>
  </si>
  <si>
    <t>https://nematode.unl.edu/dipo7.jpg</t>
  </si>
  <si>
    <t>https://nematode.unl.edu/dipo8.jpg</t>
  </si>
  <si>
    <t>https://nematode.unl.edu/dipo9.jpg</t>
  </si>
  <si>
    <t>https://nematode.unl.edu/dipob1.jpg</t>
  </si>
  <si>
    <t>https://nematode.unl.edu/dipob10.jpg</t>
  </si>
  <si>
    <t>Little bluestem, Scribner's panicum</t>
  </si>
  <si>
    <t>https://nematode.unl.edu/dipob11.jpg</t>
  </si>
  <si>
    <t>https://nematode.unl.edu/dipob12.jpg</t>
  </si>
  <si>
    <t>https://nematode.unl.edu/dipob13.jpg</t>
  </si>
  <si>
    <t>https://nematode.unl.edu/dipob2.jpg</t>
  </si>
  <si>
    <t>https://nematode.unl.edu/dipob3.jpg</t>
  </si>
  <si>
    <t>https://nematode.unl.edu/dipob4.jpg</t>
  </si>
  <si>
    <t>https://nematode.unl.edu/dipob5.jpg</t>
  </si>
  <si>
    <t>https://nematode.unl.edu/dipob6.jpg</t>
  </si>
  <si>
    <t>https://nematode.unl.edu/dipob7.jpg</t>
  </si>
  <si>
    <t>https://nematode.unl.edu/dipob8.jpg</t>
  </si>
  <si>
    <t>https://nematode.unl.edu/dipob9.jpg</t>
  </si>
  <si>
    <t>https://nematode.unl.edu/diplog1.jpg</t>
  </si>
  <si>
    <t>Diplogasteriana</t>
  </si>
  <si>
    <t>https://nematode.unl.edu/diplog2.jpg</t>
  </si>
  <si>
    <t>https://nematode.unl.edu/diplog3.jpg</t>
  </si>
  <si>
    <t>https://nematode.unl.edu/diplog4.jpg</t>
  </si>
  <si>
    <t>https://nematode.unl.edu/diplog5.jpg</t>
  </si>
  <si>
    <t>https://nematode.unl.edu/diplog6.jpg</t>
  </si>
  <si>
    <t>https://nematode.unl.edu/diplog7.jpg</t>
  </si>
  <si>
    <t>https://nematode.unl.edu/diplog8.jpg</t>
  </si>
  <si>
    <t>https://nematode.unl.edu/dipriana1.jpg</t>
  </si>
  <si>
    <t>Mead pasture,Dead pig B, Meade county, South Dakota</t>
  </si>
  <si>
    <t>https://nematode.unl.edu/dipriana2.jpg</t>
  </si>
  <si>
    <t>https://nematode.unl.edu/diplerit1.jpg</t>
  </si>
  <si>
    <t>Mead Pasture, Dead pig B</t>
  </si>
  <si>
    <t>https://nematode.unl.edu/diplerit2.jpg</t>
  </si>
  <si>
    <t>https://nematode.unl.edu/diplerit3.jpg</t>
  </si>
  <si>
    <t>https://nematode.unl.edu/diplerit4.jpg</t>
  </si>
  <si>
    <t>https://nematode.unl.edu/dimell1.jpg</t>
  </si>
  <si>
    <t>Diplolaimella</t>
  </si>
  <si>
    <t>https://nematode.unl.edu/dimell2.jpg</t>
  </si>
  <si>
    <t>https://nematode.unl.edu/dimell3.jpg</t>
  </si>
  <si>
    <t>https://nematode.unl.edu/dimell4.jpg</t>
  </si>
  <si>
    <t>https://nematode.unl.edu/dimell5.jpg</t>
  </si>
  <si>
    <t>bacteria</t>
  </si>
  <si>
    <t>https://nematode.unl.edu/diploma.jpg</t>
  </si>
  <si>
    <t>https://nematode.unl.edu/diplomh.jpg</t>
  </si>
  <si>
    <t>https://nematode.unl.edu/diploms.jpg</t>
  </si>
  <si>
    <t>https://nematode.unl.edu/diploid1.jpg</t>
  </si>
  <si>
    <t>Little bluestem,Seribner's panicum</t>
  </si>
  <si>
    <t>Diplolaimelloides</t>
  </si>
  <si>
    <t>https://nematode.unl.edu/diploid10.jpg</t>
  </si>
  <si>
    <t>https://nematode.unl.edu/diploid2.jpg</t>
  </si>
  <si>
    <t>https://nematode.unl.edu/diploid3.jpg</t>
  </si>
  <si>
    <t>https://nematode.unl.edu/diploid4.jpg</t>
  </si>
  <si>
    <t>https://nematode.unl.edu/diploid5.jpg</t>
  </si>
  <si>
    <t>https://nematode.unl.edu/diploid6.jpg</t>
  </si>
  <si>
    <t>https://nematode.unl.edu/diploid7.jpg</t>
  </si>
  <si>
    <t>https://nematode.unl.edu/diploid8.jpg</t>
  </si>
  <si>
    <t>https://nematode.unl.edu/diploid9.jpg</t>
  </si>
  <si>
    <t>https://nematode.unl.edu/dipscap1.jpg</t>
  </si>
  <si>
    <t>Diploscapter</t>
  </si>
  <si>
    <t>https://nematode.unl.edu/discinarcoll.jpg</t>
  </si>
  <si>
    <t>Discocriconemella inarata</t>
  </si>
  <si>
    <t>Discocriconemella</t>
  </si>
  <si>
    <t>https://nematode.unl.edu/discoinacoll.jpg</t>
  </si>
  <si>
    <t>https://nematode.unl.edu/diskalsow1.jpg</t>
  </si>
  <si>
    <t>Kalsow Prairie State Preserve, Iowa</t>
  </si>
  <si>
    <t>sporobolus</t>
  </si>
  <si>
    <t>https://nematode.unl.edu/diskalsow2.jpg</t>
  </si>
  <si>
    <t>https://nematode.unl.edu/diskalsow3.jpg</t>
  </si>
  <si>
    <t>https://nematode.unl.edu/diskalsow4.jpg</t>
  </si>
  <si>
    <t>https://nematode.unl.edu/diskalsow5.jpg</t>
  </si>
  <si>
    <t>https://nematode.unl.edu/diskalsow6.jpg</t>
  </si>
  <si>
    <t>https://nematode.unl.edu/diskalsow7.jpg</t>
  </si>
  <si>
    <t>https://nematode.unl.edu/diskalsow8.jpg</t>
  </si>
  <si>
    <t>https://nematode.unl.edu/diskalsow9.jpg</t>
  </si>
  <si>
    <t>https://nematode.unl.edu/crcricols1.jpg</t>
  </si>
  <si>
    <t>Discocriconemella limitanea</t>
  </si>
  <si>
    <t>https://nematode.unl.edu/crcricroc1.jpg</t>
  </si>
  <si>
    <t>https://nematode.unl.edu/crcricroc10.jpg</t>
  </si>
  <si>
    <t>https://nematode.unl.edu/crcricroc11.jpg</t>
  </si>
  <si>
    <t>https://nematode.unl.edu/crcricroc12.jpg</t>
  </si>
  <si>
    <t>https://nematode.unl.edu/crcricroc13.jpg</t>
  </si>
  <si>
    <t>https://nematode.unl.edu/crcricroc14.jpg</t>
  </si>
  <si>
    <t>https://nematode.unl.edu/crcricroc15.jpg</t>
  </si>
  <si>
    <t>https://nematode.unl.edu/crcricroc16.jpg</t>
  </si>
  <si>
    <t>https://nematode.unl.edu/crcricroc17.jpg</t>
  </si>
  <si>
    <t>https://nematode.unl.edu/crcricroc18.jpg</t>
  </si>
  <si>
    <t>https://nematode.unl.edu/crcricroc19.jpg</t>
  </si>
  <si>
    <t>https://nematode.unl.edu/crcricroc2.jpg</t>
  </si>
  <si>
    <t>https://nematode.unl.edu/crcricroc20.jpg</t>
  </si>
  <si>
    <t>https://nematode.unl.edu/crcricroc23.jpg</t>
  </si>
  <si>
    <t>https://nematode.unl.edu/crcricroc24.jpg</t>
  </si>
  <si>
    <t>https://nematode.unl.edu/crcricroc25.jpg</t>
  </si>
  <si>
    <t>https://nematode.unl.edu/crcricroc26.jpg</t>
  </si>
  <si>
    <t>https://nematode.unl.edu/crcricroc27.jpg</t>
  </si>
  <si>
    <t>https://nematode.unl.edu/crcricroc28.jpg</t>
  </si>
  <si>
    <t>https://nematode.unl.edu/crcricroc29.jpg</t>
  </si>
  <si>
    <t>https://nematode.unl.edu/crcricroc3.jpg</t>
  </si>
  <si>
    <t>https://nematode.unl.edu/crcricroc30.jpg</t>
  </si>
  <si>
    <t>https://nematode.unl.edu/crcricroc31.jpg</t>
  </si>
  <si>
    <t>https://nematode.unl.edu/crcricroc32.jpg</t>
  </si>
  <si>
    <t>https://nematode.unl.edu/crcricroc33.jpg</t>
  </si>
  <si>
    <t>https://nematode.unl.edu/crcricroc4.jpg</t>
  </si>
  <si>
    <t>https://nematode.unl.edu/crcricroc5.jpg</t>
  </si>
  <si>
    <t>https://nematode.unl.edu/crcricroc6.jpg</t>
  </si>
  <si>
    <t>https://nematode.unl.edu/crcricroc7.jpg</t>
  </si>
  <si>
    <t>https://nematode.unl.edu/crcricroc8.jpg</t>
  </si>
  <si>
    <t>https://nematode.unl.edu/crcricroc9.jpg</t>
  </si>
  <si>
    <t>https://nematode.unl.edu/discril1.jpg</t>
  </si>
  <si>
    <t>https://nematode.unl.edu/discril11.jpg</t>
  </si>
  <si>
    <t>https://nematode.unl.edu/discril12.jpg</t>
  </si>
  <si>
    <t>https://nematode.unl.edu/discril13.jpg</t>
  </si>
  <si>
    <t>https://nematode.unl.edu/discril14.jpg</t>
  </si>
  <si>
    <t>https://nematode.unl.edu/discril15.jpg</t>
  </si>
  <si>
    <t>https://nematode.unl.edu/discril16.jpg</t>
  </si>
  <si>
    <t>https://nematode.unl.edu/discril17.jpg</t>
  </si>
  <si>
    <t>https://nematode.unl.edu/discril18.jpg</t>
  </si>
  <si>
    <t>https://nematode.unl.edu/discril19.jpg</t>
  </si>
  <si>
    <t>https://nematode.unl.edu/discril2.jpg</t>
  </si>
  <si>
    <t>https://nematode.unl.edu/discril21.jpg</t>
  </si>
  <si>
    <t>https://nematode.unl.edu/discril22.jpg</t>
  </si>
  <si>
    <t>https://nematode.unl.edu/discril23.jpg</t>
  </si>
  <si>
    <t>https://nematode.unl.edu/discril3.jpg</t>
  </si>
  <si>
    <t>https://nematode.unl.edu/discril9.jpg</t>
  </si>
  <si>
    <t>https://nematode.unl.edu/discom1.jpg</t>
  </si>
  <si>
    <t>https://nematode.unl.edu/discom2.jpg</t>
  </si>
  <si>
    <t>https://nematode.unl.edu/discom3.jpg</t>
  </si>
  <si>
    <t>https://nematode.unl.edu/discom4.jpg</t>
  </si>
  <si>
    <t>https://nematode.unl.edu/dibulb1.jpg</t>
  </si>
  <si>
    <t>Discolaimoides bulbiferus</t>
  </si>
  <si>
    <t>Discolaimoides</t>
  </si>
  <si>
    <t>https://nematode.unl.edu/dibulb10.jpg</t>
  </si>
  <si>
    <t>https://nematode.unl.edu/dibulb2.jpg</t>
  </si>
  <si>
    <t>https://nematode.unl.edu/dibulb3.jpg</t>
  </si>
  <si>
    <t>https://nematode.unl.edu/dibulb4.jpg</t>
  </si>
  <si>
    <t>https://nematode.unl.edu/dibulb5.jpg</t>
  </si>
  <si>
    <t>https://nematode.unl.edu/dibulb6.jpg</t>
  </si>
  <si>
    <t>https://nematode.unl.edu/dibulb7.jpg</t>
  </si>
  <si>
    <t>https://nematode.unl.edu/dibulb8.jpg</t>
  </si>
  <si>
    <t>https://nematode.unl.edu/dibulb9.jpg</t>
  </si>
  <si>
    <t>https://nematode.unl.edu/disccy1.jpg</t>
  </si>
  <si>
    <t>Discolaimoides cylindricus</t>
  </si>
  <si>
    <t>https://nematode.unl.edu/disccy2.jpg</t>
  </si>
  <si>
    <t>https://nematode.unl.edu/disccy3.jpg</t>
  </si>
  <si>
    <t>https://nematode.unl.edu/disccy4.jpg</t>
  </si>
  <si>
    <t>https://nematode.unl.edu/disccy5.jpg</t>
  </si>
  <si>
    <t>https://nematode.unl.edu/digra1.jpg</t>
  </si>
  <si>
    <t>Scribner's panicum, Bluegrass</t>
  </si>
  <si>
    <t>Discolaimoides gracilis</t>
  </si>
  <si>
    <t>https://nematode.unl.edu/digra10.jpg</t>
  </si>
  <si>
    <t>https://nematode.unl.edu/digra11.jpg</t>
  </si>
  <si>
    <t>https://nematode.unl.edu/digra12.jpg</t>
  </si>
  <si>
    <t>https://nematode.unl.edu/digra13.jpg</t>
  </si>
  <si>
    <t>https://nematode.unl.edu/digra14.jpg</t>
  </si>
  <si>
    <t>https://nematode.unl.edu/digra15.jpg</t>
  </si>
  <si>
    <t>https://nematode.unl.edu/digra16.jpg</t>
  </si>
  <si>
    <t>https://nematode.unl.edu/digra17.jpg</t>
  </si>
  <si>
    <t>https://nematode.unl.edu/digra18.jpg</t>
  </si>
  <si>
    <t>https://nematode.unl.edu/digra19.jpg</t>
  </si>
  <si>
    <t>https://nematode.unl.edu/digra2.jpg</t>
  </si>
  <si>
    <t>https://nematode.unl.edu/digra20.jpg</t>
  </si>
  <si>
    <t>https://nematode.unl.edu/digra21.jpg</t>
  </si>
  <si>
    <t>https://nematode.unl.edu/digra22.jpg</t>
  </si>
  <si>
    <t>https://nematode.unl.edu/digra23.jpg</t>
  </si>
  <si>
    <t>https://nematode.unl.edu/digra24.jpg</t>
  </si>
  <si>
    <t>https://nematode.unl.edu/digra25.jpg</t>
  </si>
  <si>
    <t>https://nematode.unl.edu/digra26.jpg</t>
  </si>
  <si>
    <t>https://nematode.unl.edu/digra27.jpg</t>
  </si>
  <si>
    <t>https://nematode.unl.edu/digra28.jpg</t>
  </si>
  <si>
    <t>https://nematode.unl.edu/digra29.jpg</t>
  </si>
  <si>
    <t>https://nematode.unl.edu/digra3.jpg</t>
  </si>
  <si>
    <t>https://nematode.unl.edu/digra30.jpg</t>
  </si>
  <si>
    <t>https://nematode.unl.edu/digra31.jpg</t>
  </si>
  <si>
    <t>https://nematode.unl.edu/digra32.jpg</t>
  </si>
  <si>
    <t>https://nematode.unl.edu/digra33.jpg</t>
  </si>
  <si>
    <t>https://nematode.unl.edu/digra34.jpg</t>
  </si>
  <si>
    <t>https://nematode.unl.edu/digra35.jpg</t>
  </si>
  <si>
    <t>https://nematode.unl.edu/digra36.jpg</t>
  </si>
  <si>
    <t>https://nematode.unl.edu/digra37.jpg</t>
  </si>
  <si>
    <t>https://nematode.unl.edu/digra38.jpg</t>
  </si>
  <si>
    <t>https://nematode.unl.edu/digra39.jpg</t>
  </si>
  <si>
    <t>https://nematode.unl.edu/digra4.jpg</t>
  </si>
  <si>
    <t>https://nematode.unl.edu/digra5.jpg</t>
  </si>
  <si>
    <t>https://nematode.unl.edu/digra6.jpg</t>
  </si>
  <si>
    <t>https://nematode.unl.edu/digra7.jpg</t>
  </si>
  <si>
    <t>https://nematode.unl.edu/digra8.jpg</t>
  </si>
  <si>
    <t>hypodermal glands</t>
  </si>
  <si>
    <t>https://nematode.unl.edu/digra9.jpg</t>
  </si>
  <si>
    <t>https://nematode.unl.edu/discos1.jpg</t>
  </si>
  <si>
    <t>Mead pasture, Dead pig A, Meade county, South Dakota</t>
  </si>
  <si>
    <t>Discolaimus</t>
  </si>
  <si>
    <t>https://nematode.unl.edu/discos2.jpg</t>
  </si>
  <si>
    <t>https://nematode.unl.edu/discos3.jpg</t>
  </si>
  <si>
    <t>https://nematode.unl.edu/discaudrw.jpg</t>
  </si>
  <si>
    <t>Discolaimus auritus</t>
  </si>
  <si>
    <t>https://nematode.unl.edu/discaur1.jpg</t>
  </si>
  <si>
    <t>https://nematode.unl.edu/discaur2.jpg</t>
  </si>
  <si>
    <t>https://nematode.unl.edu/discaur3.jpg</t>
  </si>
  <si>
    <t>https://nematode.unl.edu/discaur4.jpg</t>
  </si>
  <si>
    <t>https://nematode.unl.edu/discaur5.jpg</t>
  </si>
  <si>
    <t>https://nematode.unl.edu/discaur6.jpg</t>
  </si>
  <si>
    <t>https://nematode.unl.edu/discaur7.jpg</t>
  </si>
  <si>
    <t>https://nematode.unl.edu/discaur8.jpg</t>
  </si>
  <si>
    <t>https://nematode.unl.edu/dissi1.jpg</t>
  </si>
  <si>
    <t>Konza Prairie, Big Bluestem</t>
  </si>
  <si>
    <t>Discolaimus similis</t>
  </si>
  <si>
    <t>https://nematode.unl.edu/dissi2.jpg</t>
  </si>
  <si>
    <t>https://nematode.unl.edu/dissi3.jpg</t>
  </si>
  <si>
    <t>https://nematode.unl.edu/dissi4.jpg</t>
  </si>
  <si>
    <t>https://nematode.unl.edu/dissi5.jpg</t>
  </si>
  <si>
    <t>https://nematode.unl.edu/dissi6.jpg</t>
  </si>
  <si>
    <t>https://nematode.unl.edu/dissi7.jpg</t>
  </si>
  <si>
    <t>https://nematode.unl.edu/dissi8.jpg</t>
  </si>
  <si>
    <t>https://nematode.unl.edu/dissicmp.jpg</t>
  </si>
  <si>
    <t>https://nematode.unl.edu/discotex2.jpg</t>
  </si>
  <si>
    <t>Discolaimus texanus</t>
  </si>
  <si>
    <t>https://nematode.unl.edu/discotex3.jpg</t>
  </si>
  <si>
    <t>https://nematode.unl.edu/discotex4.jpg</t>
  </si>
  <si>
    <t>https://nematode.unl.edu/distex1.jpg</t>
  </si>
  <si>
    <t>https://nematode.unl.edu/distex10.jpg</t>
  </si>
  <si>
    <t>https://nematode.unl.edu/distex11.jpg</t>
  </si>
  <si>
    <t>https://nematode.unl.edu/distex12.jpg</t>
  </si>
  <si>
    <t>https://nematode.unl.edu/distex13.jpg</t>
  </si>
  <si>
    <t>https://nematode.unl.edu/distex14.jpg</t>
  </si>
  <si>
    <t>https://nematode.unl.edu/distex15.jpg</t>
  </si>
  <si>
    <t>https://nematode.unl.edu/distex16.jpg</t>
  </si>
  <si>
    <t>https://nematode.unl.edu/distex2.jpg</t>
  </si>
  <si>
    <t>https://nematode.unl.edu/distex3.jpg</t>
  </si>
  <si>
    <t>https://nematode.unl.edu/distex4.jpg</t>
  </si>
  <si>
    <t>https://nematode.unl.edu/distex5.jpg</t>
  </si>
  <si>
    <t>https://nematode.unl.edu/distex6.jpg</t>
  </si>
  <si>
    <t>https://nematode.unl.edu/distex7.jpg</t>
  </si>
  <si>
    <t>https://nematode.unl.edu/distex8.jpg</t>
  </si>
  <si>
    <t>https://nematode.unl.edu/distex9.jpg</t>
  </si>
  <si>
    <t>https://nematode.unl.edu/distexcmp.jpg</t>
  </si>
  <si>
    <t>https://nematode.unl.edu/ditsp1.jpg</t>
  </si>
  <si>
    <t>Konza Prarie, Jungrass</t>
  </si>
  <si>
    <t>https://nematode.unl.edu/ditsp2.jpg</t>
  </si>
  <si>
    <t>https://nematode.unl.edu/ditsp3.jpg</t>
  </si>
  <si>
    <t>https://nematode.unl.edu/ditsp4.jpg</t>
  </si>
  <si>
    <t>https://nematode.unl.edu/ditsp5.jpg</t>
  </si>
  <si>
    <t>https://nematode.unl.edu/dityco1.jpg</t>
  </si>
  <si>
    <t>Onion</t>
  </si>
  <si>
    <t>https://nematode.unl.edu/dityco2.jpg</t>
  </si>
  <si>
    <t>https://nematode.unl.edu/dityco3.jpg</t>
  </si>
  <si>
    <t>https://nematode.unl.edu/dityco4.jpg</t>
  </si>
  <si>
    <t>https://nematode.unl.edu/dityco5.jpg</t>
  </si>
  <si>
    <t>https://nematode.unl.edu/dityco6.jpg</t>
  </si>
  <si>
    <t>https://nematode.unl.edu/dityco7.jpg</t>
  </si>
  <si>
    <t>https://nematode.unl.edu/ditymn1.jpg</t>
  </si>
  <si>
    <t>Potato</t>
  </si>
  <si>
    <t>https://nematode.unl.edu/ditymn2.jpg</t>
  </si>
  <si>
    <t>https://nematode.unl.edu/ditymn3.jpg</t>
  </si>
  <si>
    <t>https://nematode.unl.edu/dityne1.jpg</t>
  </si>
  <si>
    <t>Garlic</t>
  </si>
  <si>
    <t>https://nematode.unl.edu/dityne10.jpg</t>
  </si>
  <si>
    <t>Clarks, Nebraska</t>
  </si>
  <si>
    <t>Corn</t>
  </si>
  <si>
    <t>https://nematode.unl.edu/dityne11.jpg</t>
  </si>
  <si>
    <t>https://nematode.unl.edu/dityne2.jpg</t>
  </si>
  <si>
    <t>tail (ventral view)</t>
  </si>
  <si>
    <t>https://nematode.unl.edu/dityne3.jpg</t>
  </si>
  <si>
    <t>https://nematode.unl.edu/dityne4.jpg</t>
  </si>
  <si>
    <t>https://nematode.unl.edu/dityne5.jpg</t>
  </si>
  <si>
    <t>https://nematode.unl.edu/dityne6.jpg</t>
  </si>
  <si>
    <t>https://nematode.unl.edu/dityne7.jpg</t>
  </si>
  <si>
    <t>https://nematode.unl.edu/dityne8.jpg</t>
  </si>
  <si>
    <t>https://nematode.unl.edu/dityne9.jpg</t>
  </si>
  <si>
    <t>https://nematode.unl.edu/dianch1.jpg</t>
  </si>
  <si>
    <t>Ditylenchus anchilisposomus</t>
  </si>
  <si>
    <t>https://nematode.unl.edu/dicaud1.jpg</t>
  </si>
  <si>
    <t>Big bluestem,Little bluestem</t>
  </si>
  <si>
    <t>Ditylenchus caudatus</t>
  </si>
  <si>
    <t>https://nematode.unl.edu/dicaud2.jpg</t>
  </si>
  <si>
    <t>https://nematode.unl.edu/dicaud3.jpg</t>
  </si>
  <si>
    <t>https://nematode.unl.edu/dicaud4.jpg</t>
  </si>
  <si>
    <t>https://nematode.unl.edu/dicaud5.jpg</t>
  </si>
  <si>
    <t>https://nematode.unl.edu/dicaud6.jpg</t>
  </si>
  <si>
    <t>https://nematode.unl.edu/dicaud7.jpg</t>
  </si>
  <si>
    <t>Post-Uterine Sac</t>
  </si>
  <si>
    <t>https://nematode.unl.edu/dclar1.jpg</t>
  </si>
  <si>
    <t>Scribner's panicum,Bluegrass</t>
  </si>
  <si>
    <t>Ditylenchus clarus</t>
  </si>
  <si>
    <t>https://nematode.unl.edu/dclar10.jpg</t>
  </si>
  <si>
    <t>https://nematode.unl.edu/dclar11.jpg</t>
  </si>
  <si>
    <t>https://nematode.unl.edu/dclar12.jpg</t>
  </si>
  <si>
    <t>https://nematode.unl.edu/dclar13.jpg</t>
  </si>
  <si>
    <t>https://nematode.unl.edu/dclar14.jpg</t>
  </si>
  <si>
    <t>https://nematode.unl.edu/dclar15.jpg</t>
  </si>
  <si>
    <t>https://nematode.unl.edu/dclar16.jpg</t>
  </si>
  <si>
    <t>https://nematode.unl.edu/dclar17.jpg</t>
  </si>
  <si>
    <t>https://nematode.unl.edu/dclar18.jpg</t>
  </si>
  <si>
    <t>https://nematode.unl.edu/dclar19.jpg</t>
  </si>
  <si>
    <t>https://nematode.unl.edu/dclar2.jpg</t>
  </si>
  <si>
    <t>https://nematode.unl.edu/dclar20.jpg</t>
  </si>
  <si>
    <t>https://nematode.unl.edu/dclar3.jpg</t>
  </si>
  <si>
    <t>https://nematode.unl.edu/dclar4.jpg</t>
  </si>
  <si>
    <t>https://nematode.unl.edu/dclar5.jpg</t>
  </si>
  <si>
    <t>https://nematode.unl.edu/dclar6.jpg</t>
  </si>
  <si>
    <t>https://nematode.unl.edu/dclar7.jpg</t>
  </si>
  <si>
    <t>https://nematode.unl.edu/dclar8.jpg</t>
  </si>
  <si>
    <t>https://nematode.unl.edu/dclar9.jpg</t>
  </si>
  <si>
    <t>https://nematode.unl.edu/ditclar1.jpg</t>
  </si>
  <si>
    <t>https://nematode.unl.edu/ditclar10.jpg</t>
  </si>
  <si>
    <t>https://nematode.unl.edu/ditclar12.jpg</t>
  </si>
  <si>
    <t>https://nematode.unl.edu/ditclar3.jpg</t>
  </si>
  <si>
    <t>https://nematode.unl.edu/ditclar5.jpg</t>
  </si>
  <si>
    <t>https://nematode.unl.edu/ditclar6.jpg</t>
  </si>
  <si>
    <t>https://nematode.unl.edu/ditclar7.jpg</t>
  </si>
  <si>
    <t>https://nematode.unl.edu/ditclar9.jpg</t>
  </si>
  <si>
    <t>https://nematode.unl.edu/ditclarcmp.jpg</t>
  </si>
  <si>
    <t>https://nematode.unl.edu/didest1.jpg</t>
  </si>
  <si>
    <t>Wisconsin</t>
  </si>
  <si>
    <t>Ditylenchus destructor</t>
  </si>
  <si>
    <t>https://nematode.unl.edu/didest10.jpg</t>
  </si>
  <si>
    <t>https://nematode.unl.edu/didest11.jpg</t>
  </si>
  <si>
    <t>bursa, gubernaculum</t>
  </si>
  <si>
    <t>https://nematode.unl.edu/didest12.jpg</t>
  </si>
  <si>
    <t>https://nematode.unl.edu/didest13.jpg</t>
  </si>
  <si>
    <t>bursa, spicules</t>
  </si>
  <si>
    <t>https://nematode.unl.edu/didest14.jpg</t>
  </si>
  <si>
    <t>https://nematode.unl.edu/didest15.jpg</t>
  </si>
  <si>
    <t>https://nematode.unl.edu/didest16.jpg</t>
  </si>
  <si>
    <t>https://nematode.unl.edu/didest17.jpg</t>
  </si>
  <si>
    <t>Post-Uterine Sac, tail</t>
  </si>
  <si>
    <t>https://nematode.unl.edu/didest18.jpg</t>
  </si>
  <si>
    <t>https://nematode.unl.edu/didest2.jpg</t>
  </si>
  <si>
    <t>https://nematode.unl.edu/didest20.jpg</t>
  </si>
  <si>
    <t>https://nematode.unl.edu/didest21.jpg</t>
  </si>
  <si>
    <t>https://nematode.unl.edu/didest22.jpg</t>
  </si>
  <si>
    <t>https://nematode.unl.edu/didest23.jpg</t>
  </si>
  <si>
    <t>https://nematode.unl.edu/didest24.jpg</t>
  </si>
  <si>
    <t>https://nematode.unl.edu/didest25.jpg</t>
  </si>
  <si>
    <t>https://nematode.unl.edu/didest26.jpg</t>
  </si>
  <si>
    <t>https://nematode.unl.edu/didest27.jpg</t>
  </si>
  <si>
    <t>https://nematode.unl.edu/didest28.jpg</t>
  </si>
  <si>
    <t>https://nematode.unl.edu/didest29.jpg</t>
  </si>
  <si>
    <t>https://nematode.unl.edu/didest3.jpg</t>
  </si>
  <si>
    <t>https://nematode.unl.edu/didest30.jpg</t>
  </si>
  <si>
    <t>https://nematode.unl.edu/didest31.jpg</t>
  </si>
  <si>
    <t>https://nematode.unl.edu/didest32.jpg</t>
  </si>
  <si>
    <t>https://nematode.unl.edu/didest33.jpg</t>
  </si>
  <si>
    <t>https://nematode.unl.edu/didest4.jpg</t>
  </si>
  <si>
    <t>quadricolumella</t>
  </si>
  <si>
    <t>https://nematode.unl.edu/didest5.jpg</t>
  </si>
  <si>
    <t>https://nematode.unl.edu/didest6.jpg</t>
  </si>
  <si>
    <t>vulva, PUS</t>
  </si>
  <si>
    <t>https://nematode.unl.edu/didest7.jpg</t>
  </si>
  <si>
    <t>https://nematode.unl.edu/didest8.jpg</t>
  </si>
  <si>
    <t>https://nematode.unl.edu/didest9.jpg</t>
  </si>
  <si>
    <t>https://nematode.unl.edu/didestcmp.jpg</t>
  </si>
  <si>
    <t>https://nematode.unl.edu/didestdrw.jpg</t>
  </si>
  <si>
    <t>https://nematode.unl.edu/didiput1.jpg</t>
  </si>
  <si>
    <t>alfalfa</t>
  </si>
  <si>
    <t>Ditylenchus dipsaci</t>
  </si>
  <si>
    <t>https://nematode.unl.edu/didiput10.jpg</t>
  </si>
  <si>
    <t>https://nematode.unl.edu/didiput11.jpg</t>
  </si>
  <si>
    <t>https://nematode.unl.edu/didiput12.jpg</t>
  </si>
  <si>
    <t>https://nematode.unl.edu/didiput2.jpg</t>
  </si>
  <si>
    <t>https://nematode.unl.edu/didiput3.jpg</t>
  </si>
  <si>
    <t>https://nematode.unl.edu/didiput4.jpg</t>
  </si>
  <si>
    <t>https://nematode.unl.edu/didiput5.jpg</t>
  </si>
  <si>
    <t>https://nematode.unl.edu/didiput6.jpg</t>
  </si>
  <si>
    <t>https://nematode.unl.edu/didiput7.jpg</t>
  </si>
  <si>
    <t>https://nematode.unl.edu/didiput8.jpg</t>
  </si>
  <si>
    <t>https://nematode.unl.edu/didiput9.jpg</t>
  </si>
  <si>
    <t>https://nematode.unl.edu/ditdipsdrw.jpg</t>
  </si>
  <si>
    <t>https://nematode.unl.edu/ditmcmp.jpg</t>
  </si>
  <si>
    <t>Ditylenchus microdens</t>
  </si>
  <si>
    <t>https://nematode.unl.edu/ditmi1.jpg</t>
  </si>
  <si>
    <t>Big bluestem, Little bluestem</t>
  </si>
  <si>
    <t>https://nematode.unl.edu/ditmi13.jpg</t>
  </si>
  <si>
    <t>https://nematode.unl.edu/ditmi14.jpg</t>
  </si>
  <si>
    <t>https://nematode.unl.edu/ditmi15.jpg</t>
  </si>
  <si>
    <t>https://nematode.unl.edu/ditmi16.jpg</t>
  </si>
  <si>
    <t>https://nematode.unl.edu/ditmi17.jpg</t>
  </si>
  <si>
    <t>https://nematode.unl.edu/ditmi18.jpg</t>
  </si>
  <si>
    <t>https://nematode.unl.edu/ditmi19.jpg</t>
  </si>
  <si>
    <t>https://nematode.unl.edu/ditmi2.jpg</t>
  </si>
  <si>
    <t>https://nematode.unl.edu/ditmi20.jpg</t>
  </si>
  <si>
    <t>https://nematode.unl.edu/ditmi21.jpg</t>
  </si>
  <si>
    <t>https://nematode.unl.edu/ditmi22.jpg</t>
  </si>
  <si>
    <t>https://nematode.unl.edu/ditmi23.jpg</t>
  </si>
  <si>
    <t>https://nematode.unl.edu/ditmi24.jpg</t>
  </si>
  <si>
    <t>https://nematode.unl.edu/ditmi25.jpg</t>
  </si>
  <si>
    <t>https://nematode.unl.edu/ditmi26.jpg</t>
  </si>
  <si>
    <t>https://nematode.unl.edu/ditmi27.jpg</t>
  </si>
  <si>
    <t>https://nematode.unl.edu/ditmi28.jpg</t>
  </si>
  <si>
    <t>https://nematode.unl.edu/ditmi29.jpg</t>
  </si>
  <si>
    <t>https://nematode.unl.edu/ditmi3.jpg</t>
  </si>
  <si>
    <t>https://nematode.unl.edu/ditmi30.jpg</t>
  </si>
  <si>
    <t>https://nematode.unl.edu/ditmi31.jpg</t>
  </si>
  <si>
    <t>https://nematode.unl.edu/ditmi4.jpg</t>
  </si>
  <si>
    <t>https://nematode.unl.edu/ditmi5.jpg</t>
  </si>
  <si>
    <t>https://nematode.unl.edu/ditmi6.jpg</t>
  </si>
  <si>
    <t>https://nematode.unl.edu/ditmi7.jpg</t>
  </si>
  <si>
    <t>https://nematode.unl.edu/ditmi8.jpg</t>
  </si>
  <si>
    <t>https://nematode.unl.edu/ditmic1.jpg</t>
  </si>
  <si>
    <t>https://nematode.unl.edu/ditmic2.jpg</t>
  </si>
  <si>
    <t>https://nematode.unl.edu/ditmic4.jpg</t>
  </si>
  <si>
    <t>https://nematode.unl.edu/ditmic5.jpg</t>
  </si>
  <si>
    <t>https://nematode.unl.edu/ditmic6.jpg</t>
  </si>
  <si>
    <t>https://nematode.unl.edu/ditmic7.jpg</t>
  </si>
  <si>
    <t>https://nematode.unl.edu/ditmic8.jpg</t>
  </si>
  <si>
    <t>https://nematode.unl.edu/ditob1.jpg</t>
  </si>
  <si>
    <t>https://nematode.unl.edu/ditob2.jpg</t>
  </si>
  <si>
    <t>https://nematode.unl.edu/ditob3.jpg</t>
  </si>
  <si>
    <t>https://nematode.unl.edu/ditob4.jpg</t>
  </si>
  <si>
    <t>https://nematode.unl.edu/ditob5.jpg</t>
  </si>
  <si>
    <t>https://nematode.unl.edu/ditobcmp.jpg</t>
  </si>
  <si>
    <t>https://nematode.unl.edu/ditobe1.jpg</t>
  </si>
  <si>
    <t>https://nematode.unl.edu/ditobe2.jpg</t>
  </si>
  <si>
    <t>https://nematode.unl.edu/ditobe3.jpg</t>
  </si>
  <si>
    <t>https://nematode.unl.edu/ditobe4.jpg</t>
  </si>
  <si>
    <t>https://nematode.unl.edu/ditobe5.jpg</t>
  </si>
  <si>
    <t>https://nematode.unl.edu/ditobe7.jpg</t>
  </si>
  <si>
    <t>https://nematode.unl.edu/dival1.jpg</t>
  </si>
  <si>
    <t>Ditylenchus valveus</t>
  </si>
  <si>
    <t>https://nematode.unl.edu/dival2.jpg</t>
  </si>
  <si>
    <t>https://nematode.unl.edu/dival3.jpg</t>
  </si>
  <si>
    <t>https://nematode.unl.edu/dival4.jpg</t>
  </si>
  <si>
    <t>https://nematode.unl.edu/dival5.jpg</t>
  </si>
  <si>
    <t>https://nematode.unl.edu/dolichet1.jpg</t>
  </si>
  <si>
    <t>Florida</t>
  </si>
  <si>
    <t>Dolichodorus heterocephalus</t>
  </si>
  <si>
    <t>Dolichodorus</t>
  </si>
  <si>
    <t>https://nematode.unl.edu/dorybryo.jpg</t>
  </si>
  <si>
    <t>Dorydorella bryophila</t>
  </si>
  <si>
    <t>Dorydorella</t>
  </si>
  <si>
    <t>https://nematode.unl.edu/dordehd.jpg</t>
  </si>
  <si>
    <t>Dorylaimoides</t>
  </si>
  <si>
    <t>Mydonomidae</t>
  </si>
  <si>
    <t>https://nematode.unl.edu/dordetl.jpg</t>
  </si>
  <si>
    <t xml:space="preserve"> Leadplant</t>
  </si>
  <si>
    <t>https://nematode.unl.edu/deleg1.jpg</t>
  </si>
  <si>
    <t>Bigbluesten</t>
  </si>
  <si>
    <t>Dorylaimoides elegans</t>
  </si>
  <si>
    <t>https://nematode.unl.edu/deleg2.jpg</t>
  </si>
  <si>
    <t>https://nematode.unl.edu/deleg3.jpg</t>
  </si>
  <si>
    <t>https://nematode.unl.edu/deleg4.jpg</t>
  </si>
  <si>
    <t>https://nematode.unl.edu/dorele1.jpg</t>
  </si>
  <si>
    <t>https://nematode.unl.edu/dorele10.jpg</t>
  </si>
  <si>
    <t>https://nematode.unl.edu/dorele11.jpg</t>
  </si>
  <si>
    <t>https://nematode.unl.edu/dorele12.jpg</t>
  </si>
  <si>
    <t>https://nematode.unl.edu/dorele13.jpg</t>
  </si>
  <si>
    <t>https://nematode.unl.edu/dorele14.jpg</t>
  </si>
  <si>
    <t>https://nematode.unl.edu/dorele15.jpg</t>
  </si>
  <si>
    <t>https://nematode.unl.edu/dorele16.jpg</t>
  </si>
  <si>
    <t>https://nematode.unl.edu/dorele17.jpg</t>
  </si>
  <si>
    <t>https://nematode.unl.edu/dorele18.jpg</t>
  </si>
  <si>
    <t>https://nematode.unl.edu/dorele19.jpg</t>
  </si>
  <si>
    <t>https://nematode.unl.edu/dorele2.jpg</t>
  </si>
  <si>
    <t>https://nematode.unl.edu/dorele20.jpg</t>
  </si>
  <si>
    <t>https://nematode.unl.edu/dorele21.jpg</t>
  </si>
  <si>
    <t>https://nematode.unl.edu/dorele3.jpg</t>
  </si>
  <si>
    <t>https://nematode.unl.edu/dorele4.jpg</t>
  </si>
  <si>
    <t>https://nematode.unl.edu/dorele5.jpg</t>
  </si>
  <si>
    <t>https://nematode.unl.edu/dorele6.jpg</t>
  </si>
  <si>
    <t>https://nematode.unl.edu/dorele7.jpg</t>
  </si>
  <si>
    <t>https://nematode.unl.edu/dorele8.jpg</t>
  </si>
  <si>
    <t>https://nematode.unl.edu/dorele9.jpg</t>
  </si>
  <si>
    <t>https://nematode.unl.edu/dorelecmp.jpg</t>
  </si>
  <si>
    <t>https://nematode.unl.edu/domiletz1.jpg</t>
  </si>
  <si>
    <t>Dorylaimoides micoletzkyi</t>
  </si>
  <si>
    <t>https://nematode.unl.edu/domiletz10.jpg</t>
  </si>
  <si>
    <t>https://nematode.unl.edu/domiletz11.jpg</t>
  </si>
  <si>
    <t>https://nematode.unl.edu/domiletz12.jpg</t>
  </si>
  <si>
    <t>https://nematode.unl.edu/domiletz13.jpg</t>
  </si>
  <si>
    <t>https://nematode.unl.edu/domiletz14.jpg</t>
  </si>
  <si>
    <t>https://nematode.unl.edu/domiletz2.jpg</t>
  </si>
  <si>
    <t>https://nematode.unl.edu/domiletz3.jpg</t>
  </si>
  <si>
    <t>https://nematode.unl.edu/domiletz4.jpg</t>
  </si>
  <si>
    <t>https://nematode.unl.edu/domiletz5.jpg</t>
  </si>
  <si>
    <t>https://nematode.unl.edu/domiletz6.jpg</t>
  </si>
  <si>
    <t>https://nematode.unl.edu/domiletz7.jpg</t>
  </si>
  <si>
    <t>https://nematode.unl.edu/domiletz8.jpg</t>
  </si>
  <si>
    <t>https://nematode.unl.edu/domiletz9.jpg</t>
  </si>
  <si>
    <t>https://nematode.unl.edu/doryll1.jpg</t>
  </si>
  <si>
    <t>https://nematode.unl.edu/doryll2.jpg</t>
  </si>
  <si>
    <t>https://nematode.unl.edu/doryll3.jpg</t>
  </si>
  <si>
    <t>https://nematode.unl.edu/doryll4.jpg</t>
  </si>
  <si>
    <t>https://nematode.unl.edu/doryll5.jpg</t>
  </si>
  <si>
    <t>https://nematode.unl.edu/dorymi1.jpg</t>
  </si>
  <si>
    <t>Doryllium minor</t>
  </si>
  <si>
    <t>https://nematode.unl.edu/dorymi10.jpg</t>
  </si>
  <si>
    <t>https://nematode.unl.edu/dorymi11.jpg</t>
  </si>
  <si>
    <t>https://nematode.unl.edu/dorymi12.jpg</t>
  </si>
  <si>
    <t>https://nematode.unl.edu/dorymi13.jpg</t>
  </si>
  <si>
    <t>https://nematode.unl.edu/dorymi14.jpg</t>
  </si>
  <si>
    <t>https://nematode.unl.edu/dorymi15.jpg</t>
  </si>
  <si>
    <t>https://nematode.unl.edu/dorymi16.jpg</t>
  </si>
  <si>
    <t>https://nematode.unl.edu/dorymi2.jpg</t>
  </si>
  <si>
    <t>https://nematode.unl.edu/dorymi3.jpg</t>
  </si>
  <si>
    <t>https://nematode.unl.edu/dorymi4.jpg</t>
  </si>
  <si>
    <t>https://nematode.unl.edu/dorymi5.jpg</t>
  </si>
  <si>
    <t>https://nematode.unl.edu/dorymi6.jpg</t>
  </si>
  <si>
    <t>https://nematode.unl.edu/dorymi7.jpg</t>
  </si>
  <si>
    <t>https://nematode.unl.edu/dorymi8.jpg</t>
  </si>
  <si>
    <t>https://nematode.unl.edu/dorymi9.jpg</t>
  </si>
  <si>
    <t>https://nematode.unl.edu/drefle1.jpg</t>
  </si>
  <si>
    <t>Drepanodorylaimus flexus</t>
  </si>
  <si>
    <t>Drepanodorylaimus</t>
  </si>
  <si>
    <t>https://nematode.unl.edu/drefle10.jpg</t>
  </si>
  <si>
    <t>https://nematode.unl.edu/drefle11.jpg</t>
  </si>
  <si>
    <t>https://nematode.unl.edu/drefle12.jpg</t>
  </si>
  <si>
    <t>https://nematode.unl.edu/drefle13.jpg</t>
  </si>
  <si>
    <t>https://nematode.unl.edu/drefle14.jpg</t>
  </si>
  <si>
    <t>https://nematode.unl.edu/drefle15.jpg</t>
  </si>
  <si>
    <t>https://nematode.unl.edu/drefle16.jpg</t>
  </si>
  <si>
    <t>https://nematode.unl.edu/drefle17.jpg</t>
  </si>
  <si>
    <t>https://nematode.unl.edu/drefle18.jpg</t>
  </si>
  <si>
    <t>https://nematode.unl.edu/drefle19.jpg</t>
  </si>
  <si>
    <t>https://nematode.unl.edu/drefle2.jpg</t>
  </si>
  <si>
    <t>https://nematode.unl.edu/drefle20.jpg</t>
  </si>
  <si>
    <t>https://nematode.unl.edu/drefle21.jpg</t>
  </si>
  <si>
    <t>https://nematode.unl.edu/drefle22.jpg</t>
  </si>
  <si>
    <t>https://nematode.unl.edu/drefle23.jpg</t>
  </si>
  <si>
    <t>https://nematode.unl.edu/drefle24.jpg</t>
  </si>
  <si>
    <t>https://nematode.unl.edu/drefle25.jpg</t>
  </si>
  <si>
    <t>https://nematode.unl.edu/drefle26.jpg</t>
  </si>
  <si>
    <t>https://nematode.unl.edu/drefle27.jpg</t>
  </si>
  <si>
    <t>https://nematode.unl.edu/drefle28.jpg</t>
  </si>
  <si>
    <t>https://nematode.unl.edu/drefle29.jpg</t>
  </si>
  <si>
    <t>https://nematode.unl.edu/drefle3.jpg</t>
  </si>
  <si>
    <t>https://nematode.unl.edu/drefle30.jpg</t>
  </si>
  <si>
    <t>https://nematode.unl.edu/drefle31.jpg</t>
  </si>
  <si>
    <t>https://nematode.unl.edu/drefle32.jpg</t>
  </si>
  <si>
    <t>https://nematode.unl.edu/drefle33.jpg</t>
  </si>
  <si>
    <t>https://nematode.unl.edu/drefle34.jpg</t>
  </si>
  <si>
    <t>https://nematode.unl.edu/drefle35.jpg</t>
  </si>
  <si>
    <t>https://nematode.unl.edu/drefle36.jpg</t>
  </si>
  <si>
    <t>https://nematode.unl.edu/drefle37.jpg</t>
  </si>
  <si>
    <t>https://nematode.unl.edu/drefle4.jpg</t>
  </si>
  <si>
    <t>https://nematode.unl.edu/drefle5.jpg</t>
  </si>
  <si>
    <t>https://nematode.unl.edu/drefle6.jpg</t>
  </si>
  <si>
    <t>https://nematode.unl.edu/drefle7.jpg</t>
  </si>
  <si>
    <t>https://nematode.unl.edu/drefle8.jpg</t>
  </si>
  <si>
    <t>https://nematode.unl.edu/drefle9.jpg</t>
  </si>
  <si>
    <t>https://nematode.unl.edu/dreflecmp.jpg</t>
  </si>
  <si>
    <t>https://nematode.unl.edu/dreflex1.jpg</t>
  </si>
  <si>
    <t>https://nematode.unl.edu/dreflex2.jpg</t>
  </si>
  <si>
    <t>https://nematode.unl.edu/dreflex3.jpg</t>
  </si>
  <si>
    <t>https://nematode.unl.edu/dreflex4.jpg</t>
  </si>
  <si>
    <t>https://nematode.unl.edu/dreflex5.jpg</t>
  </si>
  <si>
    <t>https://nematode.unl.edu/ecum1.jpg</t>
  </si>
  <si>
    <t>https://nematode.unl.edu/encarc1.jpg</t>
  </si>
  <si>
    <t>https://nematode.unl.edu/encarc2.jpg</t>
  </si>
  <si>
    <t>https://nematode.unl.edu/encarc3.jpg</t>
  </si>
  <si>
    <t>https://nematode.unl.edu/encarc4.jpg</t>
  </si>
  <si>
    <t>https://nematode.unl.edu/emono1.jpg</t>
  </si>
  <si>
    <t>https://nematode.unl.edu/emono2.jpg</t>
  </si>
  <si>
    <t>https://nematode.unl.edu/emono3.jpg</t>
  </si>
  <si>
    <t>https://nematode.unl.edu/emono4.jpg</t>
  </si>
  <si>
    <t>https://nematode.unl.edu/enchos1.jpg</t>
  </si>
  <si>
    <t>Enchodelus</t>
  </si>
  <si>
    <t>https://nematode.unl.edu/enchos2.jpg</t>
  </si>
  <si>
    <t>https://nematode.unl.edu/enchos3.jpg</t>
  </si>
  <si>
    <t>https://nematode.unl.edu/enchos4.jpg</t>
  </si>
  <si>
    <t>https://nematode.unl.edu/enchos5.jpg</t>
  </si>
  <si>
    <t>https://nematode.unl.edu/enchos6.jpg</t>
  </si>
  <si>
    <t>https://nematode.unl.edu/enchana1.jpg</t>
  </si>
  <si>
    <t>Enchodelus analatus</t>
  </si>
  <si>
    <t>https://nematode.unl.edu/enchana2.jpg</t>
  </si>
  <si>
    <t>https://nematode.unl.edu/enchana3.jpg</t>
  </si>
  <si>
    <t>https://nematode.unl.edu/enchana4.jpg</t>
  </si>
  <si>
    <t>https://nematode.unl.edu/enchana5.jpg</t>
  </si>
  <si>
    <t>https://nematode.unl.edu/enchana6.jpg</t>
  </si>
  <si>
    <t>https://nematode.unl.edu/enchana7.jpg</t>
  </si>
  <si>
    <t>https://nematode.unl.edu/enchana8.jpg</t>
  </si>
  <si>
    <t>https://nematode.unl.edu/enchana9.jpg</t>
  </si>
  <si>
    <t>https://nematode.unl.edu/encho1.jpg</t>
  </si>
  <si>
    <t>Enchodelus hopedorus</t>
  </si>
  <si>
    <t>https://nematode.unl.edu/encho10.jpg</t>
  </si>
  <si>
    <t>https://nematode.unl.edu/encho11.jpg</t>
  </si>
  <si>
    <t>dorsal gland duct</t>
  </si>
  <si>
    <t>https://nematode.unl.edu/encho12.jpg</t>
  </si>
  <si>
    <t>https://nematode.unl.edu/encho13.jpg</t>
  </si>
  <si>
    <t>https://nematode.unl.edu/encho14.jpg</t>
  </si>
  <si>
    <t>https://nematode.unl.edu/encho15.jpg</t>
  </si>
  <si>
    <t>https://nematode.unl.edu/encho16.jpg</t>
  </si>
  <si>
    <t>https://nematode.unl.edu/encho17.jpg</t>
  </si>
  <si>
    <t>https://nematode.unl.edu/encho18.jpg</t>
  </si>
  <si>
    <t>https://nematode.unl.edu/encho19.jpg</t>
  </si>
  <si>
    <t>https://nematode.unl.edu/encho2.jpg</t>
  </si>
  <si>
    <t>https://nematode.unl.edu/encho20.jpg</t>
  </si>
  <si>
    <t>https://nematode.unl.edu/encho21.jpg</t>
  </si>
  <si>
    <t>https://nematode.unl.edu/encho22.jpg</t>
  </si>
  <si>
    <t>vagina</t>
  </si>
  <si>
    <t>https://nematode.unl.edu/encho23.jpg</t>
  </si>
  <si>
    <t>oviduct</t>
  </si>
  <si>
    <t>https://nematode.unl.edu/encho24.jpg</t>
  </si>
  <si>
    <t>https://nematode.unl.edu/encho25.jpg</t>
  </si>
  <si>
    <t>https://nematode.unl.edu/encho26.jpg</t>
  </si>
  <si>
    <t>https://nematode.unl.edu/encho27.jpg</t>
  </si>
  <si>
    <t>https://nematode.unl.edu/encho28.jpg</t>
  </si>
  <si>
    <t>https://nematode.unl.edu/encho3.jpg</t>
  </si>
  <si>
    <t>https://nematode.unl.edu/encho4.jpg</t>
  </si>
  <si>
    <t>https://nematode.unl.edu/encho5.jpg</t>
  </si>
  <si>
    <t>https://nematode.unl.edu/encho6.jpg</t>
  </si>
  <si>
    <t>https://nematode.unl.edu/encho7.jpg</t>
  </si>
  <si>
    <t>https://nematode.unl.edu/encho9.jpg</t>
  </si>
  <si>
    <t>ondontophore falnges</t>
  </si>
  <si>
    <t>https://nematode.unl.edu/enchocmp.jpg</t>
  </si>
  <si>
    <t>https://nematode.unl.edu/ehope1.jpg</t>
  </si>
  <si>
    <t>https://nematode.unl.edu/ehope2.jpg</t>
  </si>
  <si>
    <t>https://nematode.unl.edu/ehope3.jpg</t>
  </si>
  <si>
    <t>https://nematode.unl.edu/ehope4.jpg</t>
  </si>
  <si>
    <t>https://nematode.unl.edu/ehope5.jpg</t>
  </si>
  <si>
    <t>https://nematode.unl.edu/ehope6.jpg</t>
  </si>
  <si>
    <t>https://nematode.unl.edu/ehope7.jpg</t>
  </si>
  <si>
    <t>https://nematode.unl.edu/elong1.jpg</t>
  </si>
  <si>
    <t>https://nematode.unl.edu/elong10.jpg</t>
  </si>
  <si>
    <t>https://nematode.unl.edu/elong11.jpg</t>
  </si>
  <si>
    <t>https://nematode.unl.edu/elong3.jpg</t>
  </si>
  <si>
    <t>https://nematode.unl.edu/elong4.jpg</t>
  </si>
  <si>
    <t>https://nematode.unl.edu/elong5.jpg</t>
  </si>
  <si>
    <t>https://nematode.unl.edu/elong6.jpg</t>
  </si>
  <si>
    <t>https://nematode.unl.edu/elong7.jpg</t>
  </si>
  <si>
    <t>Tn Oasis</t>
  </si>
  <si>
    <t>https://nematode.unl.edu/elong8.jpg</t>
  </si>
  <si>
    <t>https://nematode.unl.edu/elong9.jpg</t>
  </si>
  <si>
    <t>https://nematode.unl.edu/epidosa1.jpg</t>
  </si>
  <si>
    <t>Epidorylaimus</t>
  </si>
  <si>
    <t>https://nematode.unl.edu/epidosa2.jpg</t>
  </si>
  <si>
    <t>https://nematode.unl.edu/epidosa3.jpg</t>
  </si>
  <si>
    <t>https://nematode.unl.edu/epidosa4.jpg</t>
  </si>
  <si>
    <t>https://nematode.unl.edu/epidosa5.jpg</t>
  </si>
  <si>
    <t>https://nematode.unl.edu/epidosa6.jpg</t>
  </si>
  <si>
    <t>https://nematode.unl.edu/ethmos1.jpg</t>
  </si>
  <si>
    <t>Epidorylaimus lugdunensis</t>
  </si>
  <si>
    <t>https://nematode.unl.edu/ethmos2.jpg</t>
  </si>
  <si>
    <t>https://nematode.unl.edu/ethmos3.jpg</t>
  </si>
  <si>
    <t>Pemaquid Beach,  Maine</t>
  </si>
  <si>
    <t>tide pool</t>
  </si>
  <si>
    <t>https://nematode.unl.edu/ethmos4.jpg</t>
  </si>
  <si>
    <t>https://nematode.unl.edu/ethmos5.jpg</t>
  </si>
  <si>
    <t>https://nematode.unl.edu/ethmos6.jpg</t>
  </si>
  <si>
    <t>https://nematode.unl.edu/ecepha20.jpg</t>
  </si>
  <si>
    <t>https://nematode.unl.edu/ecepha21.jpg</t>
  </si>
  <si>
    <t>https://nematode.unl.edu/ecepha22.jpg</t>
  </si>
  <si>
    <t>https://nematode.unl.edu/ecepha23.jpg</t>
  </si>
  <si>
    <t>https://nematode.unl.edu/ecepha24.jpg</t>
  </si>
  <si>
    <t>https://nematode.unl.edu/ecepha25.jpg</t>
  </si>
  <si>
    <t>https://nematode.unl.edu/ecepha26.jpg</t>
  </si>
  <si>
    <t>https://nematode.unl.edu/ecepha28.jpg</t>
  </si>
  <si>
    <t>https://nematode.unl.edu/ecepha29.jpg</t>
  </si>
  <si>
    <t>https://nematode.unl.edu/ecepha30.jpg</t>
  </si>
  <si>
    <t>https://nematode.unl.edu/ecepha31.jpg</t>
  </si>
  <si>
    <t>https://nematode.unl.edu/ecepha32.jpg</t>
  </si>
  <si>
    <t>https://nematode.unl.edu/ecepha33.jpg</t>
  </si>
  <si>
    <t>https://nematode.unl.edu/ecepha34.jpg</t>
  </si>
  <si>
    <t>https://nematode.unl.edu/ecepha35.jpg</t>
  </si>
  <si>
    <t>https://nematode.unl.edu/ecepha36.jpg</t>
  </si>
  <si>
    <t>https://nematode.unl.edu/epilu1.jpg</t>
  </si>
  <si>
    <t>https://nematode.unl.edu/epilu10.jpg</t>
  </si>
  <si>
    <t>https://nematode.unl.edu/epilu11.jpg</t>
  </si>
  <si>
    <t>https://nematode.unl.edu/epilu12.jpg</t>
  </si>
  <si>
    <t>https://nematode.unl.edu/epilu13.jpg</t>
  </si>
  <si>
    <t>https://nematode.unl.edu/epilu14.jpg</t>
  </si>
  <si>
    <t>https://nematode.unl.edu/epilu16.jpg</t>
  </si>
  <si>
    <t>https://nematode.unl.edu/epilu17.jpg</t>
  </si>
  <si>
    <t>https://nematode.unl.edu/epilu18.jpg</t>
  </si>
  <si>
    <t>https://nematode.unl.edu/epilu19.jpg</t>
  </si>
  <si>
    <t>https://nematode.unl.edu/epilu2.jpg</t>
  </si>
  <si>
    <t>https://nematode.unl.edu/epilu20.jpg</t>
  </si>
  <si>
    <t>https://nematode.unl.edu/epilu21.jpg</t>
  </si>
  <si>
    <t>https://nematode.unl.edu/epilu22.jpg</t>
  </si>
  <si>
    <t>https://nematode.unl.edu/epilu23.jpg</t>
  </si>
  <si>
    <t>https://nematode.unl.edu/epilu24.jpg</t>
  </si>
  <si>
    <t>https://nematode.unl.edu/epilu25.jpg</t>
  </si>
  <si>
    <t>https://nematode.unl.edu/epilu26.jpg</t>
  </si>
  <si>
    <t>https://nematode.unl.edu/epilu27.jpg</t>
  </si>
  <si>
    <t>https://nematode.unl.edu/epilu3.jpg</t>
  </si>
  <si>
    <t>https://nematode.unl.edu/epilu4.jpg</t>
  </si>
  <si>
    <t>https://nematode.unl.edu/epilu5.jpg</t>
  </si>
  <si>
    <t>https://nematode.unl.edu/epilu6.jpg</t>
  </si>
  <si>
    <t>https://nematode.unl.edu/epilu7.jpg</t>
  </si>
  <si>
    <t>https://nematode.unl.edu/epilu8.jpg</t>
  </si>
  <si>
    <t>https://nematode.unl.edu/epilu9.jpg</t>
  </si>
  <si>
    <t>https://nematode.unl.edu/epilucmp.jpg</t>
  </si>
  <si>
    <t>https://nematode.unl.edu/eplug1.jpg</t>
  </si>
  <si>
    <t>https://nematode.unl.edu/eplug2.jpg</t>
  </si>
  <si>
    <t>https://nematode.unl.edu/eplug3.jpg</t>
  </si>
  <si>
    <t>https://nematode.unl.edu/euox1.jpg</t>
  </si>
  <si>
    <t>Big bluestem/Serbner's panicum</t>
  </si>
  <si>
    <t>Eucephalobus oxyuroides</t>
  </si>
  <si>
    <t>Eucephalobus</t>
  </si>
  <si>
    <t>https://nematode.unl.edu/euox10.jpg</t>
  </si>
  <si>
    <t>https://nematode.unl.edu/euox11.jpg</t>
  </si>
  <si>
    <t>https://nematode.unl.edu/euox12.jpg</t>
  </si>
  <si>
    <t>https://nematode.unl.edu/euox13.jpg</t>
  </si>
  <si>
    <t>https://nematode.unl.edu/euox14.jpg</t>
  </si>
  <si>
    <t>https://nematode.unl.edu/euox15.jpg</t>
  </si>
  <si>
    <t>https://nematode.unl.edu/euox16.jpg</t>
  </si>
  <si>
    <t>https://nematode.unl.edu/euox17.jpg</t>
  </si>
  <si>
    <t>https://nematode.unl.edu/euox18.jpg</t>
  </si>
  <si>
    <t>https://nematode.unl.edu/euox19.jpg</t>
  </si>
  <si>
    <t>https://nematode.unl.edu/euox2.jpg</t>
  </si>
  <si>
    <t>https://nematode.unl.edu/euox20.jpg</t>
  </si>
  <si>
    <t>https://nematode.unl.edu/euox21.jpg</t>
  </si>
  <si>
    <t>https://nematode.unl.edu/euox22.jpg</t>
  </si>
  <si>
    <t>https://nematode.unl.edu/euox23.jpg</t>
  </si>
  <si>
    <t>https://nematode.unl.edu/euox24.jpg</t>
  </si>
  <si>
    <t>https://nematode.unl.edu/euox25.jpg</t>
  </si>
  <si>
    <t>https://nematode.unl.edu/euox26.jpg</t>
  </si>
  <si>
    <t>https://nematode.unl.edu/euox27.jpg</t>
  </si>
  <si>
    <t>https://nematode.unl.edu/euox28.jpg</t>
  </si>
  <si>
    <t>https://nematode.unl.edu/euox29.jpg</t>
  </si>
  <si>
    <t>https://nematode.unl.edu/euox3.jpg</t>
  </si>
  <si>
    <t>https://nematode.unl.edu/euox30.jpg</t>
  </si>
  <si>
    <t>https://nematode.unl.edu/euox31.jpg</t>
  </si>
  <si>
    <t>https://nematode.unl.edu/euox32.jpg</t>
  </si>
  <si>
    <t>Scribners's panicum/Bluegrass</t>
  </si>
  <si>
    <t>https://nematode.unl.edu/euox33.jpg</t>
  </si>
  <si>
    <t>https://nematode.unl.edu/euox34.jpg</t>
  </si>
  <si>
    <t>https://nematode.unl.edu/euox35.jpg</t>
  </si>
  <si>
    <t>https://nematode.unl.edu/euox36.jpg</t>
  </si>
  <si>
    <t>https://nematode.unl.edu/euox37.jpg</t>
  </si>
  <si>
    <t>https://nematode.unl.edu/euox38.jpg</t>
  </si>
  <si>
    <t>https://nematode.unl.edu/euox39.jpg</t>
  </si>
  <si>
    <t>https://nematode.unl.edu/euox4.jpg</t>
  </si>
  <si>
    <t>https://nematode.unl.edu/euox40.jpg</t>
  </si>
  <si>
    <t>https://nematode.unl.edu/euox41.jpg</t>
  </si>
  <si>
    <t>https://nematode.unl.edu/euox42.jpg</t>
  </si>
  <si>
    <t>https://nematode.unl.edu/euox43.jpg</t>
  </si>
  <si>
    <t>https://nematode.unl.edu/euox44.jpg</t>
  </si>
  <si>
    <t>https://nematode.unl.edu/euox5.jpg</t>
  </si>
  <si>
    <t>https://nematode.unl.edu/euox6.jpg</t>
  </si>
  <si>
    <t>https://nematode.unl.edu/euox7.jpg</t>
  </si>
  <si>
    <t>https://nematode.unl.edu/euox8.jpg</t>
  </si>
  <si>
    <t>https://nematode.unl.edu/euox9.jpg</t>
  </si>
  <si>
    <t>https://nematode.unl.edu/eucest1.jpg</t>
  </si>
  <si>
    <t>Eucephalobus striatus</t>
  </si>
  <si>
    <t>https://nematode.unl.edu/eucest2.jpg</t>
  </si>
  <si>
    <t>https://nematode.unl.edu/eucest3.jpg</t>
  </si>
  <si>
    <t>https://nematode.unl.edu/eucest4.jpg</t>
  </si>
  <si>
    <t>https://nematode.unl.edu/eucest5.jpg</t>
  </si>
  <si>
    <t>https://nematode.unl.edu/eucest6.jpg</t>
  </si>
  <si>
    <t>https://nematode.unl.edu/eucest7.jpg</t>
  </si>
  <si>
    <t>https://nematode.unl.edu/euspp1.jpg</t>
  </si>
  <si>
    <t>https://nematode.unl.edu/euspp2.jpg</t>
  </si>
  <si>
    <t>https://nematode.unl.edu/eustri1.jpg</t>
  </si>
  <si>
    <t>https://nematode.unl.edu/eustri10.jpg</t>
  </si>
  <si>
    <t>https://nematode.unl.edu/eustri11.jpg</t>
  </si>
  <si>
    <t>https://nematode.unl.edu/eustri12.jpg</t>
  </si>
  <si>
    <t>https://nematode.unl.edu/eustri13.jpg</t>
  </si>
  <si>
    <t>https://nematode.unl.edu/eustri14.jpg</t>
  </si>
  <si>
    <t>https://nematode.unl.edu/eustri15.jpg</t>
  </si>
  <si>
    <t>https://nematode.unl.edu/eustri16.jpg</t>
  </si>
  <si>
    <t>https://nematode.unl.edu/eustri17.jpg</t>
  </si>
  <si>
    <t>https://nematode.unl.edu/eustri18.jpg</t>
  </si>
  <si>
    <t>https://nematode.unl.edu/eustri19.jpg</t>
  </si>
  <si>
    <t>https://nematode.unl.edu/eustri2.jpg</t>
  </si>
  <si>
    <t>https://nematode.unl.edu/eustri20.jpg</t>
  </si>
  <si>
    <t>https://nematode.unl.edu/eustri21.jpg</t>
  </si>
  <si>
    <t>https://nematode.unl.edu/eustri22.jpg</t>
  </si>
  <si>
    <t>https://nematode.unl.edu/eustri23.jpg</t>
  </si>
  <si>
    <t>https://nematode.unl.edu/eustri24.jpg</t>
  </si>
  <si>
    <t>https://nematode.unl.edu/eustri25.jpg</t>
  </si>
  <si>
    <t>https://nematode.unl.edu/eustri26.jpg</t>
  </si>
  <si>
    <t>https://nematode.unl.edu/eustri27.jpg</t>
  </si>
  <si>
    <t>https://nematode.unl.edu/eustri3.jpg</t>
  </si>
  <si>
    <t>https://nematode.unl.edu/eustri4.jpg</t>
  </si>
  <si>
    <t>https://nematode.unl.edu/eustri5.jpg</t>
  </si>
  <si>
    <t>https://nematode.unl.edu/eustri6.jpg</t>
  </si>
  <si>
    <t>https://nematode.unl.edu/eustri7.jpg</t>
  </si>
  <si>
    <t>https://nematode.unl.edu/eustri8.jpg</t>
  </si>
  <si>
    <t>https://nematode.unl.edu/eustri9.jpg</t>
  </si>
  <si>
    <t>https://nematode.unl.edu/eudoreso.jpg</t>
  </si>
  <si>
    <t>https://nematode.unl.edu/eudorg1.jpg</t>
  </si>
  <si>
    <t>https://nematode.unl.edu/eudorg2.jpg</t>
  </si>
  <si>
    <t>https://nematode.unl.edu/eudorg3.jpg</t>
  </si>
  <si>
    <t>https://nematode.unl.edu/eudorg4.jpg</t>
  </si>
  <si>
    <t>https://nematode.unl.edu/eudorg5.jpg</t>
  </si>
  <si>
    <t>testis/spematheca</t>
  </si>
  <si>
    <t>https://nematode.unl.edu/eudorg6.jpg</t>
  </si>
  <si>
    <t>https://nematode.unl.edu/eudorg7.jpg</t>
  </si>
  <si>
    <t>https://nematode.unl.edu/eudorga1.jpg</t>
  </si>
  <si>
    <t>https://nematode.unl.edu/eudorga2.jpg</t>
  </si>
  <si>
    <t>https://nematode.unl.edu/eudorga3.jpg</t>
  </si>
  <si>
    <t>https://nematode.unl.edu/eudorga4.jpg</t>
  </si>
  <si>
    <t>https://nematode.unl.edu/eudorga5.jpg</t>
  </si>
  <si>
    <t>https://nematode.unl.edu/eudorga6.jpg</t>
  </si>
  <si>
    <t>https://nematode.unl.edu/eudorga7.jpg</t>
  </si>
  <si>
    <t>https://nematode.unl.edu/eudorga8.jpg</t>
  </si>
  <si>
    <t>https://nematode.unl.edu/eudorlp.jpg</t>
  </si>
  <si>
    <t>https://nematode.unl.edu/eudorsp1.jpg</t>
  </si>
  <si>
    <t>https://nematode.unl.edu/eudorsp2.jpg</t>
  </si>
  <si>
    <t>https://nematode.unl.edu/eudorsp3.jpg</t>
  </si>
  <si>
    <t>https://nematode.unl.edu/eudorsp4.jpg</t>
  </si>
  <si>
    <t>https://nematode.unl.edu/eudorsp5.jpg</t>
  </si>
  <si>
    <t>https://nematode.unl.edu/eudorspr.jpg</t>
  </si>
  <si>
    <t>https://nematode.unl.edu/eudortl.jpg</t>
  </si>
  <si>
    <t>https://nematode.unl.edu/eacutid1.jpg</t>
  </si>
  <si>
    <t>Restored prairie</t>
  </si>
  <si>
    <t>Eudorylaimus acuticauda</t>
  </si>
  <si>
    <t>https://nematode.unl.edu/eacutid2.jpg</t>
  </si>
  <si>
    <t>https://nematode.unl.edu/eacutid3.jpg</t>
  </si>
  <si>
    <t>https://nematode.unl.edu/eacutid4.jpg</t>
  </si>
  <si>
    <t>https://nematode.unl.edu/eacutid5.jpg</t>
  </si>
  <si>
    <t>https://nematode.unl.edu/eacutid6.jpg</t>
  </si>
  <si>
    <t>https://nematode.unl.edu/eacutid7.jpg</t>
  </si>
  <si>
    <t>https://nematode.unl.edu/eacutid8.jpg</t>
  </si>
  <si>
    <t>https://nematode.unl.edu/eacutid9.jpg</t>
  </si>
  <si>
    <t>https://nematode.unl.edu/eacutidadraw.jpg</t>
  </si>
  <si>
    <t>https://nematode.unl.edu/euacu1.jpg</t>
  </si>
  <si>
    <t>Eudorylaimus acutus</t>
  </si>
  <si>
    <t>https://nematode.unl.edu/euacu2.jpg</t>
  </si>
  <si>
    <t>https://nematode.unl.edu/euacu3.jpg</t>
  </si>
  <si>
    <t>https://nematode.unl.edu/euacu4.jpg</t>
  </si>
  <si>
    <t>https://nematode.unl.edu/euacu5.jpg</t>
  </si>
  <si>
    <t>https://nematode.unl.edu/euarc1.jpg</t>
  </si>
  <si>
    <t>https://nematode.unl.edu/euarc2.jpg</t>
  </si>
  <si>
    <t>https://nematode.unl.edu/euarc3.jpg</t>
  </si>
  <si>
    <t>https://nematode.unl.edu/eudal1.jpg</t>
  </si>
  <si>
    <t>summit</t>
  </si>
  <si>
    <t>Eudorylaimus altherri</t>
  </si>
  <si>
    <t>https://nematode.unl.edu/eudal10.jpg</t>
  </si>
  <si>
    <t>https://nematode.unl.edu/eudal11.jpg</t>
  </si>
  <si>
    <t>https://nematode.unl.edu/eudal12.jpg</t>
  </si>
  <si>
    <t>https://nematode.unl.edu/eudal13.jpg</t>
  </si>
  <si>
    <t>https://nematode.unl.edu/eudal14.jpg</t>
  </si>
  <si>
    <t>https://nematode.unl.edu/eudal15.jpg</t>
  </si>
  <si>
    <t>https://nematode.unl.edu/eudal2.jpg</t>
  </si>
  <si>
    <t>https://nematode.unl.edu/eudal3.jpg</t>
  </si>
  <si>
    <t>https://nematode.unl.edu/eudal4.jpg</t>
  </si>
  <si>
    <t>https://nematode.unl.edu/eudal5.jpg</t>
  </si>
  <si>
    <t>https://nematode.unl.edu/eudal6.jpg</t>
  </si>
  <si>
    <t>https://nematode.unl.edu/eudal7.jpg</t>
  </si>
  <si>
    <t>https://nematode.unl.edu/eudal8.jpg</t>
  </si>
  <si>
    <t>https://nematode.unl.edu/eudal9.jpg</t>
  </si>
  <si>
    <t>https://nematode.unl.edu/eudoralt1.jpg</t>
  </si>
  <si>
    <t>https://nematode.unl.edu/eudoralt2.jpg</t>
  </si>
  <si>
    <t>https://nematode.unl.edu/eudoralt3.jpg</t>
  </si>
  <si>
    <t>https://nematode.unl.edu/eudoralt4.jpg</t>
  </si>
  <si>
    <t>https://nematode.unl.edu/eudoralt5.jpg</t>
  </si>
  <si>
    <t>https://nematode.unl.edu/eudoralt6.jpg</t>
  </si>
  <si>
    <t>https://nematode.unl.edu/eudaq1.jpg</t>
  </si>
  <si>
    <t>Eudorylaimus aquilonarius</t>
  </si>
  <si>
    <t>https://nematode.unl.edu/eudaq10.jpg</t>
  </si>
  <si>
    <t>https://nematode.unl.edu/eudaq11.jpg</t>
  </si>
  <si>
    <t>https://nematode.unl.edu/eudaq12.jpg</t>
  </si>
  <si>
    <t>https://nematode.unl.edu/eudaq13.jpg</t>
  </si>
  <si>
    <t>https://nematode.unl.edu/eudaq14.jpg</t>
  </si>
  <si>
    <t>https://nematode.unl.edu/eudaq15.jpg</t>
  </si>
  <si>
    <t>https://nematode.unl.edu/eudaq16.jpg</t>
  </si>
  <si>
    <t>https://nematode.unl.edu/eudaq2.jpg</t>
  </si>
  <si>
    <t>https://nematode.unl.edu/eudaq3.jpg</t>
  </si>
  <si>
    <t>https://nematode.unl.edu/eudaq4.jpg</t>
  </si>
  <si>
    <t>https://nematode.unl.edu/eudaq5.jpg</t>
  </si>
  <si>
    <t>https://nematode.unl.edu/eudaq6.jpg</t>
  </si>
  <si>
    <t>https://nematode.unl.edu/eudaq7.jpg</t>
  </si>
  <si>
    <t>https://nematode.unl.edu/eudaq8.jpg</t>
  </si>
  <si>
    <t>https://nematode.unl.edu/eudaq9.jpg</t>
  </si>
  <si>
    <t>https://nematode.unl.edu/eubre1.jpg</t>
  </si>
  <si>
    <t>Eudorylaimus brevis</t>
  </si>
  <si>
    <t>https://nematode.unl.edu/eubre10.jpg</t>
  </si>
  <si>
    <t>https://nematode.unl.edu/eubre11.jpg</t>
  </si>
  <si>
    <t>https://nematode.unl.edu/eubre12.jpg</t>
  </si>
  <si>
    <t>https://nematode.unl.edu/eubre13.jpg</t>
  </si>
  <si>
    <t>https://nematode.unl.edu/eubre14.jpg</t>
  </si>
  <si>
    <t>https://nematode.unl.edu/eubre15.jpg</t>
  </si>
  <si>
    <t>https://nematode.unl.edu/eubre2.jpg</t>
  </si>
  <si>
    <t>https://nematode.unl.edu/eubre3.jpg</t>
  </si>
  <si>
    <t>https://nematode.unl.edu/eubre4.jpg</t>
  </si>
  <si>
    <t>https://nematode.unl.edu/eubre5.jpg</t>
  </si>
  <si>
    <t>https://nematode.unl.edu/eubre6.jpg</t>
  </si>
  <si>
    <t>https://nematode.unl.edu/eubre7.jpg</t>
  </si>
  <si>
    <t>https://nematode.unl.edu/eubre8.jpg</t>
  </si>
  <si>
    <t>https://nematode.unl.edu/eubre9.jpg</t>
  </si>
  <si>
    <t>https://nematode.unl.edu/ecart1.jpg</t>
  </si>
  <si>
    <t>Waslingtont's nose</t>
  </si>
  <si>
    <t>Eudorylaimus carteri</t>
  </si>
  <si>
    <t>https://nematode.unl.edu/ecart2.jpg</t>
  </si>
  <si>
    <t>https://nematode.unl.edu/ecart3.jpg</t>
  </si>
  <si>
    <t>https://nematode.unl.edu/ecart4.jpg</t>
  </si>
  <si>
    <t>https://nematode.unl.edu/ecart5.jpg</t>
  </si>
  <si>
    <t>https://nematode.unl.edu/ecart6.jpg</t>
  </si>
  <si>
    <t>https://nematode.unl.edu/ecart7.jpg</t>
  </si>
  <si>
    <t>https://nematode.unl.edu/ecart8.jpg</t>
  </si>
  <si>
    <t>https://nematode.unl.edu/eucar1.jpg</t>
  </si>
  <si>
    <t>https://nematode.unl.edu/eucar10.jpg</t>
  </si>
  <si>
    <t>https://nematode.unl.edu/eucar11.jpg</t>
  </si>
  <si>
    <t>https://nematode.unl.edu/eucar12.jpg</t>
  </si>
  <si>
    <t>https://nematode.unl.edu/eucar2.jpg</t>
  </si>
  <si>
    <t>https://nematode.unl.edu/eucar3.jpg</t>
  </si>
  <si>
    <t>https://nematode.unl.edu/eucar4.jpg</t>
  </si>
  <si>
    <t>https://nematode.unl.edu/eucar5.jpg</t>
  </si>
  <si>
    <t>https://nematode.unl.edu/eucar6.jpg</t>
  </si>
  <si>
    <t>https://nematode.unl.edu/eucar7.jpg</t>
  </si>
  <si>
    <t>https://nematode.unl.edu/eucar8.jpg</t>
  </si>
  <si>
    <t>https://nematode.unl.edu/eucar9.jpg</t>
  </si>
  <si>
    <t>https://nematode.unl.edu/eucarcmp.jpg</t>
  </si>
  <si>
    <t>https://nematode.unl.edu/eucarte1.jpg</t>
  </si>
  <si>
    <t>https://nematode.unl.edu/eucarte10.jpg</t>
  </si>
  <si>
    <t>https://nematode.unl.edu/eucarte11.jpg</t>
  </si>
  <si>
    <t>https://nematode.unl.edu/eucarte12.jpg</t>
  </si>
  <si>
    <t>https://nematode.unl.edu/eucarte13.jpg</t>
  </si>
  <si>
    <t>https://nematode.unl.edu/eucarte14.jpg</t>
  </si>
  <si>
    <t>https://nematode.unl.edu/eucarte15.jpg</t>
  </si>
  <si>
    <t>https://nematode.unl.edu/eucarte16.jpg</t>
  </si>
  <si>
    <t>https://nematode.unl.edu/eucarte17.jpg</t>
  </si>
  <si>
    <t>https://nematode.unl.edu/eucarte18.jpg</t>
  </si>
  <si>
    <t>https://nematode.unl.edu/eucarte19.jpg</t>
  </si>
  <si>
    <t>https://nematode.unl.edu/eucarte2.jpg</t>
  </si>
  <si>
    <t>https://nematode.unl.edu/eucarte20.jpg</t>
  </si>
  <si>
    <t>https://nematode.unl.edu/eucarte21.jpg</t>
  </si>
  <si>
    <t>https://nematode.unl.edu/eucarte22.jpg</t>
  </si>
  <si>
    <t>https://nematode.unl.edu/eucarte23.jpg</t>
  </si>
  <si>
    <t>https://nematode.unl.edu/eucarte24.jpg</t>
  </si>
  <si>
    <t>https://nematode.unl.edu/eucarte25.jpg</t>
  </si>
  <si>
    <t>https://nematode.unl.edu/eucarte26.jpg</t>
  </si>
  <si>
    <t>https://nematode.unl.edu/eucarte3.jpg</t>
  </si>
  <si>
    <t>https://nematode.unl.edu/eucarte4.jpg</t>
  </si>
  <si>
    <t>https://nematode.unl.edu/eucarte5.jpg</t>
  </si>
  <si>
    <t>https://nematode.unl.edu/eucarte6.jpg</t>
  </si>
  <si>
    <t>https://nematode.unl.edu/eucarte7.jpg</t>
  </si>
  <si>
    <t>https://nematode.unl.edu/eucarte8.jpg</t>
  </si>
  <si>
    <t>https://nematode.unl.edu/eucarte9.jpg</t>
  </si>
  <si>
    <t>https://nematode.unl.edu/eucol1.jpg</t>
  </si>
  <si>
    <t>Eudorylaimus coloradensis</t>
  </si>
  <si>
    <t>https://nematode.unl.edu/eucol10.jpg</t>
  </si>
  <si>
    <t>https://nematode.unl.edu/eucol11.jpg</t>
  </si>
  <si>
    <t>https://nematode.unl.edu/eucol12.jpg</t>
  </si>
  <si>
    <t>https://nematode.unl.edu/eucol13.jpg</t>
  </si>
  <si>
    <t>pores</t>
  </si>
  <si>
    <t>https://nematode.unl.edu/eucol14.jpg</t>
  </si>
  <si>
    <t>https://nematode.unl.edu/eucol15.jpg</t>
  </si>
  <si>
    <t>https://nematode.unl.edu/eucol16.jpg</t>
  </si>
  <si>
    <t>https://nematode.unl.edu/eucol17.jpg</t>
  </si>
  <si>
    <t>https://nematode.unl.edu/eucol18.jpg</t>
  </si>
  <si>
    <t>https://nematode.unl.edu/eucol19.jpg</t>
  </si>
  <si>
    <t>https://nematode.unl.edu/eucol2.jpg</t>
  </si>
  <si>
    <t>https://nematode.unl.edu/eucol20.jpg</t>
  </si>
  <si>
    <t>fungal growth</t>
  </si>
  <si>
    <t>https://nematode.unl.edu/eucol21.jpg</t>
  </si>
  <si>
    <t>https://nematode.unl.edu/eucol22.jpg</t>
  </si>
  <si>
    <t>https://nematode.unl.edu/eucol23.jpg</t>
  </si>
  <si>
    <t>https://nematode.unl.edu/eucol3.jpg</t>
  </si>
  <si>
    <t>https://nematode.unl.edu/eucol4.jpg</t>
  </si>
  <si>
    <t>https://nematode.unl.edu/eucol5.jpg</t>
  </si>
  <si>
    <t>precloacal space</t>
  </si>
  <si>
    <t>https://nematode.unl.edu/eucol6.jpg</t>
  </si>
  <si>
    <t>https://nematode.unl.edu/eucol7.jpg</t>
  </si>
  <si>
    <t>https://nematode.unl.edu/eucol8.jpg</t>
  </si>
  <si>
    <t>https://nematode.unl.edu/eucol9.jpg</t>
  </si>
  <si>
    <t>https://nematode.unl.edu/euconf1.jpg</t>
  </si>
  <si>
    <t>Eudorylaimus confusus</t>
  </si>
  <si>
    <t>https://nematode.unl.edu/euconf2.jpg</t>
  </si>
  <si>
    <t>https://nematode.unl.edu/euconf3.jpg</t>
  </si>
  <si>
    <t>https://nematode.unl.edu/euconf4.jpg</t>
  </si>
  <si>
    <t>https://nematode.unl.edu/euconf5.jpg</t>
  </si>
  <si>
    <t>https://nematode.unl.edu/euconf6.jpg</t>
  </si>
  <si>
    <t>https://nematode.unl.edu/euconf7.jpg</t>
  </si>
  <si>
    <t>https://nematode.unl.edu/euconf8.jpg</t>
  </si>
  <si>
    <t>https://nematode.unl.edu/euconf9.jpg</t>
  </si>
  <si>
    <t>https://nematode.unl.edu/eucuti1.jpg</t>
  </si>
  <si>
    <t>https://nematode.unl.edu/eucuti2.jpg</t>
  </si>
  <si>
    <t>https://nematode.unl.edu/eucuti3.jpg</t>
  </si>
  <si>
    <t>https://nematode.unl.edu/eucuti4.jpg</t>
  </si>
  <si>
    <t>https://nematode.unl.edu/eucon1.jpg</t>
  </si>
  <si>
    <t>Eudorylaimus conicaudatus</t>
  </si>
  <si>
    <t>https://nematode.unl.edu/eucon10.jpg</t>
  </si>
  <si>
    <t>https://nematode.unl.edu/eucon11.jpg</t>
  </si>
  <si>
    <t>https://nematode.unl.edu/eucon12.jpg</t>
  </si>
  <si>
    <t>https://nematode.unl.edu/eucon2.jpg</t>
  </si>
  <si>
    <t>https://nematode.unl.edu/eucon3.jpg</t>
  </si>
  <si>
    <t>https://nematode.unl.edu/eucon4.jpg</t>
  </si>
  <si>
    <t>https://nematode.unl.edu/eucon5.jpg</t>
  </si>
  <si>
    <t>https://nematode.unl.edu/eucon6.jpg</t>
  </si>
  <si>
    <t>https://nematode.unl.edu/eucon7.jpg</t>
  </si>
  <si>
    <t>https://nematode.unl.edu/eucon8.jpg</t>
  </si>
  <si>
    <t>https://nematode.unl.edu/eucon9.jpg</t>
  </si>
  <si>
    <t>https://nematode.unl.edu/eudocon1.jpg</t>
  </si>
  <si>
    <t>https://nematode.unl.edu/eudocon2.jpg</t>
  </si>
  <si>
    <t>https://nematode.unl.edu/eudocon3.jpg</t>
  </si>
  <si>
    <t>https://nematode.unl.edu/eudocr1.jpg</t>
  </si>
  <si>
    <t>https://nematode.unl.edu/eudocr2.jpg</t>
  </si>
  <si>
    <t>https://nematode.unl.edu/eudocr3.jpg</t>
  </si>
  <si>
    <t>https://nematode.unl.edu/eudocr4.jpg</t>
  </si>
  <si>
    <t>https://nematode.unl.edu/eudim1.jpg</t>
  </si>
  <si>
    <t>Eudorylaimus imitatoris</t>
  </si>
  <si>
    <t>https://nematode.unl.edu/eudim2.jpg</t>
  </si>
  <si>
    <t>https://nematode.unl.edu/eudim3.jpg</t>
  </si>
  <si>
    <t>https://nematode.unl.edu/eudim4.jpg</t>
  </si>
  <si>
    <t>https://nematode.unl.edu/eudim5.jpg</t>
  </si>
  <si>
    <t>https://nematode.unl.edu/eujun1.jpg</t>
  </si>
  <si>
    <t>Eudorylaimus junctus</t>
  </si>
  <si>
    <t>https://nematode.unl.edu/eujun2.jpg</t>
  </si>
  <si>
    <t>https://nematode.unl.edu/eujun3.jpg</t>
  </si>
  <si>
    <t>https://nematode.unl.edu/eujun4.jpg</t>
  </si>
  <si>
    <t>https://nematode.unl.edu/eujun5.jpg</t>
  </si>
  <si>
    <t>https://nematode.unl.edu/eujun6.jpg</t>
  </si>
  <si>
    <t>https://nematode.unl.edu/eujun7.jpg</t>
  </si>
  <si>
    <t>https://nematode.unl.edu/elong2.jpg</t>
  </si>
  <si>
    <t>Eudorylaimus longicardius</t>
  </si>
  <si>
    <t>https://nematode.unl.edu/eudormer1.jpg</t>
  </si>
  <si>
    <t>Eudorylaimus meridionalis</t>
  </si>
  <si>
    <t>https://nematode.unl.edu/eudormer10.jpg</t>
  </si>
  <si>
    <t>https://nematode.unl.edu/eudormer11.jpg</t>
  </si>
  <si>
    <t>https://nematode.unl.edu/eudormer12.jpg</t>
  </si>
  <si>
    <t>https://nematode.unl.edu/eudormer13.jpg</t>
  </si>
  <si>
    <t>https://nematode.unl.edu/eudormer14.jpg</t>
  </si>
  <si>
    <t>https://nematode.unl.edu/eudormer15.jpg</t>
  </si>
  <si>
    <t>https://nematode.unl.edu/eudormer16.jpg</t>
  </si>
  <si>
    <t>https://nematode.unl.edu/eudormer17.jpg</t>
  </si>
  <si>
    <t>https://nematode.unl.edu/eudormer18.jpg</t>
  </si>
  <si>
    <t>https://nematode.unl.edu/eudormer19.jpg</t>
  </si>
  <si>
    <t>https://nematode.unl.edu/eudormer2.jpg</t>
  </si>
  <si>
    <t>https://nematode.unl.edu/eudormer20.jpg</t>
  </si>
  <si>
    <t>https://nematode.unl.edu/eudormer21.jpg</t>
  </si>
  <si>
    <t>https://nematode.unl.edu/eudormer22.jpg</t>
  </si>
  <si>
    <t>https://nematode.unl.edu/eudormer23.jpg</t>
  </si>
  <si>
    <t>https://nematode.unl.edu/eudormer3.jpg</t>
  </si>
  <si>
    <t>https://nematode.unl.edu/eudormer4.jpg</t>
  </si>
  <si>
    <t>https://nematode.unl.edu/eudormer5.jpg</t>
  </si>
  <si>
    <t>https://nematode.unl.edu/eudormer6.jpg</t>
  </si>
  <si>
    <t>https://nematode.unl.edu/eudormer7.jpg</t>
  </si>
  <si>
    <t>https://nematode.unl.edu/eudormer8.jpg</t>
  </si>
  <si>
    <t>https://nematode.unl.edu/eumer1.jpg</t>
  </si>
  <si>
    <t>https://nematode.unl.edu/eumer2.jpg</t>
  </si>
  <si>
    <t>https://nematode.unl.edu/eumer3.jpg</t>
  </si>
  <si>
    <t>https://nematode.unl.edu/eumer4.jpg</t>
  </si>
  <si>
    <t>https://nematode.unl.edu/eumer5.jpg</t>
  </si>
  <si>
    <t>https://nematode.unl.edu/eumer6.jpg</t>
  </si>
  <si>
    <t>https://nematode.unl.edu/eumer7.jpg</t>
  </si>
  <si>
    <t>https://nematode.unl.edu/eumeri1.jpg</t>
  </si>
  <si>
    <t>https://nematode.unl.edu/eumeri10.jpg</t>
  </si>
  <si>
    <t>https://nematode.unl.edu/eumeri11.jpg</t>
  </si>
  <si>
    <t>Dead Pig A</t>
  </si>
  <si>
    <t>https://nematode.unl.edu/eumeri12.jpg</t>
  </si>
  <si>
    <t>https://nematode.unl.edu/eumeri13.jpg</t>
  </si>
  <si>
    <t>https://nematode.unl.edu/eumeri14.jpg</t>
  </si>
  <si>
    <t>Grass</t>
  </si>
  <si>
    <t>https://nematode.unl.edu/eumeri15.jpg</t>
  </si>
  <si>
    <t>https://nematode.unl.edu/eumeri16.jpg</t>
  </si>
  <si>
    <t>https://nematode.unl.edu/eumeri2.jpg</t>
  </si>
  <si>
    <t>https://nematode.unl.edu/eumeri3.jpg</t>
  </si>
  <si>
    <t>https://nematode.unl.edu/eumeri4.jpg</t>
  </si>
  <si>
    <t>https://nematode.unl.edu/eumeri5.jpg</t>
  </si>
  <si>
    <t>https://nematode.unl.edu/eumeri6.jpg</t>
  </si>
  <si>
    <t>https://nematode.unl.edu/eumeri7.jpg</t>
  </si>
  <si>
    <t>https://nematode.unl.edu/eumeri8.jpg</t>
  </si>
  <si>
    <t>https://nematode.unl.edu/eumeri9.jpg</t>
  </si>
  <si>
    <t>https://nematode.unl.edu/euno1.jpg</t>
  </si>
  <si>
    <t>Eudorylaimus nodus</t>
  </si>
  <si>
    <t>https://nematode.unl.edu/euno2.jpg</t>
  </si>
  <si>
    <t>https://nematode.unl.edu/euno3.jpg</t>
  </si>
  <si>
    <t>https://nematode.unl.edu/euno4.jpg</t>
  </si>
  <si>
    <t>https://nematode.unl.edu/eusab1.jpg</t>
  </si>
  <si>
    <t>Eudorylaimus sabulophilus</t>
  </si>
  <si>
    <t>https://nematode.unl.edu/eusab2.jpg</t>
  </si>
  <si>
    <t>https://nematode.unl.edu/eusab3.jpg</t>
  </si>
  <si>
    <t>https://nematode.unl.edu/eusab4.jpg</t>
  </si>
  <si>
    <t>https://nematode.unl.edu/eusab5.jpg</t>
  </si>
  <si>
    <t>https://nematode.unl.edu/eusab6.jpg</t>
  </si>
  <si>
    <t>https://nematode.unl.edu/eusab7.jpg</t>
  </si>
  <si>
    <t>https://nematode.unl.edu/esilva1.jpg</t>
  </si>
  <si>
    <t>Eudorylaimus silvaticus</t>
  </si>
  <si>
    <t>https://nematode.unl.edu/esilva2.jpg</t>
  </si>
  <si>
    <t>https://nematode.unl.edu/esilva3.jpg</t>
  </si>
  <si>
    <t>https://nematode.unl.edu/esilva4.jpg</t>
  </si>
  <si>
    <t>https://nematode.unl.edu/esilva5.jpg</t>
  </si>
  <si>
    <t>https://nematode.unl.edu/euds1.jpg</t>
  </si>
  <si>
    <t>https://nematode.unl.edu/euds2.jpg</t>
  </si>
  <si>
    <t>https://nematode.unl.edu/euds3.jpg</t>
  </si>
  <si>
    <t>https://nematode.unl.edu/euds4.jpg</t>
  </si>
  <si>
    <t>https://nematode.unl.edu/euds5.jpg</t>
  </si>
  <si>
    <t>https://nematode.unl.edu/eusil1.jpg</t>
  </si>
  <si>
    <t>https://nematode.unl.edu/eusil10.jpg</t>
  </si>
  <si>
    <t>https://nematode.unl.edu/eusil11.jpg</t>
  </si>
  <si>
    <t>https://nematode.unl.edu/eusil12.jpg</t>
  </si>
  <si>
    <t>https://nematode.unl.edu/eusil13.jpg</t>
  </si>
  <si>
    <t>https://nematode.unl.edu/eusil14.jpg</t>
  </si>
  <si>
    <t>https://nematode.unl.edu/eusil15.jpg</t>
  </si>
  <si>
    <t>https://nematode.unl.edu/eusil16.jpg</t>
  </si>
  <si>
    <t>https://nematode.unl.edu/eusil17.jpg</t>
  </si>
  <si>
    <t>https://nematode.unl.edu/eusil18.jpg</t>
  </si>
  <si>
    <t>https://nematode.unl.edu/eusil19.jpg</t>
  </si>
  <si>
    <t>https://nematode.unl.edu/eusil2.jpg</t>
  </si>
  <si>
    <t>https://nematode.unl.edu/eusil20.jpg</t>
  </si>
  <si>
    <t>https://nematode.unl.edu/eusil21.jpg</t>
  </si>
  <si>
    <t>https://nematode.unl.edu/eusil22.jpg</t>
  </si>
  <si>
    <t>https://nematode.unl.edu/eusil23.jpg</t>
  </si>
  <si>
    <t>https://nematode.unl.edu/eusil24.jpg</t>
  </si>
  <si>
    <t>https://nematode.unl.edu/eusil25.jpg</t>
  </si>
  <si>
    <t>https://nematode.unl.edu/eusil26.jpg</t>
  </si>
  <si>
    <t>https://nematode.unl.edu/eusil27.jpg</t>
  </si>
  <si>
    <t>https://nematode.unl.edu/eusil28.jpg</t>
  </si>
  <si>
    <t>https://nematode.unl.edu/eusil29.jpg</t>
  </si>
  <si>
    <t>https://nematode.unl.edu/eusil3.jpg</t>
  </si>
  <si>
    <t>https://nematode.unl.edu/eusil4.jpg</t>
  </si>
  <si>
    <t>https://nematode.unl.edu/eusil5.jpg</t>
  </si>
  <si>
    <t>https://nematode.unl.edu/eusil6.jpg</t>
  </si>
  <si>
    <t>https://nematode.unl.edu/eusil7.jpg</t>
  </si>
  <si>
    <t>https://nematode.unl.edu/eusil8.jpg</t>
  </si>
  <si>
    <t>https://nematode.unl.edu/eusil9.jpg</t>
  </si>
  <si>
    <t>https://nematode.unl.edu/eusoda1.jpg</t>
  </si>
  <si>
    <t>Eudorylaimus sodakus</t>
  </si>
  <si>
    <t>https://nematode.unl.edu/eusoda10.jpg</t>
  </si>
  <si>
    <t>https://nematode.unl.edu/eusoda11.jpg</t>
  </si>
  <si>
    <t>https://nematode.unl.edu/eusoda12.jpg</t>
  </si>
  <si>
    <t>https://nematode.unl.edu/eusoda13.jpg</t>
  </si>
  <si>
    <t>https://nematode.unl.edu/eusoda14.jpg</t>
  </si>
  <si>
    <t>https://nematode.unl.edu/eusoda15.jpg</t>
  </si>
  <si>
    <t>https://nematode.unl.edu/eusoda16.jpg</t>
  </si>
  <si>
    <t>https://nematode.unl.edu/eusoda17.jpg</t>
  </si>
  <si>
    <t>https://nematode.unl.edu/eusoda18.jpg</t>
  </si>
  <si>
    <t>https://nematode.unl.edu/eusoda19.jpg</t>
  </si>
  <si>
    <t>https://nematode.unl.edu/eusoda2.jpg</t>
  </si>
  <si>
    <t>https://nematode.unl.edu/eusoda20.jpg</t>
  </si>
  <si>
    <t>https://nematode.unl.edu/eusoda21.jpg</t>
  </si>
  <si>
    <t>https://nematode.unl.edu/eusoda22.jpg</t>
  </si>
  <si>
    <t>https://nematode.unl.edu/eusoda23.jpg</t>
  </si>
  <si>
    <t>https://nematode.unl.edu/eusoda24.jpg</t>
  </si>
  <si>
    <t>https://nematode.unl.edu/eusoda25.jpg</t>
  </si>
  <si>
    <t>https://nematode.unl.edu/eusoda26.jpg</t>
  </si>
  <si>
    <t>https://nematode.unl.edu/eusoda27.jpg</t>
  </si>
  <si>
    <t>https://nematode.unl.edu/eusoda28.jpg</t>
  </si>
  <si>
    <t>https://nematode.unl.edu/eusoda29.jpg</t>
  </si>
  <si>
    <t>https://nematode.unl.edu/eusoda3.jpg</t>
  </si>
  <si>
    <t>https://nematode.unl.edu/eusoda30.jpg</t>
  </si>
  <si>
    <t>https://nematode.unl.edu/eusoda31.jpg</t>
  </si>
  <si>
    <t>https://nematode.unl.edu/eusoda32.jpg</t>
  </si>
  <si>
    <t>https://nematode.unl.edu/eusoda33.jpg</t>
  </si>
  <si>
    <t>https://nematode.unl.edu/eusoda34.jpg</t>
  </si>
  <si>
    <t>https://nematode.unl.edu/eusoda35.jpg</t>
  </si>
  <si>
    <t>https://nematode.unl.edu/eusoda36.jpg</t>
  </si>
  <si>
    <t>https://nematode.unl.edu/eusoda39.jpg</t>
  </si>
  <si>
    <t>https://nematode.unl.edu/eusoda4.jpg</t>
  </si>
  <si>
    <t>https://nematode.unl.edu/eusoda40.jpg</t>
  </si>
  <si>
    <t>https://nematode.unl.edu/eusoda41.jpg</t>
  </si>
  <si>
    <t>https://nematode.unl.edu/eusoda42.jpg</t>
  </si>
  <si>
    <t>https://nematode.unl.edu/eusoda43.jpg</t>
  </si>
  <si>
    <t>https://nematode.unl.edu/eusoda44.jpg</t>
  </si>
  <si>
    <t>https://nematode.unl.edu/eusoda45.jpg</t>
  </si>
  <si>
    <t>https://nematode.unl.edu/eusoda46.jpg</t>
  </si>
  <si>
    <t>https://nematode.unl.edu/eusoda47.jpg</t>
  </si>
  <si>
    <t>https://nematode.unl.edu/eusoda48.jpg</t>
  </si>
  <si>
    <t>https://nematode.unl.edu/eusoda5.jpg</t>
  </si>
  <si>
    <t>Artemesia ludoviciana</t>
  </si>
  <si>
    <t>https://nematode.unl.edu/eusoda6.jpg</t>
  </si>
  <si>
    <t>https://nematode.unl.edu/eusoda7.jpg</t>
  </si>
  <si>
    <t>https://nematode.unl.edu/eusoda8.jpg</t>
  </si>
  <si>
    <t>avterior ovary</t>
  </si>
  <si>
    <t>https://nematode.unl.edu/eusoda9.jpg</t>
  </si>
  <si>
    <t>https://nematode.unl.edu/eudos1.jpg</t>
  </si>
  <si>
    <t>Eudorylaimus subdigitalis</t>
  </si>
  <si>
    <t>https://nematode.unl.edu/eudos10.jpg</t>
  </si>
  <si>
    <t>https://nematode.unl.edu/eudos11.jpg</t>
  </si>
  <si>
    <t>https://nematode.unl.edu/eudos12.jpg</t>
  </si>
  <si>
    <t>https://nematode.unl.edu/eudos13.jpg</t>
  </si>
  <si>
    <t>https://nematode.unl.edu/eudos14.jpg</t>
  </si>
  <si>
    <t>https://nematode.unl.edu/eudos15.jpg</t>
  </si>
  <si>
    <t>https://nematode.unl.edu/eudos16.jpg</t>
  </si>
  <si>
    <t>https://nematode.unl.edu/eudos17.jpg</t>
  </si>
  <si>
    <t>https://nematode.unl.edu/eudos18.jpg</t>
  </si>
  <si>
    <t>https://nematode.unl.edu/eudos19.jpg</t>
  </si>
  <si>
    <t>https://nematode.unl.edu/eudos2.jpg</t>
  </si>
  <si>
    <t>https://nematode.unl.edu/eudos20.jpg</t>
  </si>
  <si>
    <t>https://nematode.unl.edu/eudos21.jpg</t>
  </si>
  <si>
    <t>https://nematode.unl.edu/eudos22.jpg</t>
  </si>
  <si>
    <t>https://nematode.unl.edu/eudos23.jpg</t>
  </si>
  <si>
    <t>https://nematode.unl.edu/eudos24.jpg</t>
  </si>
  <si>
    <t>https://nematode.unl.edu/eudos25.jpg</t>
  </si>
  <si>
    <t>https://nematode.unl.edu/eudos26.jpg</t>
  </si>
  <si>
    <t>https://nematode.unl.edu/eudos27.jpg</t>
  </si>
  <si>
    <t>https://nematode.unl.edu/eudos28.jpg</t>
  </si>
  <si>
    <t>https://nematode.unl.edu/eudos29.jpg</t>
  </si>
  <si>
    <t>https://nematode.unl.edu/eudos3.jpg</t>
  </si>
  <si>
    <t>https://nematode.unl.edu/eudos30.jpg</t>
  </si>
  <si>
    <t>https://nematode.unl.edu/eudos4.jpg</t>
  </si>
  <si>
    <t>https://nematode.unl.edu/eudos5.jpg</t>
  </si>
  <si>
    <t>https://nematode.unl.edu/eudos6.jpg</t>
  </si>
  <si>
    <t>https://nematode.unl.edu/eudos7.jpg</t>
  </si>
  <si>
    <t>https://nematode.unl.edu/eudos8.jpg</t>
  </si>
  <si>
    <t>https://nematode.unl.edu/eudos9.jpg</t>
  </si>
  <si>
    <t>https://nematode.unl.edu/eusub1.jpg</t>
  </si>
  <si>
    <t>https://nematode.unl.edu/eusubis1.jpg</t>
  </si>
  <si>
    <t>https://nematode.unl.edu/eusubis10.jpg</t>
  </si>
  <si>
    <t>https://nematode.unl.edu/eusubis11.jpg</t>
  </si>
  <si>
    <t>https://nematode.unl.edu/eusubis12.jpg</t>
  </si>
  <si>
    <t>https://nematode.unl.edu/eusubis13.jpg</t>
  </si>
  <si>
    <t>https://nematode.unl.edu/eusubis14.jpg</t>
  </si>
  <si>
    <t>https://nematode.unl.edu/eusubis15.jpg</t>
  </si>
  <si>
    <t>https://nematode.unl.edu/eusubis16.jpg</t>
  </si>
  <si>
    <t>https://nematode.unl.edu/eusubis17.jpg</t>
  </si>
  <si>
    <t>https://nematode.unl.edu/eusubis18.jpg</t>
  </si>
  <si>
    <t>https://nematode.unl.edu/eusubis19.jpg</t>
  </si>
  <si>
    <t>https://nematode.unl.edu/eusubis2.jpg</t>
  </si>
  <si>
    <t>https://nematode.unl.edu/eusubis20.jpg</t>
  </si>
  <si>
    <t>https://nematode.unl.edu/eusubis21.jpg</t>
  </si>
  <si>
    <t>https://nematode.unl.edu/eusubis22.jpg</t>
  </si>
  <si>
    <t>https://nematode.unl.edu/eusubis23.jpg</t>
  </si>
  <si>
    <t>https://nematode.unl.edu/eusubis24.jpg</t>
  </si>
  <si>
    <t>https://nematode.unl.edu/eusubis25.jpg</t>
  </si>
  <si>
    <t>https://nematode.unl.edu/eusubis26.jpg</t>
  </si>
  <si>
    <t>https://nematode.unl.edu/eusubis27.jpg</t>
  </si>
  <si>
    <t>https://nematode.unl.edu/eusubis28.jpg</t>
  </si>
  <si>
    <t>https://nematode.unl.edu/eusubis29.jpg</t>
  </si>
  <si>
    <t>https://nematode.unl.edu/eusubis3.jpg</t>
  </si>
  <si>
    <t>https://nematode.unl.edu/eusubis30.jpg</t>
  </si>
  <si>
    <t>https://nematode.unl.edu/eusubis31.jpg</t>
  </si>
  <si>
    <t>https://nematode.unl.edu/eusubis32.jpg</t>
  </si>
  <si>
    <t>https://nematode.unl.edu/eusubis33.jpg</t>
  </si>
  <si>
    <t>https://nematode.unl.edu/eusubis34.jpg</t>
  </si>
  <si>
    <t>https://nematode.unl.edu/eusubis4.jpg</t>
  </si>
  <si>
    <t>https://nematode.unl.edu/eusubis5.jpg</t>
  </si>
  <si>
    <t>https://nematode.unl.edu/eusubis6.jpg</t>
  </si>
  <si>
    <t>https://nematode.unl.edu/eusubis7.jpg</t>
  </si>
  <si>
    <t>https://nematode.unl.edu/eusubis8.jpg</t>
  </si>
  <si>
    <t>https://nematode.unl.edu/eusubis9.jpg</t>
  </si>
  <si>
    <t>https://nematode.unl.edu/etrunc1.jpg</t>
  </si>
  <si>
    <t>Eudorylaimus truncatus</t>
  </si>
  <si>
    <t>https://nematode.unl.edu/etrunc2.jpg</t>
  </si>
  <si>
    <t>https://nematode.unl.edu/etrunc3.jpg</t>
  </si>
  <si>
    <t>https://nematode.unl.edu/etrunc4.jpg</t>
  </si>
  <si>
    <t>https://nematode.unl.edu/etrunc5.jpg</t>
  </si>
  <si>
    <t>https://nematode.unl.edu/eutrun1.jpg</t>
  </si>
  <si>
    <t>https://nematode.unl.edu/eutrun2.jpg</t>
  </si>
  <si>
    <t>https://nematode.unl.edu/eutrun3.jpg</t>
  </si>
  <si>
    <t>https://nematode.unl.edu/eutrun4.jpg</t>
  </si>
  <si>
    <t>https://nematode.unl.edu/eutrun5.jpg</t>
  </si>
  <si>
    <t>https://nematode.unl.edu/eutrun6.jpg</t>
  </si>
  <si>
    <t>https://nematode.unl.edu/eutrun7.jpg</t>
  </si>
  <si>
    <t>https://nematode.unl.edu/eutrun8.jpg</t>
  </si>
  <si>
    <t>https://nematode.unl.edu/eudovest.jpg</t>
  </si>
  <si>
    <t>Eudorylaimus vestibulifer</t>
  </si>
  <si>
    <t>https://nematode.unl.edu/eustica1.jpg</t>
  </si>
  <si>
    <t>Eumonhystera rustica</t>
  </si>
  <si>
    <t>https://nematode.unl.edu/eustica10.jpg</t>
  </si>
  <si>
    <t>https://nematode.unl.edu/eustica11.jpg</t>
  </si>
  <si>
    <t>https://nematode.unl.edu/eustica12.jpg</t>
  </si>
  <si>
    <t>https://nematode.unl.edu/eustica2.jpg</t>
  </si>
  <si>
    <t>https://nematode.unl.edu/eustica3.jpg</t>
  </si>
  <si>
    <t>https://nematode.unl.edu/eustica4.jpg</t>
  </si>
  <si>
    <t>https://nematode.unl.edu/eustica5.jpg</t>
  </si>
  <si>
    <t>https://nematode.unl.edu/eustica6.jpg</t>
  </si>
  <si>
    <t>https://nematode.unl.edu/eustica7.jpg</t>
  </si>
  <si>
    <t>https://nematode.unl.edu/eustica8.jpg</t>
  </si>
  <si>
    <t>https://nematode.unl.edu/eustica9.jpg</t>
  </si>
  <si>
    <t>https://nematode.unl.edu/eumov1.jpg</t>
  </si>
  <si>
    <t>Eumonhystera vulgaris</t>
  </si>
  <si>
    <t>https://nematode.unl.edu/eumov2.jpg</t>
  </si>
  <si>
    <t>https://nematode.unl.edu/eumov3.jpg</t>
  </si>
  <si>
    <t>https://nematode.unl.edu/eumov4.jpg</t>
  </si>
  <si>
    <t>https://nematode.unl.edu/eumov5.jpg</t>
  </si>
  <si>
    <t>https://nematode.unl.edu/eumov6.jpg</t>
  </si>
  <si>
    <t>https://nematode.unl.edu/eumov7.jpg</t>
  </si>
  <si>
    <t>https://nematode.unl.edu/eumov8.jpg</t>
  </si>
  <si>
    <t>https://nematode.unl.edu/eumov9.jpg</t>
  </si>
  <si>
    <t>https://nematode.unl.edu/fictsp1.jpg</t>
  </si>
  <si>
    <t>Fictor</t>
  </si>
  <si>
    <t>https://nematode.unl.edu/fictsp2.jpg</t>
  </si>
  <si>
    <t>https://nematode.unl.edu/fictsp3.jpg</t>
  </si>
  <si>
    <t>https://nematode.unl.edu/fictsp4.jpg</t>
  </si>
  <si>
    <t>head/tooth</t>
  </si>
  <si>
    <t>https://nematode.unl.edu/fictsp5.jpg</t>
  </si>
  <si>
    <t>https://nematode.unl.edu/fisp1.jpg</t>
  </si>
  <si>
    <t>https://nematode.unl.edu/fisp2.jpg</t>
  </si>
  <si>
    <t>https://nematode.unl.edu/fisp3.jpg</t>
  </si>
  <si>
    <t>https://nematode.unl.edu/fisp4.jpg</t>
  </si>
  <si>
    <t>https://nematode.unl.edu/facut1.jpg</t>
  </si>
  <si>
    <t>Filenchus acutus</t>
  </si>
  <si>
    <t>https://nematode.unl.edu/facut10.jpg</t>
  </si>
  <si>
    <t>https://nematode.unl.edu/facut11.jpg</t>
  </si>
  <si>
    <t>https://nematode.unl.edu/facut12.jpg</t>
  </si>
  <si>
    <t>https://nematode.unl.edu/facut13.jpg</t>
  </si>
  <si>
    <t>https://nematode.unl.edu/facut14.jpg</t>
  </si>
  <si>
    <t>https://nematode.unl.edu/facut15.jpg</t>
  </si>
  <si>
    <t>https://nematode.unl.edu/facut2.jpg</t>
  </si>
  <si>
    <t>https://nematode.unl.edu/facut3.jpg</t>
  </si>
  <si>
    <t>https://nematode.unl.edu/facut4.jpg</t>
  </si>
  <si>
    <t>https://nematode.unl.edu/facut5.jpg</t>
  </si>
  <si>
    <t>https://nematode.unl.edu/facut6.jpg</t>
  </si>
  <si>
    <t>https://nematode.unl.edu/facut7.jpg</t>
  </si>
  <si>
    <t>https://nematode.unl.edu/facut8.jpg</t>
  </si>
  <si>
    <t>https://nematode.unl.edu/facut9.jpg</t>
  </si>
  <si>
    <t>https://nematode.unl.edu/filaf1.jpg</t>
  </si>
  <si>
    <t>Filenchus afghanicus</t>
  </si>
  <si>
    <t>https://nematode.unl.edu/filaf2.jpg</t>
  </si>
  <si>
    <t>https://nematode.unl.edu/filaf3.jpg</t>
  </si>
  <si>
    <t>https://nematode.unl.edu/filaf4.jpg</t>
  </si>
  <si>
    <t>https://nematode.unl.edu/filaf5.jpg</t>
  </si>
  <si>
    <t>https://nematode.unl.edu/filaf6.jpg</t>
  </si>
  <si>
    <t>https://nematode.unl.edu/filaquil1.jpg</t>
  </si>
  <si>
    <t>https://nematode.unl.edu/filaquil2.jpg</t>
  </si>
  <si>
    <t>https://nematode.unl.edu/filaquil3.jpg</t>
  </si>
  <si>
    <t>https://nematode.unl.edu/filaquil4.jpg</t>
  </si>
  <si>
    <t>https://nematode.unl.edu/filaquil5.jpg</t>
  </si>
  <si>
    <t>https://nematode.unl.edu/filaquil6.jpg</t>
  </si>
  <si>
    <t>https://nematode.unl.edu/filaudus1.jpg</t>
  </si>
  <si>
    <t>https://nematode.unl.edu/filaudus10.jpg</t>
  </si>
  <si>
    <t>https://nematode.unl.edu/filaudus11.jpg</t>
  </si>
  <si>
    <t>https://nematode.unl.edu/filaudus12.jpg</t>
  </si>
  <si>
    <t>Outside Micro-oasis</t>
  </si>
  <si>
    <t>https://nematode.unl.edu/filaudus13.jpg</t>
  </si>
  <si>
    <t>https://nematode.unl.edu/filaudus2.jpg</t>
  </si>
  <si>
    <t>https://nematode.unl.edu/filaudus3.jpg</t>
  </si>
  <si>
    <t>https://nematode.unl.edu/filaudus4.jpg</t>
  </si>
  <si>
    <t>https://nematode.unl.edu/filaudus5.jpg</t>
  </si>
  <si>
    <t>https://nematode.unl.edu/filaudus6.jpg</t>
  </si>
  <si>
    <t>https://nematode.unl.edu/filaudus7.jpg</t>
  </si>
  <si>
    <t>https://nematode.unl.edu/filaudus8.jpg</t>
  </si>
  <si>
    <t>https://nematode.unl.edu/filaudus9.jpg</t>
  </si>
  <si>
    <t>https://nematode.unl.edu/fannul1.jpg</t>
  </si>
  <si>
    <t>Filenchus annulatus</t>
  </si>
  <si>
    <t>https://nematode.unl.edu/fannul2.jpg</t>
  </si>
  <si>
    <t>https://nematode.unl.edu/fannul3.jpg</t>
  </si>
  <si>
    <t>https://nematode.unl.edu/fannul4.jpg</t>
  </si>
  <si>
    <t>https://nematode.unl.edu/fannul5.jpg</t>
  </si>
  <si>
    <t>https://nematode.unl.edu/fannul6.jpg</t>
  </si>
  <si>
    <t>https://nematode.unl.edu/fannul7.jpg</t>
  </si>
  <si>
    <t>https://nematode.unl.edu/fannul8.jpg</t>
  </si>
  <si>
    <t>https://nematode.unl.edu/fannul9.jpg</t>
  </si>
  <si>
    <t>https://nematode.unl.edu/faquil1.jpg</t>
  </si>
  <si>
    <t>Filenchus aquilonius</t>
  </si>
  <si>
    <t>https://nematode.unl.edu/fibal1.jpg</t>
  </si>
  <si>
    <t>Filenchus baloghi</t>
  </si>
  <si>
    <t>https://nematode.unl.edu/fibal10.jpg</t>
  </si>
  <si>
    <t>https://nematode.unl.edu/fibal11.jpg</t>
  </si>
  <si>
    <t>https://nematode.unl.edu/fibal12.jpg</t>
  </si>
  <si>
    <t>https://nematode.unl.edu/fibal13.jpg</t>
  </si>
  <si>
    <t>https://nematode.unl.edu/fibal14.jpg</t>
  </si>
  <si>
    <t>https://nematode.unl.edu/fibal15.jpg</t>
  </si>
  <si>
    <t>https://nematode.unl.edu/fibal16.jpg</t>
  </si>
  <si>
    <t>https://nematode.unl.edu/fibal17.jpg</t>
  </si>
  <si>
    <t>https://nematode.unl.edu/fibal18.jpg</t>
  </si>
  <si>
    <t>https://nematode.unl.edu/fibal19.jpg</t>
  </si>
  <si>
    <t>https://nematode.unl.edu/fibal2.jpg</t>
  </si>
  <si>
    <t>https://nematode.unl.edu/fibal5.jpg</t>
  </si>
  <si>
    <t>https://nematode.unl.edu/fibal6.jpg</t>
  </si>
  <si>
    <t>https://nematode.unl.edu/fibal7.jpg</t>
  </si>
  <si>
    <t>https://nematode.unl.edu/fibal8.jpg</t>
  </si>
  <si>
    <t>https://nematode.unl.edu/fibal9.jpg</t>
  </si>
  <si>
    <t>https://nematode.unl.edu/filbu1.jpg</t>
  </si>
  <si>
    <t>https://nematode.unl.edu/filbu2.jpg</t>
  </si>
  <si>
    <t>https://nematode.unl.edu/filbu3.jpg</t>
  </si>
  <si>
    <t>https://nematode.unl.edu/filbu4.jpg</t>
  </si>
  <si>
    <t>https://nematode.unl.edu/filbu5.jpg</t>
  </si>
  <si>
    <t>https://nematode.unl.edu/filbu6.jpg</t>
  </si>
  <si>
    <t>https://nematode.unl.edu/filbu7.jpg</t>
  </si>
  <si>
    <t>https://nematode.unl.edu/filco1.jpg</t>
  </si>
  <si>
    <t>Filenchus compositus</t>
  </si>
  <si>
    <t>https://nematode.unl.edu/filco2.jpg</t>
  </si>
  <si>
    <t>https://nematode.unl.edu/filco3.jpg</t>
  </si>
  <si>
    <t>https://nematode.unl.edu/filco4.jpg</t>
  </si>
  <si>
    <t>https://nematode.unl.edu/filco5.jpg</t>
  </si>
  <si>
    <t>https://nematode.unl.edu/filco6.jpg</t>
  </si>
  <si>
    <t>https://nematode.unl.edu/filco7.jpg</t>
  </si>
  <si>
    <t>https://nematode.unl.edu/filco8.jpg</t>
  </si>
  <si>
    <t>https://nematode.unl.edu/filco9.jpg</t>
  </si>
  <si>
    <t>https://nematode.unl.edu/filcom1.jpg</t>
  </si>
  <si>
    <t>https://nematode.unl.edu/filcom2.jpg</t>
  </si>
  <si>
    <t>https://nematode.unl.edu/filcom3.jpg</t>
  </si>
  <si>
    <t>https://nematode.unl.edu/ficaudus1.jpg</t>
  </si>
  <si>
    <t>Filenchus cylindricaudus</t>
  </si>
  <si>
    <t>https://nematode.unl.edu/ficaudus10.jpg</t>
  </si>
  <si>
    <t>https://nematode.unl.edu/ficaudus11.jpg</t>
  </si>
  <si>
    <t>https://nematode.unl.edu/ficaudus12.jpg</t>
  </si>
  <si>
    <t>https://nematode.unl.edu/ficaudus13.jpg</t>
  </si>
  <si>
    <t>https://nematode.unl.edu/ficaudus14.jpg</t>
  </si>
  <si>
    <t>https://nematode.unl.edu/ficaudus15.jpg</t>
  </si>
  <si>
    <t>https://nematode.unl.edu/ficaudus16.jpg</t>
  </si>
  <si>
    <t>https://nematode.unl.edu/ficaudus17.jpg</t>
  </si>
  <si>
    <t>https://nematode.unl.edu/ficaudus18.jpg</t>
  </si>
  <si>
    <t>https://nematode.unl.edu/ficaudus19.jpg</t>
  </si>
  <si>
    <t>https://nematode.unl.edu/ficaudus2.jpg</t>
  </si>
  <si>
    <t>https://nematode.unl.edu/ficaudus20.jpg</t>
  </si>
  <si>
    <t>https://nematode.unl.edu/ficaudus21.jpg</t>
  </si>
  <si>
    <t>https://nematode.unl.edu/ficaudus22.jpg</t>
  </si>
  <si>
    <t>https://nematode.unl.edu/ficaudus23.jpg</t>
  </si>
  <si>
    <t>https://nematode.unl.edu/ficaudus24.jpg</t>
  </si>
  <si>
    <t>https://nematode.unl.edu/ficaudus25.jpg</t>
  </si>
  <si>
    <t>https://nematode.unl.edu/ficaudus26.jpg</t>
  </si>
  <si>
    <t>https://nematode.unl.edu/ficaudus27.jpg</t>
  </si>
  <si>
    <t>https://nematode.unl.edu/ficaudus28.jpg</t>
  </si>
  <si>
    <t>https://nematode.unl.edu/ficaudus29.jpg</t>
  </si>
  <si>
    <t>https://nematode.unl.edu/ficaudus3.jpg</t>
  </si>
  <si>
    <t>https://nematode.unl.edu/ficaudus30.jpg</t>
  </si>
  <si>
    <t>https://nematode.unl.edu/ficaudus31.jpg</t>
  </si>
  <si>
    <t>https://nematode.unl.edu/ficaudus32.jpg</t>
  </si>
  <si>
    <t>https://nematode.unl.edu/ficaudus33.jpg</t>
  </si>
  <si>
    <t>https://nematode.unl.edu/ficaudus34.jpg</t>
  </si>
  <si>
    <t>https://nematode.unl.edu/ficaudus35.jpg</t>
  </si>
  <si>
    <t>https://nematode.unl.edu/ficaudus36.jpg</t>
  </si>
  <si>
    <t>https://nematode.unl.edu/ficaudus37.jpg</t>
  </si>
  <si>
    <t>https://nematode.unl.edu/ficaudus4.jpg</t>
  </si>
  <si>
    <t>https://nematode.unl.edu/ficaudus5.jpg</t>
  </si>
  <si>
    <t>https://nematode.unl.edu/ficaudus6.jpg</t>
  </si>
  <si>
    <t>https://nematode.unl.edu/ficaudus7.jpg</t>
  </si>
  <si>
    <t>https://nematode.unl.edu/ficaudus8.jpg</t>
  </si>
  <si>
    <t>https://nematode.unl.edu/ficaudus9.jpg</t>
  </si>
  <si>
    <t>https://nematode.unl.edu/ficylcus1.jpg</t>
  </si>
  <si>
    <t>Filenchus cylindricus</t>
  </si>
  <si>
    <t>https://nematode.unl.edu/ficylcus10.jpg</t>
  </si>
  <si>
    <t>https://nematode.unl.edu/ficylcus11.jpg</t>
  </si>
  <si>
    <t>https://nematode.unl.edu/ficylcus12.jpg</t>
  </si>
  <si>
    <t>https://nematode.unl.edu/ficylcus13.jpg</t>
  </si>
  <si>
    <t>https://nematode.unl.edu/ficylcus14.jpg</t>
  </si>
  <si>
    <t>https://nematode.unl.edu/ficylcus15.jpg</t>
  </si>
  <si>
    <t>https://nematode.unl.edu/ficylcus16.jpg</t>
  </si>
  <si>
    <t>https://nematode.unl.edu/ficylcus17.jpg</t>
  </si>
  <si>
    <t>https://nematode.unl.edu/ficylcus18.jpg</t>
  </si>
  <si>
    <t>https://nematode.unl.edu/ficylcus19.jpg</t>
  </si>
  <si>
    <t>https://nematode.unl.edu/ficylcus2.jpg</t>
  </si>
  <si>
    <t>https://nematode.unl.edu/ficylcus20.jpg</t>
  </si>
  <si>
    <t>https://nematode.unl.edu/ficylcus21.jpg</t>
  </si>
  <si>
    <t>https://nematode.unl.edu/ficylcus3.jpg</t>
  </si>
  <si>
    <t>https://nematode.unl.edu/ficylcus4.jpg</t>
  </si>
  <si>
    <t>https://nematode.unl.edu/ficylcus5.jpg</t>
  </si>
  <si>
    <t>https://nematode.unl.edu/ficylcus6.jpg</t>
  </si>
  <si>
    <t>https://nematode.unl.edu/ficylcus7.jpg</t>
  </si>
  <si>
    <t>https://nematode.unl.edu/ficylcus8.jpg</t>
  </si>
  <si>
    <t>https://nematode.unl.edu/ficylcus9.jpg</t>
  </si>
  <si>
    <t>https://nematode.unl.edu/filcy1.jpg</t>
  </si>
  <si>
    <t>https://nematode.unl.edu/filcy10.jpg</t>
  </si>
  <si>
    <t>https://nematode.unl.edu/filcy11.jpg</t>
  </si>
  <si>
    <t>https://nematode.unl.edu/filcy12.jpg</t>
  </si>
  <si>
    <t>https://nematode.unl.edu/filcy13.jpg</t>
  </si>
  <si>
    <t>https://nematode.unl.edu/filcy14.jpg</t>
  </si>
  <si>
    <t>https://nematode.unl.edu/filcy15.jpg</t>
  </si>
  <si>
    <t>https://nematode.unl.edu/filcy16.jpg</t>
  </si>
  <si>
    <t>https://nematode.unl.edu/filcy17.jpg</t>
  </si>
  <si>
    <t>https://nematode.unl.edu/filcy18.jpg</t>
  </si>
  <si>
    <t>https://nematode.unl.edu/filcy2.jpg</t>
  </si>
  <si>
    <t>https://nematode.unl.edu/filcy3.jpg</t>
  </si>
  <si>
    <t>https://nematode.unl.edu/filcy4.jpg</t>
  </si>
  <si>
    <t>https://nematode.unl.edu/filcy5.jpg</t>
  </si>
  <si>
    <t>https://nematode.unl.edu/filcy6.jpg</t>
  </si>
  <si>
    <t>https://nematode.unl.edu/filcy7.jpg</t>
  </si>
  <si>
    <t>https://nematode.unl.edu/filcy8.jpg</t>
  </si>
  <si>
    <t>https://nematode.unl.edu/filcy9.jpg</t>
  </si>
  <si>
    <t>https://nematode.unl.edu/filcycmp.jpg</t>
  </si>
  <si>
    <t>https://nematode.unl.edu/fildisc1.jpg</t>
  </si>
  <si>
    <t>Filenchus discrepans</t>
  </si>
  <si>
    <t>https://nematode.unl.edu/fildisc10.jpg</t>
  </si>
  <si>
    <t>https://nematode.unl.edu/fildisc11.jpg</t>
  </si>
  <si>
    <t>https://nematode.unl.edu/fildisc12.jpg</t>
  </si>
  <si>
    <t>https://nematode.unl.edu/fildisc2.jpg</t>
  </si>
  <si>
    <t>https://nematode.unl.edu/fildisc3.jpg</t>
  </si>
  <si>
    <t>https://nematode.unl.edu/fildisc4.jpg</t>
  </si>
  <si>
    <t>https://nematode.unl.edu/fildisc5.jpg</t>
  </si>
  <si>
    <t>https://nematode.unl.edu/fildisc6.jpg</t>
  </si>
  <si>
    <t>https://nematode.unl.edu/fildisc7.jpg</t>
  </si>
  <si>
    <t>https://nematode.unl.edu/fildisc8.jpg</t>
  </si>
  <si>
    <t>https://nematode.unl.edu/fildisc9.jpg</t>
  </si>
  <si>
    <t>https://nematode.unl.edu/fditcmp.jpg</t>
  </si>
  <si>
    <t>Filenchus ditissimus</t>
  </si>
  <si>
    <t>https://nematode.unl.edu/fiditiss1.jpg</t>
  </si>
  <si>
    <t>https://nematode.unl.edu/fiditiss10.jpg</t>
  </si>
  <si>
    <t>Little bluestem/ Bluegrass</t>
  </si>
  <si>
    <t>https://nematode.unl.edu/fiditiss11.jpg</t>
  </si>
  <si>
    <t>https://nematode.unl.edu/fiditiss12.jpg</t>
  </si>
  <si>
    <t>Scribner's panicum/Bluegrass</t>
  </si>
  <si>
    <t>https://nematode.unl.edu/fiditiss13.jpg</t>
  </si>
  <si>
    <t>https://nematode.unl.edu/fiditiss14.jpg</t>
  </si>
  <si>
    <t>https://nematode.unl.edu/fiditiss15.jpg</t>
  </si>
  <si>
    <t>https://nematode.unl.edu/fiditiss16.jpg</t>
  </si>
  <si>
    <t>https://nematode.unl.edu/fiditiss17.jpg</t>
  </si>
  <si>
    <t>https://nematode.unl.edu/fiditiss18.jpg</t>
  </si>
  <si>
    <t>https://nematode.unl.edu/fiditiss19.jpg</t>
  </si>
  <si>
    <t>https://nematode.unl.edu/fiditiss2.jpg</t>
  </si>
  <si>
    <t>https://nematode.unl.edu/fiditiss20.jpg</t>
  </si>
  <si>
    <t>https://nematode.unl.edu/fiditiss21.jpg</t>
  </si>
  <si>
    <t>https://nematode.unl.edu/fiditiss22.jpg</t>
  </si>
  <si>
    <t>https://nematode.unl.edu/fiditiss23.jpg</t>
  </si>
  <si>
    <t>https://nematode.unl.edu/fiditiss24.jpg</t>
  </si>
  <si>
    <t>https://nematode.unl.edu/fiditiss3.jpg</t>
  </si>
  <si>
    <t>https://nematode.unl.edu/fiditiss4.jpg</t>
  </si>
  <si>
    <t>https://nematode.unl.edu/fiditiss5.jpg</t>
  </si>
  <si>
    <t>https://nematode.unl.edu/fiditiss6.jpg</t>
  </si>
  <si>
    <t>https://nematode.unl.edu/fiditiss7.jpg</t>
  </si>
  <si>
    <t>https://nematode.unl.edu/fiditiss8.jpg</t>
  </si>
  <si>
    <t>https://nematode.unl.edu/fiditiss9.jpg</t>
  </si>
  <si>
    <t>https://nematode.unl.edu/fildit1.jpg</t>
  </si>
  <si>
    <t>https://nematode.unl.edu/fildit10.jpg</t>
  </si>
  <si>
    <t>https://nematode.unl.edu/fildit11.jpg</t>
  </si>
  <si>
    <t>https://nematode.unl.edu/fildit12.jpg</t>
  </si>
  <si>
    <t>https://nematode.unl.edu/fildit2.jpg</t>
  </si>
  <si>
    <t>https://nematode.unl.edu/fildit3.jpg</t>
  </si>
  <si>
    <t>https://nematode.unl.edu/fildit4.jpg</t>
  </si>
  <si>
    <t>https://nematode.unl.edu/fildit5.jpg</t>
  </si>
  <si>
    <t>https://nematode.unl.edu/fildit6.jpg</t>
  </si>
  <si>
    <t>https://nematode.unl.edu/fildit7.jpg</t>
  </si>
  <si>
    <t>https://nematode.unl.edu/fildit8.jpg</t>
  </si>
  <si>
    <t>https://nematode.unl.edu/fildit9.jpg</t>
  </si>
  <si>
    <t>https://nematode.unl.edu/fifac1.jpg</t>
  </si>
  <si>
    <t>Filenchus facultativus</t>
  </si>
  <si>
    <t>https://nematode.unl.edu/fifac2.jpg</t>
  </si>
  <si>
    <t>https://nematode.unl.edu/fifac3.jpg</t>
  </si>
  <si>
    <t>https://nematode.unl.edu/fifac4.jpg</t>
  </si>
  <si>
    <t>https://nematode.unl.edu/fifac5.jpg</t>
  </si>
  <si>
    <t>https://nematode.unl.edu/fham1.jpg</t>
  </si>
  <si>
    <t>Filenchus hamatus</t>
  </si>
  <si>
    <t>https://nematode.unl.edu/fham2.jpg</t>
  </si>
  <si>
    <t>https://nematode.unl.edu/fham3.jpg</t>
  </si>
  <si>
    <t>https://nematode.unl.edu/fham4.jpg</t>
  </si>
  <si>
    <t>https://nematode.unl.edu/fham5.jpg</t>
  </si>
  <si>
    <t>https://nematode.unl.edu/fhamcmp.jpg</t>
  </si>
  <si>
    <t>https://nematode.unl.edu/fihama1.jpg</t>
  </si>
  <si>
    <t>https://nematode.unl.edu/fihama10.jpg</t>
  </si>
  <si>
    <t>https://nematode.unl.edu/fihama11.jpg</t>
  </si>
  <si>
    <t>https://nematode.unl.edu/fihama12.jpg</t>
  </si>
  <si>
    <t>https://nematode.unl.edu/fihama13.jpg</t>
  </si>
  <si>
    <t>https://nematode.unl.edu/fihama14.jpg</t>
  </si>
  <si>
    <t>https://nematode.unl.edu/fihama15.jpg</t>
  </si>
  <si>
    <t>https://nematode.unl.edu/fihama16.jpg</t>
  </si>
  <si>
    <t>https://nematode.unl.edu/fihama17.jpg</t>
  </si>
  <si>
    <t>https://nematode.unl.edu/fihama18.jpg</t>
  </si>
  <si>
    <t>https://nematode.unl.edu/fihama2.jpg</t>
  </si>
  <si>
    <t>https://nematode.unl.edu/fihama3.jpg</t>
  </si>
  <si>
    <t>https://nematode.unl.edu/fihama4.jpg</t>
  </si>
  <si>
    <t>https://nematode.unl.edu/fihama5.jpg</t>
  </si>
  <si>
    <t>https://nematode.unl.edu/fihama6.jpg</t>
  </si>
  <si>
    <t>https://nematode.unl.edu/fihama7.jpg</t>
  </si>
  <si>
    <t>https://nematode.unl.edu/fihama9.jpg</t>
  </si>
  <si>
    <t>https://nematode.unl.edu/fhel1.jpg</t>
  </si>
  <si>
    <t>Filenchus helenae</t>
  </si>
  <si>
    <t>https://nematode.unl.edu/fhel10.jpg</t>
  </si>
  <si>
    <t>https://nematode.unl.edu/fhel11.jpg</t>
  </si>
  <si>
    <t>https://nematode.unl.edu/fhel12.jpg</t>
  </si>
  <si>
    <t>https://nematode.unl.edu/fhel13.jpg</t>
  </si>
  <si>
    <t>https://nematode.unl.edu/fhel14.jpg</t>
  </si>
  <si>
    <t>https://nematode.unl.edu/fhel15.jpg</t>
  </si>
  <si>
    <t>https://nematode.unl.edu/fhel16.jpg</t>
  </si>
  <si>
    <t>https://nematode.unl.edu/fhel17.jpg</t>
  </si>
  <si>
    <t>https://nematode.unl.edu/fhel18.jpg</t>
  </si>
  <si>
    <t>https://nematode.unl.edu/fhel19.jpg</t>
  </si>
  <si>
    <t>https://nematode.unl.edu/fhel2.jpg</t>
  </si>
  <si>
    <t>https://nematode.unl.edu/fhel20.jpg</t>
  </si>
  <si>
    <t>https://nematode.unl.edu/fhel3.jpg</t>
  </si>
  <si>
    <t>https://nematode.unl.edu/fhel4.jpg</t>
  </si>
  <si>
    <t>https://nematode.unl.edu/fhel5.jpg</t>
  </si>
  <si>
    <t>https://nematode.unl.edu/fhel6.jpg</t>
  </si>
  <si>
    <t>Big bluestem/ Little bluestem</t>
  </si>
  <si>
    <t>https://nematode.unl.edu/filmag1.jpg</t>
  </si>
  <si>
    <t>Filenchus magnus</t>
  </si>
  <si>
    <t>https://nematode.unl.edu/filmag2.jpg</t>
  </si>
  <si>
    <t>https://nematode.unl.edu/filmar1.jpg</t>
  </si>
  <si>
    <t>Filenchus marinus</t>
  </si>
  <si>
    <t>https://nematode.unl.edu/filmar10.jpg</t>
  </si>
  <si>
    <t>https://nematode.unl.edu/filmar11.jpg</t>
  </si>
  <si>
    <t>https://nematode.unl.edu/filmar12.jpg</t>
  </si>
  <si>
    <t>https://nematode.unl.edu/filmar13.jpg</t>
  </si>
  <si>
    <t>https://nematode.unl.edu/filmar14.jpg</t>
  </si>
  <si>
    <t>https://nematode.unl.edu/filmar2.jpg</t>
  </si>
  <si>
    <t>https://nematode.unl.edu/filmar3.jpg</t>
  </si>
  <si>
    <t>https://nematode.unl.edu/filmar4.jpg</t>
  </si>
  <si>
    <t>https://nematode.unl.edu/filmar5.jpg</t>
  </si>
  <si>
    <t>https://nematode.unl.edu/filmar6.jpg</t>
  </si>
  <si>
    <t>https://nematode.unl.edu/filmar7.jpg</t>
  </si>
  <si>
    <t>https://nematode.unl.edu/filmar8.jpg</t>
  </si>
  <si>
    <t>https://nematode.unl.edu/filmar9.jpg</t>
  </si>
  <si>
    <t>https://nematode.unl.edu/fimic1.jpg</t>
  </si>
  <si>
    <t>Filenchus microdorus</t>
  </si>
  <si>
    <t>https://nematode.unl.edu/fimic2.jpg</t>
  </si>
  <si>
    <t>https://nematode.unl.edu/filne1.jpg</t>
  </si>
  <si>
    <t>Filenchus neonanus</t>
  </si>
  <si>
    <t>https://nematode.unl.edu/filne2.jpg</t>
  </si>
  <si>
    <t>https://nematode.unl.edu/filne3.jpg</t>
  </si>
  <si>
    <t>https://nematode.unl.edu/filne4.jpg</t>
  </si>
  <si>
    <t>https://nematode.unl.edu/filne5.jpg</t>
  </si>
  <si>
    <t>https://nematode.unl.edu/filne6.jpg</t>
  </si>
  <si>
    <t>https://nematode.unl.edu/fiqua1.jpg</t>
  </si>
  <si>
    <t>Filenchus quartus</t>
  </si>
  <si>
    <t>https://nematode.unl.edu/fiqua10.jpg</t>
  </si>
  <si>
    <t>https://nematode.unl.edu/fiqua11.jpg</t>
  </si>
  <si>
    <t>https://nematode.unl.edu/fiqua12.jpg</t>
  </si>
  <si>
    <t>https://nematode.unl.edu/fiqua2.jpg</t>
  </si>
  <si>
    <t>https://nematode.unl.edu/fiqua3.jpg</t>
  </si>
  <si>
    <t>https://nematode.unl.edu/fiqua4.jpg</t>
  </si>
  <si>
    <t>https://nematode.unl.edu/fiqua5.jpg</t>
  </si>
  <si>
    <t>https://nematode.unl.edu/fiqua6.jpg</t>
  </si>
  <si>
    <t>https://nematode.unl.edu/fiqua7.jpg</t>
  </si>
  <si>
    <t>https://nematode.unl.edu/fiqua8.jpg</t>
  </si>
  <si>
    <t>https://nematode.unl.edu/fiqua9.jpg</t>
  </si>
  <si>
    <t>https://nematode.unl.edu/fisan1.jpg</t>
  </si>
  <si>
    <t>Filenchus sandneri</t>
  </si>
  <si>
    <t>https://nematode.unl.edu/fisan10.jpg</t>
  </si>
  <si>
    <t>https://nematode.unl.edu/fisan11.jpg</t>
  </si>
  <si>
    <t>https://nematode.unl.edu/fisan12.jpg</t>
  </si>
  <si>
    <t>https://nematode.unl.edu/fisan13.jpg</t>
  </si>
  <si>
    <t>https://nematode.unl.edu/fisan14.jpg</t>
  </si>
  <si>
    <t>https://nematode.unl.edu/fisan15.jpg</t>
  </si>
  <si>
    <t>https://nematode.unl.edu/fisan16.jpg</t>
  </si>
  <si>
    <t>https://nematode.unl.edu/fisan17.jpg</t>
  </si>
  <si>
    <t>https://nematode.unl.edu/fisan18.jpg</t>
  </si>
  <si>
    <t>https://nematode.unl.edu/fisan19.jpg</t>
  </si>
  <si>
    <t>https://nematode.unl.edu/fisan2.jpg</t>
  </si>
  <si>
    <t>https://nematode.unl.edu/fisan3.jpg</t>
  </si>
  <si>
    <t>https://nematode.unl.edu/fisan4.jpg</t>
  </si>
  <si>
    <t>https://nematode.unl.edu/fisan5.jpg</t>
  </si>
  <si>
    <t>https://nematode.unl.edu/fisan6.jpg</t>
  </si>
  <si>
    <t>https://nematode.unl.edu/fisan7.jpg</t>
  </si>
  <si>
    <t>https://nematode.unl.edu/fisan8.jpg</t>
  </si>
  <si>
    <t>https://nematode.unl.edu/fisan9.jpg</t>
  </si>
  <si>
    <t>https://nematode.unl.edu/filsh1.jpg</t>
  </si>
  <si>
    <t>Filenchus sheri</t>
  </si>
  <si>
    <t>https://nematode.unl.edu/filsh10.jpg</t>
  </si>
  <si>
    <t>https://nematode.unl.edu/filsh2.jpg</t>
  </si>
  <si>
    <t>https://nematode.unl.edu/filsh3.jpg</t>
  </si>
  <si>
    <t>https://nematode.unl.edu/filsh4.jpg</t>
  </si>
  <si>
    <t>https://nematode.unl.edu/filsh5.jpg</t>
  </si>
  <si>
    <t>https://nematode.unl.edu/filsh6.jpg</t>
  </si>
  <si>
    <t>https://nematode.unl.edu/filsh7.jpg</t>
  </si>
  <si>
    <t>https://nematode.unl.edu/filsh8.jpg</t>
  </si>
  <si>
    <t>https://nematode.unl.edu/filsh9.jpg</t>
  </si>
  <si>
    <t>https://nematode.unl.edu/filter1.jpg</t>
  </si>
  <si>
    <t>Filenchus teres</t>
  </si>
  <si>
    <t>https://nematode.unl.edu/filter2.jpg</t>
  </si>
  <si>
    <t>https://nematode.unl.edu/filter3.jpg</t>
  </si>
  <si>
    <t>https://nematode.unl.edu/filter4.jpg</t>
  </si>
  <si>
    <t>https://nematode.unl.edu/filter5.jpg</t>
  </si>
  <si>
    <t>https://nematode.unl.edu/fiterr1.jpg</t>
  </si>
  <si>
    <t>Filenchus terrestris</t>
  </si>
  <si>
    <t>https://nematode.unl.edu/fiterr2.jpg</t>
  </si>
  <si>
    <t>https://nematode.unl.edu/fiterr3.jpg</t>
  </si>
  <si>
    <t>https://nematode.unl.edu/fiterr4.jpg</t>
  </si>
  <si>
    <t>https://nematode.unl.edu/fiterr5.jpg</t>
  </si>
  <si>
    <t>https://nematode.unl.edu/filth1.jpg</t>
  </si>
  <si>
    <t>https://nematode.unl.edu/filth10.jpg</t>
  </si>
  <si>
    <t>https://nematode.unl.edu/filth11.jpg</t>
  </si>
  <si>
    <t>https://nematode.unl.edu/filth12.jpg</t>
  </si>
  <si>
    <t>https://nematode.unl.edu/filth13.jpg</t>
  </si>
  <si>
    <t>https://nematode.unl.edu/filth14.jpg</t>
  </si>
  <si>
    <t>https://nematode.unl.edu/filth15.jpg</t>
  </si>
  <si>
    <t>https://nematode.unl.edu/filth16.jpg</t>
  </si>
  <si>
    <t>https://nematode.unl.edu/filth17.jpg</t>
  </si>
  <si>
    <t>https://nematode.unl.edu/filth18.jpg</t>
  </si>
  <si>
    <t>https://nematode.unl.edu/filth19.jpg</t>
  </si>
  <si>
    <t>https://nematode.unl.edu/filth2.jpg</t>
  </si>
  <si>
    <t>https://nematode.unl.edu/filth20.jpg</t>
  </si>
  <si>
    <t>https://nematode.unl.edu/filth21.jpg</t>
  </si>
  <si>
    <t>https://nematode.unl.edu/filth22.jpg</t>
  </si>
  <si>
    <t>https://nematode.unl.edu/filth23.jpg</t>
  </si>
  <si>
    <t>https://nematode.unl.edu/filth24.jpg</t>
  </si>
  <si>
    <t>https://nematode.unl.edu/filth25.jpg</t>
  </si>
  <si>
    <t>https://nematode.unl.edu/filth26.jpg</t>
  </si>
  <si>
    <t>https://nematode.unl.edu/filth27.jpg</t>
  </si>
  <si>
    <t>https://nematode.unl.edu/filth28.jpg</t>
  </si>
  <si>
    <t>https://nematode.unl.edu/filth29.jpg</t>
  </si>
  <si>
    <t>https://nematode.unl.edu/filth3.jpg</t>
  </si>
  <si>
    <t>https://nematode.unl.edu/filth4.jpg</t>
  </si>
  <si>
    <t>https://nematode.unl.edu/filth5.jpg</t>
  </si>
  <si>
    <t>https://nematode.unl.edu/filth6.jpg</t>
  </si>
  <si>
    <t>https://nematode.unl.edu/filth7.jpg</t>
  </si>
  <si>
    <t>https://nematode.unl.edu/filth8.jpg</t>
  </si>
  <si>
    <t>https://nematode.unl.edu/filth9.jpg</t>
  </si>
  <si>
    <t>https://nematode.unl.edu/fithcmp.jpg</t>
  </si>
  <si>
    <t>https://nematode.unl.edu/fithogw1.jpg</t>
  </si>
  <si>
    <t>Patowmack Canal. Trench</t>
  </si>
  <si>
    <t>https://nematode.unl.edu/fithogw2.jpg</t>
  </si>
  <si>
    <t>https://nematode.unl.edu/fithor1.jpg</t>
  </si>
  <si>
    <t>https://nematode.unl.edu/fithor10.jpg</t>
  </si>
  <si>
    <t>https://nematode.unl.edu/fithor15.jpg</t>
  </si>
  <si>
    <t>https://nematode.unl.edu/fithor16.jpg</t>
  </si>
  <si>
    <t>https://nematode.unl.edu/fithor2.jpg</t>
  </si>
  <si>
    <t>https://nematode.unl.edu/fithor3.jpg</t>
  </si>
  <si>
    <t>https://nematode.unl.edu/fithor5.jpg</t>
  </si>
  <si>
    <t>https://nematode.unl.edu/fithor6.jpg</t>
  </si>
  <si>
    <t>https://nematode.unl.edu/fithor8.jpg</t>
  </si>
  <si>
    <t>https://nematode.unl.edu/fithor9.jpg</t>
  </si>
  <si>
    <t>https://nematode.unl.edu/filev1.jpg</t>
  </si>
  <si>
    <t>Filenchus vulgaris</t>
  </si>
  <si>
    <t>https://nematode.unl.edu/filev10.jpg</t>
  </si>
  <si>
    <t>https://nematode.unl.edu/filev11.jpg</t>
  </si>
  <si>
    <t>https://nematode.unl.edu/filev2.jpg</t>
  </si>
  <si>
    <t>https://nematode.unl.edu/filev3.jpg</t>
  </si>
  <si>
    <t>https://nematode.unl.edu/filev4.jpg</t>
  </si>
  <si>
    <t>https://nematode.unl.edu/filev5.jpg</t>
  </si>
  <si>
    <t>https://nematode.unl.edu/filev6.jpg</t>
  </si>
  <si>
    <t>https://nematode.unl.edu/filev7.jpg</t>
  </si>
  <si>
    <t>https://nematode.unl.edu/filev8.jpg</t>
  </si>
  <si>
    <t>https://nematode.unl.edu/filev9.jpg</t>
  </si>
  <si>
    <t>https://nematode.unl.edu/funca1.jpg</t>
  </si>
  <si>
    <t>Funaria cacti</t>
  </si>
  <si>
    <t>Funaria</t>
  </si>
  <si>
    <t>https://nematode.unl.edu/funca2.jpg</t>
  </si>
  <si>
    <t>https://nematode.unl.edu/funca3.jpg</t>
  </si>
  <si>
    <t>https://nematode.unl.edu/funca4.jpg</t>
  </si>
  <si>
    <t>https://nematode.unl.edu/funca5.jpg</t>
  </si>
  <si>
    <t>https://nematode.unl.edu/geoce1.jpg</t>
  </si>
  <si>
    <t>https://nematode.unl.edu/geoce2.jpg</t>
  </si>
  <si>
    <t>https://nematode.unl.edu/geoce3.jpg</t>
  </si>
  <si>
    <t>https://nematode.unl.edu/geoce4.jpg</t>
  </si>
  <si>
    <t>https://nematode.unl.edu/geoce5.jpg</t>
  </si>
  <si>
    <t>https://nematode.unl.edu/garctic1.jpg</t>
  </si>
  <si>
    <t>SEM</t>
  </si>
  <si>
    <t>Chatanika River, Alaska</t>
  </si>
  <si>
    <t>Geocenamus arcticus</t>
  </si>
  <si>
    <t>https://nematode.unl.edu/garctic2.jpg</t>
  </si>
  <si>
    <t>https://nematode.unl.edu/garctic3.jpg</t>
  </si>
  <si>
    <t>https://nematode.unl.edu/glongus1.jpg</t>
  </si>
  <si>
    <t>Geocenamus longus</t>
  </si>
  <si>
    <t>https://nematode.unl.edu/glongus2.jpg</t>
  </si>
  <si>
    <t>Alaska, Summit Lake</t>
  </si>
  <si>
    <t>https://nematode.unl.edu/geocenten1.jpg</t>
  </si>
  <si>
    <t>Morrill County Nebraska</t>
  </si>
  <si>
    <t>seed potato</t>
  </si>
  <si>
    <t>Geocenamus tenuidens</t>
  </si>
  <si>
    <t>https://nematode.unl.edu/geocenten2.jpg</t>
  </si>
  <si>
    <t>https://nematode.unl.edu/geocenten3.jpg</t>
  </si>
  <si>
    <t>https://nematode.unl.edu/geoten1.jpg</t>
  </si>
  <si>
    <t>https://nematode.unl.edu/geoten2.jpg</t>
  </si>
  <si>
    <t>https://nematode.unl.edu/geoten3.jpg</t>
  </si>
  <si>
    <t>https://nematode.unl.edu/geoten4.jpg</t>
  </si>
  <si>
    <t>https://nematode.unl.edu/geoten5.jpg</t>
  </si>
  <si>
    <t>https://nematode.unl.edu/geoten6.jpg</t>
  </si>
  <si>
    <t>https://nematode.unl.edu/geoten7.jpg</t>
  </si>
  <si>
    <t>https://nematode.unl.edu/geoten8.jpg</t>
  </si>
  <si>
    <t>https://nematode.unl.edu/geomonae1.jpg</t>
  </si>
  <si>
    <t>Geomonhystera aenariensis</t>
  </si>
  <si>
    <t>https://nematode.unl.edu/geomonae2.jpg</t>
  </si>
  <si>
    <t>https://nematode.unl.edu/geomonae3.jpg</t>
  </si>
  <si>
    <t>https://nematode.unl.edu/geomonae4.jpg</t>
  </si>
  <si>
    <t>https://nematode.unl.edu/geomonae5.jpg</t>
  </si>
  <si>
    <t>https://nematode.unl.edu/geomonae6.jpg</t>
  </si>
  <si>
    <t>https://nematode.unl.edu/geomonae7.jpg</t>
  </si>
  <si>
    <t>https://nematode.unl.edu/geomonae8.jpg</t>
  </si>
  <si>
    <t>https://nematode.unl.edu/geomonae9.jpg</t>
  </si>
  <si>
    <t>https://nematode.unl.edu/gaust1.jpg</t>
  </si>
  <si>
    <t>Geomonhystera australis</t>
  </si>
  <si>
    <t>https://nematode.unl.edu/gaust10.jpg</t>
  </si>
  <si>
    <t>spinneret</t>
  </si>
  <si>
    <t>https://nematode.unl.edu/gaust2.jpg</t>
  </si>
  <si>
    <t>https://nematode.unl.edu/gaust3.jpg</t>
  </si>
  <si>
    <t>https://nematode.unl.edu/gaust4.jpg</t>
  </si>
  <si>
    <t>https://nematode.unl.edu/gaust5.jpg</t>
  </si>
  <si>
    <t>https://nematode.unl.edu/gaust6.jpg</t>
  </si>
  <si>
    <t>https://nematode.unl.edu/gaust7.jpg</t>
  </si>
  <si>
    <t>https://nematode.unl.edu/gaust8.jpg</t>
  </si>
  <si>
    <t>https://nematode.unl.edu/gaust9.jpg</t>
  </si>
  <si>
    <t>https://nematode.unl.edu/geovi1.jpg</t>
  </si>
  <si>
    <t>https://nematode.unl.edu/geovi10.jpg</t>
  </si>
  <si>
    <t>https://nematode.unl.edu/geovi11.jpg</t>
  </si>
  <si>
    <t>https://nematode.unl.edu/geovi12.jpg</t>
  </si>
  <si>
    <t>https://nematode.unl.edu/geovi13.jpg</t>
  </si>
  <si>
    <t>https://nematode.unl.edu/geovi14.jpg</t>
  </si>
  <si>
    <t>https://nematode.unl.edu/geovi15.jpg</t>
  </si>
  <si>
    <t>https://nematode.unl.edu/geovi2.jpg</t>
  </si>
  <si>
    <t>https://nematode.unl.edu/geovi3.jpg</t>
  </si>
  <si>
    <t>https://nematode.unl.edu/geovi4.jpg</t>
  </si>
  <si>
    <t>https://nematode.unl.edu/geovi5.jpg</t>
  </si>
  <si>
    <t>https://nematode.unl.edu/geovi6.jpg</t>
  </si>
  <si>
    <t>https://nematode.unl.edu/geovi7.jpg</t>
  </si>
  <si>
    <t>https://nematode.unl.edu/geovi8.jpg</t>
  </si>
  <si>
    <t>https://nematode.unl.edu/geovi9.jpg</t>
  </si>
  <si>
    <t>https://nematode.unl.edu/glopall1.jpg</t>
  </si>
  <si>
    <t>Globodera pallida</t>
  </si>
  <si>
    <t>Globodera</t>
  </si>
  <si>
    <t>https://nematode.unl.edu/glopall10.jpg</t>
  </si>
  <si>
    <t>https://nematode.unl.edu/glopall11.jpg</t>
  </si>
  <si>
    <t>https://nematode.unl.edu/glopall12.jpg</t>
  </si>
  <si>
    <t>https://nematode.unl.edu/glopall13.jpg</t>
  </si>
  <si>
    <t>https://nematode.unl.edu/glopall14.jpg</t>
  </si>
  <si>
    <t>https://nematode.unl.edu/glopall2.jpg</t>
  </si>
  <si>
    <t>https://nematode.unl.edu/glopall3.jpg</t>
  </si>
  <si>
    <t>https://nematode.unl.edu/glopall4.jpg</t>
  </si>
  <si>
    <t>https://nematode.unl.edu/glopall5.jpg</t>
  </si>
  <si>
    <t>https://nematode.unl.edu/glopall6.jpg</t>
  </si>
  <si>
    <t>https://nematode.unl.edu/glopall7.jpg</t>
  </si>
  <si>
    <t>https://nematode.unl.edu/glopall8.jpg</t>
  </si>
  <si>
    <t>https://nematode.unl.edu/glopall9.jpg</t>
  </si>
  <si>
    <t>https://nematode.unl.edu/heli1.jpg</t>
  </si>
  <si>
    <t>Helicotylenchus</t>
  </si>
  <si>
    <t>https://nematode.unl.edu/heli10.jpg</t>
  </si>
  <si>
    <t>https://nematode.unl.edu/heli11.jpg</t>
  </si>
  <si>
    <t>https://nematode.unl.edu/heli12.jpg</t>
  </si>
  <si>
    <t>https://nematode.unl.edu/heli13.jpg</t>
  </si>
  <si>
    <t>https://nematode.unl.edu/heli14.jpg</t>
  </si>
  <si>
    <t>https://nematode.unl.edu/heli2.jpg</t>
  </si>
  <si>
    <t>https://nematode.unl.edu/heli3.jpg</t>
  </si>
  <si>
    <t>https://nematode.unl.edu/heli4.jpg</t>
  </si>
  <si>
    <t>https://nematode.unl.edu/heli5.jpg</t>
  </si>
  <si>
    <t>https://nematode.unl.edu/heli6.jpg</t>
  </si>
  <si>
    <t>https://nematode.unl.edu/heli7.jpg</t>
  </si>
  <si>
    <t>https://nematode.unl.edu/heli8.jpg</t>
  </si>
  <si>
    <t>https://nematode.unl.edu/heli9.jpg</t>
  </si>
  <si>
    <t>https://nematode.unl.edu/helicobb1.jpg</t>
  </si>
  <si>
    <t>Barta Brothers Ranch,  Nebraska Extension</t>
  </si>
  <si>
    <t>sandhills prairie</t>
  </si>
  <si>
    <t>https://nematode.unl.edu/helicobb2.jpg</t>
  </si>
  <si>
    <t>https://nematode.unl.edu/helicobb3.jpg</t>
  </si>
  <si>
    <t>https://nematode.unl.edu/helicobb4.jpg</t>
  </si>
  <si>
    <t>https://nematode.unl.edu/helicobb5.jpg</t>
  </si>
  <si>
    <t>https://nematode.unl.edu/helisp1.jpg</t>
  </si>
  <si>
    <t>https://nematode.unl.edu/helisp2.jpg</t>
  </si>
  <si>
    <t>Haughton crater</t>
  </si>
  <si>
    <t>https://nematode.unl.edu/helisp3.jpg</t>
  </si>
  <si>
    <t>https://nematode.unl.edu/helisp4.jpg</t>
  </si>
  <si>
    <t>https://nematode.unl.edu/helisp5.jpg</t>
  </si>
  <si>
    <t>https://nematode.unl.edu/helisp6.jpg</t>
  </si>
  <si>
    <t>https://nematode.unl.edu/heldig1.jpg</t>
  </si>
  <si>
    <t>Helicotylenchus digonicus</t>
  </si>
  <si>
    <t>https://nematode.unl.edu/heldig2.jpg</t>
  </si>
  <si>
    <t>https://nematode.unl.edu/heldig3.jpg</t>
  </si>
  <si>
    <t>https://nematode.unl.edu/heldig4.jpg</t>
  </si>
  <si>
    <t>https://nematode.unl.edu/heldig5.jpg</t>
  </si>
  <si>
    <t>https://nematode.unl.edu/helid1.jpg</t>
  </si>
  <si>
    <t>https://nematode.unl.edu/helid10.jpg</t>
  </si>
  <si>
    <t>https://nematode.unl.edu/helid11.jpg</t>
  </si>
  <si>
    <t>https://nematode.unl.edu/helid12.jpg</t>
  </si>
  <si>
    <t>https://nematode.unl.edu/helid13.jpg</t>
  </si>
  <si>
    <t>https://nematode.unl.edu/helid14.jpg</t>
  </si>
  <si>
    <t>https://nematode.unl.edu/helid15.jpg</t>
  </si>
  <si>
    <t>https://nematode.unl.edu/helid16.jpg</t>
  </si>
  <si>
    <t>https://nematode.unl.edu/helid17.jpg</t>
  </si>
  <si>
    <t>https://nematode.unl.edu/helid18.jpg</t>
  </si>
  <si>
    <t>https://nematode.unl.edu/helid19.jpg</t>
  </si>
  <si>
    <t>https://nematode.unl.edu/helid2.jpg</t>
  </si>
  <si>
    <t>https://nematode.unl.edu/helid20.jpg</t>
  </si>
  <si>
    <t>https://nematode.unl.edu/helid21.jpg</t>
  </si>
  <si>
    <t>https://nematode.unl.edu/helid22.jpg</t>
  </si>
  <si>
    <t>https://nematode.unl.edu/helid3.jpg</t>
  </si>
  <si>
    <t>https://nematode.unl.edu/helid4.jpg</t>
  </si>
  <si>
    <t>https://nematode.unl.edu/helid5.jpg</t>
  </si>
  <si>
    <t>https://nematode.unl.edu/helid6.jpg</t>
  </si>
  <si>
    <t>https://nematode.unl.edu/helid7.jpg</t>
  </si>
  <si>
    <t>https://nematode.unl.edu/helid8.jpg</t>
  </si>
  <si>
    <t>https://nematode.unl.edu/helid9.jpg</t>
  </si>
  <si>
    <t>https://nematode.unl.edu/helidcmp.jpg</t>
  </si>
  <si>
    <t>https://nematode.unl.edu/helidig1.jpg</t>
  </si>
  <si>
    <t>https://nematode.unl.edu/helidig10.jpg</t>
  </si>
  <si>
    <t>https://nematode.unl.edu/helidig11.jpg</t>
  </si>
  <si>
    <t>https://nematode.unl.edu/helidig12.jpg</t>
  </si>
  <si>
    <t>https://nematode.unl.edu/helidig13.jpg</t>
  </si>
  <si>
    <t>https://nematode.unl.edu/helidig14.jpg</t>
  </si>
  <si>
    <t>https://nematode.unl.edu/helidig15.jpg</t>
  </si>
  <si>
    <t>https://nematode.unl.edu/helidig16.jpg</t>
  </si>
  <si>
    <t>https://nematode.unl.edu/helidig17.jpg</t>
  </si>
  <si>
    <t>https://nematode.unl.edu/helidig18.jpg</t>
  </si>
  <si>
    <t>https://nematode.unl.edu/helidig19.jpg</t>
  </si>
  <si>
    <t>https://nematode.unl.edu/helidig2.jpg</t>
  </si>
  <si>
    <t>https://nematode.unl.edu/helidig3.jpg</t>
  </si>
  <si>
    <t>https://nematode.unl.edu/helidig4.jpg</t>
  </si>
  <si>
    <t>https://nematode.unl.edu/helidig5.jpg</t>
  </si>
  <si>
    <t>https://nematode.unl.edu/helidig6.jpg</t>
  </si>
  <si>
    <t>https://nematode.unl.edu/helidig7.jpg</t>
  </si>
  <si>
    <t>https://nematode.unl.edu/helidig8.jpg</t>
  </si>
  <si>
    <t>https://nematode.unl.edu/helidig9.jpg</t>
  </si>
  <si>
    <t>https://nematode.unl.edu/helab1.jpg</t>
  </si>
  <si>
    <t>Helicotylenchus labiodiscinus</t>
  </si>
  <si>
    <t>https://nematode.unl.edu/helab10.jpg</t>
  </si>
  <si>
    <t>https://nematode.unl.edu/helab11.jpg</t>
  </si>
  <si>
    <t>https://nematode.unl.edu/helab12.jpg</t>
  </si>
  <si>
    <t>https://nematode.unl.edu/helab2.jpg</t>
  </si>
  <si>
    <t>https://nematode.unl.edu/helab3.jpg</t>
  </si>
  <si>
    <t>https://nematode.unl.edu/helab4.jpg</t>
  </si>
  <si>
    <t>https://nematode.unl.edu/helab5.jpg</t>
  </si>
  <si>
    <t>https://nematode.unl.edu/helab6.jpg</t>
  </si>
  <si>
    <t>https://nematode.unl.edu/helab7.jpg</t>
  </si>
  <si>
    <t>https://nematode.unl.edu/helab8.jpg</t>
  </si>
  <si>
    <t>https://nematode.unl.edu/helab9.jpg</t>
  </si>
  <si>
    <t>https://nematode.unl.edu/helabcmp.jpg</t>
  </si>
  <si>
    <t>https://nematode.unl.edu/helabio1.jpg</t>
  </si>
  <si>
    <t>https://nematode.unl.edu/helabio2.jpg</t>
  </si>
  <si>
    <t>https://nematode.unl.edu/helicops1.jpg</t>
  </si>
  <si>
    <t>Spring Creek Prairie Audubon Center, Nebraska</t>
  </si>
  <si>
    <t>"footprint"</t>
  </si>
  <si>
    <t>Helicotylenchus platyurus</t>
  </si>
  <si>
    <t>https://nematode.unl.edu/helicops2.jpg</t>
  </si>
  <si>
    <t>https://nematode.unl.edu/helicops3.jpg</t>
  </si>
  <si>
    <t>https://nematode.unl.edu/helpla1.jpg</t>
  </si>
  <si>
    <t>https://nematode.unl.edu/helpla10.jpg</t>
  </si>
  <si>
    <t>https://nematode.unl.edu/helpla11.jpg</t>
  </si>
  <si>
    <t>https://nematode.unl.edu/helpla12.jpg</t>
  </si>
  <si>
    <t>https://nematode.unl.edu/helpla13.jpg</t>
  </si>
  <si>
    <t>https://nematode.unl.edu/helpla14.jpg</t>
  </si>
  <si>
    <t>https://nematode.unl.edu/helpla15.jpg</t>
  </si>
  <si>
    <t>https://nematode.unl.edu/helpla16.jpg</t>
  </si>
  <si>
    <t>https://nematode.unl.edu/helpla17.jpg</t>
  </si>
  <si>
    <t>https://nematode.unl.edu/helpla18.jpg</t>
  </si>
  <si>
    <t>https://nematode.unl.edu/helpla19.jpg</t>
  </si>
  <si>
    <t>https://nematode.unl.edu/helpla2.jpg</t>
  </si>
  <si>
    <t>https://nematode.unl.edu/helpla20.jpg</t>
  </si>
  <si>
    <t>https://nematode.unl.edu/helpla21.jpg</t>
  </si>
  <si>
    <t>https://nematode.unl.edu/helpla22.jpg</t>
  </si>
  <si>
    <t>https://nematode.unl.edu/helpla23.jpg</t>
  </si>
  <si>
    <t>https://nematode.unl.edu/helpla3.jpg</t>
  </si>
  <si>
    <t>https://nematode.unl.edu/helpla4.jpg</t>
  </si>
  <si>
    <t>https://nematode.unl.edu/helpla5.jpg</t>
  </si>
  <si>
    <t>https://nematode.unl.edu/helpla6.jpg</t>
  </si>
  <si>
    <t>https://nematode.unl.edu/helpla7.jpg</t>
  </si>
  <si>
    <t>https://nematode.unl.edu/helpla8.jpg</t>
  </si>
  <si>
    <t>https://nematode.unl.edu/helpla9.jpg</t>
  </si>
  <si>
    <t>https://nematode.unl.edu/helplacmp.jpg</t>
  </si>
  <si>
    <t>https://nematode.unl.edu/helplat1.jpg</t>
  </si>
  <si>
    <t>https://nematode.unl.edu/helplat10.jpg</t>
  </si>
  <si>
    <t>https://nematode.unl.edu/helplat11.jpg</t>
  </si>
  <si>
    <t>https://nematode.unl.edu/helplat12.jpg</t>
  </si>
  <si>
    <t>https://nematode.unl.edu/helplat13.jpg</t>
  </si>
  <si>
    <t>https://nematode.unl.edu/helplat2.jpg</t>
  </si>
  <si>
    <t>https://nematode.unl.edu/helplat3.jpg</t>
  </si>
  <si>
    <t>https://nematode.unl.edu/helplat4.jpg</t>
  </si>
  <si>
    <t>https://nematode.unl.edu/helplat5.jpg</t>
  </si>
  <si>
    <t>https://nematode.unl.edu/helplat6.jpg</t>
  </si>
  <si>
    <t>https://nematode.unl.edu/helplat7.jpg</t>
  </si>
  <si>
    <t>https://nematode.unl.edu/helplat8.jpg</t>
  </si>
  <si>
    <t>https://nematode.unl.edu/helplat9.jpg</t>
  </si>
  <si>
    <t>https://nematode.unl.edu/helps1.jpg</t>
  </si>
  <si>
    <t>Helicotylenchus pseudorobustus</t>
  </si>
  <si>
    <t>https://nematode.unl.edu/helps2.jpg</t>
  </si>
  <si>
    <t>https://nematode.unl.edu/helps3.jpg</t>
  </si>
  <si>
    <t>https://nematode.unl.edu/helpse1.jpg</t>
  </si>
  <si>
    <t>https://nematode.unl.edu/helpse10.jpg</t>
  </si>
  <si>
    <t>https://nematode.unl.edu/helpse11.jpg</t>
  </si>
  <si>
    <t>https://nematode.unl.edu/helpse12.jpg</t>
  </si>
  <si>
    <t>konza Prairie</t>
  </si>
  <si>
    <t>https://nematode.unl.edu/helpse13.jpg</t>
  </si>
  <si>
    <t>https://nematode.unl.edu/helpse14.jpg</t>
  </si>
  <si>
    <t>https://nematode.unl.edu/helpse15.jpg</t>
  </si>
  <si>
    <t>https://nematode.unl.edu/helpse16.jpg</t>
  </si>
  <si>
    <t>https://nematode.unl.edu/helpse17.jpg</t>
  </si>
  <si>
    <t>https://nematode.unl.edu/helpse2.jpg</t>
  </si>
  <si>
    <t>https://nematode.unl.edu/helpse3.jpg</t>
  </si>
  <si>
    <t>https://nematode.unl.edu/helpse5.jpg</t>
  </si>
  <si>
    <t>https://nematode.unl.edu/helpse6.jpg</t>
  </si>
  <si>
    <t>https://nematode.unl.edu/helpse7.jpg</t>
  </si>
  <si>
    <t>https://nematode.unl.edu/helpse8.jpg</t>
  </si>
  <si>
    <t>https://nematode.unl.edu/helpse9.jpg</t>
  </si>
  <si>
    <t>https://nematode.unl.edu/helpsecmp.jpg</t>
  </si>
  <si>
    <t>https://nematode.unl.edu/hepsegw1.jpg</t>
  </si>
  <si>
    <t>Patowmack Canal trench</t>
  </si>
  <si>
    <t>https://nematode.unl.edu/hydropgw1.jpg</t>
  </si>
  <si>
    <t>oak/hickory/ pine forest</t>
  </si>
  <si>
    <t>https://nematode.unl.edu/hydropgw2.jpg</t>
  </si>
  <si>
    <t>https://nematode.unl.edu/hemicagw1.jpg</t>
  </si>
  <si>
    <t>George Washington Memorial Parkway, Great Falls, Virginia</t>
  </si>
  <si>
    <t>oak / hickory / pine forest</t>
  </si>
  <si>
    <t>Hemicaloosia</t>
  </si>
  <si>
    <t>Hemicycliophoridae</t>
  </si>
  <si>
    <t>https://nematode.unl.edu/hemicagw2.jpg</t>
  </si>
  <si>
    <t>oak/hickory/pine forests</t>
  </si>
  <si>
    <t>https://nematode.unl.edu/hemicagw3.jpg</t>
  </si>
  <si>
    <t>https://nematode.unl.edu/hemicagw4.jpg</t>
  </si>
  <si>
    <t>https://nematode.unl.edu/hemicagw5.jpg</t>
  </si>
  <si>
    <t>https://nematode.unl.edu/hemicalsp1.jpg</t>
  </si>
  <si>
    <t>University of Wisconsin, Arboretum, Madison, Wisconsin</t>
  </si>
  <si>
    <t>prairie</t>
  </si>
  <si>
    <t>https://nematode.unl.edu/hemicalsp2.jpg</t>
  </si>
  <si>
    <t>https://nematode.unl.edu/hemicalsp3.jpg</t>
  </si>
  <si>
    <t>https://nematode.unl.edu/hemicalsp4.jpg</t>
  </si>
  <si>
    <t>https://nematode.unl.edu/hemicalsp5.jpg</t>
  </si>
  <si>
    <t>https://nematode.unl.edu/hemicalsp6.jpg</t>
  </si>
  <si>
    <t>https://nematode.unl.edu/hemicalsp7.jpg</t>
  </si>
  <si>
    <t>https://nematode.unl.edu/hemicalsp8.jpg</t>
  </si>
  <si>
    <t>https://nematode.unl.edu/hemicalsp9.jpg</t>
  </si>
  <si>
    <t>https://nematode.unl.edu/hemicraf1.jpg</t>
  </si>
  <si>
    <t>Archbold Biological Station, Florida</t>
  </si>
  <si>
    <t>wiregrass (Aristida stricta)</t>
  </si>
  <si>
    <t>Hemicriconemoides wessoni</t>
  </si>
  <si>
    <t>Hemicriconemoides</t>
  </si>
  <si>
    <t>https://nematode.unl.edu/hemicraf2.jpg</t>
  </si>
  <si>
    <t>https://nematode.unl.edu/hemicraf3.jpg</t>
  </si>
  <si>
    <t>https://nematode.unl.edu/hemicraf4.jpg</t>
  </si>
  <si>
    <t>https://nematode.unl.edu/hemicriche1.jpg</t>
  </si>
  <si>
    <t>Ichetucknee Springs State Park, Florida</t>
  </si>
  <si>
    <t>grasses</t>
  </si>
  <si>
    <t>https://nematode.unl.edu/hemicriche2.jpg</t>
  </si>
  <si>
    <t>https://nematode.unl.edu/hemicriche3.jpg</t>
  </si>
  <si>
    <t>https://nematode.unl.edu/hemicriche4.jpg</t>
  </si>
  <si>
    <t>https://nematode.unl.edu/hemicriche5.jpg</t>
  </si>
  <si>
    <t>https://nematode.unl.edu/hemicriche6.jpg</t>
  </si>
  <si>
    <t>https://nematode.unl.edu/hemicriche7.jpg</t>
  </si>
  <si>
    <t>https://nematode.unl.edu/hemicriche8.jpg</t>
  </si>
  <si>
    <t>https://nematode.unl.edu/hemicriche9.jpg</t>
  </si>
  <si>
    <t>https://nematode.unl.edu/ogbold1.jpg</t>
  </si>
  <si>
    <t>https://nematode.unl.edu/ogbold2.jpg</t>
  </si>
  <si>
    <t>https://nematode.unl.edu/ogbold3.jpg</t>
  </si>
  <si>
    <t>https://nematode.unl.edu/ogbold4.jpg</t>
  </si>
  <si>
    <t>https://nematode.unl.edu/ogbold5.jpg</t>
  </si>
  <si>
    <t>https://nematode.unl.edu/ogbold6.jpg</t>
  </si>
  <si>
    <t>https://nematode.unl.edu/hemicyclc1.jpg</t>
  </si>
  <si>
    <t>trees</t>
  </si>
  <si>
    <t>Hemicycliophora</t>
  </si>
  <si>
    <t>https://nematode.unl.edu/hemicyclc10.jpg</t>
  </si>
  <si>
    <t>palm</t>
  </si>
  <si>
    <t>https://nematode.unl.edu/hemicyclc11.jpg</t>
  </si>
  <si>
    <t>https://nematode.unl.edu/hemicyclc12.jpg</t>
  </si>
  <si>
    <t>https://nematode.unl.edu/hemicyclc2.jpg</t>
  </si>
  <si>
    <t>https://nematode.unl.edu/hemicyclc3.jpg</t>
  </si>
  <si>
    <t>https://nematode.unl.edu/hemicyclc4.jpg</t>
  </si>
  <si>
    <t>https://nematode.unl.edu/hemicyclc5.jpg</t>
  </si>
  <si>
    <t>https://nematode.unl.edu/hemicyclc6.jpg</t>
  </si>
  <si>
    <t>https://nematode.unl.edu/hemicyclc7.jpg</t>
  </si>
  <si>
    <t>https://nematode.unl.edu/hemicyclc8.jpg</t>
  </si>
  <si>
    <t>https://nematode.unl.edu/hemicyclc9.jpg</t>
  </si>
  <si>
    <t>https://nematode.unl.edu/hemicyco4.jpg</t>
  </si>
  <si>
    <t>https://nematode.unl.edu/hemicycolo1.jpg</t>
  </si>
  <si>
    <t>Gamble's Oak</t>
  </si>
  <si>
    <t>https://nematode.unl.edu/hemicycolo10.jpg</t>
  </si>
  <si>
    <t>https://nematode.unl.edu/hemicycolo11.jpg</t>
  </si>
  <si>
    <t>https://nematode.unl.edu/hemicycolo12.jpg</t>
  </si>
  <si>
    <t>https://nematode.unl.edu/hemicycolo13.jpg</t>
  </si>
  <si>
    <t>cephalic region</t>
  </si>
  <si>
    <t>https://nematode.unl.edu/hemicycolo14.jpg</t>
  </si>
  <si>
    <t>https://nematode.unl.edu/hemicycolo15.jpg</t>
  </si>
  <si>
    <t>https://nematode.unl.edu/hemicycolo16.jpg</t>
  </si>
  <si>
    <t>https://nematode.unl.edu/hemicycolo17.jpg</t>
  </si>
  <si>
    <t>https://nematode.unl.edu/hemicycolo2.jpg</t>
  </si>
  <si>
    <t>https://nematode.unl.edu/hemicycolo3.jpg</t>
  </si>
  <si>
    <t>https://nematode.unl.edu/hemicycolo4.jpg</t>
  </si>
  <si>
    <t>lateral line</t>
  </si>
  <si>
    <t>https://nematode.unl.edu/hemicycolo5.jpg</t>
  </si>
  <si>
    <t>https://nematode.unl.edu/hemicycolo6.jpg</t>
  </si>
  <si>
    <t>https://nematode.unl.edu/hemicycolo7.jpg</t>
  </si>
  <si>
    <t>https://nematode.unl.edu/hemicycolo8.jpg</t>
  </si>
  <si>
    <t>https://nematode.unl.edu/hemicycolo9.jpg</t>
  </si>
  <si>
    <t>https://nematode.unl.edu/hemicyf1.jpg</t>
  </si>
  <si>
    <t>oak</t>
  </si>
  <si>
    <t>https://nematode.unl.edu/hemicyf2.jpg</t>
  </si>
  <si>
    <t>https://nematode.unl.edu/hemicyf3.jpg</t>
  </si>
  <si>
    <t>https://nematode.unl.edu/hemicyf4.jpg</t>
  </si>
  <si>
    <t>https://nematode.unl.edu/hemicyf5.jpg</t>
  </si>
  <si>
    <t>https://nematode.unl.edu/hemicyf6.jpg</t>
  </si>
  <si>
    <t>https://nematode.unl.edu/hemicyno1.jpg</t>
  </si>
  <si>
    <t>birch</t>
  </si>
  <si>
    <t>https://nematode.unl.edu/hemicyno2.jpg</t>
  </si>
  <si>
    <t>https://nematode.unl.edu/hemicyno3.jpg</t>
  </si>
  <si>
    <t>https://nematode.unl.edu/hemicyno4.jpg</t>
  </si>
  <si>
    <t>https://nematode.unl.edu/hemicys1.jpg</t>
  </si>
  <si>
    <t>Shawnee National Forest, Illinois</t>
  </si>
  <si>
    <t>hardwood forest</t>
  </si>
  <si>
    <t>https://nematode.unl.edu/hemicys2.jpg</t>
  </si>
  <si>
    <t>https://nematode.unl.edu/hemicys3.jpg</t>
  </si>
  <si>
    <t>https://nematode.unl.edu/hemicys4.jpg</t>
  </si>
  <si>
    <t>https://nematode.unl.edu/hemicys5.jpg</t>
  </si>
  <si>
    <t>https://nematode.unl.edu/hemicys6.jpg</t>
  </si>
  <si>
    <t>https://nematode.unl.edu/hemicys7.jpg</t>
  </si>
  <si>
    <t>https://nematode.unl.edu/hemicys8.jpg</t>
  </si>
  <si>
    <t>https://nematode.unl.edu/hemicyss1.jpg</t>
  </si>
  <si>
    <t>https://nematode.unl.edu/hemicyss2.jpg</t>
  </si>
  <si>
    <t>https://nematode.unl.edu/hemidoo1.jpg</t>
  </si>
  <si>
    <t>Doolittle Prairie State Preserve, Iowa</t>
  </si>
  <si>
    <t>https://nematode.unl.edu/hemidoo2.jpg</t>
  </si>
  <si>
    <t>https://nematode.unl.edu/hemidoo3.jpg</t>
  </si>
  <si>
    <t>https://nematode.unl.edu/hemidoo4.jpg</t>
  </si>
  <si>
    <t>https://nematode.unl.edu/hemigs1.jpg</t>
  </si>
  <si>
    <t>hardwoods</t>
  </si>
  <si>
    <t>https://nematode.unl.edu/hemigs10.jpg</t>
  </si>
  <si>
    <t>https://nematode.unl.edu/hemigs11.jpg</t>
  </si>
  <si>
    <t>https://nematode.unl.edu/hemigs2.jpg</t>
  </si>
  <si>
    <t>https://nematode.unl.edu/hemigs3.jpg</t>
  </si>
  <si>
    <t>https://nematode.unl.edu/hemigs4.jpg</t>
  </si>
  <si>
    <t>https://nematode.unl.edu/hemigs5.jpg</t>
  </si>
  <si>
    <t>https://nematode.unl.edu/hemigs6.jpg</t>
  </si>
  <si>
    <t>https://nematode.unl.edu/hemigs7.jpg</t>
  </si>
  <si>
    <t>lateral Lines</t>
  </si>
  <si>
    <t>https://nematode.unl.edu/hemigs8.jpg</t>
  </si>
  <si>
    <t>https://nematode.unl.edu/hemigs9.jpg</t>
  </si>
  <si>
    <t>https://nematode.unl.edu/hemijd1.jpg</t>
  </si>
  <si>
    <t>https://nematode.unl.edu/hemijd10.jpg</t>
  </si>
  <si>
    <t>Jonathan Dickinson State Park, Florida</t>
  </si>
  <si>
    <t>cypress</t>
  </si>
  <si>
    <t>https://nematode.unl.edu/hemijd11.jpg</t>
  </si>
  <si>
    <t>https://nematode.unl.edu/hemijd12.jpg</t>
  </si>
  <si>
    <t>https://nematode.unl.edu/hemijd13.jpg</t>
  </si>
  <si>
    <t>https://nematode.unl.edu/hemijd14.jpg</t>
  </si>
  <si>
    <t>https://nematode.unl.edu/hemijd15.jpg</t>
  </si>
  <si>
    <t>https://nematode.unl.edu/hemijd16.jpg</t>
  </si>
  <si>
    <t>https://nematode.unl.edu/hemijd2.jpg</t>
  </si>
  <si>
    <t>https://nematode.unl.edu/hemijd3.jpg</t>
  </si>
  <si>
    <t>https://nematode.unl.edu/hemijd4.jpg</t>
  </si>
  <si>
    <t>https://nematode.unl.edu/hemijd5.jpg</t>
  </si>
  <si>
    <t>https://nematode.unl.edu/hemijd6.jpg</t>
  </si>
  <si>
    <t>https://nematode.unl.edu/hemijd7.jpg</t>
  </si>
  <si>
    <t>https://nematode.unl.edu/hemijd8.jpg</t>
  </si>
  <si>
    <t>https://nematode.unl.edu/hemijd9.jpg</t>
  </si>
  <si>
    <t>https://nematode.unl.edu/hemitenn1.jpg</t>
  </si>
  <si>
    <t>Grundy State Forest, Tracy City, Tennessee</t>
  </si>
  <si>
    <t>hemlock</t>
  </si>
  <si>
    <t>https://nematode.unl.edu/hemitenn10.jpg</t>
  </si>
  <si>
    <t>https://nematode.unl.edu/hemitenn11.jpg</t>
  </si>
  <si>
    <t>https://nematode.unl.edu/hemitenn12.jpg</t>
  </si>
  <si>
    <t>https://nematode.unl.edu/hemitenn13.jpg</t>
  </si>
  <si>
    <t>https://nematode.unl.edu/hemitenn14.jpg</t>
  </si>
  <si>
    <t>https://nematode.unl.edu/hemitenn15.jpg</t>
  </si>
  <si>
    <t>https://nematode.unl.edu/hemitenn2.jpg</t>
  </si>
  <si>
    <t>https://nematode.unl.edu/hemitenn3.jpg</t>
  </si>
  <si>
    <t>https://nematode.unl.edu/hemitenn4.jpg</t>
  </si>
  <si>
    <t>https://nematode.unl.edu/hemitenn5.jpg</t>
  </si>
  <si>
    <t>https://nematode.unl.edu/hemitenn6.jpg</t>
  </si>
  <si>
    <t>https://nematode.unl.edu/hemitenn7.jpg</t>
  </si>
  <si>
    <t>https://nematode.unl.edu/hemitenn8.jpg</t>
  </si>
  <si>
    <t>https://nematode.unl.edu/hemitenn9.jpg</t>
  </si>
  <si>
    <t>https://nematode.unl.edu/hemicygne1.jpg</t>
  </si>
  <si>
    <t>Hall County, Nebraska</t>
  </si>
  <si>
    <t>Hemicycliophora gracilis</t>
  </si>
  <si>
    <t>https://nematode.unl.edu/hemicygne2.jpg</t>
  </si>
  <si>
    <t>https://nematode.unl.edu/hemicygne3.jpg</t>
  </si>
  <si>
    <t>https://nematode.unl.edu/hemicygrabb1.jpg</t>
  </si>
  <si>
    <t>prairie (test plot #3)</t>
  </si>
  <si>
    <t>https://nematode.unl.edu/hemicygrabb10.jpg</t>
  </si>
  <si>
    <t>annulation</t>
  </si>
  <si>
    <t>prairie (test plot #2)</t>
  </si>
  <si>
    <t>https://nematode.unl.edu/hemicygrabb2.jpg</t>
  </si>
  <si>
    <t>https://nematode.unl.edu/hemicygrabb3.jpg</t>
  </si>
  <si>
    <t>https://nematode.unl.edu/hemicygrabb4.jpg</t>
  </si>
  <si>
    <t>https://nematode.unl.edu/hemicygrabb5.jpg</t>
  </si>
  <si>
    <t>https://nematode.unl.edu/hemicygrabb6.jpg</t>
  </si>
  <si>
    <t>https://nematode.unl.edu/hemicygrabb7.jpg</t>
  </si>
  <si>
    <t>https://nematode.unl.edu/hemicygrabb8.jpg</t>
  </si>
  <si>
    <t>https://nematode.unl.edu/hemicygrabb9.jpg</t>
  </si>
  <si>
    <t>https://nematode.unl.edu/hemicygracidrw.jpg</t>
  </si>
  <si>
    <t>https://nematode.unl.edu/hemicygrc1.jpg</t>
  </si>
  <si>
    <t>Greece</t>
  </si>
  <si>
    <t>Hemicycliophora typica</t>
  </si>
  <si>
    <t>https://nematode.unl.edu/hemicygrc10.jpg</t>
  </si>
  <si>
    <t>https://nematode.unl.edu/hemicygrc11.jpg</t>
  </si>
  <si>
    <t>https://nematode.unl.edu/hemicygrc12.jpg</t>
  </si>
  <si>
    <t>https://nematode.unl.edu/hemicygrc2.jpg</t>
  </si>
  <si>
    <t>https://nematode.unl.edu/hemicygrc3.jpg</t>
  </si>
  <si>
    <t>https://nematode.unl.edu/hemicygrc4.jpg</t>
  </si>
  <si>
    <t>https://nematode.unl.edu/hemicygrc5.jpg</t>
  </si>
  <si>
    <t>https://nematode.unl.edu/hemicygrc6.jpg</t>
  </si>
  <si>
    <t>https://nematode.unl.edu/hemicygrc7.jpg</t>
  </si>
  <si>
    <t>https://nematode.unl.edu/hemicygrc8.jpg</t>
  </si>
  <si>
    <t>https://nematode.unl.edu/hemicygrc9.jpg</t>
  </si>
  <si>
    <t>https://nematode.unl.edu/hemitydrw.jpg</t>
  </si>
  <si>
    <t>https://nematode.unl.edu/hetacep1.jpg</t>
  </si>
  <si>
    <t>Heterocephalobellus</t>
  </si>
  <si>
    <t>https://nematode.unl.edu/hetacep2.jpg</t>
  </si>
  <si>
    <t>https://nematode.unl.edu/hetacep3.jpg</t>
  </si>
  <si>
    <t>https://nematode.unl.edu/hetacep4.jpg</t>
  </si>
  <si>
    <t>https://nematode.unl.edu/hetacep5.jpg</t>
  </si>
  <si>
    <t>https://nematode.unl.edu/hetacep6.jpg</t>
  </si>
  <si>
    <t>https://nematode.unl.edu/hetacep7.jpg</t>
  </si>
  <si>
    <t>https://nematode.unl.edu/hetacep8.jpg</t>
  </si>
  <si>
    <t>https://nematode.unl.edu/hetedel1.jpg</t>
  </si>
  <si>
    <t>https://nematode.unl.edu/hetedel2.jpg</t>
  </si>
  <si>
    <t>https://nematode.unl.edu/hetedel3.jpg</t>
  </si>
  <si>
    <t>https://nematode.unl.edu/havenut1.jpg</t>
  </si>
  <si>
    <t>Utah County, Utah</t>
  </si>
  <si>
    <t>Wheat</t>
  </si>
  <si>
    <t>Heterodera avenae</t>
  </si>
  <si>
    <t>https://nematode.unl.edu/havenut2.jpg</t>
  </si>
  <si>
    <t>https://nematode.unl.edu/havenut3.jpg</t>
  </si>
  <si>
    <t>esophageal gland</t>
  </si>
  <si>
    <t>https://nematode.unl.edu/havenut4.jpg</t>
  </si>
  <si>
    <t>genital primordia</t>
  </si>
  <si>
    <t>wheat</t>
  </si>
  <si>
    <t>https://nematode.unl.edu/havenut5.jpg</t>
  </si>
  <si>
    <t>https://nematode.unl.edu/hetav1.jpg</t>
  </si>
  <si>
    <t>San Luis Valley, Colorado</t>
  </si>
  <si>
    <t>https://nematode.unl.edu/hetav10.jpg</t>
  </si>
  <si>
    <t>https://nematode.unl.edu/hetav11.jpg</t>
  </si>
  <si>
    <t>https://nematode.unl.edu/hetav12.jpg</t>
  </si>
  <si>
    <t>https://nematode.unl.edu/hetav13.jpg</t>
  </si>
  <si>
    <t>https://nematode.unl.edu/hetav14.jpg</t>
  </si>
  <si>
    <t>https://nematode.unl.edu/hetav15.jpg</t>
  </si>
  <si>
    <t>https://nematode.unl.edu/hetav16.jpg</t>
  </si>
  <si>
    <t>https://nematode.unl.edu/hetav17.jpg</t>
  </si>
  <si>
    <t>https://nematode.unl.edu/hetav18.jpg</t>
  </si>
  <si>
    <t>https://nematode.unl.edu/hetav19.jpg</t>
  </si>
  <si>
    <t>https://nematode.unl.edu/hetav2.jpg</t>
  </si>
  <si>
    <t>https://nematode.unl.edu/hetav20.jpg</t>
  </si>
  <si>
    <t>https://nematode.unl.edu/hetav21.jpg</t>
  </si>
  <si>
    <t>https://nematode.unl.edu/hetav22.jpg</t>
  </si>
  <si>
    <t>https://nematode.unl.edu/hetav23.jpg</t>
  </si>
  <si>
    <t>https://nematode.unl.edu/hetav24.jpg</t>
  </si>
  <si>
    <t>https://nematode.unl.edu/hetav25.jpg</t>
  </si>
  <si>
    <t>https://nematode.unl.edu/hetav3.jpg</t>
  </si>
  <si>
    <t>https://nematode.unl.edu/hetav4.jpg</t>
  </si>
  <si>
    <t>https://nematode.unl.edu/hetav5.jpg</t>
  </si>
  <si>
    <t>https://nematode.unl.edu/hetav6.jpg</t>
  </si>
  <si>
    <t>https://nematode.unl.edu/hetav7.jpg</t>
  </si>
  <si>
    <t>https://nematode.unl.edu/hetav8.jpg</t>
  </si>
  <si>
    <t>https://nematode.unl.edu/hetav9.jpg</t>
  </si>
  <si>
    <t>https://nematode.unl.edu/hetemont1.jpg</t>
  </si>
  <si>
    <t>Big Horn County, Montana</t>
  </si>
  <si>
    <t>https://nematode.unl.edu/hetemont2.jpg</t>
  </si>
  <si>
    <t>https://nematode.unl.edu/hetemont3.jpg</t>
  </si>
  <si>
    <t>https://nematode.unl.edu/hetemont4.jpg</t>
  </si>
  <si>
    <t>https://nematode.unl.edu/hegly1.jpg</t>
  </si>
  <si>
    <t>Heterodera glycines</t>
  </si>
  <si>
    <t>https://nematode.unl.edu/hegly5.jpg</t>
  </si>
  <si>
    <t>https://nematode.unl.edu/hegly6.jpg</t>
  </si>
  <si>
    <t>https://nematode.unl.edu/hegly7.jpg</t>
  </si>
  <si>
    <t>https://nematode.unl.edu/hegly8.jpg</t>
  </si>
  <si>
    <t>https://nematode.unl.edu/heteg1.jpg</t>
  </si>
  <si>
    <t>vulval cone</t>
  </si>
  <si>
    <t>Heterodera graminophila</t>
  </si>
  <si>
    <t>https://nematode.unl.edu/heteg12.jpg</t>
  </si>
  <si>
    <t>https://nematode.unl.edu/heteg13.jpg</t>
  </si>
  <si>
    <t>https://nematode.unl.edu/heteg14.jpg</t>
  </si>
  <si>
    <t>https://nematode.unl.edu/heteg15.jpg</t>
  </si>
  <si>
    <t>https://nematode.unl.edu/heteg16.jpg</t>
  </si>
  <si>
    <t>https://nematode.unl.edu/heteg17.jpg</t>
  </si>
  <si>
    <t>https://nematode.unl.edu/heteg18.jpg</t>
  </si>
  <si>
    <t>https://nematode.unl.edu/heteg19.jpg</t>
  </si>
  <si>
    <t>https://nematode.unl.edu/heteg2.jpg</t>
  </si>
  <si>
    <t>https://nematode.unl.edu/heteg3.jpg</t>
  </si>
  <si>
    <t>fenestral cuticle</t>
  </si>
  <si>
    <t>https://nematode.unl.edu/heteg4.jpg</t>
  </si>
  <si>
    <t>https://nematode.unl.edu/heteg5.jpg</t>
  </si>
  <si>
    <t>https://nematode.unl.edu/heteg6.jpg</t>
  </si>
  <si>
    <t>https://nematode.unl.edu/heteg7.jpg</t>
  </si>
  <si>
    <t>https://nematode.unl.edu/heteg8.jpg</t>
  </si>
  <si>
    <t>https://nematode.unl.edu/heteg9.jpg</t>
  </si>
  <si>
    <t>https://nematode.unl.edu/hetegcmp.jpg</t>
  </si>
  <si>
    <t>https://nematode.unl.edu/hetemed1.jpg</t>
  </si>
  <si>
    <t>Kansas</t>
  </si>
  <si>
    <t>Heterodera medicaginis</t>
  </si>
  <si>
    <t>https://nematode.unl.edu/hetemed2.jpg</t>
  </si>
  <si>
    <t>https://nematode.unl.edu/hetemed3.jpg</t>
  </si>
  <si>
    <t>https://nematode.unl.edu/hetemed4.jpg</t>
  </si>
  <si>
    <t>https://nematode.unl.edu/hetemed5.jpg</t>
  </si>
  <si>
    <t>https://nematode.unl.edu/hetemed6.jpg</t>
  </si>
  <si>
    <t>https://nematode.unl.edu/hetemed7.jpg</t>
  </si>
  <si>
    <t>https://nematode.unl.edu/hetemed8.jpg</t>
  </si>
  <si>
    <t>https://nematode.unl.edu/hetemed9.jpg</t>
  </si>
  <si>
    <t>https://nematode.unl.edu/hetesch1.jpg</t>
  </si>
  <si>
    <t>cabbage</t>
  </si>
  <si>
    <t>Heterodera schachtii</t>
  </si>
  <si>
    <t>https://nematode.unl.edu/hetesch2.jpg</t>
  </si>
  <si>
    <t>https://nematode.unl.edu/hetesch3.jpg</t>
  </si>
  <si>
    <t>https://nematode.unl.edu/hetesch4.jpg</t>
  </si>
  <si>
    <t>https://nematode.unl.edu/hetesch5.jpg</t>
  </si>
  <si>
    <t>https://nematode.unl.edu/hetesch6.jpg</t>
  </si>
  <si>
    <t>https://nematode.unl.edu/hetesch7.jpg</t>
  </si>
  <si>
    <t>https://nematode.unl.edu/hetesch8.jpg</t>
  </si>
  <si>
    <t>https://nematode.unl.edu/hetschaw1.jpg</t>
  </si>
  <si>
    <t>Goshen County, Wyoming</t>
  </si>
  <si>
    <t>sugar beet</t>
  </si>
  <si>
    <t>https://nematode.unl.edu/hetschaw2.jpg</t>
  </si>
  <si>
    <t>https://nematode.unl.edu/hetschaw3.jpg</t>
  </si>
  <si>
    <t>https://nematode.unl.edu/hetschaw4.jpg</t>
  </si>
  <si>
    <t>https://nematode.unl.edu/hetezea1.jpg</t>
  </si>
  <si>
    <t>Maryland</t>
  </si>
  <si>
    <t>Heterodera zeae</t>
  </si>
  <si>
    <t>https://nematode.unl.edu/hetezea2.jpg</t>
  </si>
  <si>
    <t>https://nematode.unl.edu/hetezea3.jpg</t>
  </si>
  <si>
    <t>https://nematode.unl.edu/hetezea4.jpg</t>
  </si>
  <si>
    <t>https://nematode.unl.edu/hetezea5.jpg</t>
  </si>
  <si>
    <t>https://nematode.unl.edu/hetezea6.jpg</t>
  </si>
  <si>
    <t>https://nematode.unl.edu/hetezea7.jpg</t>
  </si>
  <si>
    <t>https://nematode.unl.edu/hezepak1.jpg</t>
  </si>
  <si>
    <t>Karachi, Pakistan</t>
  </si>
  <si>
    <t>https://nematode.unl.edu/hezepak2.jpg</t>
  </si>
  <si>
    <t>https://nematode.unl.edu/hezepak3.jpg</t>
  </si>
  <si>
    <t>https://nematode.unl.edu/heterha1.jpg</t>
  </si>
  <si>
    <t>Heterorhabditis</t>
  </si>
  <si>
    <t>Heterorhabditidae</t>
  </si>
  <si>
    <t>https://nematode.unl.edu/heterha2.jpg</t>
  </si>
  <si>
    <t>https://nematode.unl.edu/heterha3.jpg</t>
  </si>
  <si>
    <t>https://nematode.unl.edu/heterha4.jpg</t>
  </si>
  <si>
    <t>https://nematode.unl.edu/heterha5.jpg</t>
  </si>
  <si>
    <t>basal Bulb</t>
  </si>
  <si>
    <t>https://nematode.unl.edu/heterha6.jpg</t>
  </si>
  <si>
    <t>https://nematode.unl.edu/hirsch1.jpg</t>
  </si>
  <si>
    <t>Peat bog</t>
  </si>
  <si>
    <t>Hirschmanniella</t>
  </si>
  <si>
    <t>Pratylenchidae</t>
  </si>
  <si>
    <t>https://nematode.unl.edu/hirsch10.jpg</t>
  </si>
  <si>
    <t>https://nematode.unl.edu/hirsch11.jpg</t>
  </si>
  <si>
    <t>https://nematode.unl.edu/hirsch12.jpg</t>
  </si>
  <si>
    <t>https://nematode.unl.edu/hirsch13.jpg</t>
  </si>
  <si>
    <t>https://nematode.unl.edu/hirsch14.jpg</t>
  </si>
  <si>
    <t>https://nematode.unl.edu/hirsch15.jpg</t>
  </si>
  <si>
    <t>https://nematode.unl.edu/hirsch16.jpg</t>
  </si>
  <si>
    <t>https://nematode.unl.edu/hirsch17.jpg</t>
  </si>
  <si>
    <t>https://nematode.unl.edu/hirsch18.jpg</t>
  </si>
  <si>
    <t>https://nematode.unl.edu/hirsch19.jpg</t>
  </si>
  <si>
    <t>https://nematode.unl.edu/hirsch2.jpg</t>
  </si>
  <si>
    <t>https://nematode.unl.edu/hirsch20.jpg</t>
  </si>
  <si>
    <t>https://nematode.unl.edu/hirsch3.jpg</t>
  </si>
  <si>
    <t>https://nematode.unl.edu/hirsch4.jpg</t>
  </si>
  <si>
    <t>https://nematode.unl.edu/hirsch5.jpg</t>
  </si>
  <si>
    <t>https://nematode.unl.edu/hirsch6.jpg</t>
  </si>
  <si>
    <t>https://nematode.unl.edu/hirsch7.jpg</t>
  </si>
  <si>
    <t>https://nematode.unl.edu/hirsch8.jpg</t>
  </si>
  <si>
    <t>https://nematode.unl.edu/hirsch9.jpg</t>
  </si>
  <si>
    <t>https://nematode.unl.edu/hoplosp1.jpg</t>
  </si>
  <si>
    <t>Nebraska Sandhills</t>
  </si>
  <si>
    <t>Hoplolaimus</t>
  </si>
  <si>
    <t>https://nematode.unl.edu/hoplosp2.jpg</t>
  </si>
  <si>
    <t>https://nematode.unl.edu/hoplosp3.jpg</t>
  </si>
  <si>
    <t>https://nematode.unl.edu/hoplosp4.jpg</t>
  </si>
  <si>
    <t>https://nematode.unl.edu/hoploc1.jpg</t>
  </si>
  <si>
    <t>University of Georgia, Georgia</t>
  </si>
  <si>
    <t>Hoplolaimus columbus</t>
  </si>
  <si>
    <t>https://nematode.unl.edu/hoploc10.jpg</t>
  </si>
  <si>
    <t>https://nematode.unl.edu/hoploc11.jpg</t>
  </si>
  <si>
    <t>https://nematode.unl.edu/hoploc12.jpg</t>
  </si>
  <si>
    <t>https://nematode.unl.edu/hoploc13.jpg</t>
  </si>
  <si>
    <t>https://nematode.unl.edu/hoploc14.jpg</t>
  </si>
  <si>
    <t>https://nematode.unl.edu/hoploc15.jpg</t>
  </si>
  <si>
    <t>https://nematode.unl.edu/hoploc16.jpg</t>
  </si>
  <si>
    <t>https://nematode.unl.edu/hoploc17.jpg</t>
  </si>
  <si>
    <t>https://nematode.unl.edu/hoploc18.jpg</t>
  </si>
  <si>
    <t>https://nematode.unl.edu/hoploc19.jpg</t>
  </si>
  <si>
    <t>https://nematode.unl.edu/hoploc2.jpg</t>
  </si>
  <si>
    <t>https://nematode.unl.edu/hoploc20.jpg</t>
  </si>
  <si>
    <t>https://nematode.unl.edu/hoploc21.jpg</t>
  </si>
  <si>
    <t>https://nematode.unl.edu/hoploc22.jpg</t>
  </si>
  <si>
    <t>https://nematode.unl.edu/hoploc23.jpg</t>
  </si>
  <si>
    <t>https://nematode.unl.edu/hoploc24.jpg</t>
  </si>
  <si>
    <t>https://nematode.unl.edu/hoploc25.jpg</t>
  </si>
  <si>
    <t>https://nematode.unl.edu/hoploc26.jpg</t>
  </si>
  <si>
    <t>posterior scutellum</t>
  </si>
  <si>
    <t>https://nematode.unl.edu/hoploc27.jpg</t>
  </si>
  <si>
    <t>https://nematode.unl.edu/hoploc28.jpg</t>
  </si>
  <si>
    <t>https://nematode.unl.edu/hoploc29.jpg</t>
  </si>
  <si>
    <t>https://nematode.unl.edu/hoploc3.jpg</t>
  </si>
  <si>
    <t>https://nematode.unl.edu/hoploc30.jpg</t>
  </si>
  <si>
    <t>https://nematode.unl.edu/hoploc4.jpg</t>
  </si>
  <si>
    <t>https://nematode.unl.edu/hoploc5.jpg</t>
  </si>
  <si>
    <t>https://nematode.unl.edu/hoploc6.jpg</t>
  </si>
  <si>
    <t>https://nematode.unl.edu/hoploc7.jpg</t>
  </si>
  <si>
    <t>https://nematode.unl.edu/hoploc8.jpg</t>
  </si>
  <si>
    <t>https://nematode.unl.edu/hoploc9.jpg</t>
  </si>
  <si>
    <t>https://nematode.unl.edu/hogagw1.jpg</t>
  </si>
  <si>
    <t>George Washington Memorial Parkway, Virginia</t>
  </si>
  <si>
    <t>Oak/ Hickory / Pine forest</t>
  </si>
  <si>
    <t>Hoplolaimus galeatus</t>
  </si>
  <si>
    <t>https://nematode.unl.edu/hogagw2.jpg</t>
  </si>
  <si>
    <t>https://nematode.unl.edu/hogagw3.jpg</t>
  </si>
  <si>
    <t>https://nematode.unl.edu/hogagw4.jpg</t>
  </si>
  <si>
    <t>https://nematode.unl.edu/hogagw5.jpg</t>
  </si>
  <si>
    <t>Oak,Hickory,Pine forest</t>
  </si>
  <si>
    <t>https://nematode.unl.edu/hogagw6.jpg</t>
  </si>
  <si>
    <t>https://nematode.unl.edu/hogal1.jpg</t>
  </si>
  <si>
    <t>South Carolina</t>
  </si>
  <si>
    <t>https://nematode.unl.edu/hogal10.jpg</t>
  </si>
  <si>
    <t>https://nematode.unl.edu/hogal11.jpg</t>
  </si>
  <si>
    <t>https://nematode.unl.edu/hogal12.jpg</t>
  </si>
  <si>
    <t>https://nematode.unl.edu/hogal13.jpg</t>
  </si>
  <si>
    <t>https://nematode.unl.edu/hogal14.jpg</t>
  </si>
  <si>
    <t>https://nematode.unl.edu/hogal15.jpg</t>
  </si>
  <si>
    <t>https://nematode.unl.edu/hogal18.jpg</t>
  </si>
  <si>
    <t>https://nematode.unl.edu/hogal19.jpg</t>
  </si>
  <si>
    <t>https://nematode.unl.edu/hogal2.jpg</t>
  </si>
  <si>
    <t>https://nematode.unl.edu/hogal20.jpg</t>
  </si>
  <si>
    <t>https://nematode.unl.edu/hogal21.jpg</t>
  </si>
  <si>
    <t>https://nematode.unl.edu/hogal22.jpg</t>
  </si>
  <si>
    <t>https://nematode.unl.edu/hogal23.jpg</t>
  </si>
  <si>
    <t>https://nematode.unl.edu/hogal24.jpg</t>
  </si>
  <si>
    <t>https://nematode.unl.edu/hogal25.jpg</t>
  </si>
  <si>
    <t>https://nematode.unl.edu/hogal26.jpg</t>
  </si>
  <si>
    <t>https://nematode.unl.edu/hogal27.jpg</t>
  </si>
  <si>
    <t>https://nematode.unl.edu/hogal28.jpg</t>
  </si>
  <si>
    <t>https://nematode.unl.edu/hogal29.jpg</t>
  </si>
  <si>
    <t>https://nematode.unl.edu/hogal3.jpg</t>
  </si>
  <si>
    <t>https://nematode.unl.edu/hogal30.jpg</t>
  </si>
  <si>
    <t>https://nematode.unl.edu/hogal31.jpg</t>
  </si>
  <si>
    <t>https://nematode.unl.edu/hogal32.jpg</t>
  </si>
  <si>
    <t>https://nematode.unl.edu/hogal33.jpg</t>
  </si>
  <si>
    <t>https://nematode.unl.edu/hogal4.jpg</t>
  </si>
  <si>
    <t>https://nematode.unl.edu/hogal5.jpg</t>
  </si>
  <si>
    <t>https://nematode.unl.edu/hogal6.jpg</t>
  </si>
  <si>
    <t>https://nematode.unl.edu/hogal7.jpg</t>
  </si>
  <si>
    <t>https://nematode.unl.edu/hogal8.jpg</t>
  </si>
  <si>
    <t>https://nematode.unl.edu/hogal9.jpg</t>
  </si>
  <si>
    <t>https://nematode.unl.edu/hopga1.jpg</t>
  </si>
  <si>
    <t>https://nematode.unl.edu/hopga10.jpg</t>
  </si>
  <si>
    <t>https://nematode.unl.edu/hopga11.jpg</t>
  </si>
  <si>
    <t>https://nematode.unl.edu/hopga12.jpg</t>
  </si>
  <si>
    <t>https://nematode.unl.edu/hopga13.jpg</t>
  </si>
  <si>
    <t>https://nematode.unl.edu/hopga14.jpg</t>
  </si>
  <si>
    <t>https://nematode.unl.edu/hopga15.jpg</t>
  </si>
  <si>
    <t>https://nematode.unl.edu/hopga2.jpg</t>
  </si>
  <si>
    <t>https://nematode.unl.edu/hopga3.jpg</t>
  </si>
  <si>
    <t>https://nematode.unl.edu/hopga4.jpg</t>
  </si>
  <si>
    <t>https://nematode.unl.edu/hopga5.jpg</t>
  </si>
  <si>
    <t>https://nematode.unl.edu/hopga6.jpg</t>
  </si>
  <si>
    <t>https://nematode.unl.edu/hopga7.jpg</t>
  </si>
  <si>
    <t>https://nematode.unl.edu/hopga8.jpg</t>
  </si>
  <si>
    <t>https://nematode.unl.edu/hopga9.jpg</t>
  </si>
  <si>
    <t>https://nematode.unl.edu/hopgacmp.jpg</t>
  </si>
  <si>
    <t>https://nematode.unl.edu/hopgale3.jpg</t>
  </si>
  <si>
    <t>Country Club of Lincoln,Lincoln, Nebraska</t>
  </si>
  <si>
    <t>https://nematode.unl.edu/howasp1.jpg</t>
  </si>
  <si>
    <t>Mizzou - University of Missouri, Missouri</t>
  </si>
  <si>
    <t>Howardula</t>
  </si>
  <si>
    <t>Allantonematidae</t>
  </si>
  <si>
    <t>https://nematode.unl.edu/howasp2.jpg</t>
  </si>
  <si>
    <t>https://nematode.unl.edu/howasp3.jpg</t>
  </si>
  <si>
    <t>https://nematode.unl.edu/howasp4.jpg</t>
  </si>
  <si>
    <t>https://nematode.unl.edu/howasp5.jpg</t>
  </si>
  <si>
    <t>https://nematode.unl.edu/howasp6.jpg</t>
  </si>
  <si>
    <t>https://nematode.unl.edu/howasp7.jpg</t>
  </si>
  <si>
    <t>https://nematode.unl.edu/howasp8.jpg</t>
  </si>
  <si>
    <t>https://nematode.unl.edu/howasp9.jpg</t>
  </si>
  <si>
    <t>https://nematode.unl.edu/iotogsm1.jpg</t>
  </si>
  <si>
    <t>Great Smoky Mountains National Park, Laurel Falls, Tennessee</t>
  </si>
  <si>
    <t>yellow poplar</t>
  </si>
  <si>
    <t>Iotonchus</t>
  </si>
  <si>
    <t>Iotonchidae</t>
  </si>
  <si>
    <t>https://nematode.unl.edu/iotogsm2.jpg</t>
  </si>
  <si>
    <t>https://nematode.unl.edu/iotogsm3.jpg</t>
  </si>
  <si>
    <t>amphid opening</t>
  </si>
  <si>
    <t>https://nematode.unl.edu/iotogsm4.jpg</t>
  </si>
  <si>
    <t>https://nematode.unl.edu/iotogsm5.jpg</t>
  </si>
  <si>
    <t>testes with sperm</t>
  </si>
  <si>
    <t>https://nematode.unl.edu/iotogsm6.jpg</t>
  </si>
  <si>
    <t>spicule and gubernaculum</t>
  </si>
  <si>
    <t>https://nematode.unl.edu/ioton2.jpg</t>
  </si>
  <si>
    <t>https://nematode.unl.edu/irons1.jpg</t>
  </si>
  <si>
    <t>Ironus</t>
  </si>
  <si>
    <t>Ironidae</t>
  </si>
  <si>
    <t>https://nematode.unl.edu/irons2.jpg</t>
  </si>
  <si>
    <t>https://nematode.unl.edu/irons3.jpg</t>
  </si>
  <si>
    <t>https://nematode.unl.edu/irons4.jpg</t>
  </si>
  <si>
    <t>https://nematode.unl.edu/irons5.jpg</t>
  </si>
  <si>
    <t>https://nematode.unl.edu/irons6.jpg</t>
  </si>
  <si>
    <t>https://nematode.unl.edu/irons7.jpg</t>
  </si>
  <si>
    <t>https://nematode.unl.edu/ironus1.jpg</t>
  </si>
  <si>
    <t>https://nematode.unl.edu/ironus2.jpg</t>
  </si>
  <si>
    <t>https://nematode.unl.edu/ironus3.jpg</t>
  </si>
  <si>
    <t>https://nematode.unl.edu/ironus4.jpg</t>
  </si>
  <si>
    <t>intestinal contents</t>
  </si>
  <si>
    <t>https://nematode.unl.edu/ironus5.jpg</t>
  </si>
  <si>
    <t>https://nematode.unl.edu/ironus6.jpg</t>
  </si>
  <si>
    <t>https://nematode.unl.edu/isola1.jpg</t>
  </si>
  <si>
    <t>Red bud</t>
  </si>
  <si>
    <t>Isolaimium</t>
  </si>
  <si>
    <t>Isolaimida</t>
  </si>
  <si>
    <t>Isolaimiidae</t>
  </si>
  <si>
    <t>https://nematode.unl.edu/isola10.jpg</t>
  </si>
  <si>
    <t>https://nematode.unl.edu/isola11.jpg</t>
  </si>
  <si>
    <t>https://nematode.unl.edu/isola12.jpg</t>
  </si>
  <si>
    <t>https://nematode.unl.edu/isola13.jpg</t>
  </si>
  <si>
    <t>https://nematode.unl.edu/isola2.jpg</t>
  </si>
  <si>
    <t>https://nematode.unl.edu/isola3.jpg</t>
  </si>
  <si>
    <t>https://nematode.unl.edu/isola4.jpg</t>
  </si>
  <si>
    <t>https://nematode.unl.edu/isola5.jpg</t>
  </si>
  <si>
    <t>https://nematode.unl.edu/isola6.jpg</t>
  </si>
  <si>
    <t>https://nematode.unl.edu/isola7.jpg</t>
  </si>
  <si>
    <t>https://nematode.unl.edu/isola8.jpg</t>
  </si>
  <si>
    <t>https://nematode.unl.edu/isola9.jpg</t>
  </si>
  <si>
    <t>https://nematode.unl.edu/isolami1.jpg</t>
  </si>
  <si>
    <t>https://nematode.unl.edu/isolami10.jpg</t>
  </si>
  <si>
    <t>https://nematode.unl.edu/isolami2.jpg</t>
  </si>
  <si>
    <t>https://nematode.unl.edu/isolami3.jpg</t>
  </si>
  <si>
    <t>basal stoma</t>
  </si>
  <si>
    <t>Big bluestim</t>
  </si>
  <si>
    <t>https://nematode.unl.edu/isolami4.jpg</t>
  </si>
  <si>
    <t>https://nematode.unl.edu/isolami5.jpg</t>
  </si>
  <si>
    <t>https://nematode.unl.edu/isolami6.jpg</t>
  </si>
  <si>
    <t>https://nematode.unl.edu/isolami7.jpg</t>
  </si>
  <si>
    <t>https://nematode.unl.edu/isolami8.jpg</t>
  </si>
  <si>
    <t>https://nematode.unl.edu/isolami9.jpg</t>
  </si>
  <si>
    <t>https://nematode.unl.edu/labros1.jpg</t>
  </si>
  <si>
    <t>Labronema</t>
  </si>
  <si>
    <t>https://nematode.unl.edu/labros10.jpg</t>
  </si>
  <si>
    <t>https://nematode.unl.edu/labros11.jpg</t>
  </si>
  <si>
    <t>https://nematode.unl.edu/labros12.jpg</t>
  </si>
  <si>
    <t>https://nematode.unl.edu/labros13.jpg</t>
  </si>
  <si>
    <t>https://nematode.unl.edu/labros14.jpg</t>
  </si>
  <si>
    <t>https://nematode.unl.edu/labros15.jpg</t>
  </si>
  <si>
    <t>https://nematode.unl.edu/labros16.jpg</t>
  </si>
  <si>
    <t>https://nematode.unl.edu/labros17.jpg</t>
  </si>
  <si>
    <t>https://nematode.unl.edu/labros18.jpg</t>
  </si>
  <si>
    <t>https://nematode.unl.edu/labros19.jpg</t>
  </si>
  <si>
    <t>https://nematode.unl.edu/labros2.jpg</t>
  </si>
  <si>
    <t>https://nematode.unl.edu/labros20.jpg</t>
  </si>
  <si>
    <t>https://nematode.unl.edu/labros3.jpg</t>
  </si>
  <si>
    <t>https://nematode.unl.edu/labros4.jpg</t>
  </si>
  <si>
    <t>https://nematode.unl.edu/labros5.jpg</t>
  </si>
  <si>
    <t>https://nematode.unl.edu/labros6.jpg</t>
  </si>
  <si>
    <t>https://nematode.unl.edu/labros7.jpg</t>
  </si>
  <si>
    <t>https://nematode.unl.edu/labros8.jpg</t>
  </si>
  <si>
    <t>https://nematode.unl.edu/labros9.jpg</t>
  </si>
  <si>
    <t>https://nematode.unl.edu/labfer1.jpg</t>
  </si>
  <si>
    <t>Labronema ferox</t>
  </si>
  <si>
    <t>https://nematode.unl.edu/labfer10.jpg</t>
  </si>
  <si>
    <t>https://nematode.unl.edu/labfer11.jpg</t>
  </si>
  <si>
    <t>https://nematode.unl.edu/labfer12.jpg</t>
  </si>
  <si>
    <t>https://nematode.unl.edu/labfer13.jpg</t>
  </si>
  <si>
    <t>https://nematode.unl.edu/labfer2.jpg</t>
  </si>
  <si>
    <t>https://nematode.unl.edu/labfer3.jpg</t>
  </si>
  <si>
    <t>https://nematode.unl.edu/labfer4.jpg</t>
  </si>
  <si>
    <t>https://nematode.unl.edu/labfer5.jpg</t>
  </si>
  <si>
    <t>https://nematode.unl.edu/labfer6.jpg</t>
  </si>
  <si>
    <t>https://nematode.unl.edu/labfer7.jpg</t>
  </si>
  <si>
    <t>https://nematode.unl.edu/labfer8.jpg</t>
  </si>
  <si>
    <t>https://nematode.unl.edu/labfer9.jpg</t>
  </si>
  <si>
    <t>https://nematode.unl.edu/labrox1.jpg</t>
  </si>
  <si>
    <t>https://nematode.unl.edu/labrox2.jpg</t>
  </si>
  <si>
    <t>https://nematode.unl.edu/labrox3.jpg</t>
  </si>
  <si>
    <t>https://nematode.unl.edu/labrox4.jpg</t>
  </si>
  <si>
    <t>https://nematode.unl.edu/lafox1.jpg</t>
  </si>
  <si>
    <t>Homestead National Monument of America, Schoolhouse Grounds, Nebraska</t>
  </si>
  <si>
    <t>https://nematode.unl.edu/lafox10.jpg</t>
  </si>
  <si>
    <t>https://nematode.unl.edu/lafox11.jpg</t>
  </si>
  <si>
    <t>https://nematode.unl.edu/lafox12.jpg</t>
  </si>
  <si>
    <t>S1O2 and S1O1</t>
  </si>
  <si>
    <t>https://nematode.unl.edu/lafox13.jpg</t>
  </si>
  <si>
    <t>S2O1 and S1O2</t>
  </si>
  <si>
    <t>https://nematode.unl.edu/lafox14.jpg</t>
  </si>
  <si>
    <t>https://nematode.unl.edu/lafox15.jpg</t>
  </si>
  <si>
    <t>https://nematode.unl.edu/lafox16.jpg</t>
  </si>
  <si>
    <t>https://nematode.unl.edu/lafox17.jpg</t>
  </si>
  <si>
    <t>spermatozoa</t>
  </si>
  <si>
    <t>https://nematode.unl.edu/lafox18.jpg</t>
  </si>
  <si>
    <t>https://nematode.unl.edu/lafox2.jpg</t>
  </si>
  <si>
    <t>https://nematode.unl.edu/lafox3.jpg</t>
  </si>
  <si>
    <t>https://nematode.unl.edu/lafox4.jpg</t>
  </si>
  <si>
    <t>https://nematode.unl.edu/lafox5.jpg</t>
  </si>
  <si>
    <t>https://nematode.unl.edu/lafox6.jpg</t>
  </si>
  <si>
    <t>https://nematode.unl.edu/lafox7.jpg</t>
  </si>
  <si>
    <t>https://nematode.unl.edu/lafox8.jpg</t>
  </si>
  <si>
    <t>https://nematode.unl.edu/lafox9.jpg</t>
  </si>
  <si>
    <t>https://nematode.unl.edu/labrun1.jpg</t>
  </si>
  <si>
    <t>Labronema hyalinum</t>
  </si>
  <si>
    <t>https://nematode.unl.edu/labrun2.jpg</t>
  </si>
  <si>
    <t>https://nematode.unl.edu/labrun3.jpg</t>
  </si>
  <si>
    <t>https://nematode.unl.edu/labrun4.jpg</t>
  </si>
  <si>
    <t>https://nematode.unl.edu/labrun5.jpg</t>
  </si>
  <si>
    <t>https://nematode.unl.edu/labrun6.jpg</t>
  </si>
  <si>
    <t>https://nematode.unl.edu/labrun7.jpg</t>
  </si>
  <si>
    <t>https://nematode.unl.edu/labrun8.jpg</t>
  </si>
  <si>
    <t>https://nematode.unl.edu/labrun9.jpg</t>
  </si>
  <si>
    <t>https://nematode.unl.edu/labro1.jpg</t>
  </si>
  <si>
    <t>Labronema obesum</t>
  </si>
  <si>
    <t>https://nematode.unl.edu/labro2.jpg</t>
  </si>
  <si>
    <t>https://nematode.unl.edu/labro3.jpg</t>
  </si>
  <si>
    <t>https://nematode.unl.edu/labro4.jpg</t>
  </si>
  <si>
    <t>https://nematode.unl.edu/labro5.jpg</t>
  </si>
  <si>
    <t>https://nematode.unl.edu/labro6.jpg</t>
  </si>
  <si>
    <t>https://nematode.unl.edu/labro7.jpg</t>
  </si>
  <si>
    <t>https://nematode.unl.edu/labro8.jpg</t>
  </si>
  <si>
    <t>https://nematode.unl.edu/labrob1.jpg</t>
  </si>
  <si>
    <t>https://nematode.unl.edu/labrob2.jpg</t>
  </si>
  <si>
    <t>https://nematode.unl.edu/labrob3.jpg</t>
  </si>
  <si>
    <t>https://nematode.unl.edu/labrob4.jpg</t>
  </si>
  <si>
    <t>https://nematode.unl.edu/labrob5.jpg</t>
  </si>
  <si>
    <t>https://nematode.unl.edu/labrob6.jpg</t>
  </si>
  <si>
    <t>https://nematode.unl.edu/labrob7.jpg</t>
  </si>
  <si>
    <t>https://nematode.unl.edu/labrob8.jpg</t>
  </si>
  <si>
    <t>https://nematode.unl.edu/labrob9.jpg</t>
  </si>
  <si>
    <t>https://nematode.unl.edu/lobes1.jpg</t>
  </si>
  <si>
    <t>https://nematode.unl.edu/lobes10.jpg</t>
  </si>
  <si>
    <t>https://nematode.unl.edu/lobes11.jpg</t>
  </si>
  <si>
    <t>https://nematode.unl.edu/lobes12.jpg</t>
  </si>
  <si>
    <t>https://nematode.unl.edu/lobes2.jpg</t>
  </si>
  <si>
    <t>https://nematode.unl.edu/lobes3.jpg</t>
  </si>
  <si>
    <t>https://nematode.unl.edu/lobes4.jpg</t>
  </si>
  <si>
    <t>https://nematode.unl.edu/lobes5.jpg</t>
  </si>
  <si>
    <t>https://nematode.unl.edu/lobes6.jpg</t>
  </si>
  <si>
    <t>https://nematode.unl.edu/lobes7.jpg</t>
  </si>
  <si>
    <t>https://nematode.unl.edu/lobes8.jpg</t>
  </si>
  <si>
    <t>https://nematode.unl.edu/lobes9.jpg</t>
  </si>
  <si>
    <t>https://nematode.unl.edu/labra1.jpg</t>
  </si>
  <si>
    <t>Labronema rapax</t>
  </si>
  <si>
    <t>https://nematode.unl.edu/labra2.jpg</t>
  </si>
  <si>
    <t>https://nematode.unl.edu/labra3.jpg</t>
  </si>
  <si>
    <t>https://nematode.unl.edu/labracmp.jpg</t>
  </si>
  <si>
    <t>https://nematode.unl.edu/labrap1.jpg</t>
  </si>
  <si>
    <t>https://nematode.unl.edu/labrap2.jpg</t>
  </si>
  <si>
    <t>https://nematode.unl.edu/labrap3.jpg</t>
  </si>
  <si>
    <t>https://nematode.unl.edu/labrap4.jpg</t>
  </si>
  <si>
    <t>https://nematode.unl.edu/labva1.jpg</t>
  </si>
  <si>
    <t>Labronema varicaudatum</t>
  </si>
  <si>
    <t>https://nematode.unl.edu/labva2.jpg</t>
  </si>
  <si>
    <t>https://nematode.unl.edu/labva3.jpg</t>
  </si>
  <si>
    <t>https://nematode.unl.edu/labva4.jpg</t>
  </si>
  <si>
    <t>https://nematode.unl.edu/labva5.jpg</t>
  </si>
  <si>
    <t>pore</t>
  </si>
  <si>
    <t>https://nematode.unl.edu/labva6.jpg</t>
  </si>
  <si>
    <t>https://nematode.unl.edu/labva7.jpg</t>
  </si>
  <si>
    <t>https://nematode.unl.edu/labva8.jpg</t>
  </si>
  <si>
    <t>https://nematode.unl.edu/labva9.jpg</t>
  </si>
  <si>
    <t>https://nematode.unl.edu/labvacmp.jpg</t>
  </si>
  <si>
    <t>https://nematode.unl.edu/labrel1.jpg</t>
  </si>
  <si>
    <t>Labronemella</t>
  </si>
  <si>
    <t>https://nematode.unl.edu/labrel2.jpg</t>
  </si>
  <si>
    <t>https://nematode.unl.edu/labrel3.jpg</t>
  </si>
  <si>
    <t>https://nematode.unl.edu/labrel4.jpg</t>
  </si>
  <si>
    <t>https://nematode.unl.edu/labrut1.jpg</t>
  </si>
  <si>
    <t>Labronemella ruttneri</t>
  </si>
  <si>
    <t>https://nematode.unl.edu/labrut10.jpg</t>
  </si>
  <si>
    <t>https://nematode.unl.edu/labrut11.jpg</t>
  </si>
  <si>
    <t>https://nematode.unl.edu/labrut12.jpg</t>
  </si>
  <si>
    <t>https://nematode.unl.edu/labrut13.jpg</t>
  </si>
  <si>
    <t>https://nematode.unl.edu/labrut14.jpg</t>
  </si>
  <si>
    <t>https://nematode.unl.edu/labrut15.jpg</t>
  </si>
  <si>
    <t>https://nematode.unl.edu/labrut2.jpg</t>
  </si>
  <si>
    <t>https://nematode.unl.edu/labrut3.jpg</t>
  </si>
  <si>
    <t>https://nematode.unl.edu/labrut4.jpg</t>
  </si>
  <si>
    <t>https://nematode.unl.edu/labrut5.jpg</t>
  </si>
  <si>
    <t>https://nematode.unl.edu/labrut6.jpg</t>
  </si>
  <si>
    <t>https://nematode.unl.edu/labrut7.jpg</t>
  </si>
  <si>
    <t>https://nematode.unl.edu/labrut8.jpg</t>
  </si>
  <si>
    <t>https://nematode.unl.edu/labrut9.jpg</t>
  </si>
  <si>
    <t>https://nematode.unl.edu/laevila1.jpg</t>
  </si>
  <si>
    <t>Laevides laevis</t>
  </si>
  <si>
    <t>Laevides</t>
  </si>
  <si>
    <t>https://nematode.unl.edu/laevila2.jpg</t>
  </si>
  <si>
    <t>https://nematode.unl.edu/laevila3.jpg</t>
  </si>
  <si>
    <t>https://nematode.unl.edu/laevila4.jpg</t>
  </si>
  <si>
    <t>https://nematode.unl.edu/laevila5.jpg</t>
  </si>
  <si>
    <t>https://nematode.unl.edu/laevilaedraw.jpg</t>
  </si>
  <si>
    <t>https://nematode.unl.edu/laimpe1.jpg</t>
  </si>
  <si>
    <t>Outside Oasis</t>
  </si>
  <si>
    <t>Laimaphelenchus penardi</t>
  </si>
  <si>
    <t>Laimaphelenchus</t>
  </si>
  <si>
    <t>https://nematode.unl.edu/laimpe2.jpg</t>
  </si>
  <si>
    <t>https://nematode.unl.edu/laimpe3.jpg</t>
  </si>
  <si>
    <t>https://nematode.unl.edu/laimpe4.jpg</t>
  </si>
  <si>
    <t>median Bulb</t>
  </si>
  <si>
    <t>https://nematode.unl.edu/laimpe5.jpg</t>
  </si>
  <si>
    <t>https://nematode.unl.edu/laimpe6.jpg</t>
  </si>
  <si>
    <t>https://nematode.unl.edu/laimpe7.jpg</t>
  </si>
  <si>
    <t>https://nematode.unl.edu/laimho1.jpg</t>
  </si>
  <si>
    <t>Laimydorus</t>
  </si>
  <si>
    <t>https://nematode.unl.edu/laimho2.jpg</t>
  </si>
  <si>
    <t>https://nematode.unl.edu/laimho3.jpg</t>
  </si>
  <si>
    <t>https://nematode.unl.edu/laimy1.jpg</t>
  </si>
  <si>
    <t>https://nematode.unl.edu/laimy2.jpg</t>
  </si>
  <si>
    <t>https://nematode.unl.edu/laimy3.jpg</t>
  </si>
  <si>
    <t>https://nematode.unl.edu/laimy4.jpg</t>
  </si>
  <si>
    <t>Scribner's Panicim</t>
  </si>
  <si>
    <t>https://nematode.unl.edu/laimy5.jpg</t>
  </si>
  <si>
    <t>https://nematode.unl.edu/laimytex1.jpg</t>
  </si>
  <si>
    <t>https://nematode.unl.edu/laimytex10.jpg</t>
  </si>
  <si>
    <t>https://nematode.unl.edu/laimytex2.jpg</t>
  </si>
  <si>
    <t>https://nematode.unl.edu/laimytex3.jpg</t>
  </si>
  <si>
    <t>https://nematode.unl.edu/laimytex4.jpg</t>
  </si>
  <si>
    <t>https://nematode.unl.edu/laimytex5.jpg</t>
  </si>
  <si>
    <t>https://nematode.unl.edu/laimytex6.jpg</t>
  </si>
  <si>
    <t>https://nematode.unl.edu/laimytex7.jpg</t>
  </si>
  <si>
    <t>https://nematode.unl.edu/laimytex8.jpg</t>
  </si>
  <si>
    <t>https://nematode.unl.edu/laimytex9.jpg</t>
  </si>
  <si>
    <t>https://nematode.unl.edu/laimyk1.jpg</t>
  </si>
  <si>
    <t>Laimydorus keilini</t>
  </si>
  <si>
    <t>https://nematode.unl.edu/laimyk2.jpg</t>
  </si>
  <si>
    <t>https://nematode.unl.edu/laimyk3.jpg</t>
  </si>
  <si>
    <t>https://nematode.unl.edu/laimyk4.jpg</t>
  </si>
  <si>
    <t>https://nematode.unl.edu/lelenc1.jpg</t>
  </si>
  <si>
    <t>Lelenchus</t>
  </si>
  <si>
    <t>https://nematode.unl.edu/lelenc2.jpg</t>
  </si>
  <si>
    <t>https://nematode.unl.edu/lelenc3.jpg</t>
  </si>
  <si>
    <t>https://nematode.unl.edu/lelenc4.jpg</t>
  </si>
  <si>
    <t>https://nematode.unl.edu/lelenc5.jpg</t>
  </si>
  <si>
    <t>https://nematode.unl.edu/lelenc6.jpg</t>
  </si>
  <si>
    <t>https://nematode.unl.edu/leptol1.jpg</t>
  </si>
  <si>
    <t>Leptolaimus</t>
  </si>
  <si>
    <t>Leptolaimidae</t>
  </si>
  <si>
    <t>https://nematode.unl.edu/leptol2.jpg</t>
  </si>
  <si>
    <t>https://nematode.unl.edu/leptol3.jpg</t>
  </si>
  <si>
    <t>https://nematode.unl.edu/leptols1.jpg</t>
  </si>
  <si>
    <t>https://nematode.unl.edu/legra1.jpg</t>
  </si>
  <si>
    <t>Leptonchus granulosus</t>
  </si>
  <si>
    <t>Leptonchus</t>
  </si>
  <si>
    <t>https://nematode.unl.edu/legra10.jpg</t>
  </si>
  <si>
    <t>https://nematode.unl.edu/legra11.jpg</t>
  </si>
  <si>
    <t>https://nematode.unl.edu/legra12.jpg</t>
  </si>
  <si>
    <t>https://nematode.unl.edu/legra13.jpg</t>
  </si>
  <si>
    <t>https://nematode.unl.edu/legra14.jpg</t>
  </si>
  <si>
    <t>https://nematode.unl.edu/legra15.jpg</t>
  </si>
  <si>
    <t>https://nematode.unl.edu/legra16.jpg</t>
  </si>
  <si>
    <t>https://nematode.unl.edu/legra2.jpg</t>
  </si>
  <si>
    <t>https://nematode.unl.edu/legra3.jpg</t>
  </si>
  <si>
    <t>https://nematode.unl.edu/legra4.jpg</t>
  </si>
  <si>
    <t>https://nematode.unl.edu/legra5.jpg</t>
  </si>
  <si>
    <t>https://nematode.unl.edu/legra6.jpg</t>
  </si>
  <si>
    <t>Big bluestream</t>
  </si>
  <si>
    <t>https://nematode.unl.edu/legra7.jpg</t>
  </si>
  <si>
    <t>https://nematode.unl.edu/legra8.jpg</t>
  </si>
  <si>
    <t>https://nematode.unl.edu/legra9.jpg</t>
  </si>
  <si>
    <t>https://nematode.unl.edu/legracmp.jpg</t>
  </si>
  <si>
    <t>https://nematode.unl.edu/legran1.jpg</t>
  </si>
  <si>
    <t>https://nematode.unl.edu/legran10.jpg</t>
  </si>
  <si>
    <t>https://nematode.unl.edu/legran11.jpg</t>
  </si>
  <si>
    <t>https://nematode.unl.edu/legran12.jpg</t>
  </si>
  <si>
    <t>https://nematode.unl.edu/legran13.jpg</t>
  </si>
  <si>
    <t>https://nematode.unl.edu/legran14.jpg</t>
  </si>
  <si>
    <t>https://nematode.unl.edu/legran15.jpg</t>
  </si>
  <si>
    <t>https://nematode.unl.edu/legran16.jpg</t>
  </si>
  <si>
    <t>https://nematode.unl.edu/legran17.jpg</t>
  </si>
  <si>
    <t>https://nematode.unl.edu/legran18.jpg</t>
  </si>
  <si>
    <t>Big bluestem/ Bluegrass</t>
  </si>
  <si>
    <t>https://nematode.unl.edu/legran19.jpg</t>
  </si>
  <si>
    <t>https://nematode.unl.edu/legran2.jpg</t>
  </si>
  <si>
    <t>https://nematode.unl.edu/legran20.jpg</t>
  </si>
  <si>
    <t>https://nematode.unl.edu/legran21.jpg</t>
  </si>
  <si>
    <t>https://nematode.unl.edu/legran22.jpg</t>
  </si>
  <si>
    <t>https://nematode.unl.edu/legran23.jpg</t>
  </si>
  <si>
    <t>https://nematode.unl.edu/legran3.jpg</t>
  </si>
  <si>
    <t>https://nematode.unl.edu/legran4.jpg</t>
  </si>
  <si>
    <t>https://nematode.unl.edu/legran5.jpg</t>
  </si>
  <si>
    <t>https://nematode.unl.edu/legran6.jpg</t>
  </si>
  <si>
    <t>https://nematode.unl.edu/legran7.jpg</t>
  </si>
  <si>
    <t>https://nematode.unl.edu/legran8.jpg</t>
  </si>
  <si>
    <t>https://nematode.unl.edu/legran9.jpg</t>
  </si>
  <si>
    <t>https://nematode.unl.edu/leptog1.jpg</t>
  </si>
  <si>
    <t>https://nematode.unl.edu/leptog2.jpg</t>
  </si>
  <si>
    <t>https://nematode.unl.edu/leptoncr1.jpg</t>
  </si>
  <si>
    <t>https://nematode.unl.edu/leptoncr2.jpg</t>
  </si>
  <si>
    <t>https://nematode.unl.edu/leptoncr3.jpg</t>
  </si>
  <si>
    <t>https://nematode.unl.edu/leptoncr4.jpg</t>
  </si>
  <si>
    <t>https://nematode.unl.edu/leptoncr5.jpg</t>
  </si>
  <si>
    <t>https://nematode.unl.edu/leptoncr6.jpg</t>
  </si>
  <si>
    <t>https://nematode.unl.edu/lemic1.jpg</t>
  </si>
  <si>
    <t>Leptonchus microdens</t>
  </si>
  <si>
    <t>https://nematode.unl.edu/lemic10.jpg</t>
  </si>
  <si>
    <t>https://nematode.unl.edu/lemic2.jpg</t>
  </si>
  <si>
    <t>https://nematode.unl.edu/lemic3.jpg</t>
  </si>
  <si>
    <t>https://nematode.unl.edu/lemic4.jpg</t>
  </si>
  <si>
    <t>Little bluestem/Scribner's panicum</t>
  </si>
  <si>
    <t>https://nematode.unl.edu/lemic5.jpg</t>
  </si>
  <si>
    <t>https://nematode.unl.edu/lemic6.jpg</t>
  </si>
  <si>
    <t>https://nematode.unl.edu/lemic7.jpg</t>
  </si>
  <si>
    <t>https://nematode.unl.edu/lemic8.jpg</t>
  </si>
  <si>
    <t>https://nematode.unl.edu/lemic9.jpg</t>
  </si>
  <si>
    <t>https://nematode.unl.edu/lemiccmp.jpg</t>
  </si>
  <si>
    <t>https://nematode.unl.edu/cricos1.jpg</t>
  </si>
  <si>
    <t>Lobocriconema</t>
  </si>
  <si>
    <t>https://nematode.unl.edu/cricos2.jpg</t>
  </si>
  <si>
    <t>https://nematode.unl.edu/cricos3.jpg</t>
  </si>
  <si>
    <t>https://nematode.unl.edu/cricos4.jpg</t>
  </si>
  <si>
    <t>https://nematode.unl.edu/cricos5.jpg</t>
  </si>
  <si>
    <t>https://nematode.unl.edu/cricos6.jpg</t>
  </si>
  <si>
    <t>https://nematode.unl.edu/cricos7.jpg</t>
  </si>
  <si>
    <t>https://nematode.unl.edu/cricos8.jpg</t>
  </si>
  <si>
    <t>https://nematode.unl.edu/lobocriche1.jpg</t>
  </si>
  <si>
    <t>grass</t>
  </si>
  <si>
    <t>https://nematode.unl.edu/lobocriche10.jpg</t>
  </si>
  <si>
    <t>https://nematode.unl.edu/lobocriche11.jpg</t>
  </si>
  <si>
    <t>https://nematode.unl.edu/lobocriche12.jpg</t>
  </si>
  <si>
    <t>https://nematode.unl.edu/lobocriche13.jpg</t>
  </si>
  <si>
    <t>https://nematode.unl.edu/lobocriche14.jpg</t>
  </si>
  <si>
    <t>https://nematode.unl.edu/lobocriche15.jpg</t>
  </si>
  <si>
    <t>https://nematode.unl.edu/lobocriche2.jpg</t>
  </si>
  <si>
    <t>https://nematode.unl.edu/lobocriche3.jpg</t>
  </si>
  <si>
    <t>https://nematode.unl.edu/lobocriche4.jpg</t>
  </si>
  <si>
    <t>https://nematode.unl.edu/lobocriche5.jpg</t>
  </si>
  <si>
    <t>https://nematode.unl.edu/lobocriche6.jpg</t>
  </si>
  <si>
    <t>vulva/tail cuticle</t>
  </si>
  <si>
    <t>https://nematode.unl.edu/lobocriche7.jpg</t>
  </si>
  <si>
    <t>https://nematode.unl.edu/lobocriche8.jpg</t>
  </si>
  <si>
    <t>https://nematode.unl.edu/lobocriche9.jpg</t>
  </si>
  <si>
    <t>https://nematode.unl.edu/lobonine1.jpg</t>
  </si>
  <si>
    <t>https://nematode.unl.edu/lobonine2.jpg</t>
  </si>
  <si>
    <t>https://nematode.unl.edu/lobonine3.jpg</t>
  </si>
  <si>
    <t>https://nematode.unl.edu/lobonine4.jpg</t>
  </si>
  <si>
    <t>https://nematode.unl.edu/lobonine5.jpg</t>
  </si>
  <si>
    <t>https://nematode.unl.edu/lobonine6.jpg</t>
  </si>
  <si>
    <t>https://nematode.unl.edu/lobonine7.jpg</t>
  </si>
  <si>
    <t>https://nematode.unl.edu/lobonine8.jpg</t>
  </si>
  <si>
    <t>https://nematode.unl.edu/lobosauk1.jpg</t>
  </si>
  <si>
    <t>Sauk County, Wisconsin</t>
  </si>
  <si>
    <t>Burr Oak</t>
  </si>
  <si>
    <t>https://nematode.unl.edu/lobosauk2.jpg</t>
  </si>
  <si>
    <t>https://nematode.unl.edu/lobosauk3.jpg</t>
  </si>
  <si>
    <t>https://nematode.unl.edu/lobosauk4.jpg</t>
  </si>
  <si>
    <t>https://nematode.unl.edu/lobosauk5.jpg</t>
  </si>
  <si>
    <t>https://nematode.unl.edu/mesocriche16.jpg</t>
  </si>
  <si>
    <t>https://nematode.unl.edu/mesocriche17.jpg</t>
  </si>
  <si>
    <t>https://nematode.unl.edu/mesocriche18.jpg</t>
  </si>
  <si>
    <t>https://nematode.unl.edu/mesocriche19.jpg</t>
  </si>
  <si>
    <t>https://nematode.unl.edu/mesocriche20.jpg</t>
  </si>
  <si>
    <t>https://nematode.unl.edu/mesocriche21.jpg</t>
  </si>
  <si>
    <t>https://nematode.unl.edu/mesxen1.jpg</t>
  </si>
  <si>
    <t>Dundy County, Nebraska</t>
  </si>
  <si>
    <t>https://nematode.unl.edu/mesxen2.jpg</t>
  </si>
  <si>
    <t>https://nematode.unl.edu/mesxen3.jpg</t>
  </si>
  <si>
    <t>https://nematode.unl.edu/mesxen4.jpg</t>
  </si>
  <si>
    <t>https://nematode.unl.edu/neolob1.jpg</t>
  </si>
  <si>
    <t>https://nematode.unl.edu/neolob2.jpg</t>
  </si>
  <si>
    <t>https://nematode.unl.edu/neolob3.jpg</t>
  </si>
  <si>
    <t>https://nematode.unl.edu/neolob4.jpg</t>
  </si>
  <si>
    <t>https://nematode.unl.edu/neolob5.jpg</t>
  </si>
  <si>
    <t>scales on cuticle</t>
  </si>
  <si>
    <t>https://nematode.unl.edu/neolob6.jpg</t>
  </si>
  <si>
    <t>https://nematode.unl.edu/mesinc1.jpg</t>
  </si>
  <si>
    <t>Lobocriconema incrassatum</t>
  </si>
  <si>
    <t>https://nematode.unl.edu/mesinc2.jpg</t>
  </si>
  <si>
    <t>https://nematode.unl.edu/mesinc3.jpg</t>
  </si>
  <si>
    <t>https://nematode.unl.edu/mesinc4.jpg</t>
  </si>
  <si>
    <t>https://nematode.unl.edu/mesinc5.jpg</t>
  </si>
  <si>
    <t>midbody Cuticle</t>
  </si>
  <si>
    <t>https://nematode.unl.edu/mesinc6.jpg</t>
  </si>
  <si>
    <t>https://nematode.unl.edu/mesinc7.jpg</t>
  </si>
  <si>
    <t>https://nematode.unl.edu/cric1.jpg</t>
  </si>
  <si>
    <t>Lobocriconema thornei</t>
  </si>
  <si>
    <t>https://nematode.unl.edu/cric10.jpg</t>
  </si>
  <si>
    <t>https://nematode.unl.edu/cric11.jpg</t>
  </si>
  <si>
    <t>https://nematode.unl.edu/cric12.jpg</t>
  </si>
  <si>
    <t>https://nematode.unl.edu/cric13.jpg</t>
  </si>
  <si>
    <t>https://nematode.unl.edu/cric14.jpg</t>
  </si>
  <si>
    <t>https://nematode.unl.edu/cric15.jpg</t>
  </si>
  <si>
    <t>https://nematode.unl.edu/cric16.jpg</t>
  </si>
  <si>
    <t>https://nematode.unl.edu/cric17.jpg</t>
  </si>
  <si>
    <t>https://nematode.unl.edu/cric2.jpg</t>
  </si>
  <si>
    <t>https://nematode.unl.edu/cric3.jpg</t>
  </si>
  <si>
    <t>https://nematode.unl.edu/cric4.jpg</t>
  </si>
  <si>
    <t>https://nematode.unl.edu/cric5.jpg</t>
  </si>
  <si>
    <t>https://nematode.unl.edu/cric6.jpg</t>
  </si>
  <si>
    <t>https://nematode.unl.edu/cric7.jpg</t>
  </si>
  <si>
    <t>https://nematode.unl.edu/cric8.jpg</t>
  </si>
  <si>
    <t>https://nematode.unl.edu/cric9.jpg</t>
  </si>
  <si>
    <t>https://nematode.unl.edu/crisp1.jpg</t>
  </si>
  <si>
    <t>https://nematode.unl.edu/crisp2.jpg</t>
  </si>
  <si>
    <t>https://nematode.unl.edu/crisp3.jpg</t>
  </si>
  <si>
    <t>https://nematode.unl.edu/crisp4.jpg</t>
  </si>
  <si>
    <t>https://nematode.unl.edu/crisp5.jpg</t>
  </si>
  <si>
    <t>https://nematode.unl.edu/lobocrip1.jpg</t>
  </si>
  <si>
    <t>Plattsmouth, Nebraska</t>
  </si>
  <si>
    <t>https://nematode.unl.edu/lobocrip2.jpg</t>
  </si>
  <si>
    <t>https://nematode.unl.edu/lobocrip3.jpg</t>
  </si>
  <si>
    <t>https://nematode.unl.edu/lobocrip4.jpg</t>
  </si>
  <si>
    <t>excretory duct/pore</t>
  </si>
  <si>
    <t>https://nematode.unl.edu/lobocrip5.jpg</t>
  </si>
  <si>
    <t>https://nematode.unl.edu/lobocrip6.jpg</t>
  </si>
  <si>
    <t>https://nematode.unl.edu/lobocrith-bursa.jpg</t>
  </si>
  <si>
    <t>https://nematode.unl.edu/lobocrith-cuticle.jpg</t>
  </si>
  <si>
    <t>https://nematode.unl.edu/lonchar1.jpg</t>
  </si>
  <si>
    <t>Loncharionema</t>
  </si>
  <si>
    <t>https://nematode.unl.edu/lore1.jpg</t>
  </si>
  <si>
    <t>Longidorella</t>
  </si>
  <si>
    <t>https://nematode.unl.edu/lore10.jpg</t>
  </si>
  <si>
    <t>https://nematode.unl.edu/lore11.jpg</t>
  </si>
  <si>
    <t>https://nematode.unl.edu/lore2.jpg</t>
  </si>
  <si>
    <t>https://nematode.unl.edu/lore3.jpg</t>
  </si>
  <si>
    <t>https://nematode.unl.edu/lore4.jpg</t>
  </si>
  <si>
    <t>https://nematode.unl.edu/lore5.jpg</t>
  </si>
  <si>
    <t>https://nematode.unl.edu/lore6.jpg</t>
  </si>
  <si>
    <t>https://nematode.unl.edu/lore7.jpg</t>
  </si>
  <si>
    <t>https://nematode.unl.edu/lore8.jpg</t>
  </si>
  <si>
    <t>https://nematode.unl.edu/lore9.jpg</t>
  </si>
  <si>
    <t>https://nematode.unl.edu/lonpa1.jpg</t>
  </si>
  <si>
    <t>Ridgetop grass</t>
  </si>
  <si>
    <t>Longidorella parva</t>
  </si>
  <si>
    <t>https://nematode.unl.edu/lonpa2.jpg</t>
  </si>
  <si>
    <t>https://nematode.unl.edu/lonpa3.jpg</t>
  </si>
  <si>
    <t>https://nematode.unl.edu/lonpa4.jpg</t>
  </si>
  <si>
    <t>https://nematode.unl.edu/lonpa5.jpg</t>
  </si>
  <si>
    <t>https://nematode.unl.edu/lonpa6.jpg</t>
  </si>
  <si>
    <t>https://nematode.unl.edu/lonpacmp.jpg</t>
  </si>
  <si>
    <t>https://nematode.unl.edu/lorelap1.jpg</t>
  </si>
  <si>
    <t>Lied Jungle,Henry Doorly Zoo,Omaha, Nebraska</t>
  </si>
  <si>
    <t>Bamboo</t>
  </si>
  <si>
    <t>https://nematode.unl.edu/lorelap10.jpg</t>
  </si>
  <si>
    <t>https://nematode.unl.edu/lorelap2.jpg</t>
  </si>
  <si>
    <t>https://nematode.unl.edu/lorelap3.jpg</t>
  </si>
  <si>
    <t>https://nematode.unl.edu/lorelap4.jpg</t>
  </si>
  <si>
    <t>https://nematode.unl.edu/lorelap5.jpg</t>
  </si>
  <si>
    <t>https://nematode.unl.edu/lorelap6.jpg</t>
  </si>
  <si>
    <t>https://nematode.unl.edu/lorelap7.jpg</t>
  </si>
  <si>
    <t>https://nematode.unl.edu/lorelap8.jpg</t>
  </si>
  <si>
    <t>https://nematode.unl.edu/lorelap9.jpg</t>
  </si>
  <si>
    <t>https://nematode.unl.edu/longmi1.jpg</t>
  </si>
  <si>
    <t>Longidorus</t>
  </si>
  <si>
    <t>Longidoridae</t>
  </si>
  <si>
    <t>https://nematode.unl.edu/longmi2.jpg</t>
  </si>
  <si>
    <t>https://nematode.unl.edu/longmi3.jpg</t>
  </si>
  <si>
    <t>https://nematode.unl.edu/longmi4.jpg</t>
  </si>
  <si>
    <t>https://nematode.unl.edu/longsty.jpg</t>
  </si>
  <si>
    <t>https://nematode.unl.edu/lobre1.jpg</t>
  </si>
  <si>
    <t>Longidorus breviannulatus</t>
  </si>
  <si>
    <t>https://nematode.unl.edu/lobrevcmp.jpg</t>
  </si>
  <si>
    <t>https://nematode.unl.edu/lobrevi1.jpg</t>
  </si>
  <si>
    <t>https://nematode.unl.edu/lobrevi2.jpg</t>
  </si>
  <si>
    <t>https://nematode.unl.edu/lobrevi3.jpg</t>
  </si>
  <si>
    <t>https://nematode.unl.edu/lobrevi4.jpg</t>
  </si>
  <si>
    <t>https://nematode.unl.edu/lobrevi5.jpg</t>
  </si>
  <si>
    <t>https://nematode.unl.edu/lobrevi6.jpg</t>
  </si>
  <si>
    <t>https://nematode.unl.edu/lobrevi7.jpg</t>
  </si>
  <si>
    <t>https://nematode.unl.edu/lordell1.jpg</t>
  </si>
  <si>
    <t>Lordellonema</t>
  </si>
  <si>
    <t>https://nematode.unl.edu/lordell14.jpg</t>
  </si>
  <si>
    <t>https://nematode.unl.edu/lordell15.jpg</t>
  </si>
  <si>
    <t>https://nematode.unl.edu/lordell16.jpg</t>
  </si>
  <si>
    <t>https://nematode.unl.edu/lordell17.jpg</t>
  </si>
  <si>
    <t>https://nematode.unl.edu/lordell18.jpg</t>
  </si>
  <si>
    <t>https://nematode.unl.edu/lordell19.jpg</t>
  </si>
  <si>
    <t>pores on neck</t>
  </si>
  <si>
    <t>https://nematode.unl.edu/lordell2.jpg</t>
  </si>
  <si>
    <t>https://nematode.unl.edu/lordell3.jpg</t>
  </si>
  <si>
    <t>https://nematode.unl.edu/lordell4.jpg</t>
  </si>
  <si>
    <t>https://nematode.unl.edu/lordell5.jpg</t>
  </si>
  <si>
    <t>https://nematode.unl.edu/lordpar1.jpg</t>
  </si>
  <si>
    <t>Lordellonema parvum</t>
  </si>
  <si>
    <t>https://nematode.unl.edu/lordpar10.jpg</t>
  </si>
  <si>
    <t>https://nematode.unl.edu/lordpar11.jpg</t>
  </si>
  <si>
    <t>https://nematode.unl.edu/lordpar12.jpg</t>
  </si>
  <si>
    <t>https://nematode.unl.edu/lordpar13.jpg</t>
  </si>
  <si>
    <t>https://nematode.unl.edu/lordpar14.jpg</t>
  </si>
  <si>
    <t>https://nematode.unl.edu/lordpar15.jpg</t>
  </si>
  <si>
    <t>https://nematode.unl.edu/lordpar2.jpg</t>
  </si>
  <si>
    <t>https://nematode.unl.edu/lordpar3.jpg</t>
  </si>
  <si>
    <t>https://nematode.unl.edu/lordpar4.jpg</t>
  </si>
  <si>
    <t>https://nematode.unl.edu/lordpar5.jpg</t>
  </si>
  <si>
    <t>https://nematode.unl.edu/lordpar6.jpg</t>
  </si>
  <si>
    <t>https://nematode.unl.edu/lordpar7.jpg</t>
  </si>
  <si>
    <t>https://nematode.unl.edu/lordpar8.jpg</t>
  </si>
  <si>
    <t>https://nematode.unl.edu/lordpar9.jpg</t>
  </si>
  <si>
    <t>https://nematode.unl.edu/meldog1.jpg</t>
  </si>
  <si>
    <t>Meloidogyne</t>
  </si>
  <si>
    <t>Meloidogynidae</t>
  </si>
  <si>
    <t>https://nematode.unl.edu/meldog10.jpg</t>
  </si>
  <si>
    <t>https://nematode.unl.edu/meldog11.jpg</t>
  </si>
  <si>
    <t>https://nematode.unl.edu/meldog12.jpg</t>
  </si>
  <si>
    <t>https://nematode.unl.edu/meldog13.jpg</t>
  </si>
  <si>
    <t>https://nematode.unl.edu/meldog14.jpg</t>
  </si>
  <si>
    <t>https://nematode.unl.edu/meldog15.jpg</t>
  </si>
  <si>
    <t>https://nematode.unl.edu/meldog16.jpg</t>
  </si>
  <si>
    <t>https://nematode.unl.edu/meldog17.jpg</t>
  </si>
  <si>
    <t>https://nematode.unl.edu/meldog18.jpg</t>
  </si>
  <si>
    <t>https://nematode.unl.edu/meldog2.jpg</t>
  </si>
  <si>
    <t>https://nematode.unl.edu/meldog3.jpg</t>
  </si>
  <si>
    <t>https://nematode.unl.edu/meldog4.jpg</t>
  </si>
  <si>
    <t>https://nematode.unl.edu/meldog5.jpg</t>
  </si>
  <si>
    <t>https://nematode.unl.edu/meldog6.jpg</t>
  </si>
  <si>
    <t>https://nematode.unl.edu/meldog7.jpg</t>
  </si>
  <si>
    <t>https://nematode.unl.edu/melocr1.jpg</t>
  </si>
  <si>
    <t>https://nematode.unl.edu/melocr2.jpg</t>
  </si>
  <si>
    <t>https://nematode.unl.edu/melocr3.jpg</t>
  </si>
  <si>
    <t>https://nematode.unl.edu/meldog8.jpg</t>
  </si>
  <si>
    <t>Meloidogyne chitwoodi</t>
  </si>
  <si>
    <t>https://nematode.unl.edu/meldog9.jpg</t>
  </si>
  <si>
    <t>https://nematode.unl.edu/melgel10.jpg</t>
  </si>
  <si>
    <t>https://nematode.unl.edu/melgel11.jpg</t>
  </si>
  <si>
    <t>https://nematode.unl.edu/melgel12.jpg</t>
  </si>
  <si>
    <t>https://nematode.unl.edu/melgel13.jpg</t>
  </si>
  <si>
    <t>https://nematode.unl.edu/melgel14.jpg</t>
  </si>
  <si>
    <t>https://nematode.unl.edu/melgel15.jpg</t>
  </si>
  <si>
    <t>https://nematode.unl.edu/melgel16.jpg</t>
  </si>
  <si>
    <t>https://nematode.unl.edu/melgel17.jpg</t>
  </si>
  <si>
    <t>https://nematode.unl.edu/melgel18.jpg</t>
  </si>
  <si>
    <t>https://nematode.unl.edu/melgel19.jpg</t>
  </si>
  <si>
    <t>https://nematode.unl.edu/melgel20.jpg</t>
  </si>
  <si>
    <t>https://nematode.unl.edu/melgel21.jpg</t>
  </si>
  <si>
    <t>https://nematode.unl.edu/melgel22.jpg</t>
  </si>
  <si>
    <t>perineal pattern</t>
  </si>
  <si>
    <t>https://nematode.unl.edu/melgel23.jpg</t>
  </si>
  <si>
    <t>https://nematode.unl.edu/melgel24.jpg</t>
  </si>
  <si>
    <t>https://nematode.unl.edu/melgel25.jpg</t>
  </si>
  <si>
    <t>https://nematode.unl.edu/melgel26.jpg</t>
  </si>
  <si>
    <t>https://nematode.unl.edu/melgel29.jpg</t>
  </si>
  <si>
    <t>https://nematode.unl.edu/melgelcmp.jpg</t>
  </si>
  <si>
    <t>https://nematode.unl.edu/melochit1.jpg</t>
  </si>
  <si>
    <t>https://nematode.unl.edu/melochit10.jpg</t>
  </si>
  <si>
    <t>https://nematode.unl.edu/melochit11.jpg</t>
  </si>
  <si>
    <t>https://nematode.unl.edu/melochit12.jpg</t>
  </si>
  <si>
    <t>https://nematode.unl.edu/melochit13.jpg</t>
  </si>
  <si>
    <t>https://nematode.unl.edu/melochit14.jpg</t>
  </si>
  <si>
    <t>https://nematode.unl.edu/melochit15.jpg</t>
  </si>
  <si>
    <t>https://nematode.unl.edu/melochit16.jpg</t>
  </si>
  <si>
    <t>https://nematode.unl.edu/melochit17.jpg</t>
  </si>
  <si>
    <t>https://nematode.unl.edu/melochit18.jpg</t>
  </si>
  <si>
    <t>https://nematode.unl.edu/melochit19.jpg</t>
  </si>
  <si>
    <t>https://nematode.unl.edu/melochit2.jpg</t>
  </si>
  <si>
    <t>https://nematode.unl.edu/melochit20.jpg</t>
  </si>
  <si>
    <t>Supermarket</t>
  </si>
  <si>
    <t>https://nematode.unl.edu/melochit21.jpg</t>
  </si>
  <si>
    <t>https://nematode.unl.edu/melochit22.jpg</t>
  </si>
  <si>
    <t>https://nematode.unl.edu/melochit23.jpg</t>
  </si>
  <si>
    <t>https://nematode.unl.edu/melochit24.jpg</t>
  </si>
  <si>
    <t>https://nematode.unl.edu/melochit25.jpg</t>
  </si>
  <si>
    <t>https://nematode.unl.edu/melochit26.jpg</t>
  </si>
  <si>
    <t>Arizona</t>
  </si>
  <si>
    <t>https://nematode.unl.edu/melochit27.jpg</t>
  </si>
  <si>
    <t>https://nematode.unl.edu/melochit28.jpg</t>
  </si>
  <si>
    <t>https://nematode.unl.edu/melochit29.jpg</t>
  </si>
  <si>
    <t>https://nematode.unl.edu/melochit3.jpg</t>
  </si>
  <si>
    <t>https://nematode.unl.edu/melochit30.jpg</t>
  </si>
  <si>
    <t>https://nematode.unl.edu/melochit31.jpg</t>
  </si>
  <si>
    <t>https://nematode.unl.edu/melochit32.jpg</t>
  </si>
  <si>
    <t>https://nematode.unl.edu/melochit33.jpg</t>
  </si>
  <si>
    <t>https://nematode.unl.edu/melochit34.jpg</t>
  </si>
  <si>
    <t>https://nematode.unl.edu/melochit35.jpg</t>
  </si>
  <si>
    <t>https://nematode.unl.edu/melochit4.jpg</t>
  </si>
  <si>
    <t>https://nematode.unl.edu/melochit5.jpg</t>
  </si>
  <si>
    <t>https://nematode.unl.edu/melochit6.jpg</t>
  </si>
  <si>
    <t>https://nematode.unl.edu/melochit7.jpg</t>
  </si>
  <si>
    <t>https://nematode.unl.edu/melochit8.jpg</t>
  </si>
  <si>
    <t>https://nematode.unl.edu/melochit9.jpg</t>
  </si>
  <si>
    <t>https://nematode.unl.edu/melicola1.jpg</t>
  </si>
  <si>
    <t>Meloidogyne graminicola</t>
  </si>
  <si>
    <t>https://nematode.unl.edu/melicola10.jpg</t>
  </si>
  <si>
    <t>https://nematode.unl.edu/melicola2.jpg</t>
  </si>
  <si>
    <t>https://nematode.unl.edu/melicola3.jpg</t>
  </si>
  <si>
    <t>https://nematode.unl.edu/melicola4.jpg</t>
  </si>
  <si>
    <t>https://nematode.unl.edu/melicola5.jpg</t>
  </si>
  <si>
    <t>https://nematode.unl.edu/melicola6.jpg</t>
  </si>
  <si>
    <t>https://nematode.unl.edu/melicola7.jpg</t>
  </si>
  <si>
    <t>https://nematode.unl.edu/melicola8.jpg</t>
  </si>
  <si>
    <t>https://nematode.unl.edu/melicola9.jpg</t>
  </si>
  <si>
    <t>https://nematode.unl.edu/melgra1.jpg</t>
  </si>
  <si>
    <t>Meloidogyne graminis</t>
  </si>
  <si>
    <t>https://nematode.unl.edu/melgra2.jpg</t>
  </si>
  <si>
    <t>https://nematode.unl.edu/melgra3.jpg</t>
  </si>
  <si>
    <t>https://nematode.unl.edu/melgra4.jpg</t>
  </si>
  <si>
    <t>https://nematode.unl.edu/melgra5.jpg</t>
  </si>
  <si>
    <t>https://nematode.unl.edu/melgra6.jpg</t>
  </si>
  <si>
    <t>https://nematode.unl.edu/melgra7.jpg</t>
  </si>
  <si>
    <t>https://nematode.unl.edu/melgram1.jpg</t>
  </si>
  <si>
    <t>https://nematode.unl.edu/melgram2.jpg</t>
  </si>
  <si>
    <t>https://nematode.unl.edu/melgram3.jpg</t>
  </si>
  <si>
    <t>https://nematode.unl.edu/melgram4.jpg</t>
  </si>
  <si>
    <t>https://nematode.unl.edu/melgram5.jpg</t>
  </si>
  <si>
    <t>https://nematode.unl.edu/melgram6.jpg</t>
  </si>
  <si>
    <t>https://nematode.unl.edu/melgram7.jpg</t>
  </si>
  <si>
    <t>https://nematode.unl.edu/melhap10.jpg</t>
  </si>
  <si>
    <t>Wyoming</t>
  </si>
  <si>
    <t>Meloidogyne hapla</t>
  </si>
  <si>
    <t>https://nematode.unl.edu/melhap11.jpg</t>
  </si>
  <si>
    <t>https://nematode.unl.edu/melhap12.jpg</t>
  </si>
  <si>
    <t>https://nematode.unl.edu/melhap13.jpg</t>
  </si>
  <si>
    <t>https://nematode.unl.edu/melhap14.jpg</t>
  </si>
  <si>
    <t>Tomato</t>
  </si>
  <si>
    <t>https://nematode.unl.edu/melhap15.jpg</t>
  </si>
  <si>
    <t>https://nematode.unl.edu/melhap16.jpg</t>
  </si>
  <si>
    <t>https://nematode.unl.edu/melhap17.jpg</t>
  </si>
  <si>
    <t>https://nematode.unl.edu/melhap18.jpg</t>
  </si>
  <si>
    <t>https://nematode.unl.edu/melhap19.jpg</t>
  </si>
  <si>
    <t>https://nematode.unl.edu/melhap20.jpg</t>
  </si>
  <si>
    <t>https://nematode.unl.edu/melhap21.jpg</t>
  </si>
  <si>
    <t>https://nematode.unl.edu/melhap22.jpg</t>
  </si>
  <si>
    <t>https://nematode.unl.edu/melhap23.jpg</t>
  </si>
  <si>
    <t>https://nematode.unl.edu/melhap24.jpg</t>
  </si>
  <si>
    <t>https://nematode.unl.edu/melhap25.jpg</t>
  </si>
  <si>
    <t>https://nematode.unl.edu/melhap26.jpg</t>
  </si>
  <si>
    <t>https://nematode.unl.edu/melhap27.jpg</t>
  </si>
  <si>
    <t>https://nematode.unl.edu/melhap28.jpg</t>
  </si>
  <si>
    <t>https://nematode.unl.edu/melhap29.jpg</t>
  </si>
  <si>
    <t>https://nematode.unl.edu/melhap30.jpg</t>
  </si>
  <si>
    <t>https://nematode.unl.edu/melhap31.jpg</t>
  </si>
  <si>
    <t>https://nematode.unl.edu/melhap32.jpg</t>
  </si>
  <si>
    <t>https://nematode.unl.edu/melhap33.jpg</t>
  </si>
  <si>
    <t>https://nematode.unl.edu/melhap34.jpg</t>
  </si>
  <si>
    <t>https://nematode.unl.edu/melhap35.jpg</t>
  </si>
  <si>
    <t>https://nematode.unl.edu/melhap36.jpg</t>
  </si>
  <si>
    <t>https://nematode.unl.edu/melhap37.jpg</t>
  </si>
  <si>
    <t>https://nematode.unl.edu/melhap38.jpg</t>
  </si>
  <si>
    <t>https://nematode.unl.edu/melhap39.jpg</t>
  </si>
  <si>
    <t>https://nematode.unl.edu/melhap40.jpg</t>
  </si>
  <si>
    <t>https://nematode.unl.edu/melhap41.jpg</t>
  </si>
  <si>
    <t>https://nematode.unl.edu/melhap42.jpg</t>
  </si>
  <si>
    <t>https://nematode.unl.edu/melhap43.jpg</t>
  </si>
  <si>
    <t>https://nematode.unl.edu/melhap44.jpg</t>
  </si>
  <si>
    <t>https://nematode.unl.edu/melhap45.jpg</t>
  </si>
  <si>
    <t>https://nematode.unl.edu/melhap46.jpg</t>
  </si>
  <si>
    <t>https://nematode.unl.edu/melhap47.jpg</t>
  </si>
  <si>
    <t>https://nematode.unl.edu/melhap48.jpg</t>
  </si>
  <si>
    <t>https://nematode.unl.edu/melhap49.jpg</t>
  </si>
  <si>
    <t>https://nematode.unl.edu/melhap5.jpg</t>
  </si>
  <si>
    <t>https://nematode.unl.edu/melhap50.jpg</t>
  </si>
  <si>
    <t>https://nematode.unl.edu/melhap51.jpg</t>
  </si>
  <si>
    <t>https://nematode.unl.edu/melhap52.jpg</t>
  </si>
  <si>
    <t>https://nematode.unl.edu/melhap53.jpg</t>
  </si>
  <si>
    <t>https://nematode.unl.edu/melhap54.jpg</t>
  </si>
  <si>
    <t>https://nematode.unl.edu/melhap55.jpg</t>
  </si>
  <si>
    <t>https://nematode.unl.edu/melhap56.jpg</t>
  </si>
  <si>
    <t>https://nematode.unl.edu/melhap57.jpg</t>
  </si>
  <si>
    <t>https://nematode.unl.edu/melhap58.jpg</t>
  </si>
  <si>
    <t>https://nematode.unl.edu/melhap59.jpg</t>
  </si>
  <si>
    <t>https://nematode.unl.edu/melhap6.jpg</t>
  </si>
  <si>
    <t>https://nematode.unl.edu/melhap60.jpg</t>
  </si>
  <si>
    <t>https://nematode.unl.edu/melhap61.jpg</t>
  </si>
  <si>
    <t>https://nematode.unl.edu/melhap62.jpg</t>
  </si>
  <si>
    <t>https://nematode.unl.edu/melhap63.jpg</t>
  </si>
  <si>
    <t>https://nematode.unl.edu/melhap64.jpg</t>
  </si>
  <si>
    <t>https://nematode.unl.edu/melhap65.jpg</t>
  </si>
  <si>
    <t>https://nematode.unl.edu/melhap67.jpg</t>
  </si>
  <si>
    <t>https://nematode.unl.edu/melhap68.jpg</t>
  </si>
  <si>
    <t>https://nematode.unl.edu/melhap7.jpg</t>
  </si>
  <si>
    <t>https://nematode.unl.edu/melhap8.jpg</t>
  </si>
  <si>
    <t>https://nematode.unl.edu/melhap9.jpg</t>
  </si>
  <si>
    <t>https://nematode.unl.edu/mhaplan1.jpg</t>
  </si>
  <si>
    <t>Texas A&amp;M University, Texas</t>
  </si>
  <si>
    <t>Tomato culture</t>
  </si>
  <si>
    <t>Meloidogyne haplanaria</t>
  </si>
  <si>
    <t>https://nematode.unl.edu/mhaplan10.jpg</t>
  </si>
  <si>
    <t>Ãƒâ€šÃ‚Â© Peter Mullin/2002</t>
  </si>
  <si>
    <t>https://nematode.unl.edu/mhaplan11.jpg</t>
  </si>
  <si>
    <t>https://nematode.unl.edu/mhaplan2.jpg</t>
  </si>
  <si>
    <t>https://nematode.unl.edu/mhaplan3.jpg</t>
  </si>
  <si>
    <t>https://nematode.unl.edu/mhaplan4.jpg</t>
  </si>
  <si>
    <t>https://nematode.unl.edu/mhaplan5.jpg</t>
  </si>
  <si>
    <t>https://nematode.unl.edu/mhaplan6.jpg</t>
  </si>
  <si>
    <t>https://nematode.unl.edu/mhaplan7.jpg</t>
  </si>
  <si>
    <t>https://nematode.unl.edu/mhaplan8.jpg</t>
  </si>
  <si>
    <t>https://nematode.unl.edu/mhaplan9.jpg</t>
  </si>
  <si>
    <t>https://nematode.unl.edu/memay1.jpg</t>
  </si>
  <si>
    <t>Meloidogyne mayaguensis</t>
  </si>
  <si>
    <t>https://nematode.unl.edu/memay10.jpg</t>
  </si>
  <si>
    <t>https://nematode.unl.edu/memay11.jpg</t>
  </si>
  <si>
    <t>https://nematode.unl.edu/memay12.jpg</t>
  </si>
  <si>
    <t>https://nematode.unl.edu/memay13.jpg</t>
  </si>
  <si>
    <t>https://nematode.unl.edu/memay14.jpg</t>
  </si>
  <si>
    <t>https://nematode.unl.edu/memay15.jpg</t>
  </si>
  <si>
    <t>https://nematode.unl.edu/memay16.jpg</t>
  </si>
  <si>
    <t>https://nematode.unl.edu/memay17.jpg</t>
  </si>
  <si>
    <t>https://nematode.unl.edu/memay18.jpg</t>
  </si>
  <si>
    <t>https://nematode.unl.edu/memay19.jpg</t>
  </si>
  <si>
    <t>https://nematode.unl.edu/memay2.jpg</t>
  </si>
  <si>
    <t>https://nematode.unl.edu/memay20.jpg</t>
  </si>
  <si>
    <t>https://nematode.unl.edu/memay21.jpg</t>
  </si>
  <si>
    <t>https://nematode.unl.edu/memay22.jpg</t>
  </si>
  <si>
    <t>https://nematode.unl.edu/memay23.jpg</t>
  </si>
  <si>
    <t>https://nematode.unl.edu/memay3.jpg</t>
  </si>
  <si>
    <t>https://nematode.unl.edu/memay4.jpg</t>
  </si>
  <si>
    <t>https://nematode.unl.edu/memay5.jpg</t>
  </si>
  <si>
    <t>https://nematode.unl.edu/memay6.jpg</t>
  </si>
  <si>
    <t>https://nematode.unl.edu/memay7.jpg</t>
  </si>
  <si>
    <t>https://nematode.unl.edu/memay8.jpg</t>
  </si>
  <si>
    <t>https://nematode.unl.edu/memay9.jpg</t>
  </si>
  <si>
    <t>https://nematode.unl.edu/meparti1.jpg</t>
  </si>
  <si>
    <t>Meloidogyne partityla</t>
  </si>
  <si>
    <t>https://nematode.unl.edu/meparti10.jpg</t>
  </si>
  <si>
    <t>https://nematode.unl.edu/meparti11.jpg</t>
  </si>
  <si>
    <t>https://nematode.unl.edu/meparti12.jpg</t>
  </si>
  <si>
    <t>https://nematode.unl.edu/meparti13.jpg</t>
  </si>
  <si>
    <t>https://nematode.unl.edu/meparti14.jpg</t>
  </si>
  <si>
    <t>https://nematode.unl.edu/meparti15.jpg</t>
  </si>
  <si>
    <t>https://nematode.unl.edu/meparti16.jpg</t>
  </si>
  <si>
    <t>https://nematode.unl.edu/meparti17.jpg</t>
  </si>
  <si>
    <t>https://nematode.unl.edu/meparti18.jpg</t>
  </si>
  <si>
    <t>https://nematode.unl.edu/meparti19.jpg</t>
  </si>
  <si>
    <t>https://nematode.unl.edu/meparti2.jpg</t>
  </si>
  <si>
    <t>https://nematode.unl.edu/meparti20.jpg</t>
  </si>
  <si>
    <t>https://nematode.unl.edu/meparti21.jpg</t>
  </si>
  <si>
    <t>https://nematode.unl.edu/meparti22.jpg</t>
  </si>
  <si>
    <t>https://nematode.unl.edu/meparti23.jpg</t>
  </si>
  <si>
    <t>https://nematode.unl.edu/meparti24.jpg</t>
  </si>
  <si>
    <t>https://nematode.unl.edu/meparti3.jpg</t>
  </si>
  <si>
    <t>https://nematode.unl.edu/meparti4.jpg</t>
  </si>
  <si>
    <t>https://nematode.unl.edu/meparti5.jpg</t>
  </si>
  <si>
    <t>https://nematode.unl.edu/meparti6.jpg</t>
  </si>
  <si>
    <t>neck</t>
  </si>
  <si>
    <t>https://nematode.unl.edu/meparti7.jpg</t>
  </si>
  <si>
    <t>https://nematode.unl.edu/meparti8.jpg</t>
  </si>
  <si>
    <t>https://nematode.unl.edu/meparti9.jpg</t>
  </si>
  <si>
    <t>https://nematode.unl.edu/mermiss1.jpg</t>
  </si>
  <si>
    <t>Mermis</t>
  </si>
  <si>
    <t>Mermithida</t>
  </si>
  <si>
    <t>Mermithidae</t>
  </si>
  <si>
    <t>https://nematode.unl.edu/mermiss2.jpg</t>
  </si>
  <si>
    <t>https://nematode.unl.edu/mermiss3.jpg</t>
  </si>
  <si>
    <t>https://nematode.unl.edu/mermini1.jpg</t>
  </si>
  <si>
    <t>Mermis nigrescens</t>
  </si>
  <si>
    <t>https://nematode.unl.edu/merminicmp.jpg</t>
  </si>
  <si>
    <t>https://nematode.unl.edu/merminigdrw.jpg</t>
  </si>
  <si>
    <t>https://nematode.unl.edu/crcricopex1.jpg</t>
  </si>
  <si>
    <t>https://nematode.unl.edu/crcricopex2.jpg</t>
  </si>
  <si>
    <t>https://nematode.unl.edu/crcricopex3.jpg</t>
  </si>
  <si>
    <t>https://nematode.unl.edu/crcricopex4.jpg</t>
  </si>
  <si>
    <t>https://nematode.unl.edu/crcricopex5.jpg</t>
  </si>
  <si>
    <t>https://nematode.unl.edu/crcricopex6.jpg</t>
  </si>
  <si>
    <t>https://nematode.unl.edu/crcricopex7.jpg</t>
  </si>
  <si>
    <t>https://nematode.unl.edu/crcricopex8.jpg</t>
  </si>
  <si>
    <t>https://nematode.unl.edu/crcricopin1.jpg</t>
  </si>
  <si>
    <t>https://nematode.unl.edu/crcricopin2.jpg</t>
  </si>
  <si>
    <t>https://nematode.unl.edu/criconms1.jpg</t>
  </si>
  <si>
    <t>Las Cruces, New Mexico</t>
  </si>
  <si>
    <t>https://nematode.unl.edu/criconms10.jpg</t>
  </si>
  <si>
    <t>https://nematode.unl.edu/criconms11.jpg</t>
  </si>
  <si>
    <t>https://nematode.unl.edu/criconms12.jpg</t>
  </si>
  <si>
    <t>https://nematode.unl.edu/criconms13.jpg</t>
  </si>
  <si>
    <t>https://nematode.unl.edu/criconms14.jpg</t>
  </si>
  <si>
    <t>https://nematode.unl.edu/criconms15.jpg</t>
  </si>
  <si>
    <t>https://nematode.unl.edu/criconms16.jpg</t>
  </si>
  <si>
    <t>https://nematode.unl.edu/criconms2.jpg</t>
  </si>
  <si>
    <t>https://nematode.unl.edu/criconms3.jpg</t>
  </si>
  <si>
    <t>crenateannules</t>
  </si>
  <si>
    <t>https://nematode.unl.edu/criconms4.jpg</t>
  </si>
  <si>
    <t>https://nematode.unl.edu/criconms5.jpg</t>
  </si>
  <si>
    <t>https://nematode.unl.edu/criconms6.jpg</t>
  </si>
  <si>
    <t>https://nematode.unl.edu/criconms7.jpg</t>
  </si>
  <si>
    <t>https://nematode.unl.edu/criconms8.jpg</t>
  </si>
  <si>
    <t>https://nematode.unl.edu/criconms9.jpg</t>
  </si>
  <si>
    <t>https://nematode.unl.edu/macwilliam1.jpg</t>
  </si>
  <si>
    <t>https://nematode.unl.edu/macwilliam2.jpg</t>
  </si>
  <si>
    <t>https://nematode.unl.edu/macwilliam3.jpg</t>
  </si>
  <si>
    <t>https://nematode.unl.edu/macwilliam4.jpg</t>
  </si>
  <si>
    <t>labial lobe</t>
  </si>
  <si>
    <t>https://nematode.unl.edu/macwilliam6.jpg</t>
  </si>
  <si>
    <t>https://nematode.unl.edu/mecki1.jpg</t>
  </si>
  <si>
    <t>https://nematode.unl.edu/mecki10.jpg</t>
  </si>
  <si>
    <t>https://nematode.unl.edu/mecki11.jpg</t>
  </si>
  <si>
    <t>https://nematode.unl.edu/mecki12.jpg</t>
  </si>
  <si>
    <t>https://nematode.unl.edu/mecki13.jpg</t>
  </si>
  <si>
    <t>https://nematode.unl.edu/mecki14.jpg</t>
  </si>
  <si>
    <t>https://nematode.unl.edu/mecki15.jpg</t>
  </si>
  <si>
    <t>https://nematode.unl.edu/mecki16.jpg</t>
  </si>
  <si>
    <t>https://nematode.unl.edu/mecki17.jpg</t>
  </si>
  <si>
    <t>https://nematode.unl.edu/mecki2.jpg</t>
  </si>
  <si>
    <t>https://nematode.unl.edu/mecki3.jpg</t>
  </si>
  <si>
    <t>https://nematode.unl.edu/mecki4.jpg</t>
  </si>
  <si>
    <t>https://nematode.unl.edu/mecki5.jpg</t>
  </si>
  <si>
    <t>https://nematode.unl.edu/mecki6.jpg</t>
  </si>
  <si>
    <t>https://nematode.unl.edu/mecki7.jpg</t>
  </si>
  <si>
    <t>https://nematode.unl.edu/mecki8.jpg</t>
  </si>
  <si>
    <t>https://nematode.unl.edu/mecki9.jpg</t>
  </si>
  <si>
    <t>https://nematode.unl.edu/meschluc1.jpg</t>
  </si>
  <si>
    <t>https://nematode.unl.edu/meschluc2.jpg</t>
  </si>
  <si>
    <t>https://nematode.unl.edu/meschluc3.jpg</t>
  </si>
  <si>
    <t>https://nematode.unl.edu/meschluc4.jpg</t>
  </si>
  <si>
    <t>https://nematode.unl.edu/meschluc5.jpg</t>
  </si>
  <si>
    <t>https://nematode.unl.edu/meschluc6.jpg</t>
  </si>
  <si>
    <t>https://nematode.unl.edu/meschluc7.jpg</t>
  </si>
  <si>
    <t>https://nematode.unl.edu/meschluc8.jpg</t>
  </si>
  <si>
    <t>https://nematode.unl.edu/meschluc9.jpg</t>
  </si>
  <si>
    <t>https://nematode.unl.edu/meschluck2.jpg</t>
  </si>
  <si>
    <t>dropseed</t>
  </si>
  <si>
    <t>https://nematode.unl.edu/meschluck3.jpg</t>
  </si>
  <si>
    <t>https://nematode.unl.edu/meschluck4.jpg</t>
  </si>
  <si>
    <t>https://nematode.unl.edu/meschluck5.jpg</t>
  </si>
  <si>
    <t>https://nematode.unl.edu/meschluck6.jpg</t>
  </si>
  <si>
    <t>1 st cephalic annule (divided)</t>
  </si>
  <si>
    <t>https://nematode.unl.edu/mesoaps1.jpg</t>
  </si>
  <si>
    <t>Arena Sand Pines, Wisconsin</t>
  </si>
  <si>
    <t>jack pine, black oak, and river birch</t>
  </si>
  <si>
    <t>https://nematode.unl.edu/mesoaps10.jpg</t>
  </si>
  <si>
    <t>https://nematode.unl.edu/mesoaps11.jpg</t>
  </si>
  <si>
    <t>https://nematode.unl.edu/mesoaps12.jpg</t>
  </si>
  <si>
    <t>https://nematode.unl.edu/mesoaps13.jpg</t>
  </si>
  <si>
    <t>https://nematode.unl.edu/mesoaps2.jpg</t>
  </si>
  <si>
    <t>https://nematode.unl.edu/mesoaps3.jpg</t>
  </si>
  <si>
    <t>https://nematode.unl.edu/mesoaps4.jpg</t>
  </si>
  <si>
    <t>https://nematode.unl.edu/mesoaps5.jpg</t>
  </si>
  <si>
    <t>https://nematode.unl.edu/mesoaps6.jpg</t>
  </si>
  <si>
    <t>https://nematode.unl.edu/mesoaps7.jpg</t>
  </si>
  <si>
    <t>https://nematode.unl.edu/mesoaps8.jpg</t>
  </si>
  <si>
    <t>https://nematode.unl.edu/mesoaps9.jpg</t>
  </si>
  <si>
    <t>https://nematode.unl.edu/mesoboc1.jpg</t>
  </si>
  <si>
    <t>prairie grass</t>
  </si>
  <si>
    <t>https://nematode.unl.edu/mesoboc2.jpg</t>
  </si>
  <si>
    <t>https://nematode.unl.edu/mesoboc3.jpg</t>
  </si>
  <si>
    <t>https://nematode.unl.edu/mesoboc4.jpg</t>
  </si>
  <si>
    <t>https://nematode.unl.edu/mesoboc5.jpg</t>
  </si>
  <si>
    <t>https://nematode.unl.edu/mesoboc6.jpg</t>
  </si>
  <si>
    <t>https://nematode.unl.edu/mesoboc7.jpg</t>
  </si>
  <si>
    <t>https://nematode.unl.edu/mesoboc8.jpg</t>
  </si>
  <si>
    <t>https://nematode.unl.edu/mesoc1.jpg</t>
  </si>
  <si>
    <t>https://nematode.unl.edu/mesoc2.jpg</t>
  </si>
  <si>
    <t>https://nematode.unl.edu/mesocriche1.jpg</t>
  </si>
  <si>
    <t>oak/ maple forest</t>
  </si>
  <si>
    <t>https://nematode.unl.edu/mesocumd1.jpg</t>
  </si>
  <si>
    <t>oak/Little bluestem</t>
  </si>
  <si>
    <t>https://nematode.unl.edu/mesocumd2.jpg</t>
  </si>
  <si>
    <t>https://nematode.unl.edu/mesocumd3.jpg</t>
  </si>
  <si>
    <t>https://nematode.unl.edu/mesocumd4.jpg</t>
  </si>
  <si>
    <t>https://nematode.unl.edu/mesocumd5.jpg</t>
  </si>
  <si>
    <t>https://nematode.unl.edu/mesocumd6.jpg</t>
  </si>
  <si>
    <t>https://nematode.unl.edu/mesocumd7.jpg</t>
  </si>
  <si>
    <t>https://nematode.unl.edu/mesodoos1.jpg</t>
  </si>
  <si>
    <t>https://nematode.unl.edu/mesodoos2.jpg</t>
  </si>
  <si>
    <t>https://nematode.unl.edu/mesoflor1.jpg</t>
  </si>
  <si>
    <t>https://nematode.unl.edu/mesoflor2.jpg</t>
  </si>
  <si>
    <t>https://nematode.unl.edu/mesoflor3.jpg</t>
  </si>
  <si>
    <t>https://nematode.unl.edu/mesoflor4.jpg</t>
  </si>
  <si>
    <t>https://nematode.unl.edu/mesogbend1.jpg</t>
  </si>
  <si>
    <t>Great Bend, Kansas</t>
  </si>
  <si>
    <t>https://nematode.unl.edu/mesogbend10.jpg</t>
  </si>
  <si>
    <t>https://nematode.unl.edu/mesogbend11.jpg</t>
  </si>
  <si>
    <t>https://nematode.unl.edu/mesogbend12.jpg</t>
  </si>
  <si>
    <t>https://nematode.unl.edu/mesogbend13.jpg</t>
  </si>
  <si>
    <t>https://nematode.unl.edu/mesogbend14.jpg</t>
  </si>
  <si>
    <t>https://nematode.unl.edu/mesogbend15.jpg</t>
  </si>
  <si>
    <t>https://nematode.unl.edu/mesogbend16.jpg</t>
  </si>
  <si>
    <t>https://nematode.unl.edu/mesogbend17.jpg</t>
  </si>
  <si>
    <t>https://nematode.unl.edu/mesogbend18.jpg</t>
  </si>
  <si>
    <t>https://nematode.unl.edu/mesogbend19.jpg</t>
  </si>
  <si>
    <t>https://nematode.unl.edu/mesogbend2.jpg</t>
  </si>
  <si>
    <t>https://nematode.unl.edu/mesogbend20.jpg</t>
  </si>
  <si>
    <t>https://nematode.unl.edu/mesogbend21.jpg</t>
  </si>
  <si>
    <t>https://nematode.unl.edu/mesogbend3.jpg</t>
  </si>
  <si>
    <t>https://nematode.unl.edu/mesogbend4.jpg</t>
  </si>
  <si>
    <t>https://nematode.unl.edu/mesogbend5.jpg</t>
  </si>
  <si>
    <t>https://nematode.unl.edu/mesogbend6.jpg</t>
  </si>
  <si>
    <t>https://nematode.unl.edu/mesogbend7.jpg</t>
  </si>
  <si>
    <t>https://nematode.unl.edu/mesogbend8.jpg</t>
  </si>
  <si>
    <t>https://nematode.unl.edu/mesogbend9.jpg</t>
  </si>
  <si>
    <t>https://nematode.unl.edu/mesoroth1.jpg</t>
  </si>
  <si>
    <t>https://nematode.unl.edu/mesoroth10.jpg</t>
  </si>
  <si>
    <t>https://nematode.unl.edu/mesoroth11.jpg</t>
  </si>
  <si>
    <t>https://nematode.unl.edu/mesoroth12.jpg</t>
  </si>
  <si>
    <t>https://nematode.unl.edu/mesoroth13.jpg</t>
  </si>
  <si>
    <t>https://nematode.unl.edu/mesoroth14.jpg</t>
  </si>
  <si>
    <t>https://nematode.unl.edu/mesoroth15.jpg</t>
  </si>
  <si>
    <t>https://nematode.unl.edu/mesoroth16.jpg</t>
  </si>
  <si>
    <t>https://nematode.unl.edu/mesoroth17.jpg</t>
  </si>
  <si>
    <t>https://nematode.unl.edu/mesoroth18.jpg</t>
  </si>
  <si>
    <t>https://nematode.unl.edu/mesoroth19.jpg</t>
  </si>
  <si>
    <t>https://nematode.unl.edu/mesoroth2.jpg</t>
  </si>
  <si>
    <t>https://nematode.unl.edu/mesoroth20.jpg</t>
  </si>
  <si>
    <t>https://nematode.unl.edu/mesoroth21.jpg</t>
  </si>
  <si>
    <t>https://nematode.unl.edu/mesoroth22.jpg</t>
  </si>
  <si>
    <t>https://nematode.unl.edu/mesoroth23.jpg</t>
  </si>
  <si>
    <t>https://nematode.unl.edu/mesoroth24.jpg</t>
  </si>
  <si>
    <t>https://nematode.unl.edu/mesoroth25.jpg</t>
  </si>
  <si>
    <t>https://nematode.unl.edu/mesoroth26.jpg</t>
  </si>
  <si>
    <t>https://nematode.unl.edu/mesoroth3.jpg</t>
  </si>
  <si>
    <t>https://nematode.unl.edu/mesoroth4.jpg</t>
  </si>
  <si>
    <t>https://nematode.unl.edu/mesoroth5.jpg</t>
  </si>
  <si>
    <t>https://nematode.unl.edu/mesoroth6.jpg</t>
  </si>
  <si>
    <t>https://nematode.unl.edu/mesoroth7.jpg</t>
  </si>
  <si>
    <t>https://nematode.unl.edu/mesoroth8.jpg</t>
  </si>
  <si>
    <t>https://nematode.unl.edu/mesoroth9.jpg</t>
  </si>
  <si>
    <t>https://nematode.unl.edu/mesoxmon1.jpg</t>
  </si>
  <si>
    <t>https://nematode.unl.edu/mesoxmon2.jpg</t>
  </si>
  <si>
    <t>https://nematode.unl.edu/mesoxmon3.jpg</t>
  </si>
  <si>
    <t>https://nematode.unl.edu/mesoxmon4.jpg</t>
  </si>
  <si>
    <t>https://nematode.unl.edu/mesoxmon5.jpg</t>
  </si>
  <si>
    <t>https://nematode.unl.edu/mesoxmon6.jpg</t>
  </si>
  <si>
    <t>https://nematode.unl.edu/mespring1.jpg</t>
  </si>
  <si>
    <t>rose</t>
  </si>
  <si>
    <t>https://nematode.unl.edu/mespring2.jpg</t>
  </si>
  <si>
    <t>https://nematode.unl.edu/mespring3.jpg</t>
  </si>
  <si>
    <t>https://nematode.unl.edu/mexen1.jpg</t>
  </si>
  <si>
    <t>https://nematode.unl.edu/mexen2.jpg</t>
  </si>
  <si>
    <t>https://nematode.unl.edu/mexen3.jpg</t>
  </si>
  <si>
    <t>https://nematode.unl.edu/mexenom1.jpg</t>
  </si>
  <si>
    <t>Boone County, Missouri</t>
  </si>
  <si>
    <t>https://nematode.unl.edu/mexenom2.jpg</t>
  </si>
  <si>
    <t>https://nematode.unl.edu/mexenom3.jpg</t>
  </si>
  <si>
    <t>https://nematode.unl.edu/mexenov1.jpg</t>
  </si>
  <si>
    <t>Vermont</t>
  </si>
  <si>
    <t>https://nematode.unl.edu/mexenov2.jpg</t>
  </si>
  <si>
    <t>https://nematode.unl.edu/mexenov3.jpg</t>
  </si>
  <si>
    <t>https://nematode.unl.edu/mxenmile10.jpg</t>
  </si>
  <si>
    <t>https://nematode.unl.edu/mxenmile11.jpg</t>
  </si>
  <si>
    <t>https://nematode.unl.edu/mxenmile12.jpg</t>
  </si>
  <si>
    <t>https://nematode.unl.edu/mxenmile13.jpg</t>
  </si>
  <si>
    <t>https://nematode.unl.edu/mxenmile14.jpg</t>
  </si>
  <si>
    <t>https://nematode.unl.edu/mxenmile15.jpg</t>
  </si>
  <si>
    <t>https://nematode.unl.edu/crcricops1.jpg</t>
  </si>
  <si>
    <t>Mesocriconema crenatum</t>
  </si>
  <si>
    <t>https://nematode.unl.edu/crcricops2.jpg</t>
  </si>
  <si>
    <t>https://nematode.unl.edu/crcricops3.jpg</t>
  </si>
  <si>
    <t>https://nematode.unl.edu/crcricops4.jpg</t>
  </si>
  <si>
    <t>https://nematode.unl.edu/crickalsow21.jpg</t>
  </si>
  <si>
    <t>https://nematode.unl.edu/crickalsow22.jpg</t>
  </si>
  <si>
    <t>https://nematode.unl.edu/crickalsow23.jpg</t>
  </si>
  <si>
    <t>https://nematode.unl.edu/crickalsow24.jpg</t>
  </si>
  <si>
    <t>https://nematode.unl.edu/cricone1.jpg</t>
  </si>
  <si>
    <t>Nance County, Nebraska</t>
  </si>
  <si>
    <t>https://nematode.unl.edu/cricone10.jpg</t>
  </si>
  <si>
    <t>https://nematode.unl.edu/cricone11.jpg</t>
  </si>
  <si>
    <t>posteriorannules</t>
  </si>
  <si>
    <t>https://nematode.unl.edu/cricone12.jpg</t>
  </si>
  <si>
    <t>https://nematode.unl.edu/cricone13.jpg</t>
  </si>
  <si>
    <t>https://nematode.unl.edu/cricone14.jpg</t>
  </si>
  <si>
    <t>https://nematode.unl.edu/cricone15.jpg</t>
  </si>
  <si>
    <t>https://nematode.unl.edu/cricone16.jpg</t>
  </si>
  <si>
    <t>https://nematode.unl.edu/cricone17.jpg</t>
  </si>
  <si>
    <t>https://nematode.unl.edu/cricone18.jpg</t>
  </si>
  <si>
    <t>https://nematode.unl.edu/cricone19.jpg</t>
  </si>
  <si>
    <t>https://nematode.unl.edu/cricone2.jpg</t>
  </si>
  <si>
    <t>https://nematode.unl.edu/cricone20.jpg</t>
  </si>
  <si>
    <t>https://nematode.unl.edu/cricone21.jpg</t>
  </si>
  <si>
    <t>https://nematode.unl.edu/cricone22.jpg</t>
  </si>
  <si>
    <t>https://nematode.unl.edu/cricone23.jpg</t>
  </si>
  <si>
    <t>https://nematode.unl.edu/cricone24.jpg</t>
  </si>
  <si>
    <t>https://nematode.unl.edu/cricone25.jpg</t>
  </si>
  <si>
    <t>https://nematode.unl.edu/cricone3.jpg</t>
  </si>
  <si>
    <t>https://nematode.unl.edu/cricone4.jpg</t>
  </si>
  <si>
    <t>https://nematode.unl.edu/cricone5.jpg</t>
  </si>
  <si>
    <t>https://nematode.unl.edu/cricone6.jpg</t>
  </si>
  <si>
    <t>https://nematode.unl.edu/cricone7.jpg</t>
  </si>
  <si>
    <t>https://nematode.unl.edu/cricone8.jpg</t>
  </si>
  <si>
    <t>https://nematode.unl.edu/cricone9.jpg</t>
  </si>
  <si>
    <t>midbodyannules</t>
  </si>
  <si>
    <t>https://nematode.unl.edu/macarena1.jpg</t>
  </si>
  <si>
    <t>https://nematode.unl.edu/macarena2.jpg</t>
  </si>
  <si>
    <t>https://nematode.unl.edu/macarena3.jpg</t>
  </si>
  <si>
    <t>https://nematode.unl.edu/macarena4.jpg</t>
  </si>
  <si>
    <t>https://nematode.unl.edu/macbeal1.jpg</t>
  </si>
  <si>
    <t>Brookings County, South Dakota</t>
  </si>
  <si>
    <t>https://nematode.unl.edu/macbeal10.jpg</t>
  </si>
  <si>
    <t>https://nematode.unl.edu/macbeal11.jpg</t>
  </si>
  <si>
    <t>thistle</t>
  </si>
  <si>
    <t>https://nematode.unl.edu/macbeal12.jpg</t>
  </si>
  <si>
    <t>https://nematode.unl.edu/macbeal13.jpg</t>
  </si>
  <si>
    <t>https://nematode.unl.edu/macbeal14.jpg</t>
  </si>
  <si>
    <t>https://nematode.unl.edu/macbeal15.jpg</t>
  </si>
  <si>
    <t>https://nematode.unl.edu/macbeal16.jpg</t>
  </si>
  <si>
    <t>https://nematode.unl.edu/macbeal17.jpg</t>
  </si>
  <si>
    <t>https://nematode.unl.edu/macbeal18.jpg</t>
  </si>
  <si>
    <t>https://nematode.unl.edu/macbeal19.jpg</t>
  </si>
  <si>
    <t>https://nematode.unl.edu/macbeal2.jpg</t>
  </si>
  <si>
    <t>https://nematode.unl.edu/macbeal20.jpg</t>
  </si>
  <si>
    <t>https://nematode.unl.edu/macbeal21.jpg</t>
  </si>
  <si>
    <t>https://nematode.unl.edu/macbeal22.jpg</t>
  </si>
  <si>
    <t>https://nematode.unl.edu/macbeal23.jpg</t>
  </si>
  <si>
    <t>https://nematode.unl.edu/macbeal24.jpg</t>
  </si>
  <si>
    <t>https://nematode.unl.edu/macbeal25.jpg</t>
  </si>
  <si>
    <t>https://nematode.unl.edu/macbeal26.jpg</t>
  </si>
  <si>
    <t>https://nematode.unl.edu/macbeal27.jpg</t>
  </si>
  <si>
    <t>https://nematode.unl.edu/macbeal28.jpg</t>
  </si>
  <si>
    <t>https://nematode.unl.edu/macbeal29.jpg</t>
  </si>
  <si>
    <t>https://nematode.unl.edu/macbeal3.jpg</t>
  </si>
  <si>
    <t>https://nematode.unl.edu/macbeal30.jpg</t>
  </si>
  <si>
    <t>https://nematode.unl.edu/macbeal31.jpg</t>
  </si>
  <si>
    <t>https://nematode.unl.edu/macbeal4.jpg</t>
  </si>
  <si>
    <t>https://nematode.unl.edu/macbeal5.jpg</t>
  </si>
  <si>
    <t>https://nematode.unl.edu/macbeal6.jpg</t>
  </si>
  <si>
    <t>https://nematode.unl.edu/macbeal7.jpg</t>
  </si>
  <si>
    <t>slough</t>
  </si>
  <si>
    <t>https://nematode.unl.edu/macbeal8.jpg</t>
  </si>
  <si>
    <t>https://nematode.unl.edu/macbeal9.jpg</t>
  </si>
  <si>
    <t>https://nematode.unl.edu/macurk1.jpg</t>
  </si>
  <si>
    <t>https://nematode.unl.edu/macurk10.jpg</t>
  </si>
  <si>
    <t>https://nematode.unl.edu/macurk11.jpg</t>
  </si>
  <si>
    <t>https://nematode.unl.edu/macurk12.jpg</t>
  </si>
  <si>
    <t>https://nematode.unl.edu/macurk13.jpg</t>
  </si>
  <si>
    <t>face view (profile)</t>
  </si>
  <si>
    <t>https://nematode.unl.edu/macurk14.jpg</t>
  </si>
  <si>
    <t>https://nematode.unl.edu/macurk15.jpg</t>
  </si>
  <si>
    <t>https://nematode.unl.edu/macurk16.jpg</t>
  </si>
  <si>
    <t>https://nematode.unl.edu/macurk17.jpg</t>
  </si>
  <si>
    <t>https://nematode.unl.edu/macurk18.jpg</t>
  </si>
  <si>
    <t>posterior cuticle</t>
  </si>
  <si>
    <t>https://nematode.unl.edu/macurk19.jpg</t>
  </si>
  <si>
    <t>https://nematode.unl.edu/macurk2.jpg</t>
  </si>
  <si>
    <t>https://nematode.unl.edu/macurk20.jpg</t>
  </si>
  <si>
    <t>https://nematode.unl.edu/macurk21.jpg</t>
  </si>
  <si>
    <t>https://nematode.unl.edu/macurk22.jpg</t>
  </si>
  <si>
    <t>https://nematode.unl.edu/macurk23.jpg</t>
  </si>
  <si>
    <t>https://nematode.unl.edu/macurk24.jpg</t>
  </si>
  <si>
    <t>https://nematode.unl.edu/macurk3.jpg</t>
  </si>
  <si>
    <t>https://nematode.unl.edu/macurk4.jpg</t>
  </si>
  <si>
    <t>https://nematode.unl.edu/macurk5.jpg</t>
  </si>
  <si>
    <t>https://nematode.unl.edu/macurk6.jpg</t>
  </si>
  <si>
    <t>https://nematode.unl.edu/macurk7.jpg</t>
  </si>
  <si>
    <t>https://nematode.unl.edu/macurk8.jpg</t>
  </si>
  <si>
    <t>https://nematode.unl.edu/macurk9.jpg</t>
  </si>
  <si>
    <t>https://nematode.unl.edu/macurv10.jpg</t>
  </si>
  <si>
    <t>https://nematode.unl.edu/macurv100.jpg</t>
  </si>
  <si>
    <t>https://nematode.unl.edu/macurv101.jpg</t>
  </si>
  <si>
    <t>https://nematode.unl.edu/macurv102.jpg</t>
  </si>
  <si>
    <t>https://nematode.unl.edu/macurv103.jpg</t>
  </si>
  <si>
    <t>https://nematode.unl.edu/macurv11.jpg</t>
  </si>
  <si>
    <t>https://nematode.unl.edu/macurv12.jpg</t>
  </si>
  <si>
    <t>https://nematode.unl.edu/macurv13.jpg</t>
  </si>
  <si>
    <t>https://nematode.unl.edu/macurv14.jpg</t>
  </si>
  <si>
    <t>https://nematode.unl.edu/macurv15.jpg</t>
  </si>
  <si>
    <t>https://nematode.unl.edu/macurv16.jpg</t>
  </si>
  <si>
    <t>https://nematode.unl.edu/macurv17.jpg</t>
  </si>
  <si>
    <t>https://nematode.unl.edu/macurv18.jpg</t>
  </si>
  <si>
    <t>https://nematode.unl.edu/macurv19.jpg</t>
  </si>
  <si>
    <t>https://nematode.unl.edu/macurv20.jpg</t>
  </si>
  <si>
    <t>https://nematode.unl.edu/macurv21.jpg</t>
  </si>
  <si>
    <t>https://nematode.unl.edu/macurv22.jpg</t>
  </si>
  <si>
    <t>https://nematode.unl.edu/macurv23.jpg</t>
  </si>
  <si>
    <t>https://nematode.unl.edu/macurv24.jpg</t>
  </si>
  <si>
    <t>https://nematode.unl.edu/macurv25.jpg</t>
  </si>
  <si>
    <t>https://nematode.unl.edu/macurv26.jpg</t>
  </si>
  <si>
    <t>https://nematode.unl.edu/macurv27.jpg</t>
  </si>
  <si>
    <t>https://nematode.unl.edu/macurv28.jpg</t>
  </si>
  <si>
    <t>https://nematode.unl.edu/macurv29.jpg</t>
  </si>
  <si>
    <t>https://nematode.unl.edu/macurv30.jpg</t>
  </si>
  <si>
    <t>https://nematode.unl.edu/macurv31.jpg</t>
  </si>
  <si>
    <t>https://nematode.unl.edu/macurv32.jpg</t>
  </si>
  <si>
    <t>https://nematode.unl.edu/macurv33.jpg</t>
  </si>
  <si>
    <t>https://nematode.unl.edu/macurv34.jpg</t>
  </si>
  <si>
    <t>https://nematode.unl.edu/macurv35.jpg</t>
  </si>
  <si>
    <t>https://nematode.unl.edu/macurv36.jpg</t>
  </si>
  <si>
    <t>https://nematode.unl.edu/macurv37.jpg</t>
  </si>
  <si>
    <t>https://nematode.unl.edu/macurv38.jpg</t>
  </si>
  <si>
    <t>https://nematode.unl.edu/macurv39.jpg</t>
  </si>
  <si>
    <t>https://nematode.unl.edu/macurv40.jpg</t>
  </si>
  <si>
    <t>https://nematode.unl.edu/macurv41.jpg</t>
  </si>
  <si>
    <t>https://nematode.unl.edu/macurv42.jpg</t>
  </si>
  <si>
    <t>https://nematode.unl.edu/macurv43.jpg</t>
  </si>
  <si>
    <t>https://nematode.unl.edu/macurv44.jpg</t>
  </si>
  <si>
    <t>https://nematode.unl.edu/macurv45.jpg</t>
  </si>
  <si>
    <t>https://nematode.unl.edu/macurv46.jpg</t>
  </si>
  <si>
    <t>https://nematode.unl.edu/macurv47.jpg</t>
  </si>
  <si>
    <t>https://nematode.unl.edu/macurv48.jpg</t>
  </si>
  <si>
    <t>https://nematode.unl.edu/macurv49.jpg</t>
  </si>
  <si>
    <t>https://nematode.unl.edu/macurv50.jpg</t>
  </si>
  <si>
    <t>https://nematode.unl.edu/macurv51.jpg</t>
  </si>
  <si>
    <t>https://nematode.unl.edu/macurv52.jpg</t>
  </si>
  <si>
    <t>https://nematode.unl.edu/macurv53.jpg</t>
  </si>
  <si>
    <t>https://nematode.unl.edu/macurv54.jpg</t>
  </si>
  <si>
    <t>https://nematode.unl.edu/macurv55.jpg</t>
  </si>
  <si>
    <t>https://nematode.unl.edu/macurv56.jpg</t>
  </si>
  <si>
    <t>https://nematode.unl.edu/macurv57.jpg</t>
  </si>
  <si>
    <t>https://nematode.unl.edu/macurv58.jpg</t>
  </si>
  <si>
    <t>https://nematode.unl.edu/macurv59.jpg</t>
  </si>
  <si>
    <t>https://nematode.unl.edu/macurv60.jpg</t>
  </si>
  <si>
    <t>https://nematode.unl.edu/macurv61.jpg</t>
  </si>
  <si>
    <t>https://nematode.unl.edu/macurv62.jpg</t>
  </si>
  <si>
    <t>https://nematode.unl.edu/macurv63.jpg</t>
  </si>
  <si>
    <t>https://nematode.unl.edu/macurv64.jpg</t>
  </si>
  <si>
    <t>https://nematode.unl.edu/macurv65.jpg</t>
  </si>
  <si>
    <t>https://nematode.unl.edu/macurv66.jpg</t>
  </si>
  <si>
    <t>https://nematode.unl.edu/macurv67.jpg</t>
  </si>
  <si>
    <t>https://nematode.unl.edu/macurv68.jpg</t>
  </si>
  <si>
    <t>https://nematode.unl.edu/macurv69.jpg</t>
  </si>
  <si>
    <t>https://nematode.unl.edu/macurv70.jpg</t>
  </si>
  <si>
    <t>https://nematode.unl.edu/macurv71.jpg</t>
  </si>
  <si>
    <t>https://nematode.unl.edu/macurv72.jpg</t>
  </si>
  <si>
    <t>https://nematode.unl.edu/macurv73.jpg</t>
  </si>
  <si>
    <t>https://nematode.unl.edu/macurv74.jpg</t>
  </si>
  <si>
    <t>https://nematode.unl.edu/macurv75.jpg</t>
  </si>
  <si>
    <t>https://nematode.unl.edu/macurv76.jpg</t>
  </si>
  <si>
    <t>https://nematode.unl.edu/macurv77.jpg</t>
  </si>
  <si>
    <t>https://nematode.unl.edu/macurv78.jpg</t>
  </si>
  <si>
    <t>https://nematode.unl.edu/macurv79.jpg</t>
  </si>
  <si>
    <t>https://nematode.unl.edu/macurv80.jpg</t>
  </si>
  <si>
    <t>https://nematode.unl.edu/macurv81.jpg</t>
  </si>
  <si>
    <t>https://nematode.unl.edu/macurv82.jpg</t>
  </si>
  <si>
    <t>https://nematode.unl.edu/macurv83.jpg</t>
  </si>
  <si>
    <t>https://nematode.unl.edu/macurv84.jpg</t>
  </si>
  <si>
    <t>https://nematode.unl.edu/macurv85.jpg</t>
  </si>
  <si>
    <t>https://nematode.unl.edu/macurv86.jpg</t>
  </si>
  <si>
    <t>https://nematode.unl.edu/macurv87.jpg</t>
  </si>
  <si>
    <t>https://nematode.unl.edu/macurv88.jpg</t>
  </si>
  <si>
    <t>https://nematode.unl.edu/macurv89.jpg</t>
  </si>
  <si>
    <t>https://nematode.unl.edu/macurv90.jpg</t>
  </si>
  <si>
    <t>https://nematode.unl.edu/macurv91.jpg</t>
  </si>
  <si>
    <t>https://nematode.unl.edu/macurv92.jpg</t>
  </si>
  <si>
    <t>https://nematode.unl.edu/macurv93.jpg</t>
  </si>
  <si>
    <t>https://nematode.unl.edu/macurv94.jpg</t>
  </si>
  <si>
    <t>https://nematode.unl.edu/macurv95.jpg</t>
  </si>
  <si>
    <t>https://nematode.unl.edu/macurv96.jpg</t>
  </si>
  <si>
    <t>https://nematode.unl.edu/macurv97.jpg</t>
  </si>
  <si>
    <t>https://nematode.unl.edu/macurv98.jpg</t>
  </si>
  <si>
    <t>https://nematode.unl.edu/macurv99.jpg</t>
  </si>
  <si>
    <t>https://nematode.unl.edu/macwil1.jpg</t>
  </si>
  <si>
    <t>https://nematode.unl.edu/macwil2.jpg</t>
  </si>
  <si>
    <t>https://nematode.unl.edu/macwil3.jpg</t>
  </si>
  <si>
    <t>https://nematode.unl.edu/mecauro1.jpg</t>
  </si>
  <si>
    <t>Aurora Prairie, South Dakota</t>
  </si>
  <si>
    <t>eastern hardwoods, western conifers, Great Plains grasslands, northern boreal forest flora</t>
  </si>
  <si>
    <t>https://nematode.unl.edu/mecauro2.jpg</t>
  </si>
  <si>
    <t>https://nematode.unl.edu/mecauro3.jpg</t>
  </si>
  <si>
    <t>https://nematode.unl.edu/mecauro4.jpg</t>
  </si>
  <si>
    <t>https://nematode.unl.edu/mecauro5.jpg</t>
  </si>
  <si>
    <t>https://nematode.unl.edu/mecauro6.jpg</t>
  </si>
  <si>
    <t>https://nematode.unl.edu/mecauro7.jpg</t>
  </si>
  <si>
    <t>https://nematode.unl.edu/mecauro8.jpg</t>
  </si>
  <si>
    <t>https://nematode.unl.edu/mecauro9.jpg</t>
  </si>
  <si>
    <t>https://nematode.unl.edu/mecki18.jpg</t>
  </si>
  <si>
    <t>https://nematode.unl.edu/mecki19.jpg</t>
  </si>
  <si>
    <t>https://nematode.unl.edu/mecki20.jpg</t>
  </si>
  <si>
    <t>https://nematode.unl.edu/mecki21.jpg</t>
  </si>
  <si>
    <t>https://nematode.unl.edu/mecki22.jpg</t>
  </si>
  <si>
    <t>https://nematode.unl.edu/mecki23.jpg</t>
  </si>
  <si>
    <t>https://nematode.unl.edu/mecki24.jpg</t>
  </si>
  <si>
    <t>https://nematode.unl.edu/mecki25.jpg</t>
  </si>
  <si>
    <t>https://nematode.unl.edu/mecki26.jpg</t>
  </si>
  <si>
    <t>https://nematode.unl.edu/mecki27.jpg</t>
  </si>
  <si>
    <t>https://nematode.unl.edu/mecki28.jpg</t>
  </si>
  <si>
    <t>https://nematode.unl.edu/mecreek1.jpg</t>
  </si>
  <si>
    <t>https://nematode.unl.edu/mecreek10.jpg</t>
  </si>
  <si>
    <t>https://nematode.unl.edu/mecreek11.jpg</t>
  </si>
  <si>
    <t>https://nematode.unl.edu/mecreek116.jpg</t>
  </si>
  <si>
    <t>https://nematode.unl.edu/mecreek117.jpg</t>
  </si>
  <si>
    <t>https://nematode.unl.edu/mecreek118.jpg</t>
  </si>
  <si>
    <t>https://nematode.unl.edu/mecreek12.jpg</t>
  </si>
  <si>
    <t>https://nematode.unl.edu/mecreek13.jpg</t>
  </si>
  <si>
    <t>https://nematode.unl.edu/mecreek130.jpg</t>
  </si>
  <si>
    <t>https://nematode.unl.edu/mecreek131.jpg</t>
  </si>
  <si>
    <t>https://nematode.unl.edu/mecreek132.jpg</t>
  </si>
  <si>
    <t>https://nematode.unl.edu/mecreek133.jpg</t>
  </si>
  <si>
    <t>https://nematode.unl.edu/mecreek134.jpg</t>
  </si>
  <si>
    <t>https://nematode.unl.edu/mecreek135.jpg</t>
  </si>
  <si>
    <t>https://nematode.unl.edu/mecreek136.jpg</t>
  </si>
  <si>
    <t>https://nematode.unl.edu/mecreek137.jpg</t>
  </si>
  <si>
    <t>https://nematode.unl.edu/mecreek138.jpg</t>
  </si>
  <si>
    <t>https://nematode.unl.edu/mecreek139.jpg</t>
  </si>
  <si>
    <t>https://nematode.unl.edu/mecreek14.jpg</t>
  </si>
  <si>
    <t>https://nematode.unl.edu/mecreek140.jpg</t>
  </si>
  <si>
    <t>https://nematode.unl.edu/mecreek141.jpg</t>
  </si>
  <si>
    <t>https://nematode.unl.edu/mecreek142.jpg</t>
  </si>
  <si>
    <t>https://nematode.unl.edu/mecreek143.jpg</t>
  </si>
  <si>
    <t>https://nematode.unl.edu/mecreek144.jpg</t>
  </si>
  <si>
    <t>https://nematode.unl.edu/mecreek145.jpg</t>
  </si>
  <si>
    <t>https://nematode.unl.edu/mecreek146.jpg</t>
  </si>
  <si>
    <t>https://nematode.unl.edu/mecreek147.jpg</t>
  </si>
  <si>
    <t>https://nematode.unl.edu/mecreek148.jpg</t>
  </si>
  <si>
    <t>https://nematode.unl.edu/mecreek149.jpg</t>
  </si>
  <si>
    <t>https://nematode.unl.edu/mecreek15.jpg</t>
  </si>
  <si>
    <t>https://nematode.unl.edu/mecreek150.jpg</t>
  </si>
  <si>
    <t>https://nematode.unl.edu/mecreek151.jpg</t>
  </si>
  <si>
    <t>https://nematode.unl.edu/mecreek152.jpg</t>
  </si>
  <si>
    <t>https://nematode.unl.edu/mecreek153.jpg</t>
  </si>
  <si>
    <t>https://nematode.unl.edu/mecreek16.jpg</t>
  </si>
  <si>
    <t>https://nematode.unl.edu/mecreek17.jpg</t>
  </si>
  <si>
    <t>https://nematode.unl.edu/mecreek18.jpg</t>
  </si>
  <si>
    <t>https://nematode.unl.edu/mecreek19.jpg</t>
  </si>
  <si>
    <t>https://nematode.unl.edu/mecreek2.jpg</t>
  </si>
  <si>
    <t>https://nematode.unl.edu/mecreek20.jpg</t>
  </si>
  <si>
    <t>https://nematode.unl.edu/mecreek21.jpg</t>
  </si>
  <si>
    <t>https://nematode.unl.edu/mecreek22.jpg</t>
  </si>
  <si>
    <t>https://nematode.unl.edu/mecreek23.jpg</t>
  </si>
  <si>
    <t>https://nematode.unl.edu/mecreek24.jpg</t>
  </si>
  <si>
    <t>https://nematode.unl.edu/mecreek25.jpg</t>
  </si>
  <si>
    <t>https://nematode.unl.edu/mecreek26.jpg</t>
  </si>
  <si>
    <t>https://nematode.unl.edu/mecreek27.jpg</t>
  </si>
  <si>
    <t>https://nematode.unl.edu/mecreek28.jpg</t>
  </si>
  <si>
    <t>https://nematode.unl.edu/mecreek29.jpg</t>
  </si>
  <si>
    <t>https://nematode.unl.edu/mecreek3.jpg</t>
  </si>
  <si>
    <t>https://nematode.unl.edu/mecreek30.jpg</t>
  </si>
  <si>
    <t>https://nematode.unl.edu/mecreek31.jpg</t>
  </si>
  <si>
    <t>https://nematode.unl.edu/mecreek32.jpg</t>
  </si>
  <si>
    <t>https://nematode.unl.edu/mecreek33.jpg</t>
  </si>
  <si>
    <t>https://nematode.unl.edu/mecreek34.jpg</t>
  </si>
  <si>
    <t>https://nematode.unl.edu/mecreek35.jpg</t>
  </si>
  <si>
    <t>https://nematode.unl.edu/mecreek36.jpg</t>
  </si>
  <si>
    <t>https://nematode.unl.edu/mecreek37.jpg</t>
  </si>
  <si>
    <t>https://nematode.unl.edu/mecreek38.jpg</t>
  </si>
  <si>
    <t>https://nematode.unl.edu/mecreek39.jpg</t>
  </si>
  <si>
    <t>https://nematode.unl.edu/mecreek4.jpg</t>
  </si>
  <si>
    <t>https://nematode.unl.edu/mecreek40.jpg</t>
  </si>
  <si>
    <t>https://nematode.unl.edu/mecreek41.jpg</t>
  </si>
  <si>
    <t>https://nematode.unl.edu/mecreek42.jpg</t>
  </si>
  <si>
    <t>https://nematode.unl.edu/mecreek43.jpg</t>
  </si>
  <si>
    <t>https://nematode.unl.edu/mecreek44.jpg</t>
  </si>
  <si>
    <t>https://nematode.unl.edu/mecreek45.jpg</t>
  </si>
  <si>
    <t>https://nematode.unl.edu/mecreek46.jpg</t>
  </si>
  <si>
    <t>https://nematode.unl.edu/mecreek47.jpg</t>
  </si>
  <si>
    <t>https://nematode.unl.edu/mecreek5.jpg</t>
  </si>
  <si>
    <t>https://nematode.unl.edu/mecreek52.jpg</t>
  </si>
  <si>
    <t>https://nematode.unl.edu/mecreek53.jpg</t>
  </si>
  <si>
    <t>https://nematode.unl.edu/mecreek54.jpg</t>
  </si>
  <si>
    <t>https://nematode.unl.edu/mecreek55.jpg</t>
  </si>
  <si>
    <t>https://nematode.unl.edu/mecreek56.jpg</t>
  </si>
  <si>
    <t>https://nematode.unl.edu/mecreek57.jpg</t>
  </si>
  <si>
    <t>https://nematode.unl.edu/mecreek58.jpg</t>
  </si>
  <si>
    <t>https://nematode.unl.edu/mecreek59.jpg</t>
  </si>
  <si>
    <t>https://nematode.unl.edu/mecreek6.jpg</t>
  </si>
  <si>
    <t>https://nematode.unl.edu/mecreek60.jpg</t>
  </si>
  <si>
    <t>https://nematode.unl.edu/mecreek61.jpg</t>
  </si>
  <si>
    <t>https://nematode.unl.edu/mecreek62.jpg</t>
  </si>
  <si>
    <t>https://nematode.unl.edu/mecreek63.jpg</t>
  </si>
  <si>
    <t>https://nematode.unl.edu/mecreek64.jpg</t>
  </si>
  <si>
    <t>https://nematode.unl.edu/mecreek65.jpg</t>
  </si>
  <si>
    <t>https://nematode.unl.edu/mecreek66.jpg</t>
  </si>
  <si>
    <t>grid</t>
  </si>
  <si>
    <t>https://nematode.unl.edu/mecreek67.jpg</t>
  </si>
  <si>
    <t>https://nematode.unl.edu/mecreek68.jpg</t>
  </si>
  <si>
    <t>https://nematode.unl.edu/mecreek69.jpg</t>
  </si>
  <si>
    <t>https://nematode.unl.edu/mecreek7.jpg</t>
  </si>
  <si>
    <t>https://nematode.unl.edu/mecreek70.jpg</t>
  </si>
  <si>
    <t>https://nematode.unl.edu/mecreek71.jpg</t>
  </si>
  <si>
    <t>https://nematode.unl.edu/mecreek72.jpg</t>
  </si>
  <si>
    <t>https://nematode.unl.edu/mecreek73.jpg</t>
  </si>
  <si>
    <t>https://nematode.unl.edu/mecreek74.jpg</t>
  </si>
  <si>
    <t>https://nematode.unl.edu/mecreek77.jpg</t>
  </si>
  <si>
    <t>https://nematode.unl.edu/mecreek78.jpg</t>
  </si>
  <si>
    <t>https://nematode.unl.edu/mecreek79.jpg</t>
  </si>
  <si>
    <t>https://nematode.unl.edu/mecreek8.jpg</t>
  </si>
  <si>
    <t>https://nematode.unl.edu/mecreek80.jpg</t>
  </si>
  <si>
    <t>https://nematode.unl.edu/mecreek81.jpg</t>
  </si>
  <si>
    <t>https://nematode.unl.edu/mecreek82.jpg</t>
  </si>
  <si>
    <t>https://nematode.unl.edu/mecreek83.jpg</t>
  </si>
  <si>
    <t>https://nematode.unl.edu/mecreek84.jpg</t>
  </si>
  <si>
    <t>https://nematode.unl.edu/mecreek85.jpg</t>
  </si>
  <si>
    <t>https://nematode.unl.edu/mecreek86.jpg</t>
  </si>
  <si>
    <t>https://nematode.unl.edu/mecreek87.jpg</t>
  </si>
  <si>
    <t>https://nematode.unl.edu/mecreek88.jpg</t>
  </si>
  <si>
    <t>https://nematode.unl.edu/mecreek89.jpg</t>
  </si>
  <si>
    <t>https://nematode.unl.edu/mecreek9.jpg</t>
  </si>
  <si>
    <t>https://nematode.unl.edu/mecreek90.jpg</t>
  </si>
  <si>
    <t>https://nematode.unl.edu/mecreek91.jpg</t>
  </si>
  <si>
    <t>https://nematode.unl.edu/mecrei1.jpg</t>
  </si>
  <si>
    <t>Reichelt Unit of Rock Creek State Park , Iowa</t>
  </si>
  <si>
    <t>https://nematode.unl.edu/mecrei2.jpg</t>
  </si>
  <si>
    <t>https://nematode.unl.edu/mecrei3.jpg</t>
  </si>
  <si>
    <t>https://nematode.unl.edu/mecrei4.jpg</t>
  </si>
  <si>
    <t>https://nematode.unl.edu/mecrei5.jpg</t>
  </si>
  <si>
    <t>https://nematode.unl.edu/mecrei6.jpg</t>
  </si>
  <si>
    <t>https://nematode.unl.edu/mecrei7.jpg</t>
  </si>
  <si>
    <t>https://nematode.unl.edu/mecroth1.jpg</t>
  </si>
  <si>
    <t>https://nematode.unl.edu/mecroth10.jpg</t>
  </si>
  <si>
    <t>https://nematode.unl.edu/mecroth11.jpg</t>
  </si>
  <si>
    <t>https://nematode.unl.edu/mecroth12.jpg</t>
  </si>
  <si>
    <t>https://nematode.unl.edu/mecroth13.jpg</t>
  </si>
  <si>
    <t>https://nematode.unl.edu/mecroth14.jpg</t>
  </si>
  <si>
    <t>https://nematode.unl.edu/mecroth15.jpg</t>
  </si>
  <si>
    <t>https://nematode.unl.edu/mecroth16.jpg</t>
  </si>
  <si>
    <t>https://nematode.unl.edu/mecroth17.jpg</t>
  </si>
  <si>
    <t>https://nematode.unl.edu/mecroth18.jpg</t>
  </si>
  <si>
    <t>https://nematode.unl.edu/mecroth19.jpg</t>
  </si>
  <si>
    <t>https://nematode.unl.edu/mecroth2.jpg</t>
  </si>
  <si>
    <t>https://nematode.unl.edu/mecroth3.jpg</t>
  </si>
  <si>
    <t>https://nematode.unl.edu/mecroth4.jpg</t>
  </si>
  <si>
    <t>https://nematode.unl.edu/mecroth5.jpg</t>
  </si>
  <si>
    <t>https://nematode.unl.edu/mecroth6.jpg</t>
  </si>
  <si>
    <t>https://nematode.unl.edu/mecroth7.jpg</t>
  </si>
  <si>
    <t>https://nematode.unl.edu/mecroth8.jpg</t>
  </si>
  <si>
    <t>https://nematode.unl.edu/mecroth9.jpg</t>
  </si>
  <si>
    <t>https://nematode.unl.edu/mecudoo1.jpg</t>
  </si>
  <si>
    <t>https://nematode.unl.edu/mecudoo10.jpg</t>
  </si>
  <si>
    <t>https://nematode.unl.edu/mecudoo11.jpg</t>
  </si>
  <si>
    <t>https://nematode.unl.edu/mecudoo12.jpg</t>
  </si>
  <si>
    <t>https://nematode.unl.edu/mecudoo13.jpg</t>
  </si>
  <si>
    <t>https://nematode.unl.edu/mecudoo14.jpg</t>
  </si>
  <si>
    <t>https://nematode.unl.edu/mecudoo15.jpg</t>
  </si>
  <si>
    <t>https://nematode.unl.edu/mecudoo16.jpg</t>
  </si>
  <si>
    <t>https://nematode.unl.edu/mecudoo17.jpg</t>
  </si>
  <si>
    <t>https://nematode.unl.edu/mecudoo18.jpg</t>
  </si>
  <si>
    <t>https://nematode.unl.edu/mecudoo19.jpg</t>
  </si>
  <si>
    <t>https://nematode.unl.edu/mecudoo2.jpg</t>
  </si>
  <si>
    <t>https://nematode.unl.edu/mecudoo20.jpg</t>
  </si>
  <si>
    <t>https://nematode.unl.edu/mecudoo21.jpg</t>
  </si>
  <si>
    <t>https://nematode.unl.edu/mecudoo22.jpg</t>
  </si>
  <si>
    <t>https://nematode.unl.edu/mecudoo23.jpg</t>
  </si>
  <si>
    <t>https://nematode.unl.edu/mecudoo3.jpg</t>
  </si>
  <si>
    <t>https://nematode.unl.edu/mecudoo4.jpg</t>
  </si>
  <si>
    <t>https://nematode.unl.edu/mecudoo5.jpg</t>
  </si>
  <si>
    <t>https://nematode.unl.edu/mecudoo6.jpg</t>
  </si>
  <si>
    <t>https://nematode.unl.edu/mecudoo7.jpg</t>
  </si>
  <si>
    <t>https://nematode.unl.edu/mecudoo8.jpg</t>
  </si>
  <si>
    <t>https://nematode.unl.edu/mecudoo9.jpg</t>
  </si>
  <si>
    <t>https://nematode.unl.edu/mecurbe1.jpg</t>
  </si>
  <si>
    <t>https://nematode.unl.edu/mecurbe10.jpg</t>
  </si>
  <si>
    <t>https://nematode.unl.edu/mecurbe11.jpg</t>
  </si>
  <si>
    <t>https://nematode.unl.edu/mecurbe12.jpg</t>
  </si>
  <si>
    <t>https://nematode.unl.edu/mecurbe13.jpg</t>
  </si>
  <si>
    <t>https://nematode.unl.edu/mecurbe14.jpg</t>
  </si>
  <si>
    <t>https://nematode.unl.edu/mecurbe15.jpg</t>
  </si>
  <si>
    <t>https://nematode.unl.edu/mecurbe16.jpg</t>
  </si>
  <si>
    <t>https://nematode.unl.edu/mecurbe17.jpg</t>
  </si>
  <si>
    <t>https://nematode.unl.edu/mecurbe18.jpg</t>
  </si>
  <si>
    <t>https://nematode.unl.edu/mecurbe19.jpg</t>
  </si>
  <si>
    <t>https://nematode.unl.edu/mecurbe2.jpg</t>
  </si>
  <si>
    <t>https://nematode.unl.edu/mecurbe20.jpg</t>
  </si>
  <si>
    <t>https://nematode.unl.edu/mecurbe21.jpg</t>
  </si>
  <si>
    <t>https://nematode.unl.edu/mecurbe22.jpg</t>
  </si>
  <si>
    <t>https://nematode.unl.edu/mecurbe23.jpg</t>
  </si>
  <si>
    <t>https://nematode.unl.edu/mecurbe24.jpg</t>
  </si>
  <si>
    <t>https://nematode.unl.edu/mecurbe25.jpg</t>
  </si>
  <si>
    <t>https://nematode.unl.edu/mecurbe26.jpg</t>
  </si>
  <si>
    <t>https://nematode.unl.edu/mecurbe27.jpg</t>
  </si>
  <si>
    <t>https://nematode.unl.edu/mecurbe28.jpg</t>
  </si>
  <si>
    <t>https://nematode.unl.edu/mecurbe29.jpg</t>
  </si>
  <si>
    <t>https://nematode.unl.edu/mecurbe3.jpg</t>
  </si>
  <si>
    <t>https://nematode.unl.edu/mecurbe30.jpg</t>
  </si>
  <si>
    <t>https://nematode.unl.edu/mecurbe31.jpg</t>
  </si>
  <si>
    <t>https://nematode.unl.edu/mecurbe4.jpg</t>
  </si>
  <si>
    <t>https://nematode.unl.edu/mecurbe5.jpg</t>
  </si>
  <si>
    <t>https://nematode.unl.edu/mecurbe6.jpg</t>
  </si>
  <si>
    <t>https://nematode.unl.edu/mecurbe7.jpg</t>
  </si>
  <si>
    <t>https://nematode.unl.edu/mecurbe8.jpg</t>
  </si>
  <si>
    <t>https://nematode.unl.edu/mecurbe9.jpg</t>
  </si>
  <si>
    <t>https://nematode.unl.edu/mecurvas1.jpg</t>
  </si>
  <si>
    <t>https://nematode.unl.edu/mecurvas10.jpg</t>
  </si>
  <si>
    <t>https://nematode.unl.edu/mecurvas11.jpg</t>
  </si>
  <si>
    <t>https://nematode.unl.edu/mecurvas12.jpg</t>
  </si>
  <si>
    <t>https://nematode.unl.edu/mecurvas13.jpg</t>
  </si>
  <si>
    <t>https://nematode.unl.edu/mecurvas14.jpg</t>
  </si>
  <si>
    <t>https://nematode.unl.edu/mecurvas15.jpg</t>
  </si>
  <si>
    <t>https://nematode.unl.edu/mecurvas16.jpg</t>
  </si>
  <si>
    <t>https://nematode.unl.edu/mecurvas17.jpg</t>
  </si>
  <si>
    <t>https://nematode.unl.edu/mecurvas18.jpg</t>
  </si>
  <si>
    <t>https://nematode.unl.edu/mecurvas19.jpg</t>
  </si>
  <si>
    <t>https://nematode.unl.edu/mecurvas2.jpg</t>
  </si>
  <si>
    <t>https://nematode.unl.edu/mecurvas3.jpg</t>
  </si>
  <si>
    <t>https://nematode.unl.edu/mecurvas4.jpg</t>
  </si>
  <si>
    <t>https://nematode.unl.edu/mecurvas5.jpg</t>
  </si>
  <si>
    <t>https://nematode.unl.edu/mecurvas6.jpg</t>
  </si>
  <si>
    <t>https://nematode.unl.edu/mecurvas7.jpg</t>
  </si>
  <si>
    <t>https://nematode.unl.edu/mecurvas8.jpg</t>
  </si>
  <si>
    <t>https://nematode.unl.edu/mecurvas9.jpg</t>
  </si>
  <si>
    <t>https://nematode.unl.edu/mesavo1.jpg</t>
  </si>
  <si>
    <t>https://nematode.unl.edu/mesavo10.jpg</t>
  </si>
  <si>
    <t>https://nematode.unl.edu/mesavo11.jpg</t>
  </si>
  <si>
    <t>https://nematode.unl.edu/mesavo12.jpg</t>
  </si>
  <si>
    <t>https://nematode.unl.edu/mesavo13.jpg</t>
  </si>
  <si>
    <t>https://nematode.unl.edu/mesavo14.jpg</t>
  </si>
  <si>
    <t>https://nematode.unl.edu/mesavo15.jpg</t>
  </si>
  <si>
    <t>https://nematode.unl.edu/mesavo16.jpg</t>
  </si>
  <si>
    <t>https://nematode.unl.edu/mesavo17.jpg</t>
  </si>
  <si>
    <t>https://nematode.unl.edu/mesavo18.jpg</t>
  </si>
  <si>
    <t>https://nematode.unl.edu/mesavo2.jpg</t>
  </si>
  <si>
    <t>https://nematode.unl.edu/mesavo20.jpg</t>
  </si>
  <si>
    <t>https://nematode.unl.edu/mesavo21.jpg</t>
  </si>
  <si>
    <t>https://nematode.unl.edu/mesavo27.jpg</t>
  </si>
  <si>
    <t>https://nematode.unl.edu/mesavo4.jpg</t>
  </si>
  <si>
    <t>https://nematode.unl.edu/mesavo5.jpg</t>
  </si>
  <si>
    <t>https://nematode.unl.edu/mesavo6.jpg</t>
  </si>
  <si>
    <t>https://nematode.unl.edu/mesavo7.jpg</t>
  </si>
  <si>
    <t>https://nematode.unl.edu/mesavo8.jpg</t>
  </si>
  <si>
    <t>https://nematode.unl.edu/mesavo9.jpg</t>
  </si>
  <si>
    <t>https://nematode.unl.edu/mescu10.jpg</t>
  </si>
  <si>
    <t>https://nematode.unl.edu/mescu11.jpg</t>
  </si>
  <si>
    <t>https://nematode.unl.edu/mescu13.jpg</t>
  </si>
  <si>
    <t>https://nematode.unl.edu/mescu14.jpg</t>
  </si>
  <si>
    <t>https://nematode.unl.edu/mescu15.jpg</t>
  </si>
  <si>
    <t>https://nematode.unl.edu/mescu16.jpg</t>
  </si>
  <si>
    <t>https://nematode.unl.edu/mescu17.jpg</t>
  </si>
  <si>
    <t>https://nematode.unl.edu/mescu18.jpg</t>
  </si>
  <si>
    <t>https://nematode.unl.edu/mescu19.jpg</t>
  </si>
  <si>
    <t>https://nematode.unl.edu/mescu2.jpg</t>
  </si>
  <si>
    <t>https://nematode.unl.edu/mescu20.jpg</t>
  </si>
  <si>
    <t>https://nematode.unl.edu/mescu21.jpg</t>
  </si>
  <si>
    <t>https://nematode.unl.edu/mescu22.jpg</t>
  </si>
  <si>
    <t>https://nematode.unl.edu/mescu23.jpg</t>
  </si>
  <si>
    <t>https://nematode.unl.edu/mescu24.jpg</t>
  </si>
  <si>
    <t>https://nematode.unl.edu/mescu25.jpg</t>
  </si>
  <si>
    <t>https://nematode.unl.edu/mescu3.jpg</t>
  </si>
  <si>
    <t>https://nematode.unl.edu/mescu4.jpg</t>
  </si>
  <si>
    <t>https://nematode.unl.edu/mescu5.jpg</t>
  </si>
  <si>
    <t>https://nematode.unl.edu/mescu6.jpg</t>
  </si>
  <si>
    <t>https://nematode.unl.edu/mescu7.jpg</t>
  </si>
  <si>
    <t>https://nematode.unl.edu/mescu8.jpg</t>
  </si>
  <si>
    <t>https://nematode.unl.edu/mescu9.jpg</t>
  </si>
  <si>
    <t>https://nematode.unl.edu/mescub1.jpg</t>
  </si>
  <si>
    <t>https://nematode.unl.edu/mescub2.jpg</t>
  </si>
  <si>
    <t>https://nematode.unl.edu/mescumt1.jpg</t>
  </si>
  <si>
    <t>Treasure County, Montana</t>
  </si>
  <si>
    <t>https://nematode.unl.edu/mescumt2.jpg</t>
  </si>
  <si>
    <t>https://nematode.unl.edu/mescumt3.jpg</t>
  </si>
  <si>
    <t>https://nematode.unl.edu/mescumt4.jpg</t>
  </si>
  <si>
    <t>https://nematode.unl.edu/mesobok1.jpg</t>
  </si>
  <si>
    <t>https://nematode.unl.edu/mesobok2.jpg</t>
  </si>
  <si>
    <t>https://nematode.unl.edu/mesobok3.jpg</t>
  </si>
  <si>
    <t>https://nematode.unl.edu/mesobok4.jpg</t>
  </si>
  <si>
    <t>https://nematode.unl.edu/mesobok5.jpg</t>
  </si>
  <si>
    <t>https://nematode.unl.edu/mesobok6.jpg</t>
  </si>
  <si>
    <t>https://nematode.unl.edu/mesobok7.jpg</t>
  </si>
  <si>
    <t>https://nematode.unl.edu/mesobok8.jpg</t>
  </si>
  <si>
    <t>https://nematode.unl.edu/mesobok9.jpg</t>
  </si>
  <si>
    <t>https://nematode.unl.edu/mesocsod1.jpg</t>
  </si>
  <si>
    <t>Meade county, South Dakota</t>
  </si>
  <si>
    <t>https://nematode.unl.edu/mesocsod2.jpg</t>
  </si>
  <si>
    <t>https://nematode.unl.edu/mesocsod3.jpg</t>
  </si>
  <si>
    <t>https://nematode.unl.edu/mesocsod4.jpg</t>
  </si>
  <si>
    <t>https://nematode.unl.edu/mesocur1.jpg</t>
  </si>
  <si>
    <t>https://nematode.unl.edu/mesocur10.jpg</t>
  </si>
  <si>
    <t>https://nematode.unl.edu/mesocur11.jpg</t>
  </si>
  <si>
    <t>https://nematode.unl.edu/mesocur12.jpg</t>
  </si>
  <si>
    <t>https://nematode.unl.edu/mesocur13.jpg</t>
  </si>
  <si>
    <t>https://nematode.unl.edu/mesocur14.jpg</t>
  </si>
  <si>
    <t>https://nematode.unl.edu/mesocur15.jpg</t>
  </si>
  <si>
    <t>https://nematode.unl.edu/mesocur2.jpg</t>
  </si>
  <si>
    <t>https://nematode.unl.edu/mesocur3.jpg</t>
  </si>
  <si>
    <t>https://nematode.unl.edu/mesocur4.jpg</t>
  </si>
  <si>
    <t>https://nematode.unl.edu/mesocur5.jpg</t>
  </si>
  <si>
    <t>https://nematode.unl.edu/mesocur6.jpg</t>
  </si>
  <si>
    <t>https://nematode.unl.edu/mesocur7.jpg</t>
  </si>
  <si>
    <t>https://nematode.unl.edu/mesocur8.jpg</t>
  </si>
  <si>
    <t>https://nematode.unl.edu/mesocur9.jpg</t>
  </si>
  <si>
    <t>https://nematode.unl.edu/mesocwy1.jpg</t>
  </si>
  <si>
    <t>Big Horn County, Wyoming</t>
  </si>
  <si>
    <t>https://nematode.unl.edu/mesocwy2.jpg</t>
  </si>
  <si>
    <t>https://nematode.unl.edu/mesocwy3.jpg</t>
  </si>
  <si>
    <t>https://nematode.unl.edu/mesru2.jpg</t>
  </si>
  <si>
    <t>https://nematode.unl.edu/mesru3.jpg</t>
  </si>
  <si>
    <t>https://nematode.unl.edu/cdiscuspara1.jpg</t>
  </si>
  <si>
    <t>Mesocriconema discus</t>
  </si>
  <si>
    <t>https://nematode.unl.edu/cdiscuspara10.jpg</t>
  </si>
  <si>
    <t>https://nematode.unl.edu/cdiscuspara11.jpg</t>
  </si>
  <si>
    <t>https://nematode.unl.edu/cdiscuspara12.jpg</t>
  </si>
  <si>
    <t>https://nematode.unl.edu/cdiscuspara13.jpg</t>
  </si>
  <si>
    <t>https://nematode.unl.edu/cdiscuspara14.jpg</t>
  </si>
  <si>
    <t>https://nematode.unl.edu/cdiscuspara15.jpg</t>
  </si>
  <si>
    <t>https://nematode.unl.edu/cdiscuspara16.jpg</t>
  </si>
  <si>
    <t>https://nematode.unl.edu/cdiscuspara2.jpg</t>
  </si>
  <si>
    <t>https://nematode.unl.edu/cdiscuspara3.jpg</t>
  </si>
  <si>
    <t>https://nematode.unl.edu/cdiscuspara4.jpg</t>
  </si>
  <si>
    <t>vulva flap</t>
  </si>
  <si>
    <t>https://nematode.unl.edu/cdiscuspara5.jpg</t>
  </si>
  <si>
    <t>https://nematode.unl.edu/cdiscuspara6.jpg</t>
  </si>
  <si>
    <t>https://nematode.unl.edu/cdiscuspara7.jpg</t>
  </si>
  <si>
    <t>https://nematode.unl.edu/cdiscuspara8.jpg</t>
  </si>
  <si>
    <t>https://nematode.unl.edu/cdiscuspara9.jpg</t>
  </si>
  <si>
    <t>https://nematode.unl.edu/medisdo1.jpg</t>
  </si>
  <si>
    <t>https://nematode.unl.edu/medisdo2.jpg</t>
  </si>
  <si>
    <t>https://nematode.unl.edu/medisdo3.jpg</t>
  </si>
  <si>
    <t>https://nematode.unl.edu/medisdo4.jpg</t>
  </si>
  <si>
    <t>https://nematode.unl.edu/mesodisc1.jpg</t>
  </si>
  <si>
    <t>https://nematode.unl.edu/mesodisc10.jpg</t>
  </si>
  <si>
    <t>https://nematode.unl.edu/mesodisc11.jpg</t>
  </si>
  <si>
    <t>https://nematode.unl.edu/mesodisc12.jpg</t>
  </si>
  <si>
    <t>https://nematode.unl.edu/mesodisc13.jpg</t>
  </si>
  <si>
    <t>https://nematode.unl.edu/mesodisc14.jpg</t>
  </si>
  <si>
    <t>https://nematode.unl.edu/mesodisc15.jpg</t>
  </si>
  <si>
    <t>https://nematode.unl.edu/mesodisc16.jpg</t>
  </si>
  <si>
    <t>https://nematode.unl.edu/mesodisc17.jpg</t>
  </si>
  <si>
    <t>https://nematode.unl.edu/mesodisc18.jpg</t>
  </si>
  <si>
    <t>https://nematode.unl.edu/mesodisc19.jpg</t>
  </si>
  <si>
    <t>https://nematode.unl.edu/mesodisc2.jpg</t>
  </si>
  <si>
    <t>https://nematode.unl.edu/mesodisc20.jpg</t>
  </si>
  <si>
    <t>https://nematode.unl.edu/mesodisc21.jpg</t>
  </si>
  <si>
    <t>https://nematode.unl.edu/mesodisc22.jpg</t>
  </si>
  <si>
    <t>https://nematode.unl.edu/mesodisc23.jpg</t>
  </si>
  <si>
    <t>https://nematode.unl.edu/mesodisc24.jpg</t>
  </si>
  <si>
    <t>https://nematode.unl.edu/mesodisc25.jpg</t>
  </si>
  <si>
    <t>https://nematode.unl.edu/mesodisc26.jpg</t>
  </si>
  <si>
    <t>https://nematode.unl.edu/mesodisc27.jpg</t>
  </si>
  <si>
    <t>https://nematode.unl.edu/mesodisc28.jpg</t>
  </si>
  <si>
    <t>https://nematode.unl.edu/mesodisc29.jpg</t>
  </si>
  <si>
    <t>https://nematode.unl.edu/mesodisc3.jpg</t>
  </si>
  <si>
    <t>https://nematode.unl.edu/mesodisc30.jpg</t>
  </si>
  <si>
    <t>https://nematode.unl.edu/mesodisc31.jpg</t>
  </si>
  <si>
    <t>https://nematode.unl.edu/mesodisc32.jpg</t>
  </si>
  <si>
    <t>https://nematode.unl.edu/mesodisc33.jpg</t>
  </si>
  <si>
    <t>face view</t>
  </si>
  <si>
    <t>https://nematode.unl.edu/mesodisc34.jpg</t>
  </si>
  <si>
    <t>https://nematode.unl.edu/mesodisc35.jpg</t>
  </si>
  <si>
    <t>https://nematode.unl.edu/mesodisc36.jpg</t>
  </si>
  <si>
    <t>https://nematode.unl.edu/mesodisc37.jpg</t>
  </si>
  <si>
    <t>https://nematode.unl.edu/mesodisc38.jpg</t>
  </si>
  <si>
    <t>https://nematode.unl.edu/mesodisc39.jpg</t>
  </si>
  <si>
    <t>https://nematode.unl.edu/mesodisc4.jpg</t>
  </si>
  <si>
    <t>https://nematode.unl.edu/mesodisc5.jpg</t>
  </si>
  <si>
    <t>https://nematode.unl.edu/mesodisc6.jpg</t>
  </si>
  <si>
    <t>https://nematode.unl.edu/mesodisc7.jpg</t>
  </si>
  <si>
    <t>https://nematode.unl.edu/mesodisc9.jpg</t>
  </si>
  <si>
    <t>https://nematode.unl.edu/crickalsow1.jpg</t>
  </si>
  <si>
    <t>Mesocriconema inaratum</t>
  </si>
  <si>
    <t>https://nematode.unl.edu/crickalsow10.jpg</t>
  </si>
  <si>
    <t>https://nematode.unl.edu/crickalsow11.jpg</t>
  </si>
  <si>
    <t>https://nematode.unl.edu/crickalsow12.jpg</t>
  </si>
  <si>
    <t>https://nematode.unl.edu/crickalsow13.jpg</t>
  </si>
  <si>
    <t>https://nematode.unl.edu/crickalsow14.jpg</t>
  </si>
  <si>
    <t>https://nematode.unl.edu/crickalsow15.jpg</t>
  </si>
  <si>
    <t>https://nematode.unl.edu/crickalsow16.jpg</t>
  </si>
  <si>
    <t>https://nematode.unl.edu/crickalsow17.jpg</t>
  </si>
  <si>
    <t>tail (ventral)</t>
  </si>
  <si>
    <t>https://nematode.unl.edu/crickalsow18.jpg</t>
  </si>
  <si>
    <t>tail (lateral)</t>
  </si>
  <si>
    <t>https://nematode.unl.edu/crickalsow19.jpg</t>
  </si>
  <si>
    <t>https://nematode.unl.edu/crickalsow2.jpg</t>
  </si>
  <si>
    <t>https://nematode.unl.edu/crickalsow20.jpg</t>
  </si>
  <si>
    <t>https://nematode.unl.edu/crickalsow25.jpg</t>
  </si>
  <si>
    <t>https://nematode.unl.edu/crickalsow26.jpg</t>
  </si>
  <si>
    <t>https://nematode.unl.edu/crickalsow27.jpg</t>
  </si>
  <si>
    <t>https://nematode.unl.edu/crickalsow3.jpg</t>
  </si>
  <si>
    <t>https://nematode.unl.edu/crickalsow4.jpg</t>
  </si>
  <si>
    <t>https://nematode.unl.edu/crickalsow6.jpg</t>
  </si>
  <si>
    <t>https://nematode.unl.edu/crickalsow7.jpg</t>
  </si>
  <si>
    <t>https://nematode.unl.edu/crickalsow8.jpg</t>
  </si>
  <si>
    <t>https://nematode.unl.edu/crickalsow9.jpg</t>
  </si>
  <si>
    <t>https://nematode.unl.edu/discinarty1.jpg</t>
  </si>
  <si>
    <t>https://nematode.unl.edu/discinarty2.jpg</t>
  </si>
  <si>
    <t>https://nematode.unl.edu/discinarty3.jpg</t>
  </si>
  <si>
    <t>https://nematode.unl.edu/discinarty4.jpg</t>
  </si>
  <si>
    <t>https://nematode.unl.edu/discinarty5.jpg</t>
  </si>
  <si>
    <t>https://nematode.unl.edu/discinarty6.jpg</t>
  </si>
  <si>
    <t>https://nematode.unl.edu/discinarty7.jpg</t>
  </si>
  <si>
    <t>tail anastomosis</t>
  </si>
  <si>
    <t>https://nematode.unl.edu/discinarty8.jpg</t>
  </si>
  <si>
    <t>https://nematode.unl.edu/discoina1.jpg</t>
  </si>
  <si>
    <t>https://nematode.unl.edu/discoina2.jpg</t>
  </si>
  <si>
    <t>https://nematode.unl.edu/discoina3.jpg</t>
  </si>
  <si>
    <t>https://nematode.unl.edu/discoina4.jpg</t>
  </si>
  <si>
    <t>labial disc</t>
  </si>
  <si>
    <t>https://nematode.unl.edu/discoina5.jpg</t>
  </si>
  <si>
    <t>https://nematode.unl.edu/discoina6.jpg</t>
  </si>
  <si>
    <t>https://nematode.unl.edu/discoina7.jpg</t>
  </si>
  <si>
    <t>https://nematode.unl.edu/mackals1.jpg</t>
  </si>
  <si>
    <t>https://nematode.unl.edu/mackals2.jpg</t>
  </si>
  <si>
    <t>https://nematode.unl.edu/mackals3.jpg</t>
  </si>
  <si>
    <t>https://nematode.unl.edu/mackals4.jpg</t>
  </si>
  <si>
    <t>https://nematode.unl.edu/macurv1.jpg</t>
  </si>
  <si>
    <t>https://nematode.unl.edu/macurv2.jpg</t>
  </si>
  <si>
    <t>https://nematode.unl.edu/macurv3.jpg</t>
  </si>
  <si>
    <t>https://nematode.unl.edu/macurv4.jpg</t>
  </si>
  <si>
    <t>https://nematode.unl.edu/macurv5.jpg</t>
  </si>
  <si>
    <t>https://nematode.unl.edu/macurv6.jpg</t>
  </si>
  <si>
    <t>https://nematode.unl.edu/macurv7.jpg</t>
  </si>
  <si>
    <t>https://nematode.unl.edu/macurv8.jpg</t>
  </si>
  <si>
    <t>https://nematode.unl.edu/macurv9.jpg</t>
  </si>
  <si>
    <t>https://nematode.unl.edu/meinacreek1.jpg</t>
  </si>
  <si>
    <t>https://nematode.unl.edu/meinacreek2.jpg</t>
  </si>
  <si>
    <t>https://nematode.unl.edu/mesocrin1.jpg</t>
  </si>
  <si>
    <t>https://nematode.unl.edu/mesocrin10.jpg</t>
  </si>
  <si>
    <t>https://nematode.unl.edu/mesocrin11.jpg</t>
  </si>
  <si>
    <t>https://nematode.unl.edu/mesocrin12.jpg</t>
  </si>
  <si>
    <t>https://nematode.unl.edu/mesocrin13.jpg</t>
  </si>
  <si>
    <t>https://nematode.unl.edu/mesocrin14.jpg</t>
  </si>
  <si>
    <t>https://nematode.unl.edu/mesocrin15.jpg</t>
  </si>
  <si>
    <t>https://nematode.unl.edu/mesocrin16.jpg</t>
  </si>
  <si>
    <t>https://nematode.unl.edu/mesocrin17.jpg</t>
  </si>
  <si>
    <t>https://nematode.unl.edu/mesocrin18.jpg</t>
  </si>
  <si>
    <t>https://nematode.unl.edu/mesocrin19.jpg</t>
  </si>
  <si>
    <t>https://nematode.unl.edu/mesocrin2.jpg</t>
  </si>
  <si>
    <t>https://nematode.unl.edu/mesocrin20.jpg</t>
  </si>
  <si>
    <t>https://nematode.unl.edu/mesocrin21.jpg</t>
  </si>
  <si>
    <t>https://nematode.unl.edu/mesocrin22.jpg</t>
  </si>
  <si>
    <t>https://nematode.unl.edu/mesocrin23.jpg</t>
  </si>
  <si>
    <t>https://nematode.unl.edu/mesocrin24.jpg</t>
  </si>
  <si>
    <t>https://nematode.unl.edu/mesocrin25.jpg</t>
  </si>
  <si>
    <t>https://nematode.unl.edu/mesocrin26.jpg</t>
  </si>
  <si>
    <t>https://nematode.unl.edu/mesocrin3.jpg</t>
  </si>
  <si>
    <t>https://nematode.unl.edu/mesocrin32.jpg</t>
  </si>
  <si>
    <t>https://nematode.unl.edu/mesocrin33.jpg</t>
  </si>
  <si>
    <t>https://nematode.unl.edu/mesocrin34.jpg</t>
  </si>
  <si>
    <t>https://nematode.unl.edu/mesocrin35.jpg</t>
  </si>
  <si>
    <t>https://nematode.unl.edu/mesocrin36.jpg</t>
  </si>
  <si>
    <t>https://nematode.unl.edu/mesocrin37.jpg</t>
  </si>
  <si>
    <t>https://nematode.unl.edu/mesocrin38.jpg</t>
  </si>
  <si>
    <t>https://nematode.unl.edu/mesocrin39.jpg</t>
  </si>
  <si>
    <t>https://nematode.unl.edu/mesocrin4.jpg</t>
  </si>
  <si>
    <t>https://nematode.unl.edu/mesocrin40.jpg</t>
  </si>
  <si>
    <t>https://nematode.unl.edu/mesocrin41.jpg</t>
  </si>
  <si>
    <t>https://nematode.unl.edu/mesocrin42.jpg</t>
  </si>
  <si>
    <t>https://nematode.unl.edu/mesocrin43.jpg</t>
  </si>
  <si>
    <t>https://nematode.unl.edu/mesocrin44.jpg</t>
  </si>
  <si>
    <t>https://nematode.unl.edu/mesocrin45.jpg</t>
  </si>
  <si>
    <t>https://nematode.unl.edu/mesocrin46.jpg</t>
  </si>
  <si>
    <t>https://nematode.unl.edu/mesocrin47.jpg</t>
  </si>
  <si>
    <t>https://nematode.unl.edu/mesocrin48.jpg</t>
  </si>
  <si>
    <t>https://nematode.unl.edu/mesocrin49.jpg</t>
  </si>
  <si>
    <t>https://nematode.unl.edu/mesocrin5.jpg</t>
  </si>
  <si>
    <t>https://nematode.unl.edu/mesocrin50.jpg</t>
  </si>
  <si>
    <t>https://nematode.unl.edu/mesocrin51.jpg</t>
  </si>
  <si>
    <t>https://nematode.unl.edu/mesocrin52.jpg</t>
  </si>
  <si>
    <t>https://nematode.unl.edu/mesocrin53.jpg</t>
  </si>
  <si>
    <t>https://nematode.unl.edu/mesocrin54.jpg</t>
  </si>
  <si>
    <t>https://nematode.unl.edu/mesocrin55.jpg</t>
  </si>
  <si>
    <t>https://nematode.unl.edu/mesocrin56.jpg</t>
  </si>
  <si>
    <t>https://nematode.unl.edu/mesocrin57.jpg</t>
  </si>
  <si>
    <t>https://nematode.unl.edu/mesocrin58.jpg</t>
  </si>
  <si>
    <t>https://nematode.unl.edu/mesocrin59.jpg</t>
  </si>
  <si>
    <t>https://nematode.unl.edu/mesocrin6.jpg</t>
  </si>
  <si>
    <t>https://nematode.unl.edu/mesocrin60.jpg</t>
  </si>
  <si>
    <t>https://nematode.unl.edu/mesocrin61.jpg</t>
  </si>
  <si>
    <t>https://nematode.unl.edu/mesocrin62.jpg</t>
  </si>
  <si>
    <t>https://nematode.unl.edu/mesocrin63.jpg</t>
  </si>
  <si>
    <t>https://nematode.unl.edu/mesocrin64.jpg</t>
  </si>
  <si>
    <t>https://nematode.unl.edu/mesocrin65.jpg</t>
  </si>
  <si>
    <t>https://nematode.unl.edu/mesocrin66.jpg</t>
  </si>
  <si>
    <t>https://nematode.unl.edu/mesocrin67.jpg</t>
  </si>
  <si>
    <t>https://nematode.unl.edu/mesocrin68.jpg</t>
  </si>
  <si>
    <t>https://nematode.unl.edu/mesocrin69.jpg</t>
  </si>
  <si>
    <t>https://nematode.unl.edu/mesocrin7.jpg</t>
  </si>
  <si>
    <t>https://nematode.unl.edu/mesocrin70.jpg</t>
  </si>
  <si>
    <t>https://nematode.unl.edu/mesocrin71.jpg</t>
  </si>
  <si>
    <t>https://nematode.unl.edu/mesocrin72.jpg</t>
  </si>
  <si>
    <t>https://nematode.unl.edu/mesocrin73.jpg</t>
  </si>
  <si>
    <t>https://nematode.unl.edu/mesocrin74.jpg</t>
  </si>
  <si>
    <t>https://nematode.unl.edu/mesocrin75.jpg</t>
  </si>
  <si>
    <t>https://nematode.unl.edu/mesocrin76.jpg</t>
  </si>
  <si>
    <t>https://nematode.unl.edu/mesocrin77.jpg</t>
  </si>
  <si>
    <t>https://nematode.unl.edu/mesocrin78.jpg</t>
  </si>
  <si>
    <t>https://nematode.unl.edu/mesocrin79.jpg</t>
  </si>
  <si>
    <t>https://nematode.unl.edu/mesocrin8.jpg</t>
  </si>
  <si>
    <t>https://nematode.unl.edu/mesocrin80.jpg</t>
  </si>
  <si>
    <t>https://nematode.unl.edu/mesocrin81.jpg</t>
  </si>
  <si>
    <t>https://nematode.unl.edu/mesocrin82.jpg</t>
  </si>
  <si>
    <t>https://nematode.unl.edu/mesocrin83.jpg</t>
  </si>
  <si>
    <t>https://nematode.unl.edu/mesocrin84.jpg</t>
  </si>
  <si>
    <t>https://nematode.unl.edu/mesocrin85.jpg</t>
  </si>
  <si>
    <t>https://nematode.unl.edu/mesocrin86.jpg</t>
  </si>
  <si>
    <t>https://nematode.unl.edu/mesocrin87.jpg</t>
  </si>
  <si>
    <t>https://nematode.unl.edu/mesocrin88.jpg</t>
  </si>
  <si>
    <t>switchgrass</t>
  </si>
  <si>
    <t>https://nematode.unl.edu/mesocrin89.jpg</t>
  </si>
  <si>
    <t>https://nematode.unl.edu/mesocrin9.jpg</t>
  </si>
  <si>
    <t>https://nematode.unl.edu/mesocrin90.jpg</t>
  </si>
  <si>
    <t>https://nematode.unl.edu/mesocrin91.jpg</t>
  </si>
  <si>
    <t>https://nematode.unl.edu/mesocrin92.jpg</t>
  </si>
  <si>
    <t>https://nematode.unl.edu/mesocrin93.jpg</t>
  </si>
  <si>
    <t>https://nematode.unl.edu/meckroth1.jpg</t>
  </si>
  <si>
    <t>dicots</t>
  </si>
  <si>
    <t>https://nematode.unl.edu/meckroth10.jpg</t>
  </si>
  <si>
    <t>https://nematode.unl.edu/meckroth11.jpg</t>
  </si>
  <si>
    <t>https://nematode.unl.edu/meckroth12.jpg</t>
  </si>
  <si>
    <t>https://nematode.unl.edu/meckroth15.jpg</t>
  </si>
  <si>
    <t>https://nematode.unl.edu/meckroth16.jpg</t>
  </si>
  <si>
    <t>https://nematode.unl.edu/meckroth17.jpg</t>
  </si>
  <si>
    <t>https://nematode.unl.edu/meckroth18.jpg</t>
  </si>
  <si>
    <t>https://nematode.unl.edu/meckroth2.jpg</t>
  </si>
  <si>
    <t>https://nematode.unl.edu/meckroth20.jpg</t>
  </si>
  <si>
    <t>https://nematode.unl.edu/meckroth21.jpg</t>
  </si>
  <si>
    <t>https://nematode.unl.edu/meckroth22.jpg</t>
  </si>
  <si>
    <t>https://nematode.unl.edu/meckroth23.jpg</t>
  </si>
  <si>
    <t>https://nematode.unl.edu/meckroth24.jpg</t>
  </si>
  <si>
    <t>https://nematode.unl.edu/meckroth25.jpg</t>
  </si>
  <si>
    <t>https://nematode.unl.edu/meckroth26.jpg</t>
  </si>
  <si>
    <t>https://nematode.unl.edu/meckroth27.jpg</t>
  </si>
  <si>
    <t>https://nematode.unl.edu/meckroth3.jpg</t>
  </si>
  <si>
    <t>https://nematode.unl.edu/meckroth4.jpg</t>
  </si>
  <si>
    <t>https://nematode.unl.edu/meckroth5.jpg</t>
  </si>
  <si>
    <t>https://nematode.unl.edu/meckroth6.jpg</t>
  </si>
  <si>
    <t>https://nematode.unl.edu/meckroth7.jpg</t>
  </si>
  <si>
    <t>https://nematode.unl.edu/meckroth8.jpg</t>
  </si>
  <si>
    <t>https://nematode.unl.edu/meckroth9.jpg</t>
  </si>
  <si>
    <t>https://nematode.unl.edu/mesono1.jpg</t>
  </si>
  <si>
    <t>Auburn, Alabama</t>
  </si>
  <si>
    <t>turf plots</t>
  </si>
  <si>
    <t>Mesocriconema onoense</t>
  </si>
  <si>
    <t>https://nematode.unl.edu/mesono10.jpg</t>
  </si>
  <si>
    <t>https://nematode.unl.edu/mesono11.jpg</t>
  </si>
  <si>
    <t>https://nematode.unl.edu/mesono12.jpg</t>
  </si>
  <si>
    <t>https://nematode.unl.edu/mesono13.jpg</t>
  </si>
  <si>
    <t>https://nematode.unl.edu/mesono14.jpg</t>
  </si>
  <si>
    <t>https://nematode.unl.edu/mesono15.jpg</t>
  </si>
  <si>
    <t>https://nematode.unl.edu/mesono16.jpg</t>
  </si>
  <si>
    <t>https://nematode.unl.edu/mesono17.jpg</t>
  </si>
  <si>
    <t>https://nematode.unl.edu/mesono18.jpg</t>
  </si>
  <si>
    <t>https://nematode.unl.edu/mesono19.jpg</t>
  </si>
  <si>
    <t>https://nematode.unl.edu/mesono2.jpg</t>
  </si>
  <si>
    <t>https://nematode.unl.edu/mesono20.jpg</t>
  </si>
  <si>
    <t>https://nematode.unl.edu/mesono21.jpg</t>
  </si>
  <si>
    <t>https://nematode.unl.edu/mesono22.jpg</t>
  </si>
  <si>
    <t>https://nematode.unl.edu/mesono23.jpg</t>
  </si>
  <si>
    <t>https://nematode.unl.edu/mesono24.jpg</t>
  </si>
  <si>
    <t>https://nematode.unl.edu/mesono25.jpg</t>
  </si>
  <si>
    <t>https://nematode.unl.edu/mesono3.jpg</t>
  </si>
  <si>
    <t>https://nematode.unl.edu/mesono4.jpg</t>
  </si>
  <si>
    <t>https://nematode.unl.edu/mesono5.jpg</t>
  </si>
  <si>
    <t>https://nematode.unl.edu/mesono6.jpg</t>
  </si>
  <si>
    <t>https://nematode.unl.edu/mesono7.jpg</t>
  </si>
  <si>
    <t>https://nematode.unl.edu/mesono8.jpg</t>
  </si>
  <si>
    <t>https://nematode.unl.edu/mesono9.jpg</t>
  </si>
  <si>
    <t>https://nematode.unl.edu/mesohaig1.jpg</t>
  </si>
  <si>
    <t>Haig Point, South Carolina</t>
  </si>
  <si>
    <t>Mesocriconema ornatum</t>
  </si>
  <si>
    <t>https://nematode.unl.edu/mesohaig10.jpg</t>
  </si>
  <si>
    <t>https://nematode.unl.edu/mesohaig11.jpg</t>
  </si>
  <si>
    <t>https://nematode.unl.edu/mesohaig12.jpg</t>
  </si>
  <si>
    <t>https://nematode.unl.edu/mesohaig13.jpg</t>
  </si>
  <si>
    <t>https://nematode.unl.edu/mesohaig14.jpg</t>
  </si>
  <si>
    <t>https://nematode.unl.edu/mesohaig15.jpg</t>
  </si>
  <si>
    <t>https://nematode.unl.edu/mesohaig16.jpg</t>
  </si>
  <si>
    <t>https://nematode.unl.edu/mesohaig17.jpg</t>
  </si>
  <si>
    <t>https://nematode.unl.edu/mesohaig18.jpg</t>
  </si>
  <si>
    <t>https://nematode.unl.edu/mesohaig19.jpg</t>
  </si>
  <si>
    <t>https://nematode.unl.edu/mesohaig2.jpg</t>
  </si>
  <si>
    <t>https://nematode.unl.edu/mesohaig20.jpg</t>
  </si>
  <si>
    <t>https://nematode.unl.edu/mesohaig21.jpg</t>
  </si>
  <si>
    <t>https://nematode.unl.edu/mesohaig22.jpg</t>
  </si>
  <si>
    <t>https://nematode.unl.edu/mesohaig23.jpg</t>
  </si>
  <si>
    <t>https://nematode.unl.edu/mesohaig24.jpg</t>
  </si>
  <si>
    <t>https://nematode.unl.edu/mesohaig25.jpg</t>
  </si>
  <si>
    <t>https://nematode.unl.edu/mesohaig26.jpg</t>
  </si>
  <si>
    <t>https://nematode.unl.edu/mesohaig27.jpg</t>
  </si>
  <si>
    <t>https://nematode.unl.edu/mesohaig28.jpg</t>
  </si>
  <si>
    <t>https://nematode.unl.edu/mesohaig29.jpg</t>
  </si>
  <si>
    <t>https://nematode.unl.edu/mesohaig3.jpg</t>
  </si>
  <si>
    <t>https://nematode.unl.edu/mesohaig4.jpg</t>
  </si>
  <si>
    <t>https://nematode.unl.edu/mesohaig5.jpg</t>
  </si>
  <si>
    <t>https://nematode.unl.edu/mesohaig6.jpg</t>
  </si>
  <si>
    <t>https://nematode.unl.edu/mesohaig7.jpg</t>
  </si>
  <si>
    <t>https://nematode.unl.edu/mesohaig8.jpg</t>
  </si>
  <si>
    <t>https://nematode.unl.edu/mesohaig9.jpg</t>
  </si>
  <si>
    <t>https://nematode.unl.edu/mesorna1.jpg</t>
  </si>
  <si>
    <t>Byron, Georgia</t>
  </si>
  <si>
    <t>Bermuda grass</t>
  </si>
  <si>
    <t>https://nematode.unl.edu/mesorna10.jpg</t>
  </si>
  <si>
    <t>https://nematode.unl.edu/mesorna11.jpg</t>
  </si>
  <si>
    <t>https://nematode.unl.edu/mesorna12.jpg</t>
  </si>
  <si>
    <t>https://nematode.unl.edu/mesorna13.jpg</t>
  </si>
  <si>
    <t>https://nematode.unl.edu/mesorna14.jpg</t>
  </si>
  <si>
    <t>https://nematode.unl.edu/mesorna15.jpg</t>
  </si>
  <si>
    <t>https://nematode.unl.edu/mesorna16.jpg</t>
  </si>
  <si>
    <t>https://nematode.unl.edu/mesorna17.jpg</t>
  </si>
  <si>
    <t>https://nematode.unl.edu/mesorna18.jpg</t>
  </si>
  <si>
    <t>https://nematode.unl.edu/mesorna19.jpg</t>
  </si>
  <si>
    <t>https://nematode.unl.edu/mesorna2.jpg</t>
  </si>
  <si>
    <t>https://nematode.unl.edu/mesorna20.jpg</t>
  </si>
  <si>
    <t>https://nematode.unl.edu/mesorna21.jpg</t>
  </si>
  <si>
    <t>https://nematode.unl.edu/mesorna22.jpg</t>
  </si>
  <si>
    <t>https://nematode.unl.edu/mesorna23.jpg</t>
  </si>
  <si>
    <t>https://nematode.unl.edu/mesorna24.jpg</t>
  </si>
  <si>
    <t>https://nematode.unl.edu/mesorna3.jpg</t>
  </si>
  <si>
    <t>https://nematode.unl.edu/mesorna4.jpg</t>
  </si>
  <si>
    <t>https://nematode.unl.edu/mesorna5.jpg</t>
  </si>
  <si>
    <t>https://nematode.unl.edu/mesorna6.jpg</t>
  </si>
  <si>
    <t>https://nematode.unl.edu/mesorna7.jpg</t>
  </si>
  <si>
    <t>https://nematode.unl.edu/mesorna8.jpg</t>
  </si>
  <si>
    <t>https://nematode.unl.edu/mesorna9.jpg</t>
  </si>
  <si>
    <t>vulva-anterior projection</t>
  </si>
  <si>
    <t>https://nematode.unl.edu/mesornate1.jpg</t>
  </si>
  <si>
    <t>https://nematode.unl.edu/mesornate10.jpg</t>
  </si>
  <si>
    <t>https://nematode.unl.edu/mesornate11.jpg</t>
  </si>
  <si>
    <t>https://nematode.unl.edu/mesornate12.jpg</t>
  </si>
  <si>
    <t>https://nematode.unl.edu/mesornate13.jpg</t>
  </si>
  <si>
    <t>https://nematode.unl.edu/mesornate2.jpg</t>
  </si>
  <si>
    <t>https://nematode.unl.edu/mesornate3.jpg</t>
  </si>
  <si>
    <t>https://nematode.unl.edu/mesornate4.jpg</t>
  </si>
  <si>
    <t>https://nematode.unl.edu/mesornate5.jpg</t>
  </si>
  <si>
    <t>https://nematode.unl.edu/mesornate6.jpg</t>
  </si>
  <si>
    <t>https://nematode.unl.edu/mesornate7.jpg</t>
  </si>
  <si>
    <t>https://nematode.unl.edu/mesornate8.jpg</t>
  </si>
  <si>
    <t>https://nematode.unl.edu/mesornate9.jpg</t>
  </si>
  <si>
    <t>https://nematode.unl.edu/mesorpe1.jpg</t>
  </si>
  <si>
    <t>Alabama</t>
  </si>
  <si>
    <t>peach</t>
  </si>
  <si>
    <t>https://nematode.unl.edu/mesorpe10.jpg</t>
  </si>
  <si>
    <t>https://nematode.unl.edu/mesorpe11.jpg</t>
  </si>
  <si>
    <t>open vulva</t>
  </si>
  <si>
    <t>https://nematode.unl.edu/mesorpe12.jpg</t>
  </si>
  <si>
    <t>https://nematode.unl.edu/mesorpe13.jpg</t>
  </si>
  <si>
    <t>https://nematode.unl.edu/mesorpe14.jpg</t>
  </si>
  <si>
    <t>https://nematode.unl.edu/mesorpe15.jpg</t>
  </si>
  <si>
    <t>https://nematode.unl.edu/mesorpe16.jpg</t>
  </si>
  <si>
    <t>https://nematode.unl.edu/mesorpe17.jpg</t>
  </si>
  <si>
    <t>https://nematode.unl.edu/mesorpe18.jpg</t>
  </si>
  <si>
    <t>https://nematode.unl.edu/mesorpe19.jpg</t>
  </si>
  <si>
    <t>https://nematode.unl.edu/mesorpe2.jpg</t>
  </si>
  <si>
    <t>https://nematode.unl.edu/mesorpe3.jpg</t>
  </si>
  <si>
    <t>https://nematode.unl.edu/mesorpe4.jpg</t>
  </si>
  <si>
    <t>https://nematode.unl.edu/mesorpe5.jpg</t>
  </si>
  <si>
    <t>https://nematode.unl.edu/mesorpe6.jpg</t>
  </si>
  <si>
    <t>https://nematode.unl.edu/mesorpe7.jpg</t>
  </si>
  <si>
    <t>https://nematode.unl.edu/mesorpe8.jpg</t>
  </si>
  <si>
    <t>https://nematode.unl.edu/mesorpe9.jpg</t>
  </si>
  <si>
    <t>https://nematode.unl.edu/mornams1.jpg</t>
  </si>
  <si>
    <t>Lowndes County, Mississippi</t>
  </si>
  <si>
    <t>https://nematode.unl.edu/mornams10.jpg</t>
  </si>
  <si>
    <t>https://nematode.unl.edu/mornams11.jpg</t>
  </si>
  <si>
    <t>https://nematode.unl.edu/mornams12.jpg</t>
  </si>
  <si>
    <t>https://nematode.unl.edu/mornams2.jpg</t>
  </si>
  <si>
    <t>https://nematode.unl.edu/mornams3.jpg</t>
  </si>
  <si>
    <t>https://nematode.unl.edu/mornams4.jpg</t>
  </si>
  <si>
    <t>https://nematode.unl.edu/mornams5.jpg</t>
  </si>
  <si>
    <t>https://nematode.unl.edu/mornams6.jpg</t>
  </si>
  <si>
    <t>https://nematode.unl.edu/mornams7.jpg</t>
  </si>
  <si>
    <t>https://nematode.unl.edu/mornams8.jpg</t>
  </si>
  <si>
    <t>https://nematode.unl.edu/mornams9.jpg</t>
  </si>
  <si>
    <t>https://nematode.unl.edu/mesopsibb1.jpg</t>
  </si>
  <si>
    <t>prairie Plot 3 Li</t>
  </si>
  <si>
    <t>Mesocriconema pseudosolivagum</t>
  </si>
  <si>
    <t>https://nematode.unl.edu/mesopsibb2.jpg</t>
  </si>
  <si>
    <t>https://nematode.unl.edu/mesopsibb3.jpg</t>
  </si>
  <si>
    <t>https://nematode.unl.edu/mesopsibb4.jpg</t>
  </si>
  <si>
    <t>https://nematode.unl.edu/mesopsibb5.jpg</t>
  </si>
  <si>
    <t>https://nematode.unl.edu/mesopsibb6.jpg</t>
  </si>
  <si>
    <t>https://nematode.unl.edu/mesopsibb7.jpg</t>
  </si>
  <si>
    <t>https://nematode.unl.edu/mesopsibb8.jpg</t>
  </si>
  <si>
    <t>https://nematode.unl.edu/cdisc1.jpg</t>
  </si>
  <si>
    <t>Mesocriconema rusticum</t>
  </si>
  <si>
    <t>https://nematode.unl.edu/cdisc2.jpg</t>
  </si>
  <si>
    <t>https://nematode.unl.edu/cdisc3.jpg</t>
  </si>
  <si>
    <t>https://nematode.unl.edu/cdisc4.jpg</t>
  </si>
  <si>
    <t>https://nematode.unl.edu/cricome1.jpg</t>
  </si>
  <si>
    <t>Waldo, Maine</t>
  </si>
  <si>
    <t>https://nematode.unl.edu/cricome2.jpg</t>
  </si>
  <si>
    <t>https://nematode.unl.edu/cricome3.jpg</t>
  </si>
  <si>
    <t>https://nematode.unl.edu/cricome4.jpg</t>
  </si>
  <si>
    <t>https://nematode.unl.edu/cricout10.jpg</t>
  </si>
  <si>
    <t>Rich County, Utah</t>
  </si>
  <si>
    <t>https://nematode.unl.edu/cricout11.jpg</t>
  </si>
  <si>
    <t>https://nematode.unl.edu/cricout6.jpg</t>
  </si>
  <si>
    <t>https://nematode.unl.edu/cricout7.jpg</t>
  </si>
  <si>
    <t>https://nematode.unl.edu/cricout8.jpg</t>
  </si>
  <si>
    <t>https://nematode.unl.edu/cricout9.jpg</t>
  </si>
  <si>
    <t>https://nematode.unl.edu/cricov1.jpg</t>
  </si>
  <si>
    <t>Lamoille County, vegetable field,  Vermont</t>
  </si>
  <si>
    <t>https://nematode.unl.edu/cricov2.jpg</t>
  </si>
  <si>
    <t xml:space="preserve">female </t>
  </si>
  <si>
    <t>https://nematode.unl.edu/cricov3.jpg</t>
  </si>
  <si>
    <t>https://nematode.unl.edu/cricov4.jpg</t>
  </si>
  <si>
    <t>https://nematode.unl.edu/merus1.jpg</t>
  </si>
  <si>
    <t>https://nematode.unl.edu/merus10.jpg</t>
  </si>
  <si>
    <t>https://nematode.unl.edu/merus11.jpg</t>
  </si>
  <si>
    <t>https://nematode.unl.edu/merus12.jpg</t>
  </si>
  <si>
    <t>https://nematode.unl.edu/merus13.jpg</t>
  </si>
  <si>
    <t>https://nematode.unl.edu/merus14.jpg</t>
  </si>
  <si>
    <t>https://nematode.unl.edu/merus15.jpg</t>
  </si>
  <si>
    <t>Little bluestem/Scribners panacicum</t>
  </si>
  <si>
    <t>https://nematode.unl.edu/merus16.jpg</t>
  </si>
  <si>
    <t>https://nematode.unl.edu/merus17.jpg</t>
  </si>
  <si>
    <t>https://nematode.unl.edu/merus18.jpg</t>
  </si>
  <si>
    <t>https://nematode.unl.edu/merus19.jpg</t>
  </si>
  <si>
    <t>Little bluestem/Big bluestem</t>
  </si>
  <si>
    <t>https://nematode.unl.edu/merus2.jpg</t>
  </si>
  <si>
    <t>https://nematode.unl.edu/merus20.jpg</t>
  </si>
  <si>
    <t>https://nematode.unl.edu/merus21.jpg</t>
  </si>
  <si>
    <t>https://nematode.unl.edu/merus22.jpg</t>
  </si>
  <si>
    <t>https://nematode.unl.edu/merus23.jpg</t>
  </si>
  <si>
    <t>https://nematode.unl.edu/merus24.jpg</t>
  </si>
  <si>
    <t>https://nematode.unl.edu/merus25.jpg</t>
  </si>
  <si>
    <t>https://nematode.unl.edu/merus26.jpg</t>
  </si>
  <si>
    <t>https://nematode.unl.edu/merus27.jpg</t>
  </si>
  <si>
    <t>https://nematode.unl.edu/merus3.jpg</t>
  </si>
  <si>
    <t>https://nematode.unl.edu/merus4.jpg</t>
  </si>
  <si>
    <t>https://nematode.unl.edu/merus5.jpg</t>
  </si>
  <si>
    <t>https://nematode.unl.edu/merus6.jpg</t>
  </si>
  <si>
    <t>https://nematode.unl.edu/merus7.jpg</t>
  </si>
  <si>
    <t>https://nematode.unl.edu/merus8.jpg</t>
  </si>
  <si>
    <t>https://nematode.unl.edu/merus9.jpg</t>
  </si>
  <si>
    <t>https://nematode.unl.edu/merushim1.jpg</t>
  </si>
  <si>
    <t>Shimek State Forest, Iowa</t>
  </si>
  <si>
    <t>white oak</t>
  </si>
  <si>
    <t>https://nematode.unl.edu/merushim2.jpg</t>
  </si>
  <si>
    <t>https://nematode.unl.edu/merushim3.jpg</t>
  </si>
  <si>
    <t>https://nematode.unl.edu/merushim4.jpg</t>
  </si>
  <si>
    <t>https://nematode.unl.edu/merushim5.jpg</t>
  </si>
  <si>
    <t>https://nematode.unl.edu/merushim6.jpg</t>
  </si>
  <si>
    <t>https://nematode.unl.edu/merushim7.jpg</t>
  </si>
  <si>
    <t>https://nematode.unl.edu/merushim8.jpg</t>
  </si>
  <si>
    <t>https://nematode.unl.edu/meruwp1.jpg</t>
  </si>
  <si>
    <t>https://nematode.unl.edu/meruwp2.jpg</t>
  </si>
  <si>
    <t>https://nematode.unl.edu/meruwp3.jpg</t>
  </si>
  <si>
    <t>https://nematode.unl.edu/meruwp4.jpg</t>
  </si>
  <si>
    <t>https://nematode.unl.edu/mesavo19.jpg</t>
  </si>
  <si>
    <t>https://nematode.unl.edu/mesavo22.jpg</t>
  </si>
  <si>
    <t>https://nematode.unl.edu/mesavo23.jpg</t>
  </si>
  <si>
    <t>https://nematode.unl.edu/mesavo24.jpg</t>
  </si>
  <si>
    <t>https://nematode.unl.edu/mesorune1.jpg</t>
  </si>
  <si>
    <t>https://nematode.unl.edu/mesorune2.jpg</t>
  </si>
  <si>
    <t>https://nematode.unl.edu/mesowak1.jpg</t>
  </si>
  <si>
    <t>https://nematode.unl.edu/mesowak2.jpg</t>
  </si>
  <si>
    <t>https://nematode.unl.edu/mesowak3.jpg</t>
  </si>
  <si>
    <t>https://nematode.unl.edu/mesowak4.jpg</t>
  </si>
  <si>
    <t>https://nematode.unl.edu/mesowak5.jpg</t>
  </si>
  <si>
    <t>https://nematode.unl.edu/mesowak6.jpg</t>
  </si>
  <si>
    <t>https://nematode.unl.edu/mesru1.jpg</t>
  </si>
  <si>
    <t>https://nematode.unl.edu/mesru4.jpg</t>
  </si>
  <si>
    <t>gully moss</t>
  </si>
  <si>
    <t>https://nematode.unl.edu/mesru5.jpg</t>
  </si>
  <si>
    <t>https://nematode.unl.edu/mesru6.jpg</t>
  </si>
  <si>
    <t>https://nematode.unl.edu/mesruk1.jpg</t>
  </si>
  <si>
    <t>https://nematode.unl.edu/mesruk2.jpg</t>
  </si>
  <si>
    <t>https://nematode.unl.edu/mesruk3.jpg</t>
  </si>
  <si>
    <t>https://nematode.unl.edu/mesruk4.jpg</t>
  </si>
  <si>
    <t>https://nematode.unl.edu/mesruk5.jpg</t>
  </si>
  <si>
    <t>https://nematode.unl.edu/mesruk6.jpg</t>
  </si>
  <si>
    <t>https://nematode.unl.edu/mesruk7.jpg</t>
  </si>
  <si>
    <t>https://nematode.unl.edu/mesruk8.jpg</t>
  </si>
  <si>
    <t>https://nematode.unl.edu/mesphaero1.jpg</t>
  </si>
  <si>
    <t>https://nematode.unl.edu/mesphaero10.jpg</t>
  </si>
  <si>
    <t>https://nematode.unl.edu/mesphaero11.jpg</t>
  </si>
  <si>
    <t>https://nematode.unl.edu/mesphaero12.jpg</t>
  </si>
  <si>
    <t>https://nematode.unl.edu/mesphaero13.jpg</t>
  </si>
  <si>
    <t>https://nematode.unl.edu/mesphaero14.jpg</t>
  </si>
  <si>
    <t>https://nematode.unl.edu/mesphaero15.jpg</t>
  </si>
  <si>
    <t>https://nematode.unl.edu/mesphaero16.jpg</t>
  </si>
  <si>
    <t>https://nematode.unl.edu/mesphaero17.jpg</t>
  </si>
  <si>
    <t>https://nematode.unl.edu/mesphaero2.jpg</t>
  </si>
  <si>
    <t>https://nematode.unl.edu/mesphaero3.jpg</t>
  </si>
  <si>
    <t>https://nematode.unl.edu/mesphaero4.jpg</t>
  </si>
  <si>
    <t>https://nematode.unl.edu/mesphaero5.jpg</t>
  </si>
  <si>
    <t>https://nematode.unl.edu/mesphaero6.jpg</t>
  </si>
  <si>
    <t>https://nematode.unl.edu/mesphaero7.jpg</t>
  </si>
  <si>
    <t>https://nematode.unl.edu/mesphaero8.jpg</t>
  </si>
  <si>
    <t>https://nematode.unl.edu/mesphaero9.jpg</t>
  </si>
  <si>
    <t>https://nematode.unl.edu/mxenmile2.jpg</t>
  </si>
  <si>
    <t>Mesocriconema xeno</t>
  </si>
  <si>
    <t>https://nematode.unl.edu/crixen1.jpg</t>
  </si>
  <si>
    <t>University of California, Davis, California</t>
  </si>
  <si>
    <t>Mesocriconema xenoplax</t>
  </si>
  <si>
    <t>https://nematode.unl.edu/crixen2.jpg</t>
  </si>
  <si>
    <t>https://nematode.unl.edu/crixen3.jpg</t>
  </si>
  <si>
    <t>https://nematode.unl.edu/crixen4.jpg</t>
  </si>
  <si>
    <t>https://nematode.unl.edu/macroplax1.jpg</t>
  </si>
  <si>
    <t>https://nematode.unl.edu/macroplax10.jpg</t>
  </si>
  <si>
    <t>https://nematode.unl.edu/macroplax11.jpg</t>
  </si>
  <si>
    <t>https://nematode.unl.edu/macroplax12.jpg</t>
  </si>
  <si>
    <t>https://nematode.unl.edu/macroplax13.jpg</t>
  </si>
  <si>
    <t>https://nematode.unl.edu/macroplax14.jpg</t>
  </si>
  <si>
    <t>https://nematode.unl.edu/macroplax15.jpg</t>
  </si>
  <si>
    <t>labial region- submedian lobes</t>
  </si>
  <si>
    <t>https://nematode.unl.edu/macroplax16.jpg</t>
  </si>
  <si>
    <t>https://nematode.unl.edu/macroplax17.jpg</t>
  </si>
  <si>
    <t>https://nematode.unl.edu/macroplax18.jpg</t>
  </si>
  <si>
    <t>https://nematode.unl.edu/macroplax19.jpg</t>
  </si>
  <si>
    <t>https://nematode.unl.edu/macroplax2.jpg</t>
  </si>
  <si>
    <t>https://nematode.unl.edu/macroplax20.jpg</t>
  </si>
  <si>
    <t>https://nematode.unl.edu/macroplax21.jpg</t>
  </si>
  <si>
    <t>https://nematode.unl.edu/macroplax22.jpg</t>
  </si>
  <si>
    <t>https://nematode.unl.edu/macroplax23.jpg</t>
  </si>
  <si>
    <t>https://nematode.unl.edu/macroplax24.jpg</t>
  </si>
  <si>
    <t>https://nematode.unl.edu/macroplax25.jpg</t>
  </si>
  <si>
    <t>https://nematode.unl.edu/macroplax3.jpg</t>
  </si>
  <si>
    <t>https://nematode.unl.edu/macroplax4.jpg</t>
  </si>
  <si>
    <t>https://nematode.unl.edu/macroplax5.jpg</t>
  </si>
  <si>
    <t>https://nematode.unl.edu/macroplax6.jpg</t>
  </si>
  <si>
    <t>https://nematode.unl.edu/macroplax7.jpg</t>
  </si>
  <si>
    <t>https://nematode.unl.edu/macroplax8.jpg</t>
  </si>
  <si>
    <t>https://nematode.unl.edu/macroplax9.jpg</t>
  </si>
  <si>
    <t>https://nematode.unl.edu/mesculo1.jpg</t>
  </si>
  <si>
    <t>riverbank</t>
  </si>
  <si>
    <t>https://nematode.unl.edu/mesculo2.jpg</t>
  </si>
  <si>
    <t>https://nematode.unl.edu/mesculo3.jpg</t>
  </si>
  <si>
    <t>https://nematode.unl.edu/mesculo4.jpg</t>
  </si>
  <si>
    <t>https://nematode.unl.edu/mesculo5.jpg</t>
  </si>
  <si>
    <t>https://nematode.unl.edu/mesocriche10.jpg</t>
  </si>
  <si>
    <t>https://nematode.unl.edu/mesocriche11.jpg</t>
  </si>
  <si>
    <t>https://nematode.unl.edu/mesocriche12.jpg</t>
  </si>
  <si>
    <t>https://nematode.unl.edu/mesocriche13.jpg</t>
  </si>
  <si>
    <t>https://nematode.unl.edu/mesocriche14.jpg</t>
  </si>
  <si>
    <t>https://nematode.unl.edu/mesocriche15.jpg</t>
  </si>
  <si>
    <t>https://nematode.unl.edu/mesocriche2.jpg</t>
  </si>
  <si>
    <t>https://nematode.unl.edu/mesocriche3.jpg</t>
  </si>
  <si>
    <t>https://nematode.unl.edu/mesocriche4.jpg</t>
  </si>
  <si>
    <t>https://nematode.unl.edu/mesocriche5.jpg</t>
  </si>
  <si>
    <t>https://nematode.unl.edu/mesocriche6.jpg</t>
  </si>
  <si>
    <t>https://nematode.unl.edu/mesocriche7.jpg</t>
  </si>
  <si>
    <t>https://nematode.unl.edu/mesocriche8.jpg</t>
  </si>
  <si>
    <t>https://nematode.unl.edu/mesocriche9.jpg</t>
  </si>
  <si>
    <t>https://nematode.unl.edu/mesoxedrw.jpg</t>
  </si>
  <si>
    <t>https://nematode.unl.edu/mesoxege10.jpg</t>
  </si>
  <si>
    <t>https://nematode.unl.edu/mesoxege11.jpg</t>
  </si>
  <si>
    <t>excretory pore and duct</t>
  </si>
  <si>
    <t>https://nematode.unl.edu/mesoxege12.jpg</t>
  </si>
  <si>
    <t>https://nematode.unl.edu/mesoxege13.jpg</t>
  </si>
  <si>
    <t>https://nematode.unl.edu/mesoxege14.jpg</t>
  </si>
  <si>
    <t>https://nematode.unl.edu/mesoxege15.jpg</t>
  </si>
  <si>
    <t>https://nematode.unl.edu/mesoxege16.jpg</t>
  </si>
  <si>
    <t>The George Washington Masonic National Memorial,Roaches Run Waterfowl Sanctuary, Virginia</t>
  </si>
  <si>
    <t>https://nematode.unl.edu/mesoxege17.jpg</t>
  </si>
  <si>
    <t>https://nematode.unl.edu/mesoxege18.jpg</t>
  </si>
  <si>
    <t>https://nematode.unl.edu/mesoxege4.jpg</t>
  </si>
  <si>
    <t>George Washington Memorial Parkway, Patowmack Canal, Virginia</t>
  </si>
  <si>
    <t>https://nematode.unl.edu/mesoxege5.jpg</t>
  </si>
  <si>
    <t>https://nematode.unl.edu/mesoxege6.jpg</t>
  </si>
  <si>
    <t>https://nematode.unl.edu/mesoxege7.jpg</t>
  </si>
  <si>
    <t>https://nematode.unl.edu/mesoxege8.jpg</t>
  </si>
  <si>
    <t>https://nematode.unl.edu/mesoxege9.jpg</t>
  </si>
  <si>
    <t>https://nematode.unl.edu/mesxens1.jpg</t>
  </si>
  <si>
    <t>Pickens County, South Carolina</t>
  </si>
  <si>
    <t>https://nematode.unl.edu/mesxens10.jpg</t>
  </si>
  <si>
    <t>https://nematode.unl.edu/mesxens11.jpg</t>
  </si>
  <si>
    <t>https://nematode.unl.edu/mesxens12.jpg</t>
  </si>
  <si>
    <t>https://nematode.unl.edu/mesxens13.jpg</t>
  </si>
  <si>
    <t>https://nematode.unl.edu/mesxens14.jpg</t>
  </si>
  <si>
    <t>https://nematode.unl.edu/mesxens15.jpg</t>
  </si>
  <si>
    <t>https://nematode.unl.edu/mesxens16.jpg</t>
  </si>
  <si>
    <t>https://nematode.unl.edu/mesxens17.jpg</t>
  </si>
  <si>
    <t>https://nematode.unl.edu/mesxens18.jpg</t>
  </si>
  <si>
    <t>https://nematode.unl.edu/mesxens19.jpg</t>
  </si>
  <si>
    <t>https://nematode.unl.edu/mesxens2.jpg</t>
  </si>
  <si>
    <t>https://nematode.unl.edu/mesxens20.jpg</t>
  </si>
  <si>
    <t>https://nematode.unl.edu/mesxens21.jpg</t>
  </si>
  <si>
    <t>https://nematode.unl.edu/mesxens22.jpg</t>
  </si>
  <si>
    <t>https://nematode.unl.edu/mesxens23.jpg</t>
  </si>
  <si>
    <t>crenate annule margins</t>
  </si>
  <si>
    <t>https://nematode.unl.edu/mesxens24.jpg</t>
  </si>
  <si>
    <t>https://nematode.unl.edu/mesxens25.jpg</t>
  </si>
  <si>
    <t>https://nematode.unl.edu/mesxens26.jpg</t>
  </si>
  <si>
    <t>https://nematode.unl.edu/mesxens27.jpg</t>
  </si>
  <si>
    <t>https://nematode.unl.edu/mesxens28.jpg</t>
  </si>
  <si>
    <t>https://nematode.unl.edu/mesxens29.jpg</t>
  </si>
  <si>
    <t>Oconee County, South Carolina</t>
  </si>
  <si>
    <t>https://nematode.unl.edu/mesxens3.jpg</t>
  </si>
  <si>
    <t>https://nematode.unl.edu/mesxens30.jpg</t>
  </si>
  <si>
    <t>https://nematode.unl.edu/mesxens31.jpg</t>
  </si>
  <si>
    <t>https://nematode.unl.edu/mesxens32.jpg</t>
  </si>
  <si>
    <t>https://nematode.unl.edu/mesxens33.jpg</t>
  </si>
  <si>
    <t>https://nematode.unl.edu/mesxens4.jpg</t>
  </si>
  <si>
    <t>https://nematode.unl.edu/mesxens47.jpg</t>
  </si>
  <si>
    <t>https://nematode.unl.edu/mesxens48.jpg</t>
  </si>
  <si>
    <t>https://nematode.unl.edu/mesxens49.jpg</t>
  </si>
  <si>
    <t>https://nematode.unl.edu/mesxens5.jpg</t>
  </si>
  <si>
    <t>https://nematode.unl.edu/mesxens50.jpg</t>
  </si>
  <si>
    <t>https://nematode.unl.edu/mesxens51.jpg</t>
  </si>
  <si>
    <t>https://nematode.unl.edu/mesxens52.jpg</t>
  </si>
  <si>
    <t>https://nematode.unl.edu/mesxens53.jpg</t>
  </si>
  <si>
    <t>https://nematode.unl.edu/mesxens54.jpg</t>
  </si>
  <si>
    <t>https://nematode.unl.edu/mesxens6.jpg</t>
  </si>
  <si>
    <t>https://nematode.unl.edu/mesxens7.jpg</t>
  </si>
  <si>
    <t>https://nematode.unl.edu/mesxens8.jpg</t>
  </si>
  <si>
    <t>https://nematode.unl.edu/mesxens9.jpg</t>
  </si>
  <si>
    <t>https://nematode.unl.edu/mexark1.jpg</t>
  </si>
  <si>
    <t>pine</t>
  </si>
  <si>
    <t>https://nematode.unl.edu/mexark10.jpg</t>
  </si>
  <si>
    <t>https://nematode.unl.edu/mexark11.jpg</t>
  </si>
  <si>
    <t>https://nematode.unl.edu/mexark12.jpg</t>
  </si>
  <si>
    <t>https://nematode.unl.edu/mexark13.jpg</t>
  </si>
  <si>
    <t>https://nematode.unl.edu/mexark14.jpg</t>
  </si>
  <si>
    <t>https://nematode.unl.edu/mexark15.jpg</t>
  </si>
  <si>
    <t>https://nematode.unl.edu/mexark16.jpg</t>
  </si>
  <si>
    <t>https://nematode.unl.edu/mexark17.jpg</t>
  </si>
  <si>
    <t>https://nematode.unl.edu/mexark18.jpg</t>
  </si>
  <si>
    <t>https://nematode.unl.edu/mexark19.jpg</t>
  </si>
  <si>
    <t>https://nematode.unl.edu/mexark2.jpg</t>
  </si>
  <si>
    <t>https://nematode.unl.edu/mexark20.jpg</t>
  </si>
  <si>
    <t>https://nematode.unl.edu/mexark21.jpg</t>
  </si>
  <si>
    <t>https://nematode.unl.edu/mexark22.jpg</t>
  </si>
  <si>
    <t>https://nematode.unl.edu/mexark3.jpg</t>
  </si>
  <si>
    <t>https://nematode.unl.edu/mexark4.jpg</t>
  </si>
  <si>
    <t>https://nematode.unl.edu/mexark5.jpg</t>
  </si>
  <si>
    <t>https://nematode.unl.edu/mexark6.jpg</t>
  </si>
  <si>
    <t>https://nematode.unl.edu/mexark7.jpg</t>
  </si>
  <si>
    <t>https://nematode.unl.edu/mexark8.jpg</t>
  </si>
  <si>
    <t>https://nematode.unl.edu/mexark9.jpg</t>
  </si>
  <si>
    <t>https://nematode.unl.edu/mexega1.jpg</t>
  </si>
  <si>
    <t>Georgia</t>
  </si>
  <si>
    <t>https://nematode.unl.edu/mexega10.jpg</t>
  </si>
  <si>
    <t>https://nematode.unl.edu/mexega11.jpg</t>
  </si>
  <si>
    <t>https://nematode.unl.edu/mexega12.jpg</t>
  </si>
  <si>
    <t>https://nematode.unl.edu/mexega13.jpg</t>
  </si>
  <si>
    <t>https://nematode.unl.edu/mexega14.jpg</t>
  </si>
  <si>
    <t>https://nematode.unl.edu/mexega15.jpg</t>
  </si>
  <si>
    <t>https://nematode.unl.edu/mexega16.jpg</t>
  </si>
  <si>
    <t>https://nematode.unl.edu/mexega17.jpg</t>
  </si>
  <si>
    <t>https://nematode.unl.edu/mexega18.jpg</t>
  </si>
  <si>
    <t>https://nematode.unl.edu/mexega19.jpg</t>
  </si>
  <si>
    <t>https://nematode.unl.edu/mexega2.jpg</t>
  </si>
  <si>
    <t>https://nematode.unl.edu/mexega21.jpg</t>
  </si>
  <si>
    <t>https://nematode.unl.edu/mexega22.jpg</t>
  </si>
  <si>
    <t>https://nematode.unl.edu/mexega23.jpg</t>
  </si>
  <si>
    <t>https://nematode.unl.edu/mexega24.jpg</t>
  </si>
  <si>
    <t>https://nematode.unl.edu/mexega25.jpg</t>
  </si>
  <si>
    <t>https://nematode.unl.edu/mexega26.jpg</t>
  </si>
  <si>
    <t>https://nematode.unl.edu/mexega3.jpg</t>
  </si>
  <si>
    <t>https://nematode.unl.edu/mexega4.jpg</t>
  </si>
  <si>
    <t>https://nematode.unl.edu/mexega5.jpg</t>
  </si>
  <si>
    <t>https://nematode.unl.edu/mexega6.jpg</t>
  </si>
  <si>
    <t>https://nematode.unl.edu/mexega7.jpg</t>
  </si>
  <si>
    <t>https://nematode.unl.edu/mexega8.jpg</t>
  </si>
  <si>
    <t>https://nematode.unl.edu/mexega9.jpg</t>
  </si>
  <si>
    <t>https://nematode.unl.edu/mexegreen1.jpg</t>
  </si>
  <si>
    <t>Spring Green Preserve State Natural Area, Wisconsin</t>
  </si>
  <si>
    <t>https://nematode.unl.edu/mexegreen2.jpg</t>
  </si>
  <si>
    <t>https://nematode.unl.edu/mexegreen3.jpg</t>
  </si>
  <si>
    <t>https://nematode.unl.edu/mexegreen4.jpg</t>
  </si>
  <si>
    <t>https://nematode.unl.edu/mexegsm1.jpg</t>
  </si>
  <si>
    <t>mixed hardwoods</t>
  </si>
  <si>
    <t>https://nematode.unl.edu/mexegsm10.jpg</t>
  </si>
  <si>
    <t>https://nematode.unl.edu/mexegsm11.jpg</t>
  </si>
  <si>
    <t>https://nematode.unl.edu/mexegsm12.jpg</t>
  </si>
  <si>
    <t>https://nematode.unl.edu/mexegsm13.jpg</t>
  </si>
  <si>
    <t>https://nematode.unl.edu/mexegsm14.jpg</t>
  </si>
  <si>
    <t>https://nematode.unl.edu/mexegsm15.jpg</t>
  </si>
  <si>
    <t>Albright Grove</t>
  </si>
  <si>
    <t>https://nematode.unl.edu/mexegsm16.jpg</t>
  </si>
  <si>
    <t>https://nematode.unl.edu/mexegsm17.jpg</t>
  </si>
  <si>
    <t>https://nematode.unl.edu/mexegsm18.jpg</t>
  </si>
  <si>
    <t>https://nematode.unl.edu/mexegsm19.jpg</t>
  </si>
  <si>
    <t>https://nematode.unl.edu/mexegsm2.jpg</t>
  </si>
  <si>
    <t>https://nematode.unl.edu/mexegsm20.jpg</t>
  </si>
  <si>
    <t>https://nematode.unl.edu/mexegsm21.jpg</t>
  </si>
  <si>
    <t>https://nematode.unl.edu/mexegsm22.jpg</t>
  </si>
  <si>
    <t>https://nematode.unl.edu/mexegsm23.jpg</t>
  </si>
  <si>
    <t>https://nematode.unl.edu/mexegsm24.jpg</t>
  </si>
  <si>
    <t>submedian lobes / divided first annule</t>
  </si>
  <si>
    <t>https://nematode.unl.edu/mexegsm25.jpg</t>
  </si>
  <si>
    <t>https://nematode.unl.edu/mexegsm26.jpg</t>
  </si>
  <si>
    <t>https://nematode.unl.edu/mexegsm27.jpg</t>
  </si>
  <si>
    <t>https://nematode.unl.edu/mexegsm28.jpg</t>
  </si>
  <si>
    <t>https://nematode.unl.edu/mexegsm29.jpg</t>
  </si>
  <si>
    <t>https://nematode.unl.edu/mexegsm3.jpg</t>
  </si>
  <si>
    <t>https://nematode.unl.edu/mexegsm4.jpg</t>
  </si>
  <si>
    <t>https://nematode.unl.edu/mexegsm5.jpg</t>
  </si>
  <si>
    <t>https://nematode.unl.edu/mexegsm6.jpg</t>
  </si>
  <si>
    <t>https://nematode.unl.edu/mexegsm7.jpg</t>
  </si>
  <si>
    <t>https://nematode.unl.edu/mexegsm8.jpg</t>
  </si>
  <si>
    <t>https://nematode.unl.edu/mexegsm9.jpg</t>
  </si>
  <si>
    <t>https://nematode.unl.edu/mexenhi1.jpg</t>
  </si>
  <si>
    <t>https://nematode.unl.edu/mexenhi2.jpg</t>
  </si>
  <si>
    <t>https://nematode.unl.edu/mexenhi3.jpg</t>
  </si>
  <si>
    <t>https://nematode.unl.edu/mexenob1.jpg</t>
  </si>
  <si>
    <t>British Columbia, Crawford Bay</t>
  </si>
  <si>
    <t>Mixed conifers</t>
  </si>
  <si>
    <t>https://nematode.unl.edu/mexenob10.jpg</t>
  </si>
  <si>
    <t>https://nematode.unl.edu/mexenob11.jpg</t>
  </si>
  <si>
    <t>https://nematode.unl.edu/mexenob12.jpg</t>
  </si>
  <si>
    <t>https://nematode.unl.edu/mexenob13.jpg</t>
  </si>
  <si>
    <t>https://nematode.unl.edu/mexenob14.jpg</t>
  </si>
  <si>
    <t>https://nematode.unl.edu/mexenob15.jpg</t>
  </si>
  <si>
    <t>https://nematode.unl.edu/mexenob16.jpg</t>
  </si>
  <si>
    <t>https://nematode.unl.edu/mexenob2.jpg</t>
  </si>
  <si>
    <t>https://nematode.unl.edu/mexenob3.jpg</t>
  </si>
  <si>
    <t>https://nematode.unl.edu/mexenob4.jpg</t>
  </si>
  <si>
    <t>https://nematode.unl.edu/mexenob5.jpg</t>
  </si>
  <si>
    <t>https://nematode.unl.edu/mexenob6.jpg</t>
  </si>
  <si>
    <t>https://nematode.unl.edu/mexenob7.jpg</t>
  </si>
  <si>
    <t>https://nematode.unl.edu/mexenob8.jpg</t>
  </si>
  <si>
    <t>https://nematode.unl.edu/mexenob9.jpg</t>
  </si>
  <si>
    <t>https://nematode.unl.edu/mexenova1.jpg</t>
  </si>
  <si>
    <t>Fairfax County, Virginia</t>
  </si>
  <si>
    <t>maple / oak</t>
  </si>
  <si>
    <t>https://nematode.unl.edu/mexenova2.jpg</t>
  </si>
  <si>
    <t>https://nematode.unl.edu/mexenova3.jpg</t>
  </si>
  <si>
    <t>https://nematode.unl.edu/mexenova4.jpg</t>
  </si>
  <si>
    <t>https://nematode.unl.edu/mexenova5.jpg</t>
  </si>
  <si>
    <t>https://nematode.unl.edu/mexenova6.jpg</t>
  </si>
  <si>
    <t>https://nematode.unl.edu/mexenova7.jpg</t>
  </si>
  <si>
    <t>https://nematode.unl.edu/mexeplaxgw1.jpg</t>
  </si>
  <si>
    <t>https://nematode.unl.edu/mexeplaxgw2.jpg</t>
  </si>
  <si>
    <t>https://nematode.unl.edu/mexeplaxgw3.jpg</t>
  </si>
  <si>
    <t>https://nematode.unl.edu/mexeplaxgw4.jpg</t>
  </si>
  <si>
    <t>https://nematode.unl.edu/mexeplaxgw5.jpg</t>
  </si>
  <si>
    <t>https://nematode.unl.edu/mexeplaxgw6.jpg</t>
  </si>
  <si>
    <t>https://nematode.unl.edu/mexeplaxgw7.jpg</t>
  </si>
  <si>
    <t>https://nematode.unl.edu/mexeplaxgw8.jpg</t>
  </si>
  <si>
    <t>https://nematode.unl.edu/mxenmile1.jpg</t>
  </si>
  <si>
    <t>https://nematode.unl.edu/mxenmile3.jpg</t>
  </si>
  <si>
    <t>https://nematode.unl.edu/mxenmile4.jpg</t>
  </si>
  <si>
    <t>https://nematode.unl.edu/mxenmile5.jpg</t>
  </si>
  <si>
    <t>https://nematode.unl.edu/mxenmile6.jpg</t>
  </si>
  <si>
    <t>https://nematode.unl.edu/mxenmile7.jpg</t>
  </si>
  <si>
    <t>https://nematode.unl.edu/mxenmile8.jpg</t>
  </si>
  <si>
    <t>https://nematode.unl.edu/mxenmile9.jpg</t>
  </si>
  <si>
    <t>https://nematode.unl.edu/mesod1.jpg</t>
  </si>
  <si>
    <t>Mesodorylaimus</t>
  </si>
  <si>
    <t>https://nematode.unl.edu/mesod2.jpg</t>
  </si>
  <si>
    <t>https://nematode.unl.edu/mesod3.jpg</t>
  </si>
  <si>
    <t>https://nematode.unl.edu/mesod4.jpg</t>
  </si>
  <si>
    <t>https://nematode.unl.edu/mesod5.jpg</t>
  </si>
  <si>
    <t>https://nematode.unl.edu/mesod6.jpg</t>
  </si>
  <si>
    <t>https://nematode.unl.edu/mesod7.jpg</t>
  </si>
  <si>
    <t>https://nematode.unl.edu/meliss1.jpg</t>
  </si>
  <si>
    <t>Mesodorylaimus lissus</t>
  </si>
  <si>
    <t>https://nematode.unl.edu/meliss2.jpg</t>
  </si>
  <si>
    <t>https://nematode.unl.edu/meliss3.jpg</t>
  </si>
  <si>
    <t>https://nematode.unl.edu/meliss4.jpg</t>
  </si>
  <si>
    <t>https://nematode.unl.edu/meliss5.jpg</t>
  </si>
  <si>
    <t>https://nematode.unl.edu/melisscmp.jpg</t>
  </si>
  <si>
    <t>https://nematode.unl.edu/mesolit1.jpg</t>
  </si>
  <si>
    <t>Mesodorylaimus littoralis</t>
  </si>
  <si>
    <t>https://nematode.unl.edu/mesolit2.jpg</t>
  </si>
  <si>
    <t>https://nematode.unl.edu/mesolit3.jpg</t>
  </si>
  <si>
    <t>https://nematode.unl.edu/mesolit4.jpg</t>
  </si>
  <si>
    <t>https://nematode.unl.edu/mesolit5.jpg</t>
  </si>
  <si>
    <t>https://nematode.unl.edu/mesolit6.jpg</t>
  </si>
  <si>
    <t>https://nematode.unl.edu/mesolit7.jpg</t>
  </si>
  <si>
    <t>https://nematode.unl.edu/mesolit8.jpg</t>
  </si>
  <si>
    <t>https://nematode.unl.edu/mesolit9.jpg</t>
  </si>
  <si>
    <t>https://nematode.unl.edu/mesolitdrw.jpg</t>
  </si>
  <si>
    <t>https://nematode.unl.edu/mepseu1.jpg</t>
  </si>
  <si>
    <t>Mesodorylaimus pseudobastiani</t>
  </si>
  <si>
    <t>https://nematode.unl.edu/mepseu10.jpg</t>
  </si>
  <si>
    <t>https://nematode.unl.edu/mepseu11.jpg</t>
  </si>
  <si>
    <t>https://nematode.unl.edu/mepseu12.jpg</t>
  </si>
  <si>
    <t>https://nematode.unl.edu/mepseu13.jpg</t>
  </si>
  <si>
    <t>https://nematode.unl.edu/mepseu14.jpg</t>
  </si>
  <si>
    <t>https://nematode.unl.edu/mepseu15.jpg</t>
  </si>
  <si>
    <t>https://nematode.unl.edu/mepseu16.jpg</t>
  </si>
  <si>
    <t>https://nematode.unl.edu/mepseu17.jpg</t>
  </si>
  <si>
    <t>https://nematode.unl.edu/mepseu18.jpg</t>
  </si>
  <si>
    <t>https://nematode.unl.edu/mepseu19.jpg</t>
  </si>
  <si>
    <t>https://nematode.unl.edu/mepseu2.jpg</t>
  </si>
  <si>
    <t>https://nematode.unl.edu/mepseu20.jpg</t>
  </si>
  <si>
    <t>https://nematode.unl.edu/mepseu21.jpg</t>
  </si>
  <si>
    <t>https://nematode.unl.edu/mepseu22.jpg</t>
  </si>
  <si>
    <t>https://nematode.unl.edu/mepseu23.jpg</t>
  </si>
  <si>
    <t>https://nematode.unl.edu/mepseu3.jpg</t>
  </si>
  <si>
    <t>https://nematode.unl.edu/mepseu4.jpg</t>
  </si>
  <si>
    <t>https://nematode.unl.edu/mepseu5.jpg</t>
  </si>
  <si>
    <t>https://nematode.unl.edu/mepseu6.jpg</t>
  </si>
  <si>
    <t>https://nematode.unl.edu/mepseu7.jpg</t>
  </si>
  <si>
    <t>https://nematode.unl.edu/mepseu8.jpg</t>
  </si>
  <si>
    <t>ventral sub-lateral gland nuclei</t>
  </si>
  <si>
    <t>https://nematode.unl.edu/mepseu9.jpg</t>
  </si>
  <si>
    <t>nuclei</t>
  </si>
  <si>
    <t>https://nematode.unl.edu/mepseucmp.jpg</t>
  </si>
  <si>
    <t>https://nematode.unl.edu/merec1.jpg</t>
  </si>
  <si>
    <t>Mesodorylaimus recurvus</t>
  </si>
  <si>
    <t>https://nematode.unl.edu/merec2.jpg</t>
  </si>
  <si>
    <t>https://nematode.unl.edu/merec3.jpg</t>
  </si>
  <si>
    <t>https://nematode.unl.edu/merec4.jpg</t>
  </si>
  <si>
    <t>https://nematode.unl.edu/merec5.jpg</t>
  </si>
  <si>
    <t>https://nematode.unl.edu/mereccmp.jpg</t>
  </si>
  <si>
    <t>https://nematode.unl.edu/mesim1.jpg</t>
  </si>
  <si>
    <t>Mesodorylaimus simplex</t>
  </si>
  <si>
    <t>https://nematode.unl.edu/mesim2.jpg</t>
  </si>
  <si>
    <t>https://nematode.unl.edu/mesim3.jpg</t>
  </si>
  <si>
    <t>https://nematode.unl.edu/mesim4.jpg</t>
  </si>
  <si>
    <t>https://nematode.unl.edu/mesimcmp.jpg</t>
  </si>
  <si>
    <t>https://nematode.unl.edu/mesor1.jpg</t>
  </si>
  <si>
    <t>Mesorhabditis</t>
  </si>
  <si>
    <t>https://nematode.unl.edu/mesor2.jpg</t>
  </si>
  <si>
    <t>https://nematode.unl.edu/mesor3.jpg</t>
  </si>
  <si>
    <t>https://nematode.unl.edu/mesor4.jpg</t>
  </si>
  <si>
    <t>https://nematode.unl.edu/mesor5.jpg</t>
  </si>
  <si>
    <t>https://nematode.unl.edu/mesor6.jpg</t>
  </si>
  <si>
    <t>https://nematode.unl.edu/mesor7.jpg</t>
  </si>
  <si>
    <t>https://nematode.unl.edu/metatera1.jpg</t>
  </si>
  <si>
    <t>Metateratocephalus</t>
  </si>
  <si>
    <t>Metateratocephalidae</t>
  </si>
  <si>
    <t>https://nematode.unl.edu/metatera2.jpg</t>
  </si>
  <si>
    <t>https://nematode.unl.edu/metatera3.jpg</t>
  </si>
  <si>
    <t>https://nematode.unl.edu/mica1.jpg</t>
  </si>
  <si>
    <t>Miconchus californicus</t>
  </si>
  <si>
    <t>Anatonchidae</t>
  </si>
  <si>
    <t>Miconchus</t>
  </si>
  <si>
    <t>https://nematode.unl.edu/mica10.jpg</t>
  </si>
  <si>
    <t>https://nematode.unl.edu/mica11.jpg</t>
  </si>
  <si>
    <t>https://nematode.unl.edu/mica12.jpg</t>
  </si>
  <si>
    <t>https://nematode.unl.edu/mica13.jpg</t>
  </si>
  <si>
    <t>https://nematode.unl.edu/mica14.jpg</t>
  </si>
  <si>
    <t>https://nematode.unl.edu/mica2.jpg</t>
  </si>
  <si>
    <t>https://nematode.unl.edu/mica3.jpg</t>
  </si>
  <si>
    <t>https://nematode.unl.edu/mica4.jpg</t>
  </si>
  <si>
    <t>https://nematode.unl.edu/mica5.jpg</t>
  </si>
  <si>
    <t>https://nematode.unl.edu/mica6.jpg</t>
  </si>
  <si>
    <t>https://nematode.unl.edu/mica7.jpg</t>
  </si>
  <si>
    <t>https://nematode.unl.edu/mica8.jpg</t>
  </si>
  <si>
    <t>https://nematode.unl.edu/mica9.jpg</t>
  </si>
  <si>
    <t>https://nematode.unl.edu/micacmp.jpg</t>
  </si>
  <si>
    <t>https://nematode.unl.edu/micali1.jpg</t>
  </si>
  <si>
    <t>https://nematode.unl.edu/micali2.jpg</t>
  </si>
  <si>
    <t>https://nematode.unl.edu/micali3.jpg</t>
  </si>
  <si>
    <t>https://nematode.unl.edu/micof1.jpg</t>
  </si>
  <si>
    <t>Miconchus facsiatus</t>
  </si>
  <si>
    <t>https://nematode.unl.edu/micof10.jpg</t>
  </si>
  <si>
    <t>https://nematode.unl.edu/micof11.jpg</t>
  </si>
  <si>
    <t>https://nematode.unl.edu/micof12.jpg</t>
  </si>
  <si>
    <t>https://nematode.unl.edu/micof13.jpg</t>
  </si>
  <si>
    <t>https://nematode.unl.edu/micof14.jpg</t>
  </si>
  <si>
    <t>posterior z-organ</t>
  </si>
  <si>
    <t>https://nematode.unl.edu/micof15.jpg</t>
  </si>
  <si>
    <t>https://nematode.unl.edu/micof16.jpg</t>
  </si>
  <si>
    <t>https://nematode.unl.edu/micof17.jpg</t>
  </si>
  <si>
    <t>https://nematode.unl.edu/micof18.jpg</t>
  </si>
  <si>
    <t>https://nematode.unl.edu/micof19.jpg</t>
  </si>
  <si>
    <t>https://nematode.unl.edu/micof2.jpg</t>
  </si>
  <si>
    <t>https://nematode.unl.edu/micof20.jpg</t>
  </si>
  <si>
    <t>https://nematode.unl.edu/micof21.jpg</t>
  </si>
  <si>
    <t>https://nematode.unl.edu/micof22.jpg</t>
  </si>
  <si>
    <t>teeth</t>
  </si>
  <si>
    <t>Big Big bluestem/Scribner's panicum</t>
  </si>
  <si>
    <t>https://nematode.unl.edu/micof23.jpg</t>
  </si>
  <si>
    <t>https://nematode.unl.edu/micof24.jpg</t>
  </si>
  <si>
    <t>https://nematode.unl.edu/micof25.jpg</t>
  </si>
  <si>
    <t>https://nematode.unl.edu/micof26.jpg</t>
  </si>
  <si>
    <t>https://nematode.unl.edu/micof27.jpg</t>
  </si>
  <si>
    <t>https://nematode.unl.edu/micof28.jpg</t>
  </si>
  <si>
    <t>https://nematode.unl.edu/micof29.jpg</t>
  </si>
  <si>
    <t>https://nematode.unl.edu/micof3.jpg</t>
  </si>
  <si>
    <t>https://nematode.unl.edu/micof30.jpg</t>
  </si>
  <si>
    <t>https://nematode.unl.edu/micof31.jpg</t>
  </si>
  <si>
    <t>https://nematode.unl.edu/micof33.jpg</t>
  </si>
  <si>
    <t>https://nematode.unl.edu/micof34.jpg</t>
  </si>
  <si>
    <t>https://nematode.unl.edu/micof35.jpg</t>
  </si>
  <si>
    <t>https://nematode.unl.edu/micof36.jpg</t>
  </si>
  <si>
    <t>https://nematode.unl.edu/micof37.jpg</t>
  </si>
  <si>
    <t>https://nematode.unl.edu/micof38.jpg</t>
  </si>
  <si>
    <t>https://nematode.unl.edu/micof39.jpg</t>
  </si>
  <si>
    <t>https://nematode.unl.edu/micof4.jpg</t>
  </si>
  <si>
    <t>https://nematode.unl.edu/micof40.jpg</t>
  </si>
  <si>
    <t>https://nematode.unl.edu/micof41.jpg</t>
  </si>
  <si>
    <t>https://nematode.unl.edu/micof42.jpg</t>
  </si>
  <si>
    <t>https://nematode.unl.edu/micof43.jpg</t>
  </si>
  <si>
    <t>Baffalow wallow</t>
  </si>
  <si>
    <t>https://nematode.unl.edu/micof44.jpg</t>
  </si>
  <si>
    <t>https://nematode.unl.edu/micof45.jpg</t>
  </si>
  <si>
    <t>https://nematode.unl.edu/micof46.jpg</t>
  </si>
  <si>
    <t>https://nematode.unl.edu/micof47.jpg</t>
  </si>
  <si>
    <t>https://nematode.unl.edu/micof48.jpg</t>
  </si>
  <si>
    <t>https://nematode.unl.edu/micof5.jpg</t>
  </si>
  <si>
    <t>https://nematode.unl.edu/micof6.jpg</t>
  </si>
  <si>
    <t>https://nematode.unl.edu/micof7.jpg</t>
  </si>
  <si>
    <t>https://nematode.unl.edu/micof8.jpg</t>
  </si>
  <si>
    <t>https://nematode.unl.edu/micof9.jpg</t>
  </si>
  <si>
    <t>https://nematode.unl.edu/micang1.jpg</t>
  </si>
  <si>
    <t>Microdorylaimus angleus</t>
  </si>
  <si>
    <t>Microdorylaimus</t>
  </si>
  <si>
    <t>https://nematode.unl.edu/micang10.jpg</t>
  </si>
  <si>
    <t>https://nematode.unl.edu/micang11.jpg</t>
  </si>
  <si>
    <t>https://nematode.unl.edu/micang12.jpg</t>
  </si>
  <si>
    <t>https://nematode.unl.edu/micang13.jpg</t>
  </si>
  <si>
    <t>https://nematode.unl.edu/micang14.jpg</t>
  </si>
  <si>
    <t>https://nematode.unl.edu/micang15.jpg</t>
  </si>
  <si>
    <t>https://nematode.unl.edu/micang16.jpg</t>
  </si>
  <si>
    <t>https://nematode.unl.edu/micang17.jpg</t>
  </si>
  <si>
    <t>https://nematode.unl.edu/micang18.jpg</t>
  </si>
  <si>
    <t>https://nematode.unl.edu/micang2.jpg</t>
  </si>
  <si>
    <t>https://nematode.unl.edu/micang3.jpg</t>
  </si>
  <si>
    <t>https://nematode.unl.edu/micang4.jpg</t>
  </si>
  <si>
    <t>https://nematode.unl.edu/micang5.jpg</t>
  </si>
  <si>
    <t>https://nematode.unl.edu/micang6.jpg</t>
  </si>
  <si>
    <t>https://nematode.unl.edu/micang7.jpg</t>
  </si>
  <si>
    <t>https://nematode.unl.edu/micang8.jpg</t>
  </si>
  <si>
    <t>https://nematode.unl.edu/micang9.jpg</t>
  </si>
  <si>
    <t>https://nematode.unl.edu/miclo1.jpg</t>
  </si>
  <si>
    <t>Microdorylaimus longicollis</t>
  </si>
  <si>
    <t>https://nematode.unl.edu/miclo2.jpg</t>
  </si>
  <si>
    <t>https://nematode.unl.edu/miclo3.jpg</t>
  </si>
  <si>
    <t>https://nematode.unl.edu/miclo4.jpg</t>
  </si>
  <si>
    <t>https://nematode.unl.edu/miclo5.jpg</t>
  </si>
  <si>
    <t>https://nematode.unl.edu/miclo6.jpg</t>
  </si>
  <si>
    <t>https://nematode.unl.edu/miclo7.jpg</t>
  </si>
  <si>
    <t>https://nematode.unl.edu/miclo8.jpg</t>
  </si>
  <si>
    <t>https://nematode.unl.edu/miclo9.jpg</t>
  </si>
  <si>
    <t>https://nematode.unl.edu/mimis1.jpg</t>
  </si>
  <si>
    <t>Microdorylaimus miser</t>
  </si>
  <si>
    <t>https://nematode.unl.edu/mimis2.jpg</t>
  </si>
  <si>
    <t>https://nematode.unl.edu/mimis3.jpg</t>
  </si>
  <si>
    <t>https://nematode.unl.edu/mimis4.jpg</t>
  </si>
  <si>
    <t>https://nematode.unl.edu/mimis5.jpg</t>
  </si>
  <si>
    <t>https://nematode.unl.edu/mimis6.jpg</t>
  </si>
  <si>
    <t>https://nematode.unl.edu/mimis7.jpg</t>
  </si>
  <si>
    <t>https://nematode.unl.edu/mimis8.jpg</t>
  </si>
  <si>
    <t>https://nematode.unl.edu/mimiser1.jpg</t>
  </si>
  <si>
    <t>https://nematode.unl.edu/mimiser10.jpg</t>
  </si>
  <si>
    <t>https://nematode.unl.edu/mimiser11.jpg</t>
  </si>
  <si>
    <t>https://nematode.unl.edu/mimiser13.jpg</t>
  </si>
  <si>
    <t>https://nematode.unl.edu/mimiser14.jpg</t>
  </si>
  <si>
    <t>https://nematode.unl.edu/mimiser15.jpg</t>
  </si>
  <si>
    <t>https://nematode.unl.edu/mimiser16.jpg</t>
  </si>
  <si>
    <t>https://nematode.unl.edu/mimiser17.jpg</t>
  </si>
  <si>
    <t>https://nematode.unl.edu/mimiser18.jpg</t>
  </si>
  <si>
    <t>https://nematode.unl.edu/mimiser19.jpg</t>
  </si>
  <si>
    <t>https://nematode.unl.edu/mimiser2.jpg</t>
  </si>
  <si>
    <t>https://nematode.unl.edu/mimiser3.jpg</t>
  </si>
  <si>
    <t>https://nematode.unl.edu/mimiser4.jpg</t>
  </si>
  <si>
    <t>https://nematode.unl.edu/mimiser5.jpg</t>
  </si>
  <si>
    <t>https://nematode.unl.edu/mimiser6.jpg</t>
  </si>
  <si>
    <t>https://nematode.unl.edu/mimiser7.jpg</t>
  </si>
  <si>
    <t>https://nematode.unl.edu/mimiser8.jpg</t>
  </si>
  <si>
    <t>https://nematode.unl.edu/mimiser9.jpg</t>
  </si>
  <si>
    <t>https://nematode.unl.edu/microm1.jpg</t>
  </si>
  <si>
    <t>Microdorylaimus modestus</t>
  </si>
  <si>
    <t>https://nematode.unl.edu/microm10.jpg</t>
  </si>
  <si>
    <t>https://nematode.unl.edu/microm11.jpg</t>
  </si>
  <si>
    <t>https://nematode.unl.edu/microm12.jpg</t>
  </si>
  <si>
    <t>https://nematode.unl.edu/microm13.jpg</t>
  </si>
  <si>
    <t>https://nematode.unl.edu/microm14.jpg</t>
  </si>
  <si>
    <t>https://nematode.unl.edu/microm2.jpg</t>
  </si>
  <si>
    <t>https://nematode.unl.edu/microm3.jpg</t>
  </si>
  <si>
    <t>https://nematode.unl.edu/microm4.jpg</t>
  </si>
  <si>
    <t>https://nematode.unl.edu/microm5.jpg</t>
  </si>
  <si>
    <t>https://nematode.unl.edu/microm6.jpg</t>
  </si>
  <si>
    <t>https://nematode.unl.edu/microm7.jpg</t>
  </si>
  <si>
    <t>https://nematode.unl.edu/microm8.jpg</t>
  </si>
  <si>
    <t>https://nematode.unl.edu/microm9.jpg</t>
  </si>
  <si>
    <t>https://nematode.unl.edu/mimod1.jpg</t>
  </si>
  <si>
    <t>Microdorylaimus modicus</t>
  </si>
  <si>
    <t>https://nematode.unl.edu/mimod10.jpg</t>
  </si>
  <si>
    <t>https://nematode.unl.edu/mimod2.jpg</t>
  </si>
  <si>
    <t>https://nematode.unl.edu/mimod3.jpg</t>
  </si>
  <si>
    <t>https://nematode.unl.edu/mimod4.jpg</t>
  </si>
  <si>
    <t>https://nematode.unl.edu/mimod5.jpg</t>
  </si>
  <si>
    <t>https://nematode.unl.edu/mimod6.jpg</t>
  </si>
  <si>
    <t>https://nematode.unl.edu/mimod7.jpg</t>
  </si>
  <si>
    <t>https://nematode.unl.edu/mimod8.jpg</t>
  </si>
  <si>
    <t>https://nematode.unl.edu/mimod9.jpg</t>
  </si>
  <si>
    <t>https://nematode.unl.edu/microp1.jpg</t>
  </si>
  <si>
    <t>Microdorylaimus parvissimus</t>
  </si>
  <si>
    <t>https://nematode.unl.edu/microp2.jpg</t>
  </si>
  <si>
    <t>https://nematode.unl.edu/microp3.jpg</t>
  </si>
  <si>
    <t>https://nematode.unl.edu/microp4.jpg</t>
  </si>
  <si>
    <t>https://nematode.unl.edu/miparv1.jpg</t>
  </si>
  <si>
    <t>Microdorylaimus parvus</t>
  </si>
  <si>
    <t>https://nematode.unl.edu/miparv2.jpg</t>
  </si>
  <si>
    <t>https://nematode.unl.edu/miparv3.jpg</t>
  </si>
  <si>
    <t>https://nematode.unl.edu/miparv4.jpg</t>
  </si>
  <si>
    <t>https://nematode.unl.edu/miparv5.jpg</t>
  </si>
  <si>
    <t>https://nematode.unl.edu/miparv6.jpg</t>
  </si>
  <si>
    <t>https://nematode.unl.edu/micrap1.jpg</t>
  </si>
  <si>
    <t>Microdorylaimus rapsus</t>
  </si>
  <si>
    <t>https://nematode.unl.edu/micrap2.jpg</t>
  </si>
  <si>
    <t>https://nematode.unl.edu/micrap3.jpg</t>
  </si>
  <si>
    <t>https://nematode.unl.edu/micrap4.jpg</t>
  </si>
  <si>
    <t>https://nematode.unl.edu/micrap5.jpg</t>
  </si>
  <si>
    <t>https://nematode.unl.edu/micrap6.jpg</t>
  </si>
  <si>
    <t>https://nematode.unl.edu/micrap7.jpg</t>
  </si>
  <si>
    <t>https://nematode.unl.edu/micrap8.jpg</t>
  </si>
  <si>
    <t>https://nematode.unl.edu/microth1.jpg</t>
  </si>
  <si>
    <t>Microdorylaimus thornei</t>
  </si>
  <si>
    <t>https://nematode.unl.edu/microth2.jpg</t>
  </si>
  <si>
    <t>https://nematode.unl.edu/microth3.jpg</t>
  </si>
  <si>
    <t>https://nematode.unl.edu/microth4.jpg</t>
  </si>
  <si>
    <t>https://nematode.unl.edu/monhys1.jpg</t>
  </si>
  <si>
    <t>Monhystera</t>
  </si>
  <si>
    <t>https://nematode.unl.edu/monhys10.jpg</t>
  </si>
  <si>
    <t>https://nematode.unl.edu/monhys11.jpg</t>
  </si>
  <si>
    <t>https://nematode.unl.edu/monhys12.jpg</t>
  </si>
  <si>
    <t>https://nematode.unl.edu/monhys13.jpg</t>
  </si>
  <si>
    <t>https://nematode.unl.edu/monhys14.jpg</t>
  </si>
  <si>
    <t>https://nematode.unl.edu/monhys15.jpg</t>
  </si>
  <si>
    <t>https://nematode.unl.edu/monhys16.jpg</t>
  </si>
  <si>
    <t>https://nematode.unl.edu/monhys2.jpg</t>
  </si>
  <si>
    <t>https://nematode.unl.edu/monhys3.jpg</t>
  </si>
  <si>
    <t>https://nematode.unl.edu/monhys4.jpg</t>
  </si>
  <si>
    <t>https://nematode.unl.edu/monhys5.jpg</t>
  </si>
  <si>
    <t>https://nematode.unl.edu/monhys6.jpg</t>
  </si>
  <si>
    <t>https://nematode.unl.edu/monhys7.jpg</t>
  </si>
  <si>
    <t>https://nematode.unl.edu/monhys8.jpg</t>
  </si>
  <si>
    <t>https://nematode.unl.edu/monhys9.jpg</t>
  </si>
  <si>
    <t>https://nematode.unl.edu/mono10.jpg</t>
  </si>
  <si>
    <t>Mononchus</t>
  </si>
  <si>
    <t>https://nematode.unl.edu/mono11.jpg</t>
  </si>
  <si>
    <t>https://nematode.unl.edu/mono14.jpg</t>
  </si>
  <si>
    <t>esophageal junction</t>
  </si>
  <si>
    <t>https://nematode.unl.edu/mono15.jpg</t>
  </si>
  <si>
    <t>https://nematode.unl.edu/mono16.jpg</t>
  </si>
  <si>
    <t>https://nematode.unl.edu/mono17.jpg</t>
  </si>
  <si>
    <t>https://nematode.unl.edu/mono18.jpg</t>
  </si>
  <si>
    <t>https://nematode.unl.edu/mono19.jpg</t>
  </si>
  <si>
    <t>https://nematode.unl.edu/mono20.jpg</t>
  </si>
  <si>
    <t>https://nematode.unl.edu/mono21.jpg</t>
  </si>
  <si>
    <t>https://nematode.unl.edu/mono5.jpg</t>
  </si>
  <si>
    <t>https://nematode.unl.edu/mono6.jpg</t>
  </si>
  <si>
    <t>https://nematode.unl.edu/mono7.jpg</t>
  </si>
  <si>
    <t>https://nematode.unl.edu/monogs1.jpg</t>
  </si>
  <si>
    <t>https://nematode.unl.edu/monogs2.jpg</t>
  </si>
  <si>
    <t>https://nematode.unl.edu/monogs3.jpg</t>
  </si>
  <si>
    <t>https://nematode.unl.edu/monogs4.jpg</t>
  </si>
  <si>
    <t>https://nematode.unl.edu/monon1.jpg</t>
  </si>
  <si>
    <t>https://nematode.unl.edu/monon2.jpg</t>
  </si>
  <si>
    <t>https://nematode.unl.edu/mybra1.jpg</t>
  </si>
  <si>
    <t>Mylonchulus brachyuris</t>
  </si>
  <si>
    <t>https://nematode.unl.edu/mybra10.jpg</t>
  </si>
  <si>
    <t>Bluegrass/Scribner's panicum</t>
  </si>
  <si>
    <t>https://nematode.unl.edu/mybra11.jpg</t>
  </si>
  <si>
    <t>https://nematode.unl.edu/mybra12.jpg</t>
  </si>
  <si>
    <t>https://nematode.unl.edu/mybra13.jpg</t>
  </si>
  <si>
    <t>https://nematode.unl.edu/mybra2.jpg</t>
  </si>
  <si>
    <t>https://nematode.unl.edu/mybra3.jpg</t>
  </si>
  <si>
    <t>https://nematode.unl.edu/mybra4.jpg</t>
  </si>
  <si>
    <t>https://nematode.unl.edu/mybra5.jpg</t>
  </si>
  <si>
    <t>https://nematode.unl.edu/mybra6.jpg</t>
  </si>
  <si>
    <t>https://nematode.unl.edu/mybra7.jpg</t>
  </si>
  <si>
    <t>https://nematode.unl.edu/mybra8.jpg</t>
  </si>
  <si>
    <t>https://nematode.unl.edu/mybra9.jpg</t>
  </si>
  <si>
    <t>https://nematode.unl.edu/mycurv1.jpg</t>
  </si>
  <si>
    <t>Mylonchulus incurvus</t>
  </si>
  <si>
    <t>https://nematode.unl.edu/mycurv10.jpg</t>
  </si>
  <si>
    <t>tooth</t>
  </si>
  <si>
    <t>https://nematode.unl.edu/mycurv11.jpg</t>
  </si>
  <si>
    <t>https://nematode.unl.edu/mycurv12.jpg</t>
  </si>
  <si>
    <t>https://nematode.unl.edu/mycurv13.jpg</t>
  </si>
  <si>
    <t>https://nematode.unl.edu/mycurv14.jpg</t>
  </si>
  <si>
    <t>https://nematode.unl.edu/mycurv15.jpg</t>
  </si>
  <si>
    <t>https://nematode.unl.edu/mycurv16.jpg</t>
  </si>
  <si>
    <t>https://nematode.unl.edu/mycurv17.jpg</t>
  </si>
  <si>
    <t>https://nematode.unl.edu/mycurv18.jpg</t>
  </si>
  <si>
    <t>https://nematode.unl.edu/mycurv19.jpg</t>
  </si>
  <si>
    <t>https://nematode.unl.edu/mycurv2.jpg</t>
  </si>
  <si>
    <t>https://nematode.unl.edu/mycurv20.jpg</t>
  </si>
  <si>
    <t>https://nematode.unl.edu/mycurv21.jpg</t>
  </si>
  <si>
    <t>https://nematode.unl.edu/mycurv22.jpg</t>
  </si>
  <si>
    <t>https://nematode.unl.edu/mycurv3.jpg</t>
  </si>
  <si>
    <t>https://nematode.unl.edu/mycurv4.jpg</t>
  </si>
  <si>
    <t>https://nematode.unl.edu/mycurv5.jpg</t>
  </si>
  <si>
    <t>https://nematode.unl.edu/mycurv6.jpg</t>
  </si>
  <si>
    <t>https://nematode.unl.edu/mycurv7.jpg</t>
  </si>
  <si>
    <t>https://nematode.unl.edu/mycurv8.jpg</t>
  </si>
  <si>
    <t>https://nematode.unl.edu/mycurv9.jpg</t>
  </si>
  <si>
    <t>https://nematode.unl.edu/myind1.jpg</t>
  </si>
  <si>
    <t>Mylonchulus index</t>
  </si>
  <si>
    <t>https://nematode.unl.edu/myind12.jpg</t>
  </si>
  <si>
    <t>https://nematode.unl.edu/myind13.jpg</t>
  </si>
  <si>
    <t>https://nematode.unl.edu/myind14.jpg</t>
  </si>
  <si>
    <t>https://nematode.unl.edu/myind15.jpg</t>
  </si>
  <si>
    <t>https://nematode.unl.edu/myind16.jpg</t>
  </si>
  <si>
    <t>https://nematode.unl.edu/myind17.jpg</t>
  </si>
  <si>
    <t>https://nematode.unl.edu/myind2.jpg</t>
  </si>
  <si>
    <t>https://nematode.unl.edu/myind3.jpg</t>
  </si>
  <si>
    <t>https://nematode.unl.edu/myind4.jpg</t>
  </si>
  <si>
    <t>https://nematode.unl.edu/myind5.jpg</t>
  </si>
  <si>
    <t>https://nematode.unl.edu/myind6.jpg</t>
  </si>
  <si>
    <t>https://nematode.unl.edu/myind7.jpg</t>
  </si>
  <si>
    <t>https://nematode.unl.edu/myindcmp.jpg</t>
  </si>
  <si>
    <t>https://nematode.unl.edu/mylac1.jpg</t>
  </si>
  <si>
    <t>Mylonchulus lacustris</t>
  </si>
  <si>
    <t>https://nematode.unl.edu/mylac2.jpg</t>
  </si>
  <si>
    <t>https://nematode.unl.edu/mylac3.jpg</t>
  </si>
  <si>
    <t>https://nematode.unl.edu/mylac4.jpg</t>
  </si>
  <si>
    <t>https://nematode.unl.edu/mylac5.jpg</t>
  </si>
  <si>
    <t>https://nematode.unl.edu/mylac6.jpg</t>
  </si>
  <si>
    <t>https://nematode.unl.edu/mylac7.jpg</t>
  </si>
  <si>
    <t>https://nematode.unl.edu/mylac8.jpg</t>
  </si>
  <si>
    <t>https://nematode.unl.edu/mylacus1.jpg</t>
  </si>
  <si>
    <t>https://nematode.unl.edu/mylongs1.jpg</t>
  </si>
  <si>
    <t>Great Smoky Mountains National Park: Snake Den Ridge Trail, Tennessee</t>
  </si>
  <si>
    <t>Rhododendron</t>
  </si>
  <si>
    <t>https://nematode.unl.edu/mylongs2.jpg</t>
  </si>
  <si>
    <t>https://nematode.unl.edu/mylongs3.jpg</t>
  </si>
  <si>
    <t>https://nematode.unl.edu/mylongs4.jpg</t>
  </si>
  <si>
    <t>https://nematode.unl.edu/mylongs5.jpg</t>
  </si>
  <si>
    <t>https://nematode.unl.edu/mylongs6.jpg</t>
  </si>
  <si>
    <t>https://nematode.unl.edu/mylongs7.jpg</t>
  </si>
  <si>
    <t>https://nematode.unl.edu/mylust1.jpg</t>
  </si>
  <si>
    <t>https://nematode.unl.edu/mylust2.jpg</t>
  </si>
  <si>
    <t>https://nematode.unl.edu/mylust3.jpg</t>
  </si>
  <si>
    <t>https://nematode.unl.edu/mylust4.jpg</t>
  </si>
  <si>
    <t>https://nematode.unl.edu/mysig1.jpg</t>
  </si>
  <si>
    <t>Mylonchulus sigmaturellus</t>
  </si>
  <si>
    <t>https://nematode.unl.edu/mysig2.jpg</t>
  </si>
  <si>
    <t>https://nematode.unl.edu/mysig3.jpg</t>
  </si>
  <si>
    <t>https://nematode.unl.edu/mysig4.jpg</t>
  </si>
  <si>
    <t>https://nematode.unl.edu/mysig5.jpg</t>
  </si>
  <si>
    <t>https://nematode.unl.edu/mysubs1.jpg</t>
  </si>
  <si>
    <t>Mylonchulus subsimilis</t>
  </si>
  <si>
    <t>https://nematode.unl.edu/mysubs2.jpg</t>
  </si>
  <si>
    <t>https://nematode.unl.edu/mysubs3.jpg</t>
  </si>
  <si>
    <t>https://nematode.unl.edu/mysubs4.jpg</t>
  </si>
  <si>
    <t>https://nematode.unl.edu/naberra1.jpg</t>
  </si>
  <si>
    <t>Scottsbluff, Nebraska</t>
  </si>
  <si>
    <t>Nacobbus aberrans</t>
  </si>
  <si>
    <t>Nacobbus</t>
  </si>
  <si>
    <t>https://nematode.unl.edu/naberra10.jpg</t>
  </si>
  <si>
    <t>https://nematode.unl.edu/naberra11.jpg</t>
  </si>
  <si>
    <t>https://nematode.unl.edu/naberra12.jpg</t>
  </si>
  <si>
    <t>https://nematode.unl.edu/naberra13.jpg</t>
  </si>
  <si>
    <t>https://nematode.unl.edu/naberra14.jpg</t>
  </si>
  <si>
    <t>https://nematode.unl.edu/naberra15.jpg</t>
  </si>
  <si>
    <t>https://nematode.unl.edu/naberra16.jpg</t>
  </si>
  <si>
    <t>https://nematode.unl.edu/naberra17.jpg</t>
  </si>
  <si>
    <t>https://nematode.unl.edu/naberra2.jpg</t>
  </si>
  <si>
    <t>https://nematode.unl.edu/naberra3.jpg</t>
  </si>
  <si>
    <t>https://nematode.unl.edu/naberra4.jpg</t>
  </si>
  <si>
    <t>https://nematode.unl.edu/naberra5.jpg</t>
  </si>
  <si>
    <t>https://nematode.unl.edu/naberra6.jpg</t>
  </si>
  <si>
    <t>https://nematode.unl.edu/naberra7.jpg</t>
  </si>
  <si>
    <t>https://nematode.unl.edu/naberra8.jpg</t>
  </si>
  <si>
    <t>https://nematode.unl.edu/naberra9.jpg</t>
  </si>
  <si>
    <t>https://nematode.unl.edu/nagle1.jpg</t>
  </si>
  <si>
    <t>Nagelus leptus</t>
  </si>
  <si>
    <t>https://nematode.unl.edu/nagle2.jpg</t>
  </si>
  <si>
    <t>https://nematode.unl.edu/nagle3.jpg</t>
  </si>
  <si>
    <t>https://nematode.unl.edu/nagle4.jpg</t>
  </si>
  <si>
    <t>https://nematode.unl.edu/nagle5.jpg</t>
  </si>
  <si>
    <t>https://nematode.unl.edu/neoasp1.jpg</t>
  </si>
  <si>
    <t>Neoactinolaimus</t>
  </si>
  <si>
    <t>https://nematode.unl.edu/neodohy1.jpg</t>
  </si>
  <si>
    <t>Sandhills Prairie Park, Colorado</t>
  </si>
  <si>
    <t>Neodolichorhynchus</t>
  </si>
  <si>
    <t>https://nematode.unl.edu/neodohy2.jpg</t>
  </si>
  <si>
    <t>https://nematode.unl.edu/neodohy3.jpg</t>
  </si>
  <si>
    <t>https://nematode.unl.edu/neodohy4.jpg</t>
  </si>
  <si>
    <t>https://nematode.unl.edu/neodohy5.jpg</t>
  </si>
  <si>
    <t>https://nematode.unl.edu/neodohy6.jpg</t>
  </si>
  <si>
    <t>https://nematode.unl.edu/neodohy7.jpg</t>
  </si>
  <si>
    <t>https://nematode.unl.edu/neodohy8.jpg</t>
  </si>
  <si>
    <t>https://nematode.unl.edu/crcricols3.jpg</t>
  </si>
  <si>
    <t>Neopsilenchus magnidens</t>
  </si>
  <si>
    <t>Neopsilenchus</t>
  </si>
  <si>
    <t>https://nematode.unl.edu/crcricols4.jpg</t>
  </si>
  <si>
    <t>https://nematode.unl.edu/crcricols8.jpg</t>
  </si>
  <si>
    <t>https://nematode.unl.edu/neoma1.jpg</t>
  </si>
  <si>
    <t>https://nematode.unl.edu/neoma10.jpg</t>
  </si>
  <si>
    <t>https://nematode.unl.edu/neoma11.jpg</t>
  </si>
  <si>
    <t>https://nematode.unl.edu/neoma2.jpg</t>
  </si>
  <si>
    <t>https://nematode.unl.edu/neoma3.jpg</t>
  </si>
  <si>
    <t>https://nematode.unl.edu/neoma4.jpg</t>
  </si>
  <si>
    <t>https://nematode.unl.edu/neoma5.jpg</t>
  </si>
  <si>
    <t>https://nematode.unl.edu/neoma6.jpg</t>
  </si>
  <si>
    <t>https://nematode.unl.edu/neoma7.jpg</t>
  </si>
  <si>
    <t>https://nematode.unl.edu/neoma8.jpg</t>
  </si>
  <si>
    <t>https://nematode.unl.edu/neoma9.jpg</t>
  </si>
  <si>
    <t>https://nematode.unl.edu/neomacmp.jpg</t>
  </si>
  <si>
    <t>https://nematode.unl.edu/neomag1.jpg</t>
  </si>
  <si>
    <t>https://nematode.unl.edu/neomag2.jpg</t>
  </si>
  <si>
    <t>https://nematode.unl.edu/neomag3.jpg</t>
  </si>
  <si>
    <t>https://nematode.unl.edu/nygomel1.jpg</t>
  </si>
  <si>
    <t>Nygolaimellus</t>
  </si>
  <si>
    <t>Nygolaimellidae</t>
  </si>
  <si>
    <t>https://nematode.unl.edu/nygomel10.jpg</t>
  </si>
  <si>
    <t>https://nematode.unl.edu/nygomel11.jpg</t>
  </si>
  <si>
    <t>https://nematode.unl.edu/nygomel12.jpg</t>
  </si>
  <si>
    <t>https://nematode.unl.edu/nygomel13.jpg</t>
  </si>
  <si>
    <t>https://nematode.unl.edu/nygomel14.jpg</t>
  </si>
  <si>
    <t>https://nematode.unl.edu/nygomel15.jpg</t>
  </si>
  <si>
    <t>https://nematode.unl.edu/nygomel16.jpg</t>
  </si>
  <si>
    <t>https://nematode.unl.edu/nygomel2.jpg</t>
  </si>
  <si>
    <t>https://nematode.unl.edu/nygomel3.jpg</t>
  </si>
  <si>
    <t>https://nematode.unl.edu/nygomel4.jpg</t>
  </si>
  <si>
    <t>https://nematode.unl.edu/nygomel5.jpg</t>
  </si>
  <si>
    <t>https://nematode.unl.edu/nygomel6.jpg</t>
  </si>
  <si>
    <t>https://nematode.unl.edu/nygomel7.jpg</t>
  </si>
  <si>
    <t>https://nematode.unl.edu/nygomel8.jpg</t>
  </si>
  <si>
    <t>https://nematode.unl.edu/nymell1.jpg</t>
  </si>
  <si>
    <t xml:space="preserve">Dead pig B </t>
  </si>
  <si>
    <t>https://nematode.unl.edu/nymell2.jpg</t>
  </si>
  <si>
    <t>spare tooth</t>
  </si>
  <si>
    <t>https://nematode.unl.edu/nymell3.jpg</t>
  </si>
  <si>
    <t>https://nematode.unl.edu/nygob1.jpg</t>
  </si>
  <si>
    <t>Nygolaimellus obtusus</t>
  </si>
  <si>
    <t>https://nematode.unl.edu/nygob2.jpg</t>
  </si>
  <si>
    <t>https://nematode.unl.edu/nygob3.jpg</t>
  </si>
  <si>
    <t>https://nematode.unl.edu/nygob4.jpg</t>
  </si>
  <si>
    <t>https://nematode.unl.edu/nygob5.jpg</t>
  </si>
  <si>
    <t>https://nematode.unl.edu/nygobcmp.jpg</t>
  </si>
  <si>
    <t>https://nematode.unl.edu/nygop1.jpg</t>
  </si>
  <si>
    <t>Nygolaimellus paratenuis</t>
  </si>
  <si>
    <t>https://nematode.unl.edu/nygop10.jpg</t>
  </si>
  <si>
    <t>https://nematode.unl.edu/nygop11.jpg</t>
  </si>
  <si>
    <t>https://nematode.unl.edu/nygop12.jpg</t>
  </si>
  <si>
    <t>https://nematode.unl.edu/nygop13.jpg</t>
  </si>
  <si>
    <t>https://nematode.unl.edu/nygop14.jpg</t>
  </si>
  <si>
    <t>https://nematode.unl.edu/nygop15.jpg</t>
  </si>
  <si>
    <t>https://nematode.unl.edu/nygop16.jpg</t>
  </si>
  <si>
    <t>https://nematode.unl.edu/nygop17.jpg</t>
  </si>
  <si>
    <t>https://nematode.unl.edu/nygop18.jpg</t>
  </si>
  <si>
    <t>https://nematode.unl.edu/nygop19.jpg</t>
  </si>
  <si>
    <t>https://nematode.unl.edu/nygop2.jpg</t>
  </si>
  <si>
    <t>https://nematode.unl.edu/nygop20.jpg</t>
  </si>
  <si>
    <t>https://nematode.unl.edu/nygop21.jpg</t>
  </si>
  <si>
    <t>https://nematode.unl.edu/nygop22.jpg</t>
  </si>
  <si>
    <t>https://nematode.unl.edu/nygop23.jpg</t>
  </si>
  <si>
    <t>https://nematode.unl.edu/nygop24.jpg</t>
  </si>
  <si>
    <t>https://nematode.unl.edu/nygop25.jpg</t>
  </si>
  <si>
    <t>https://nematode.unl.edu/nygop26.jpg</t>
  </si>
  <si>
    <t>https://nematode.unl.edu/nygop27.jpg</t>
  </si>
  <si>
    <t>https://nematode.unl.edu/nygop28.jpg</t>
  </si>
  <si>
    <t>https://nematode.unl.edu/nygop29.jpg</t>
  </si>
  <si>
    <t>https://nematode.unl.edu/nygop3.jpg</t>
  </si>
  <si>
    <t>https://nematode.unl.edu/nygop30.jpg</t>
  </si>
  <si>
    <t>https://nematode.unl.edu/nygop31.jpg</t>
  </si>
  <si>
    <t>https://nematode.unl.edu/nygop32.jpg</t>
  </si>
  <si>
    <t>https://nematode.unl.edu/nygop33.jpg</t>
  </si>
  <si>
    <t>https://nematode.unl.edu/nygop34.jpg</t>
  </si>
  <si>
    <t>https://nematode.unl.edu/nygop35.jpg</t>
  </si>
  <si>
    <t>https://nematode.unl.edu/nygop36.jpg</t>
  </si>
  <si>
    <t>https://nematode.unl.edu/nygop37.jpg</t>
  </si>
  <si>
    <t>https://nematode.unl.edu/nygop38.jpg</t>
  </si>
  <si>
    <t>https://nematode.unl.edu/nygop39.jpg</t>
  </si>
  <si>
    <t>https://nematode.unl.edu/nygop4.jpg</t>
  </si>
  <si>
    <t>https://nematode.unl.edu/nygop40.jpg</t>
  </si>
  <si>
    <t>https://nematode.unl.edu/nygop41.jpg</t>
  </si>
  <si>
    <t>https://nematode.unl.edu/nygop5.jpg</t>
  </si>
  <si>
    <t>https://nematode.unl.edu/nygop6.jpg</t>
  </si>
  <si>
    <t>https://nematode.unl.edu/nygop7.jpg</t>
  </si>
  <si>
    <t>https://nematode.unl.edu/nygop8.jpg</t>
  </si>
  <si>
    <t>https://nematode.unl.edu/nygop9.jpg</t>
  </si>
  <si>
    <t>https://nematode.unl.edu/nygols1.jpg</t>
  </si>
  <si>
    <t>Nygolaimus</t>
  </si>
  <si>
    <t>https://nematode.unl.edu/nygols2.jpg</t>
  </si>
  <si>
    <t>https://nematode.unl.edu/nygols3.jpg</t>
  </si>
  <si>
    <t>https://nematode.unl.edu/nypar1.jpg</t>
  </si>
  <si>
    <t>Nygolaimus paratenuis</t>
  </si>
  <si>
    <t>https://nematode.unl.edu/nypar2.jpg</t>
  </si>
  <si>
    <t>https://nematode.unl.edu/nypar3.jpg</t>
  </si>
  <si>
    <t>https://nematode.unl.edu/nypar4.jpg</t>
  </si>
  <si>
    <t>https://nematode.unl.edu/nypar5.jpg</t>
  </si>
  <si>
    <t>https://nematode.unl.edu/nypar6.jpg</t>
  </si>
  <si>
    <t>https://nematode.unl.edu/nypar7.jpg</t>
  </si>
  <si>
    <t>https://nematode.unl.edu/nyparcmp.jpg</t>
  </si>
  <si>
    <t>https://nematode.unl.edu/nypten1.jpg</t>
  </si>
  <si>
    <t>https://nematode.unl.edu/nypten2.jpg</t>
  </si>
  <si>
    <t>https://nematode.unl.edu/nypten3.jpg</t>
  </si>
  <si>
    <t>https://nematode.unl.edu/nypten4.jpg</t>
  </si>
  <si>
    <t>https://nematode.unl.edu/nypten5.jpg</t>
  </si>
  <si>
    <t>https://nematode.unl.edu/nypten6.jpg</t>
  </si>
  <si>
    <t>https://nematode.unl.edu/nypten7.jpg</t>
  </si>
  <si>
    <t>https://nematode.unl.edu/nypten8.jpg</t>
  </si>
  <si>
    <t>https://nematode.unl.edu/nypa1.jpg</t>
  </si>
  <si>
    <t>Nine Mile Prairie, Lancaster County,Gully bank, Nebraska</t>
  </si>
  <si>
    <t>Nygolaimus parvus</t>
  </si>
  <si>
    <t>https://nematode.unl.edu/nypa2.jpg</t>
  </si>
  <si>
    <t>https://nematode.unl.edu/nypa3.jpg</t>
  </si>
  <si>
    <t>https://nematode.unl.edu/nypa4.jpg</t>
  </si>
  <si>
    <t>https://nematode.unl.edu/nypa5.jpg</t>
  </si>
  <si>
    <t>https://nematode.unl.edu/nyparv1.jpg</t>
  </si>
  <si>
    <t>https://nematode.unl.edu/nyparv10.jpg</t>
  </si>
  <si>
    <t>https://nematode.unl.edu/nyparv11.jpg</t>
  </si>
  <si>
    <t>https://nematode.unl.edu/nyparv12.jpg</t>
  </si>
  <si>
    <t>https://nematode.unl.edu/nyparv13.jpg</t>
  </si>
  <si>
    <t>https://nematode.unl.edu/nyparv14.jpg</t>
  </si>
  <si>
    <t>https://nematode.unl.edu/nyparv15.jpg</t>
  </si>
  <si>
    <t>https://nematode.unl.edu/nyparv16.jpg</t>
  </si>
  <si>
    <t>https://nematode.unl.edu/nyparv17.jpg</t>
  </si>
  <si>
    <t>https://nematode.unl.edu/nyparv2.jpg</t>
  </si>
  <si>
    <t>https://nematode.unl.edu/nyparv3.jpg</t>
  </si>
  <si>
    <t>https://nematode.unl.edu/nyparv4.jpg</t>
  </si>
  <si>
    <t>https://nematode.unl.edu/nyparv5.jpg</t>
  </si>
  <si>
    <t>https://nematode.unl.edu/nyparv6.jpg</t>
  </si>
  <si>
    <t>https://nematode.unl.edu/nyparv7.jpg</t>
  </si>
  <si>
    <t>https://nematode.unl.edu/nyparv8.jpg</t>
  </si>
  <si>
    <t>https://nematode.unl.edu/nyparv9.jpg</t>
  </si>
  <si>
    <t>https://nematode.unl.edu/nyparvcmp.jpg</t>
  </si>
  <si>
    <t>https://nematode.unl.edu/nypus1.jpg</t>
  </si>
  <si>
    <t>Lava Hot Springs, Idaho</t>
  </si>
  <si>
    <t>https://nematode.unl.edu/nypus2.jpg</t>
  </si>
  <si>
    <t>https://nematode.unl.edu/nypus3.jpg</t>
  </si>
  <si>
    <t>https://nematode.unl.edu/nypus4.jpg</t>
  </si>
  <si>
    <t>https://nematode.unl.edu/nypus5.jpg</t>
  </si>
  <si>
    <t>https://nematode.unl.edu/nypus6.jpg</t>
  </si>
  <si>
    <t>https://nematode.unl.edu/nypus7.jpg</t>
  </si>
  <si>
    <t>https://nematode.unl.edu/nypus8.jpg</t>
  </si>
  <si>
    <t>https://nematode.unl.edu/nyten1.jpg</t>
  </si>
  <si>
    <t>Nygolaimus tenuis</t>
  </si>
  <si>
    <t>https://nematode.unl.edu/nyten10.jpg</t>
  </si>
  <si>
    <t>https://nematode.unl.edu/nyten11.jpg</t>
  </si>
  <si>
    <t>https://nematode.unl.edu/nyten12.jpg</t>
  </si>
  <si>
    <t>https://nematode.unl.edu/nyten13.jpg</t>
  </si>
  <si>
    <t>https://nematode.unl.edu/nyten14.jpg</t>
  </si>
  <si>
    <t>https://nematode.unl.edu/nyten2.jpg</t>
  </si>
  <si>
    <t>https://nematode.unl.edu/nyten3.jpg</t>
  </si>
  <si>
    <t>https://nematode.unl.edu/nyten4.jpg</t>
  </si>
  <si>
    <t>https://nematode.unl.edu/nyten5.jpg</t>
  </si>
  <si>
    <t>https://nematode.unl.edu/nyten6.jpg</t>
  </si>
  <si>
    <t>https://nematode.unl.edu/nyten7.jpg</t>
  </si>
  <si>
    <t>https://nematode.unl.edu/nyten8.jpg</t>
  </si>
  <si>
    <t>https://nematode.unl.edu/nyten9.jpg</t>
  </si>
  <si>
    <t>https://nematode.unl.edu/odonto1.jpg</t>
  </si>
  <si>
    <t>Odontolaimus</t>
  </si>
  <si>
    <t>Odontolaimidae</t>
  </si>
  <si>
    <t>https://nematode.unl.edu/odontos1.jpg</t>
  </si>
  <si>
    <t>https://nematode.unl.edu/odontos10.jpg</t>
  </si>
  <si>
    <t>https://nematode.unl.edu/odontos11.jpg</t>
  </si>
  <si>
    <t>https://nematode.unl.edu/odontos12.jpg</t>
  </si>
  <si>
    <t>https://nematode.unl.edu/odontos13.jpg</t>
  </si>
  <si>
    <t>https://nematode.unl.edu/odontos14.jpg</t>
  </si>
  <si>
    <t>https://nematode.unl.edu/odontos15.jpg</t>
  </si>
  <si>
    <t>https://nematode.unl.edu/odontos16.jpg</t>
  </si>
  <si>
    <t>https://nematode.unl.edu/odontos2.jpg</t>
  </si>
  <si>
    <t>https://nematode.unl.edu/odontos3.jpg</t>
  </si>
  <si>
    <t>https://nematode.unl.edu/odontos4.jpg</t>
  </si>
  <si>
    <t>https://nematode.unl.edu/odontos5.jpg</t>
  </si>
  <si>
    <t>https://nematode.unl.edu/odontos6.jpg</t>
  </si>
  <si>
    <t>https://nematode.unl.edu/odontos7.jpg</t>
  </si>
  <si>
    <t>https://nematode.unl.edu/odontos8.jpg</t>
  </si>
  <si>
    <t>fungal spore in gut</t>
  </si>
  <si>
    <t>https://nematode.unl.edu/odontos9.jpg</t>
  </si>
  <si>
    <t>https://nematode.unl.edu/odosp1.jpg</t>
  </si>
  <si>
    <t>https://nematode.unl.edu/odosp2.jpg</t>
  </si>
  <si>
    <t>https://nematode.unl.edu/odosp3.jpg</t>
  </si>
  <si>
    <t>https://nematode.unl.edu/bakers1.jpg</t>
  </si>
  <si>
    <t>Jasper County, South Carolina</t>
  </si>
  <si>
    <t>https://nematode.unl.edu/bakers2.jpg</t>
  </si>
  <si>
    <t>labial region-crenation</t>
  </si>
  <si>
    <t>https://nematode.unl.edu/bakers3.jpg</t>
  </si>
  <si>
    <t>https://nematode.unl.edu/bakers4.jpg</t>
  </si>
  <si>
    <t>https://nematode.unl.edu/bakers5.jpg</t>
  </si>
  <si>
    <t>annule membranes</t>
  </si>
  <si>
    <t>https://nematode.unl.edu/crcricobrv1.jpg</t>
  </si>
  <si>
    <t>https://nematode.unl.edu/crcricobrv10.jpg</t>
  </si>
  <si>
    <t>https://nematode.unl.edu/crcricobrv11.jpg</t>
  </si>
  <si>
    <t>https://nematode.unl.edu/crcricobrv12.jpg</t>
  </si>
  <si>
    <t>https://nematode.unl.edu/crcricobrv13.jpg</t>
  </si>
  <si>
    <t>https://nematode.unl.edu/crcricobrv14.jpg</t>
  </si>
  <si>
    <t>https://nematode.unl.edu/crcricobrv15.jpg</t>
  </si>
  <si>
    <t>https://nematode.unl.edu/crcricobrv16.jpg</t>
  </si>
  <si>
    <t>https://nematode.unl.edu/crcricobrv17.jpg</t>
  </si>
  <si>
    <t>https://nematode.unl.edu/crcricobrv18.jpg</t>
  </si>
  <si>
    <t>https://nematode.unl.edu/crcricobrv19.jpg</t>
  </si>
  <si>
    <t>https://nematode.unl.edu/crcricobrv2.jpg</t>
  </si>
  <si>
    <t>https://nematode.unl.edu/crcricobrv20.jpg</t>
  </si>
  <si>
    <t>https://nematode.unl.edu/crcricobrv21.jpg</t>
  </si>
  <si>
    <t>https://nematode.unl.edu/crcricobrv22.jpg</t>
  </si>
  <si>
    <t>https://nematode.unl.edu/crcricobrv23.jpg</t>
  </si>
  <si>
    <t>https://nematode.unl.edu/crcricobrv3.jpg</t>
  </si>
  <si>
    <t>https://nematode.unl.edu/crcricobrv4.jpg</t>
  </si>
  <si>
    <t>https://nematode.unl.edu/crcricobrv5.jpg</t>
  </si>
  <si>
    <t>https://nematode.unl.edu/crcricobrv6.jpg</t>
  </si>
  <si>
    <t>https://nematode.unl.edu/crcricobrv7.jpg</t>
  </si>
  <si>
    <t>https://nematode.unl.edu/crcricobrv8.jpg</t>
  </si>
  <si>
    <t>https://nematode.unl.edu/crcricobrv9.jpg</t>
  </si>
  <si>
    <t>https://nematode.unl.edu/crcricols10.jpg</t>
  </si>
  <si>
    <t>https://nematode.unl.edu/crcricols5.jpg</t>
  </si>
  <si>
    <t>https://nematode.unl.edu/crcricols6.jpg</t>
  </si>
  <si>
    <t>https://nematode.unl.edu/crcricols7.jpg</t>
  </si>
  <si>
    <t>https://nematode.unl.edu/crcricols9.jpg</t>
  </si>
  <si>
    <t>https://nematode.unl.edu/crosp1.jpg</t>
  </si>
  <si>
    <t>Costa Rica, reforestation plot</t>
  </si>
  <si>
    <t>https://nematode.unl.edu/crosscruces1.jpg</t>
  </si>
  <si>
    <t>Costa Rica, Las Cruces Biological Station</t>
  </si>
  <si>
    <t>https://nematode.unl.edu/ogbutt1.jpg</t>
  </si>
  <si>
    <t>Indian Springs State Park, Georgia</t>
  </si>
  <si>
    <t>live oaks</t>
  </si>
  <si>
    <t>https://nematode.unl.edu/ogbutt2.jpg</t>
  </si>
  <si>
    <t>https://nematode.unl.edu/ogbutt3.jpg</t>
  </si>
  <si>
    <t>https://nematode.unl.edu/ogbutt4.jpg</t>
  </si>
  <si>
    <t>https://nematode.unl.edu/ogmala1.jpg</t>
  </si>
  <si>
    <t>mahogany</t>
  </si>
  <si>
    <t>https://nematode.unl.edu/ogmala2.jpg</t>
  </si>
  <si>
    <t>https://nematode.unl.edu/ogmala3.jpg</t>
  </si>
  <si>
    <t>https://nematode.unl.edu/ogmala4.jpg</t>
  </si>
  <si>
    <t>https://nematode.unl.edu/ogmala5.jpg</t>
  </si>
  <si>
    <t>https://nematode.unl.edu/ogmala6.jpg</t>
  </si>
  <si>
    <t>https://nematode.unl.edu/ogmala7.jpg</t>
  </si>
  <si>
    <t>https://nematode.unl.edu/ogmas1.jpg</t>
  </si>
  <si>
    <t>Texas City, Texas</t>
  </si>
  <si>
    <t>turfgrass</t>
  </si>
  <si>
    <t>https://nematode.unl.edu/ogmas2.jpg</t>
  </si>
  <si>
    <t>https://nematode.unl.edu/ogmas3.jpg</t>
  </si>
  <si>
    <t>https://nematode.unl.edu/ogmasad1.jpg</t>
  </si>
  <si>
    <t>https://nematode.unl.edu/ogmasad2.jpg</t>
  </si>
  <si>
    <t>https://nematode.unl.edu/ogmasad3.jpg</t>
  </si>
  <si>
    <t>https://nematode.unl.edu/ogmasad4.jpg</t>
  </si>
  <si>
    <t>https://nematode.unl.edu/ogoa1.jpg</t>
  </si>
  <si>
    <t>https://nematode.unl.edu/ogoa10.jpg</t>
  </si>
  <si>
    <t>https://nematode.unl.edu/ogoa11.jpg</t>
  </si>
  <si>
    <t>https://nematode.unl.edu/ogoa12.jpg</t>
  </si>
  <si>
    <t>https://nematode.unl.edu/ogoa13.jpg</t>
  </si>
  <si>
    <t>https://nematode.unl.edu/ogoa14.jpg</t>
  </si>
  <si>
    <t>https://nematode.unl.edu/ogoa15.jpg</t>
  </si>
  <si>
    <t>https://nematode.unl.edu/ogoa16.jpg</t>
  </si>
  <si>
    <t>https://nematode.unl.edu/ogoa2.jpg</t>
  </si>
  <si>
    <t>https://nematode.unl.edu/ogoa3.jpg</t>
  </si>
  <si>
    <t>https://nematode.unl.edu/ogoa4.jpg</t>
  </si>
  <si>
    <t>head/cuticle</t>
  </si>
  <si>
    <t>https://nematode.unl.edu/ogoa5.jpg</t>
  </si>
  <si>
    <t>https://nematode.unl.edu/ogoa6.jpg</t>
  </si>
  <si>
    <t>https://nematode.unl.edu/ogoa7.jpg</t>
  </si>
  <si>
    <t>https://nematode.unl.edu/ogoa8.jpg</t>
  </si>
  <si>
    <t>https://nematode.unl.edu/ogoa9.jpg</t>
  </si>
  <si>
    <t>https://nematode.unl.edu/ogsa1.jpg</t>
  </si>
  <si>
    <t>Bur oak</t>
  </si>
  <si>
    <t>https://nematode.unl.edu/ogsa2.jpg</t>
  </si>
  <si>
    <t>https://nematode.unl.edu/ogsa3.jpg</t>
  </si>
  <si>
    <t>https://nematode.unl.edu/ogsa4.jpg</t>
  </si>
  <si>
    <t>https://nematode.unl.edu/ogsa5.jpg</t>
  </si>
  <si>
    <t>https://nematode.unl.edu/ogsa6.jpg</t>
  </si>
  <si>
    <t>https://nematode.unl.edu/ogspin1.jpg</t>
  </si>
  <si>
    <t>Piney, Manitoba, Canada</t>
  </si>
  <si>
    <t>Black spruce swamp</t>
  </si>
  <si>
    <t>https://nematode.unl.edu/ogspin2.jpg</t>
  </si>
  <si>
    <t>https://nematode.unl.edu/ogspin3.jpg</t>
  </si>
  <si>
    <t>https://nematode.unl.edu/ogspin4.jpg</t>
  </si>
  <si>
    <t>https://nematode.unl.edu/ogspin5.jpg</t>
  </si>
  <si>
    <t>https://nematode.unl.edu/ogspin6.jpg</t>
  </si>
  <si>
    <t>https://nematode.unl.edu/ogspin7.jpg</t>
  </si>
  <si>
    <t>https://nematode.unl.edu/ogsey1.jpg</t>
  </si>
  <si>
    <t>rhododendron</t>
  </si>
  <si>
    <t>Ogma seymouri</t>
  </si>
  <si>
    <t>https://nematode.unl.edu/ogsey2.jpg</t>
  </si>
  <si>
    <t>https://nematode.unl.edu/ogsey3.jpg</t>
  </si>
  <si>
    <t>head,esophagal region</t>
  </si>
  <si>
    <t>https://nematode.unl.edu/ogsey4.jpg</t>
  </si>
  <si>
    <t>https://nematode.unl.edu/ogsey5.jpg</t>
  </si>
  <si>
    <t>https://nematode.unl.edu/ogsey6.jpg</t>
  </si>
  <si>
    <t>https://nematode.unl.edu/ogsey7.jpg</t>
  </si>
  <si>
    <t>cephalic annule</t>
  </si>
  <si>
    <t>https://nematode.unl.edu/oriver1.jpg</t>
  </si>
  <si>
    <t>Oriverutus</t>
  </si>
  <si>
    <t>Encholaimidae</t>
  </si>
  <si>
    <t>https://nematode.unl.edu/oriver10.jpg</t>
  </si>
  <si>
    <t>https://nematode.unl.edu/oriver11.jpg</t>
  </si>
  <si>
    <t>https://nematode.unl.edu/oriver12.jpg</t>
  </si>
  <si>
    <t>https://nematode.unl.edu/oriver13.jpg</t>
  </si>
  <si>
    <t>https://nematode.unl.edu/oriver14.jpg</t>
  </si>
  <si>
    <t>https://nematode.unl.edu/oriver15.jpg</t>
  </si>
  <si>
    <t>https://nematode.unl.edu/oriver2.jpg</t>
  </si>
  <si>
    <t>https://nematode.unl.edu/oriver3.jpg</t>
  </si>
  <si>
    <t>https://nematode.unl.edu/oriver4.jpg</t>
  </si>
  <si>
    <t>https://nematode.unl.edu/oriver5.jpg</t>
  </si>
  <si>
    <t>https://nematode.unl.edu/oriver6.jpg</t>
  </si>
  <si>
    <t>https://nematode.unl.edu/oriver7.jpg</t>
  </si>
  <si>
    <t>https://nematode.unl.edu/oriver8.jpg</t>
  </si>
  <si>
    <t>https://nematode.unl.edu/oriver9.jpg</t>
  </si>
  <si>
    <t>https://nematode.unl.edu/oxydir1.jpg</t>
  </si>
  <si>
    <t>Oxydirus</t>
  </si>
  <si>
    <t>https://nematode.unl.edu/oxydir2.jpg</t>
  </si>
  <si>
    <t>https://nematode.unl.edu/oxydir3.jpg</t>
  </si>
  <si>
    <t>https://nematode.unl.edu/oxydir4.jpg</t>
  </si>
  <si>
    <t>https://nematode.unl.edu/oxydir5.jpg</t>
  </si>
  <si>
    <t>https://nematode.unl.edu/oxydir6.jpg</t>
  </si>
  <si>
    <t>https://nematode.unl.edu/oxydir7.jpg</t>
  </si>
  <si>
    <t>https://nematode.unl.edu/panag1.jpg</t>
  </si>
  <si>
    <t>Panagrolaimus</t>
  </si>
  <si>
    <t>Panagrolaimidae</t>
  </si>
  <si>
    <t>https://nematode.unl.edu/panag10.jpg</t>
  </si>
  <si>
    <t>https://nematode.unl.edu/panag11.jpg</t>
  </si>
  <si>
    <t>https://nematode.unl.edu/panag12.jpg</t>
  </si>
  <si>
    <t>https://nematode.unl.edu/panag13.jpg</t>
  </si>
  <si>
    <t>https://nematode.unl.edu/panag14.jpg</t>
  </si>
  <si>
    <t>https://nematode.unl.edu/panag15.jpg</t>
  </si>
  <si>
    <t>https://nematode.unl.edu/panag16.jpg</t>
  </si>
  <si>
    <t>https://nematode.unl.edu/panag2.jpg</t>
  </si>
  <si>
    <t>https://nematode.unl.edu/panag3.jpg</t>
  </si>
  <si>
    <t>https://nematode.unl.edu/panag4.jpg</t>
  </si>
  <si>
    <t>https://nematode.unl.edu/panag5.jpg</t>
  </si>
  <si>
    <t>https://nematode.unl.edu/panag6.jpg</t>
  </si>
  <si>
    <t>https://nematode.unl.edu/panag7.jpg</t>
  </si>
  <si>
    <t>https://nematode.unl.edu/panag8.jpg</t>
  </si>
  <si>
    <t>https://nematode.unl.edu/panag9.jpg</t>
  </si>
  <si>
    <t>https://nematode.unl.edu/panagro1.jpg</t>
  </si>
  <si>
    <t>https://nematode.unl.edu/panagro2.jpg</t>
  </si>
  <si>
    <t>https://nematode.unl.edu/panasp1.jpg</t>
  </si>
  <si>
    <t>https://nematode.unl.edu/panasp2.jpg</t>
  </si>
  <si>
    <t>https://nematode.unl.edu/panasp3.jpg</t>
  </si>
  <si>
    <t>https://nematode.unl.edu/panasp4.jpg</t>
  </si>
  <si>
    <t>https://nematode.unl.edu/panasp5.jpg</t>
  </si>
  <si>
    <t>https://nematode.unl.edu/panasp6.jpg</t>
  </si>
  <si>
    <t>https://nematode.unl.edu/paract1.jpg</t>
  </si>
  <si>
    <t>Paractinolaimus</t>
  </si>
  <si>
    <t>https://nematode.unl.edu/paract2.jpg</t>
  </si>
  <si>
    <t>https://nematode.unl.edu/paract3.jpg</t>
  </si>
  <si>
    <t>https://nematode.unl.edu/paract4.jpg</t>
  </si>
  <si>
    <t>https://nematode.unl.edu/paract5.jpg</t>
  </si>
  <si>
    <t>https://nematode.unl.edu/paract6.jpg</t>
  </si>
  <si>
    <t>https://nematode.unl.edu/paracy1.jpg</t>
  </si>
  <si>
    <t>Paracyatholaimus</t>
  </si>
  <si>
    <t>Cyatholaimidae</t>
  </si>
  <si>
    <t>https://nematode.unl.edu/paracy2.jpg</t>
  </si>
  <si>
    <t>https://nematode.unl.edu/paracy3.jpg</t>
  </si>
  <si>
    <t>https://nematode.unl.edu/parapl1.jpg</t>
  </si>
  <si>
    <t>Paraplectonema</t>
  </si>
  <si>
    <t>https://nematode.unl.edu/parapl2.jpg</t>
  </si>
  <si>
    <t>https://nematode.unl.edu/parpl1.jpg</t>
  </si>
  <si>
    <t>https://nematode.unl.edu/parpl2.jpg</t>
  </si>
  <si>
    <t>https://nematode.unl.edu/parpl3.jpg</t>
  </si>
  <si>
    <t>https://nematode.unl.edu/parpl4.jpg</t>
  </si>
  <si>
    <t>https://nematode.unl.edu/pararo1.jpg</t>
  </si>
  <si>
    <t>Pararotylenchus</t>
  </si>
  <si>
    <t>https://nematode.unl.edu/pararo10.jpg</t>
  </si>
  <si>
    <t>https://nematode.unl.edu/pararo11.jpg</t>
  </si>
  <si>
    <t>https://nematode.unl.edu/pararo12.jpg</t>
  </si>
  <si>
    <t>https://nematode.unl.edu/pararo13.jpg</t>
  </si>
  <si>
    <t>https://nematode.unl.edu/pararo14.jpg</t>
  </si>
  <si>
    <t>https://nematode.unl.edu/pararo15.jpg</t>
  </si>
  <si>
    <t>https://nematode.unl.edu/pararo16.jpg</t>
  </si>
  <si>
    <t>https://nematode.unl.edu/pararo17.jpg</t>
  </si>
  <si>
    <t>https://nematode.unl.edu/pararo18.jpg</t>
  </si>
  <si>
    <t>https://nematode.unl.edu/pararo19.jpg</t>
  </si>
  <si>
    <t>https://nematode.unl.edu/pararo2.jpg</t>
  </si>
  <si>
    <t>https://nematode.unl.edu/pararo20.jpg</t>
  </si>
  <si>
    <t>https://nematode.unl.edu/pararo21.jpg</t>
  </si>
  <si>
    <t>https://nematode.unl.edu/pararo22.jpg</t>
  </si>
  <si>
    <t>https://nematode.unl.edu/pararo23.jpg</t>
  </si>
  <si>
    <t>https://nematode.unl.edu/pararo24.jpg</t>
  </si>
  <si>
    <t>https://nematode.unl.edu/pararo25.jpg</t>
  </si>
  <si>
    <t>https://nematode.unl.edu/pararo26.jpg</t>
  </si>
  <si>
    <t>https://nematode.unl.edu/pararo27.jpg</t>
  </si>
  <si>
    <t>https://nematode.unl.edu/pararo28.jpg</t>
  </si>
  <si>
    <t>https://nematode.unl.edu/pararo29.jpg</t>
  </si>
  <si>
    <t>https://nematode.unl.edu/pararo3.jpg</t>
  </si>
  <si>
    <t>https://nematode.unl.edu/pararo4.jpg</t>
  </si>
  <si>
    <t>https://nematode.unl.edu/pararo5.jpg</t>
  </si>
  <si>
    <t>https://nematode.unl.edu/pararo6.jpg</t>
  </si>
  <si>
    <t>https://nematode.unl.edu/pararo7.jpg</t>
  </si>
  <si>
    <t>https://nematode.unl.edu/pararo8.jpg</t>
  </si>
  <si>
    <t>https://nematode.unl.edu/pararo9.jpg</t>
  </si>
  <si>
    <t>https://nematode.unl.edu/patrop1.jpg</t>
  </si>
  <si>
    <t>Paratrophurus</t>
  </si>
  <si>
    <t>https://nematode.unl.edu/patrop10.jpg</t>
  </si>
  <si>
    <t>https://nematode.unl.edu/patrop11.jpg</t>
  </si>
  <si>
    <t>https://nematode.unl.edu/patrop12.jpg</t>
  </si>
  <si>
    <t>https://nematode.unl.edu/patrop13.jpg</t>
  </si>
  <si>
    <t>https://nematode.unl.edu/patrop14.jpg</t>
  </si>
  <si>
    <t>https://nematode.unl.edu/patrop15.jpg</t>
  </si>
  <si>
    <t>https://nematode.unl.edu/patrop16.jpg</t>
  </si>
  <si>
    <t>https://nematode.unl.edu/patrop17.jpg</t>
  </si>
  <si>
    <t>https://nematode.unl.edu/patrop18.jpg</t>
  </si>
  <si>
    <t>https://nematode.unl.edu/patrop19.jpg</t>
  </si>
  <si>
    <t>https://nematode.unl.edu/patrop2.jpg</t>
  </si>
  <si>
    <t>https://nematode.unl.edu/patrop20.jpg</t>
  </si>
  <si>
    <t>https://nematode.unl.edu/patrop21.jpg</t>
  </si>
  <si>
    <t>https://nematode.unl.edu/patrop22.jpg</t>
  </si>
  <si>
    <t>https://nematode.unl.edu/patrop23.jpg</t>
  </si>
  <si>
    <t>https://nematode.unl.edu/patrop24.jpg</t>
  </si>
  <si>
    <t>https://nematode.unl.edu/patrop25.jpg</t>
  </si>
  <si>
    <t>https://nematode.unl.edu/patrop26.jpg</t>
  </si>
  <si>
    <t>https://nematode.unl.edu/patrop27.jpg</t>
  </si>
  <si>
    <t>https://nematode.unl.edu/patrop28.jpg</t>
  </si>
  <si>
    <t>https://nematode.unl.edu/patrop29.jpg</t>
  </si>
  <si>
    <t>https://nematode.unl.edu/patrop3.jpg</t>
  </si>
  <si>
    <t>https://nematode.unl.edu/patrop30.jpg</t>
  </si>
  <si>
    <t>https://nematode.unl.edu/patrop31.jpg</t>
  </si>
  <si>
    <t>https://nematode.unl.edu/patrop4.jpg</t>
  </si>
  <si>
    <t>https://nematode.unl.edu/patrop5.jpg</t>
  </si>
  <si>
    <t>https://nematode.unl.edu/patrop6.jpg</t>
  </si>
  <si>
    <t>https://nematode.unl.edu/patrop7.jpg</t>
  </si>
  <si>
    <t>https://nematode.unl.edu/patrop8.jpg</t>
  </si>
  <si>
    <t>https://nematode.unl.edu/patrop9.jpg</t>
  </si>
  <si>
    <t>https://nematode.unl.edu/paragsm1.jpg</t>
  </si>
  <si>
    <t>Clingmans Dome, Tennessee</t>
  </si>
  <si>
    <t>fir/moss</t>
  </si>
  <si>
    <t>https://nematode.unl.edu/paragsm2.jpg</t>
  </si>
  <si>
    <t>https://nematode.unl.edu/paragsm3.jpg</t>
  </si>
  <si>
    <t>https://nematode.unl.edu/paragsm4.jpg</t>
  </si>
  <si>
    <t>https://nematode.unl.edu/paragsm5.jpg</t>
  </si>
  <si>
    <t>https://nematode.unl.edu/paragsm6.jpg</t>
  </si>
  <si>
    <t>https://nematode.unl.edu/paragsm7.jpg</t>
  </si>
  <si>
    <t>https://nematode.unl.edu/paragsm8.jpg</t>
  </si>
  <si>
    <t>https://nematode.unl.edu/paragsm9.jpg</t>
  </si>
  <si>
    <t>https://nematode.unl.edu/parats1.jpg</t>
  </si>
  <si>
    <t>https://nematode.unl.edu/parats2.jpg</t>
  </si>
  <si>
    <t>https://nematode.unl.edu/paraq1.jpg</t>
  </si>
  <si>
    <t>Paratylenchus aquaticus</t>
  </si>
  <si>
    <t>https://nematode.unl.edu/paraq2.jpg</t>
  </si>
  <si>
    <t>https://nematode.unl.edu/paraq3.jpg</t>
  </si>
  <si>
    <t>https://nematode.unl.edu/paraq4.jpg</t>
  </si>
  <si>
    <t>https://nematode.unl.edu/paraq5.jpg</t>
  </si>
  <si>
    <t>https://nematode.unl.edu/paraqua1.jpg</t>
  </si>
  <si>
    <t>https://nematode.unl.edu/paraqua2.jpg</t>
  </si>
  <si>
    <t>https://nematode.unl.edu/paraqua3.jpg</t>
  </si>
  <si>
    <t>https://nematode.unl.edu/paraqua4.jpg</t>
  </si>
  <si>
    <t>https://nematode.unl.edu/paraqua5.jpg</t>
  </si>
  <si>
    <t>https://nematode.unl.edu/parva1.jpg</t>
  </si>
  <si>
    <t>Paratylenchus vandenbrandei</t>
  </si>
  <si>
    <t>https://nematode.unl.edu/parva2.jpg</t>
  </si>
  <si>
    <t>https://nematode.unl.edu/parva3.jpg</t>
  </si>
  <si>
    <t>https://nematode.unl.edu/parva4.jpg</t>
  </si>
  <si>
    <t>https://nematode.unl.edu/parva5.jpg</t>
  </si>
  <si>
    <t>https://nematode.unl.edu/pariat1.jpg</t>
  </si>
  <si>
    <t>Paratylenchus variatus</t>
  </si>
  <si>
    <t>https://nematode.unl.edu/pariat2.jpg</t>
  </si>
  <si>
    <t>https://nematode.unl.edu/pariat3.jpg</t>
  </si>
  <si>
    <t>https://nematode.unl.edu/pavar1.jpg</t>
  </si>
  <si>
    <t>https://nematode.unl.edu/pavar10.jpg</t>
  </si>
  <si>
    <t>https://nematode.unl.edu/pavar11.jpg</t>
  </si>
  <si>
    <t>https://nematode.unl.edu/pavar12.jpg</t>
  </si>
  <si>
    <t>https://nematode.unl.edu/pavar13.jpg</t>
  </si>
  <si>
    <t>https://nematode.unl.edu/pavar14.jpg</t>
  </si>
  <si>
    <t>https://nematode.unl.edu/pavar15.jpg</t>
  </si>
  <si>
    <t>https://nematode.unl.edu/pavar16.jpg</t>
  </si>
  <si>
    <t>https://nematode.unl.edu/pavar17.jpg</t>
  </si>
  <si>
    <t>https://nematode.unl.edu/pavar18.jpg</t>
  </si>
  <si>
    <t>https://nematode.unl.edu/pavar19.jpg</t>
  </si>
  <si>
    <t>https://nematode.unl.edu/pavar2.jpg</t>
  </si>
  <si>
    <t>https://nematode.unl.edu/pavar3.jpg</t>
  </si>
  <si>
    <t>https://nematode.unl.edu/pavar4.jpg</t>
  </si>
  <si>
    <t>https://nematode.unl.edu/pavar5.jpg</t>
  </si>
  <si>
    <t>https://nematode.unl.edu/pavar6.jpg</t>
  </si>
  <si>
    <t>https://nematode.unl.edu/pavar7.jpg</t>
  </si>
  <si>
    <t>https://nematode.unl.edu/pavar8.jpg</t>
  </si>
  <si>
    <t>https://nematode.unl.edu/pavar9.jpg</t>
  </si>
  <si>
    <t>https://nematode.unl.edu/parav1.jpg</t>
  </si>
  <si>
    <t>Paravulvus</t>
  </si>
  <si>
    <t>https://nematode.unl.edu/parav10.jpg</t>
  </si>
  <si>
    <t>https://nematode.unl.edu/parav11.jpg</t>
  </si>
  <si>
    <t>https://nematode.unl.edu/parav12.jpg</t>
  </si>
  <si>
    <t>https://nematode.unl.edu/parav13.jpg</t>
  </si>
  <si>
    <t>https://nematode.unl.edu/parav2.jpg</t>
  </si>
  <si>
    <t>https://nematode.unl.edu/parav3.jpg</t>
  </si>
  <si>
    <t>https://nematode.unl.edu/parav4.jpg</t>
  </si>
  <si>
    <t>https://nematode.unl.edu/parav5.jpg</t>
  </si>
  <si>
    <t>https://nematode.unl.edu/parav6.jpg</t>
  </si>
  <si>
    <t>https://nematode.unl.edu/parav7.jpg</t>
  </si>
  <si>
    <t>https://nematode.unl.edu/parav8.jpg</t>
  </si>
  <si>
    <t>https://nematode.unl.edu/parav9.jpg</t>
  </si>
  <si>
    <t>https://nematode.unl.edu/parhar1.jpg</t>
  </si>
  <si>
    <t>Paravulvus hartingii</t>
  </si>
  <si>
    <t>https://nematode.unl.edu/parhar10.jpg</t>
  </si>
  <si>
    <t>https://nematode.unl.edu/parhar11.jpg</t>
  </si>
  <si>
    <t>https://nematode.unl.edu/parhar12.jpg</t>
  </si>
  <si>
    <t>https://nematode.unl.edu/parhar13.jpg</t>
  </si>
  <si>
    <t>https://nematode.unl.edu/parhar14.jpg</t>
  </si>
  <si>
    <t>https://nematode.unl.edu/parhar15.jpg</t>
  </si>
  <si>
    <t>https://nematode.unl.edu/parhar16.jpg</t>
  </si>
  <si>
    <t>https://nematode.unl.edu/parhar17.jpg</t>
  </si>
  <si>
    <t>https://nematode.unl.edu/parhar18.jpg</t>
  </si>
  <si>
    <t>https://nematode.unl.edu/parhar19.jpg</t>
  </si>
  <si>
    <t>https://nematode.unl.edu/parhar2.jpg</t>
  </si>
  <si>
    <t>https://nematode.unl.edu/parhar20.jpg</t>
  </si>
  <si>
    <t>https://nematode.unl.edu/parhar21.jpg</t>
  </si>
  <si>
    <t>https://nematode.unl.edu/parhar22.jpg</t>
  </si>
  <si>
    <t>https://nematode.unl.edu/parhar23.jpg</t>
  </si>
  <si>
    <t>https://nematode.unl.edu/parhar24.jpg</t>
  </si>
  <si>
    <t>https://nematode.unl.edu/parhar25.jpg</t>
  </si>
  <si>
    <t>https://nematode.unl.edu/parhar26.jpg</t>
  </si>
  <si>
    <t>https://nematode.unl.edu/parhar27.jpg</t>
  </si>
  <si>
    <t>https://nematode.unl.edu/parhar28.jpg</t>
  </si>
  <si>
    <t>https://nematode.unl.edu/parhar29.jpg</t>
  </si>
  <si>
    <t>https://nematode.unl.edu/parhar3.jpg</t>
  </si>
  <si>
    <t>https://nematode.unl.edu/parhar30.jpg</t>
  </si>
  <si>
    <t>https://nematode.unl.edu/parhar4.jpg</t>
  </si>
  <si>
    <t>https://nematode.unl.edu/parhar5.jpg</t>
  </si>
  <si>
    <t>https://nematode.unl.edu/parhar6.jpg</t>
  </si>
  <si>
    <t>https://nematode.unl.edu/parhar7.jpg</t>
  </si>
  <si>
    <t>https://nematode.unl.edu/parhar8.jpg</t>
  </si>
  <si>
    <t>https://nematode.unl.edu/parhar9.jpg</t>
  </si>
  <si>
    <t>https://nematode.unl.edu/phart.jpg</t>
  </si>
  <si>
    <t>https://nematode.unl.edu/pharti1.jpg</t>
  </si>
  <si>
    <t>Clearwater County, Minnesota</t>
  </si>
  <si>
    <t>Potato field</t>
  </si>
  <si>
    <t>https://nematode.unl.edu/pharti2.jpg</t>
  </si>
  <si>
    <t>https://nematode.unl.edu/pharti3.jpg</t>
  </si>
  <si>
    <t>https://nematode.unl.edu/pharti4.jpg</t>
  </si>
  <si>
    <t>https://nematode.unl.edu/pharti5.jpg</t>
  </si>
  <si>
    <t>https://nematode.unl.edu/pharti6.jpg</t>
  </si>
  <si>
    <t>https://nematode.unl.edu/paraxom1.jpg</t>
  </si>
  <si>
    <t>North Dakota</t>
  </si>
  <si>
    <t>Paraxonchium magnidens</t>
  </si>
  <si>
    <t>Paraxonchium</t>
  </si>
  <si>
    <t>https://nematode.unl.edu/paraxom10.jpg</t>
  </si>
  <si>
    <t>S2O1+2</t>
  </si>
  <si>
    <t>https://nematode.unl.edu/paraxom11.jpg</t>
  </si>
  <si>
    <t>https://nematode.unl.edu/paraxom12.jpg</t>
  </si>
  <si>
    <t>https://nematode.unl.edu/paraxom13.jpg</t>
  </si>
  <si>
    <t>https://nematode.unl.edu/paraxom14.jpg</t>
  </si>
  <si>
    <t>https://nematode.unl.edu/paraxom2.jpg</t>
  </si>
  <si>
    <t>https://nematode.unl.edu/paraxom3.jpg</t>
  </si>
  <si>
    <t>https://nematode.unl.edu/paraxom4.jpg</t>
  </si>
  <si>
    <t>https://nematode.unl.edu/paraxom5.jpg</t>
  </si>
  <si>
    <t>https://nematode.unl.edu/paraxom6.jpg</t>
  </si>
  <si>
    <t>https://nematode.unl.edu/paraxom7.jpg</t>
  </si>
  <si>
    <t>https://nematode.unl.edu/paraxom8.jpg</t>
  </si>
  <si>
    <t>D0/DN</t>
  </si>
  <si>
    <t>https://nematode.unl.edu/paraxom9.jpg</t>
  </si>
  <si>
    <t>S1O1+2</t>
  </si>
  <si>
    <t>https://nematode.unl.edu/paxiden1.jpg</t>
  </si>
  <si>
    <t>https://nematode.unl.edu/paxiden2.jpg</t>
  </si>
  <si>
    <t>https://nematode.unl.edu/paxiden3.jpg</t>
  </si>
  <si>
    <t>https://nematode.unl.edu/paxiden4.jpg</t>
  </si>
  <si>
    <t>https://nematode.unl.edu/paxiden5.jpg</t>
  </si>
  <si>
    <t>https://nematode.unl.edu/paxiden6.jpg</t>
  </si>
  <si>
    <t>https://nematode.unl.edu/paxomadrw.jpg</t>
  </si>
  <si>
    <t>https://nematode.unl.edu/pellios1.jpg</t>
  </si>
  <si>
    <t>Pellioditis</t>
  </si>
  <si>
    <t>https://nematode.unl.edu/pellios10.jpg</t>
  </si>
  <si>
    <t>https://nematode.unl.edu/pellios11.jpg</t>
  </si>
  <si>
    <t>https://nematode.unl.edu/pellios12.jpg</t>
  </si>
  <si>
    <t>https://nematode.unl.edu/pellios13.jpg</t>
  </si>
  <si>
    <t>https://nematode.unl.edu/pellios14.jpg</t>
  </si>
  <si>
    <t>https://nematode.unl.edu/pellios15.jpg</t>
  </si>
  <si>
    <t>https://nematode.unl.edu/pellios2.jpg</t>
  </si>
  <si>
    <t>https://nematode.unl.edu/pellios3.jpg</t>
  </si>
  <si>
    <t>https://nematode.unl.edu/pellios4.jpg</t>
  </si>
  <si>
    <t>https://nematode.unl.edu/pellios5.jpg</t>
  </si>
  <si>
    <t>https://nematode.unl.edu/pellios6.jpg</t>
  </si>
  <si>
    <t>https://nematode.unl.edu/pellios7.jpg</t>
  </si>
  <si>
    <t>https://nematode.unl.edu/pellios8.jpg</t>
  </si>
  <si>
    <t>https://nematode.unl.edu/pellios9.jpg</t>
  </si>
  <si>
    <t>https://nematode.unl.edu/plac1.jpg</t>
  </si>
  <si>
    <t>Plectus acuminatus</t>
  </si>
  <si>
    <t>https://nematode.unl.edu/plac4.jpg</t>
  </si>
  <si>
    <t>https://nematode.unl.edu/plac5.jpg</t>
  </si>
  <si>
    <t>https://nematode.unl.edu/plac6.jpg</t>
  </si>
  <si>
    <t>https://nematode.unl.edu/plac7.jpg</t>
  </si>
  <si>
    <t>https://nematode.unl.edu/plac8.jpg</t>
  </si>
  <si>
    <t>https://nematode.unl.edu/plac9.jpg</t>
  </si>
  <si>
    <t>https://nematode.unl.edu/plecu1.jpg</t>
  </si>
  <si>
    <t>https://nematode.unl.edu/plecu16.jpg</t>
  </si>
  <si>
    <t>https://nematode.unl.edu/plecu17.jpg</t>
  </si>
  <si>
    <t>https://nematode.unl.edu/plecu18.jpg</t>
  </si>
  <si>
    <t>https://nematode.unl.edu/plecu19.jpg</t>
  </si>
  <si>
    <t>https://nematode.unl.edu/plecu2.jpg</t>
  </si>
  <si>
    <t>https://nematode.unl.edu/plecu20.jpg</t>
  </si>
  <si>
    <t>https://nematode.unl.edu/plecu21.jpg</t>
  </si>
  <si>
    <t>https://nematode.unl.edu/plecu22.jpg</t>
  </si>
  <si>
    <t>https://nematode.unl.edu/plecu23.jpg</t>
  </si>
  <si>
    <t>https://nematode.unl.edu/plecu24.jpg</t>
  </si>
  <si>
    <t>https://nematode.unl.edu/plecu25.jpg</t>
  </si>
  <si>
    <t>https://nematode.unl.edu/plecu26.jpg</t>
  </si>
  <si>
    <t>https://nematode.unl.edu/plecu27.jpg</t>
  </si>
  <si>
    <t>https://nematode.unl.edu/plecu28.jpg</t>
  </si>
  <si>
    <t>https://nematode.unl.edu/plecu3.jpg</t>
  </si>
  <si>
    <t>https://nematode.unl.edu/plecu4.jpg</t>
  </si>
  <si>
    <t>https://nematode.unl.edu/plecu5.jpg</t>
  </si>
  <si>
    <t>https://nematode.unl.edu/plecu6.jpg</t>
  </si>
  <si>
    <t>https://nematode.unl.edu/plecu7.jpg</t>
  </si>
  <si>
    <t>https://nematode.unl.edu/plecu8.jpg</t>
  </si>
  <si>
    <t>https://nematode.unl.edu/plum1.jpg</t>
  </si>
  <si>
    <t>https://nematode.unl.edu/plum10.jpg</t>
  </si>
  <si>
    <t>https://nematode.unl.edu/plum11.jpg</t>
  </si>
  <si>
    <t>https://nematode.unl.edu/plum12.jpg</t>
  </si>
  <si>
    <t>https://nematode.unl.edu/plum13.jpg</t>
  </si>
  <si>
    <t>https://nematode.unl.edu/plum14.jpg</t>
  </si>
  <si>
    <t>https://nematode.unl.edu/plum16.jpg</t>
  </si>
  <si>
    <t>https://nematode.unl.edu/plum2.jpg</t>
  </si>
  <si>
    <t>https://nematode.unl.edu/plum3.jpg</t>
  </si>
  <si>
    <t>https://nematode.unl.edu/plum4.jpg</t>
  </si>
  <si>
    <t>https://nematode.unl.edu/plum5.jpg</t>
  </si>
  <si>
    <t>https://nematode.unl.edu/plum6.jpg</t>
  </si>
  <si>
    <t>https://nematode.unl.edu/plum7.jpg</t>
  </si>
  <si>
    <t>https://nematode.unl.edu/plum8.jpg</t>
  </si>
  <si>
    <t>https://nematode.unl.edu/plum9.jpg</t>
  </si>
  <si>
    <t>https://nematode.unl.edu/panda1.jpg</t>
  </si>
  <si>
    <t>Plectus andrassyi</t>
  </si>
  <si>
    <t>https://nematode.unl.edu/panda2.jpg</t>
  </si>
  <si>
    <t>https://nematode.unl.edu/panda3.jpg</t>
  </si>
  <si>
    <t>https://nematode.unl.edu/panda4.jpg</t>
  </si>
  <si>
    <t>https://nematode.unl.edu/pland1.jpg</t>
  </si>
  <si>
    <t>https://nematode.unl.edu/pland2.jpg</t>
  </si>
  <si>
    <t>https://nematode.unl.edu/pland3.jpg</t>
  </si>
  <si>
    <t>cervical papilla</t>
  </si>
  <si>
    <t>https://nematode.unl.edu/pland4.jpg</t>
  </si>
  <si>
    <t>https://nematode.unl.edu/pland5.jpg</t>
  </si>
  <si>
    <t>https://nematode.unl.edu/pland6.jpg</t>
  </si>
  <si>
    <t>https://nematode.unl.edu/pland7.jpg</t>
  </si>
  <si>
    <t>https://nematode.unl.edu/pland8.jpg</t>
  </si>
  <si>
    <t>https://nematode.unl.edu/pland9.jpg</t>
  </si>
  <si>
    <t>https://nematode.unl.edu/plannu1.jpg</t>
  </si>
  <si>
    <t>Plectus annulatus</t>
  </si>
  <si>
    <t>https://nematode.unl.edu/plannu2.jpg</t>
  </si>
  <si>
    <t>https://nematode.unl.edu/plannu3.jpg</t>
  </si>
  <si>
    <t>https://nematode.unl.edu/plannu4.jpg</t>
  </si>
  <si>
    <t>https://nematode.unl.edu/plaqua1.jpg</t>
  </si>
  <si>
    <t>Plectus aquatilis</t>
  </si>
  <si>
    <t>https://nematode.unl.edu/plaqua2.jpg</t>
  </si>
  <si>
    <t>https://nematode.unl.edu/plaqua3.jpg</t>
  </si>
  <si>
    <t>https://nematode.unl.edu/plaqua4.jpg</t>
  </si>
  <si>
    <t>https://nematode.unl.edu/parma1.jpg</t>
  </si>
  <si>
    <t>Plectus armatus</t>
  </si>
  <si>
    <t>https://nematode.unl.edu/parma2.jpg</t>
  </si>
  <si>
    <t>https://nematode.unl.edu/parma3.jpg</t>
  </si>
  <si>
    <t>https://nematode.unl.edu/parma4.jpg</t>
  </si>
  <si>
    <t>https://nematode.unl.edu/parma5.jpg</t>
  </si>
  <si>
    <t>https://nematode.unl.edu/parma6.jpg</t>
  </si>
  <si>
    <t>https://nematode.unl.edu/parma7.jpg</t>
  </si>
  <si>
    <t>https://nematode.unl.edu/plarm1.jpg</t>
  </si>
  <si>
    <t>https://nematode.unl.edu/plarm2.jpg</t>
  </si>
  <si>
    <t>https://nematode.unl.edu/plarm3.jpg</t>
  </si>
  <si>
    <t>setae</t>
  </si>
  <si>
    <t>https://nematode.unl.edu/plarm4.jpg</t>
  </si>
  <si>
    <t>https://nematode.unl.edu/plarm5.jpg</t>
  </si>
  <si>
    <t>https://nematode.unl.edu/passim1.jpg</t>
  </si>
  <si>
    <t>Plectus assimilis</t>
  </si>
  <si>
    <t>https://nematode.unl.edu/passim2.jpg</t>
  </si>
  <si>
    <t>https://nematode.unl.edu/passim3.jpg</t>
  </si>
  <si>
    <t>https://nematode.unl.edu/passim4.jpg</t>
  </si>
  <si>
    <t>https://nematode.unl.edu/passim5.jpg</t>
  </si>
  <si>
    <t>https://nematode.unl.edu/passim6.jpg</t>
  </si>
  <si>
    <t>https://nematode.unl.edu/plassi1.jpg</t>
  </si>
  <si>
    <t>https://nematode.unl.edu/plassi2.jpg</t>
  </si>
  <si>
    <t>https://nematode.unl.edu/plassi3.jpg</t>
  </si>
  <si>
    <t>https://nematode.unl.edu/plassi4.jpg</t>
  </si>
  <si>
    <t>https://nematode.unl.edu/plassi5.jpg</t>
  </si>
  <si>
    <t>https://nematode.unl.edu/plassi9.jpg</t>
  </si>
  <si>
    <t>https://nematode.unl.edu/plecc1.jpg</t>
  </si>
  <si>
    <t>Plectus cirratus</t>
  </si>
  <si>
    <t>https://nematode.unl.edu/plecc2.jpg</t>
  </si>
  <si>
    <t>https://nematode.unl.edu/plecc3.jpg</t>
  </si>
  <si>
    <t>https://nematode.unl.edu/plecc4.jpg</t>
  </si>
  <si>
    <t>https://nematode.unl.edu/plecc5.jpg</t>
  </si>
  <si>
    <t>https://nematode.unl.edu/plecc6.jpg</t>
  </si>
  <si>
    <t>https://nematode.unl.edu/plecc7.jpg</t>
  </si>
  <si>
    <t>https://nematode.unl.edu/plecccmp.jpg</t>
  </si>
  <si>
    <t>https://nematode.unl.edu/pleci1.jpg</t>
  </si>
  <si>
    <t>https://nematode.unl.edu/pleci10.jpg</t>
  </si>
  <si>
    <t>https://nematode.unl.edu/pleci11.jpg</t>
  </si>
  <si>
    <t>https://nematode.unl.edu/pleci12.jpg</t>
  </si>
  <si>
    <t>https://nematode.unl.edu/pleci13.jpg</t>
  </si>
  <si>
    <t>https://nematode.unl.edu/pleci14.jpg</t>
  </si>
  <si>
    <t>https://nematode.unl.edu/pleci2.jpg</t>
  </si>
  <si>
    <t>https://nematode.unl.edu/pleci3.jpg</t>
  </si>
  <si>
    <t>https://nematode.unl.edu/pleci4.jpg</t>
  </si>
  <si>
    <t>https://nematode.unl.edu/pleci5.jpg</t>
  </si>
  <si>
    <t>https://nematode.unl.edu/pleci6.jpg</t>
  </si>
  <si>
    <t>https://nematode.unl.edu/pleci7.jpg</t>
  </si>
  <si>
    <t>https://nematode.unl.edu/pleci8.jpg</t>
  </si>
  <si>
    <t>https://nematode.unl.edu/pleci9.jpg</t>
  </si>
  <si>
    <t>https://nematode.unl.edu/plege1.jpg</t>
  </si>
  <si>
    <t>https://nematode.unl.edu/plege10.jpg</t>
  </si>
  <si>
    <t>https://nematode.unl.edu/plege11.jpg</t>
  </si>
  <si>
    <t>https://nematode.unl.edu/plege12.jpg</t>
  </si>
  <si>
    <t>https://nematode.unl.edu/plege13.jpg</t>
  </si>
  <si>
    <t>https://nematode.unl.edu/plege14.jpg</t>
  </si>
  <si>
    <t>https://nematode.unl.edu/plege15.jpg</t>
  </si>
  <si>
    <t>https://nematode.unl.edu/plege16.jpg</t>
  </si>
  <si>
    <t>https://nematode.unl.edu/plege17.jpg</t>
  </si>
  <si>
    <t>https://nematode.unl.edu/plege18.jpg</t>
  </si>
  <si>
    <t>https://nematode.unl.edu/plege19.jpg</t>
  </si>
  <si>
    <t>https://nematode.unl.edu/plege2.jpg</t>
  </si>
  <si>
    <t>https://nematode.unl.edu/plege20.jpg</t>
  </si>
  <si>
    <t>https://nematode.unl.edu/plege3.jpg</t>
  </si>
  <si>
    <t>https://nematode.unl.edu/plege4.jpg</t>
  </si>
  <si>
    <t>https://nematode.unl.edu/plege5.jpg</t>
  </si>
  <si>
    <t>https://nematode.unl.edu/plege6.jpg</t>
  </si>
  <si>
    <t>https://nematode.unl.edu/plege7.jpg</t>
  </si>
  <si>
    <t>https://nematode.unl.edu/plege8.jpg</t>
  </si>
  <si>
    <t>https://nematode.unl.edu/plege9.jpg</t>
  </si>
  <si>
    <t>https://nematode.unl.edu/plemin1.jpg</t>
  </si>
  <si>
    <t>Plectus minimus</t>
  </si>
  <si>
    <t>https://nematode.unl.edu/plemin10.jpg</t>
  </si>
  <si>
    <t>https://nematode.unl.edu/plemin11.jpg</t>
  </si>
  <si>
    <t>https://nematode.unl.edu/plemin12.jpg</t>
  </si>
  <si>
    <t>https://nematode.unl.edu/plemin2.jpg</t>
  </si>
  <si>
    <t>https://nematode.unl.edu/plemin3.jpg</t>
  </si>
  <si>
    <t>https://nematode.unl.edu/plemin4.jpg</t>
  </si>
  <si>
    <t>https://nematode.unl.edu/plemin5.jpg</t>
  </si>
  <si>
    <t>https://nematode.unl.edu/plemin6.jpg</t>
  </si>
  <si>
    <t>https://nematode.unl.edu/plemin7.jpg</t>
  </si>
  <si>
    <t>https://nematode.unl.edu/plemin8.jpg</t>
  </si>
  <si>
    <t>https://nematode.unl.edu/plemin9.jpg</t>
  </si>
  <si>
    <t>https://nematode.unl.edu/plariet1.jpg</t>
  </si>
  <si>
    <t>Plectus parietinus</t>
  </si>
  <si>
    <t>https://nematode.unl.edu/plariet2.jpg</t>
  </si>
  <si>
    <t>https://nematode.unl.edu/plecpa1.jpg</t>
  </si>
  <si>
    <t>https://nematode.unl.edu/plecpa10.jpg</t>
  </si>
  <si>
    <t>https://nematode.unl.edu/plecpa11.jpg</t>
  </si>
  <si>
    <t>https://nematode.unl.edu/plecpa12.jpg</t>
  </si>
  <si>
    <t>https://nematode.unl.edu/plecpa13.jpg</t>
  </si>
  <si>
    <t>https://nematode.unl.edu/plecpa14.jpg</t>
  </si>
  <si>
    <t>https://nematode.unl.edu/plecpa15.jpg</t>
  </si>
  <si>
    <t>https://nematode.unl.edu/plecpa16.jpg</t>
  </si>
  <si>
    <t>https://nematode.unl.edu/plecpa17.jpg</t>
  </si>
  <si>
    <t>https://nematode.unl.edu/plecpa18.jpg</t>
  </si>
  <si>
    <t>https://nematode.unl.edu/plecpa19.jpg</t>
  </si>
  <si>
    <t>https://nematode.unl.edu/plecpa2.jpg</t>
  </si>
  <si>
    <t>https://nematode.unl.edu/plecpa20.jpg</t>
  </si>
  <si>
    <t>https://nematode.unl.edu/plecpa3.jpg</t>
  </si>
  <si>
    <t>https://nematode.unl.edu/plecpa4.jpg</t>
  </si>
  <si>
    <t>https://nematode.unl.edu/plecpa5.jpg</t>
  </si>
  <si>
    <t>https://nematode.unl.edu/plecpa6.jpg</t>
  </si>
  <si>
    <t>https://nematode.unl.edu/plecpa7.jpg</t>
  </si>
  <si>
    <t>https://nematode.unl.edu/plecpa8.jpg</t>
  </si>
  <si>
    <t>https://nematode.unl.edu/plecpa9.jpg</t>
  </si>
  <si>
    <t>https://nematode.unl.edu/plepari1.jpg</t>
  </si>
  <si>
    <t>https://nematode.unl.edu/plepari2.jpg</t>
  </si>
  <si>
    <t>https://nematode.unl.edu/plepari3.jpg</t>
  </si>
  <si>
    <t>https://nematode.unl.edu/ppariet1.jpg</t>
  </si>
  <si>
    <t>https://nematode.unl.edu/ppariet2.jpg</t>
  </si>
  <si>
    <t>https://nematode.unl.edu/ppariet3.jpg</t>
  </si>
  <si>
    <t>https://nematode.unl.edu/ppariet4.jpg</t>
  </si>
  <si>
    <t>https://nematode.unl.edu/plepa1.jpg</t>
  </si>
  <si>
    <t>Plectus parvus</t>
  </si>
  <si>
    <t>https://nematode.unl.edu/plepa10.jpg</t>
  </si>
  <si>
    <t>https://nematode.unl.edu/plepa11.jpg</t>
  </si>
  <si>
    <t>https://nematode.unl.edu/plepa12.jpg</t>
  </si>
  <si>
    <t>https://nematode.unl.edu/plepa13.jpg</t>
  </si>
  <si>
    <t>https://nematode.unl.edu/plepa14.jpg</t>
  </si>
  <si>
    <t>https://nematode.unl.edu/plepa15.jpg</t>
  </si>
  <si>
    <t>https://nematode.unl.edu/plepa16.jpg</t>
  </si>
  <si>
    <t>https://nematode.unl.edu/plepa17.jpg</t>
  </si>
  <si>
    <t>https://nematode.unl.edu/plepa2.jpg</t>
  </si>
  <si>
    <t>https://nematode.unl.edu/plepa3.jpg</t>
  </si>
  <si>
    <t>https://nematode.unl.edu/plepa4.jpg</t>
  </si>
  <si>
    <t>https://nematode.unl.edu/plepa5.jpg</t>
  </si>
  <si>
    <t>https://nematode.unl.edu/plepa6.jpg</t>
  </si>
  <si>
    <t>https://nematode.unl.edu/plepa7.jpg</t>
  </si>
  <si>
    <t>https://nematode.unl.edu/plepacmp.jpg</t>
  </si>
  <si>
    <t>https://nematode.unl.edu/plepar1.jpg</t>
  </si>
  <si>
    <t>https://nematode.unl.edu/plepar10.jpg</t>
  </si>
  <si>
    <t>https://nematode.unl.edu/plepar11.jpg</t>
  </si>
  <si>
    <t>https://nematode.unl.edu/plepar12.jpg</t>
  </si>
  <si>
    <t>https://nematode.unl.edu/plepar13.jpg</t>
  </si>
  <si>
    <t>https://nematode.unl.edu/plepar14.jpg</t>
  </si>
  <si>
    <t>https://nematode.unl.edu/plepar15.jpg</t>
  </si>
  <si>
    <t>https://nematode.unl.edu/plepar16.jpg</t>
  </si>
  <si>
    <t>https://nematode.unl.edu/plepar17.jpg</t>
  </si>
  <si>
    <t>https://nematode.unl.edu/plepar18.jpg</t>
  </si>
  <si>
    <t>https://nematode.unl.edu/plepar19.jpg</t>
  </si>
  <si>
    <t>https://nematode.unl.edu/plepar2.jpg</t>
  </si>
  <si>
    <t>https://nematode.unl.edu/plepar3.jpg</t>
  </si>
  <si>
    <t>https://nematode.unl.edu/plepar4.jpg</t>
  </si>
  <si>
    <t>https://nematode.unl.edu/plepar5.jpg</t>
  </si>
  <si>
    <t>https://nematode.unl.edu/plepar6.jpg</t>
  </si>
  <si>
    <t>https://nematode.unl.edu/plepar7.jpg</t>
  </si>
  <si>
    <t>https://nematode.unl.edu/plepar8.jpg</t>
  </si>
  <si>
    <t>https://nematode.unl.edu/plepar9.jpg</t>
  </si>
  <si>
    <t>https://nematode.unl.edu/pparvgw1.jpg</t>
  </si>
  <si>
    <t>https://nematode.unl.edu/pparvgw10.jpg</t>
  </si>
  <si>
    <t>https://nematode.unl.edu/pparvgw2.jpg</t>
  </si>
  <si>
    <t>https://nematode.unl.edu/pparvgw3.jpg</t>
  </si>
  <si>
    <t>https://nematode.unl.edu/pparvgw4.jpg</t>
  </si>
  <si>
    <t>https://nematode.unl.edu/pparvgw5.jpg</t>
  </si>
  <si>
    <t>https://nematode.unl.edu/pparvgw6.jpg</t>
  </si>
  <si>
    <t>George Washington Memorial Parkway, Patowmack Canal Trench Virginia</t>
  </si>
  <si>
    <t>https://nematode.unl.edu/pparvgw7.jpg</t>
  </si>
  <si>
    <t>https://nematode.unl.edu/pparvgw8.jpg</t>
  </si>
  <si>
    <t>https://nematode.unl.edu/pparvgw9.jpg</t>
  </si>
  <si>
    <t>https://nematode.unl.edu/plepus1.jpg</t>
  </si>
  <si>
    <t>Plectus pusillus</t>
  </si>
  <si>
    <t>https://nematode.unl.edu/plepus10.jpg</t>
  </si>
  <si>
    <t>https://nematode.unl.edu/plepus11.jpg</t>
  </si>
  <si>
    <t>https://nematode.unl.edu/plepus12.jpg</t>
  </si>
  <si>
    <t>https://nematode.unl.edu/plepus13.jpg</t>
  </si>
  <si>
    <t>https://nematode.unl.edu/plepus18.jpg</t>
  </si>
  <si>
    <t>https://nematode.unl.edu/plepus19.jpg</t>
  </si>
  <si>
    <t>https://nematode.unl.edu/plepus2.jpg</t>
  </si>
  <si>
    <t>https://nematode.unl.edu/plepus20.jpg</t>
  </si>
  <si>
    <t>https://nematode.unl.edu/plepus21.jpg</t>
  </si>
  <si>
    <t>https://nematode.unl.edu/plepus3.jpg</t>
  </si>
  <si>
    <t>https://nematode.unl.edu/plepus4.jpg</t>
  </si>
  <si>
    <t>https://nematode.unl.edu/plepus5.jpg</t>
  </si>
  <si>
    <t>https://nematode.unl.edu/plepus6.jpg</t>
  </si>
  <si>
    <t>https://nematode.unl.edu/plepus7.jpg</t>
  </si>
  <si>
    <t>https://nematode.unl.edu/plepus8.jpg</t>
  </si>
  <si>
    <t>https://nematode.unl.edu/plepus9.jpg</t>
  </si>
  <si>
    <t>https://nematode.unl.edu/pleriz1.jpg</t>
  </si>
  <si>
    <t>Plectus rhizophilus</t>
  </si>
  <si>
    <t>https://nematode.unl.edu/pleriz2.jpg</t>
  </si>
  <si>
    <t>https://nematode.unl.edu/pleriz3.jpg</t>
  </si>
  <si>
    <t>https://nematode.unl.edu/pleriz4.jpg</t>
  </si>
  <si>
    <t>https://nematode.unl.edu/pleriz5.jpg</t>
  </si>
  <si>
    <t>https://nematode.unl.edu/plerizcmp.jpg</t>
  </si>
  <si>
    <t>https://nematode.unl.edu/plerizop1.jpg</t>
  </si>
  <si>
    <t>https://nematode.unl.edu/plerizop10.jpg</t>
  </si>
  <si>
    <t>https://nematode.unl.edu/plerizop11.jpg</t>
  </si>
  <si>
    <t>https://nematode.unl.edu/plerizop12.jpg</t>
  </si>
  <si>
    <t>https://nematode.unl.edu/plerizop13.jpg</t>
  </si>
  <si>
    <t>https://nematode.unl.edu/plerizop14.jpg</t>
  </si>
  <si>
    <t>https://nematode.unl.edu/plerizop15.jpg</t>
  </si>
  <si>
    <t>https://nematode.unl.edu/plerizop16.jpg</t>
  </si>
  <si>
    <t>https://nematode.unl.edu/plerizop17.jpg</t>
  </si>
  <si>
    <t>https://nematode.unl.edu/plerizop18.jpg</t>
  </si>
  <si>
    <t>https://nematode.unl.edu/plerizop19.jpg</t>
  </si>
  <si>
    <t>https://nematode.unl.edu/plerizop2.jpg</t>
  </si>
  <si>
    <t>https://nematode.unl.edu/plerizop20.jpg</t>
  </si>
  <si>
    <t>https://nematode.unl.edu/plerizop21.jpg</t>
  </si>
  <si>
    <t>https://nematode.unl.edu/plerizop22.jpg</t>
  </si>
  <si>
    <t>https://nematode.unl.edu/plerizop23.jpg</t>
  </si>
  <si>
    <t>https://nematode.unl.edu/plerizop24.jpg</t>
  </si>
  <si>
    <t>https://nematode.unl.edu/plerizop25.jpg</t>
  </si>
  <si>
    <t>https://nematode.unl.edu/plerizop26.jpg</t>
  </si>
  <si>
    <t>https://nematode.unl.edu/plerizop3.jpg</t>
  </si>
  <si>
    <t>https://nematode.unl.edu/plerizop4.jpg</t>
  </si>
  <si>
    <t>https://nematode.unl.edu/plerizop5.jpg</t>
  </si>
  <si>
    <t>https://nematode.unl.edu/plerizop6.jpg</t>
  </si>
  <si>
    <t>https://nematode.unl.edu/plerizop7.jpg</t>
  </si>
  <si>
    <t>https://nematode.unl.edu/plerizop8.jpg</t>
  </si>
  <si>
    <t>https://nematode.unl.edu/plerizop9.jpg</t>
  </si>
  <si>
    <t>https://nematode.unl.edu/pleva1.jpg</t>
  </si>
  <si>
    <t>Plectus varians</t>
  </si>
  <si>
    <t>https://nematode.unl.edu/pleva2.jpg</t>
  </si>
  <si>
    <t>https://nematode.unl.edu/pleva3.jpg</t>
  </si>
  <si>
    <t>https://nematode.unl.edu/pleva4.jpg</t>
  </si>
  <si>
    <t>https://nematode.unl.edu/popoli1.jpg</t>
  </si>
  <si>
    <t>Polenchus politus</t>
  </si>
  <si>
    <t>Polenchus</t>
  </si>
  <si>
    <t>https://nematode.unl.edu/popoli10.jpg</t>
  </si>
  <si>
    <t>https://nematode.unl.edu/popoli11.jpg</t>
  </si>
  <si>
    <t>https://nematode.unl.edu/popoli12.jpg</t>
  </si>
  <si>
    <t>https://nematode.unl.edu/popoli13.jpg</t>
  </si>
  <si>
    <t>https://nematode.unl.edu/popoli14.jpg</t>
  </si>
  <si>
    <t>https://nematode.unl.edu/popoli15.jpg</t>
  </si>
  <si>
    <t>https://nematode.unl.edu/popoli16.jpg</t>
  </si>
  <si>
    <t>https://nematode.unl.edu/popoli17.jpg</t>
  </si>
  <si>
    <t>https://nematode.unl.edu/popoli18.jpg</t>
  </si>
  <si>
    <t>https://nematode.unl.edu/popoli2.jpg</t>
  </si>
  <si>
    <t>https://nematode.unl.edu/popoli3.jpg</t>
  </si>
  <si>
    <t>https://nematode.unl.edu/popoli4.jpg</t>
  </si>
  <si>
    <t>https://nematode.unl.edu/popoli5.jpg</t>
  </si>
  <si>
    <t>https://nematode.unl.edu/popoli6.jpg</t>
  </si>
  <si>
    <t>https://nematode.unl.edu/popoli7.jpg</t>
  </si>
  <si>
    <t>https://nematode.unl.edu/popoli8.jpg</t>
  </si>
  <si>
    <t>https://nematode.unl.edu/popoli9.jpg</t>
  </si>
  <si>
    <t>https://nematode.unl.edu/pratycan1.jpg</t>
  </si>
  <si>
    <t>Canada</t>
  </si>
  <si>
    <t>Pratylenchus</t>
  </si>
  <si>
    <t>https://nematode.unl.edu/pratycan2.jpg</t>
  </si>
  <si>
    <t>https://nematode.unl.edu/pratycan3.jpg</t>
  </si>
  <si>
    <t>https://nematode.unl.edu/pratycan4.jpg</t>
  </si>
  <si>
    <t>https://nematode.unl.edu/pratycan5.jpg</t>
  </si>
  <si>
    <t>https://nematode.unl.edu/pratycan6.jpg</t>
  </si>
  <si>
    <t>https://nematode.unl.edu/pratycan7.jpg</t>
  </si>
  <si>
    <t>https://nematode.unl.edu/pratycan8.jpg</t>
  </si>
  <si>
    <t>https://nematode.unl.edu/prathm1.jpg</t>
  </si>
  <si>
    <t>https://nematode.unl.edu/prathm2.jpg</t>
  </si>
  <si>
    <t>https://nematode.unl.edu/prathom1.jpg</t>
  </si>
  <si>
    <t>https://nematode.unl.edu/prathom2.jpg</t>
  </si>
  <si>
    <t>https://nematode.unl.edu/prathom3.jpg</t>
  </si>
  <si>
    <t>https://nematode.unl.edu/prathom4.jpg</t>
  </si>
  <si>
    <t>https://nematode.unl.edu/prathom5.jpg</t>
  </si>
  <si>
    <t>https://nematode.unl.edu/pratyque1.jpg</t>
  </si>
  <si>
    <t>https://nematode.unl.edu/pratys1.jpg</t>
  </si>
  <si>
    <t>https://nematode.unl.edu/pratys10.jpg</t>
  </si>
  <si>
    <t>https://nematode.unl.edu/pratys2.jpg</t>
  </si>
  <si>
    <t>https://nematode.unl.edu/pratys3.jpg</t>
  </si>
  <si>
    <t>https://nematode.unl.edu/pratys4.jpg</t>
  </si>
  <si>
    <t>https://nematode.unl.edu/pratys5.jpg</t>
  </si>
  <si>
    <t>https://nematode.unl.edu/pratys6.jpg</t>
  </si>
  <si>
    <t>https://nematode.unl.edu/pratys7.jpg</t>
  </si>
  <si>
    <t>https://nematode.unl.edu/pratys8.jpg</t>
  </si>
  <si>
    <t>https://nematode.unl.edu/pratys9.jpg</t>
  </si>
  <si>
    <t>https://nematode.unl.edu/pratywis1.jpg</t>
  </si>
  <si>
    <t>University of Wisconsin, Wisconsin</t>
  </si>
  <si>
    <t>in culture</t>
  </si>
  <si>
    <t>https://nematode.unl.edu/pratywis10.jpg</t>
  </si>
  <si>
    <t>https://nematode.unl.edu/pratywis11.jpg</t>
  </si>
  <si>
    <t>https://nematode.unl.edu/pratywis12.jpg</t>
  </si>
  <si>
    <t>https://nematode.unl.edu/pratywis13.jpg</t>
  </si>
  <si>
    <t>https://nematode.unl.edu/pratywis14.jpg</t>
  </si>
  <si>
    <t>https://nematode.unl.edu/pratywis15.jpg</t>
  </si>
  <si>
    <t>https://nematode.unl.edu/pratywis16.jpg</t>
  </si>
  <si>
    <t>https://nematode.unl.edu/pratywis17.jpg</t>
  </si>
  <si>
    <t>https://nematode.unl.edu/pratywis18.jpg</t>
  </si>
  <si>
    <t>https://nematode.unl.edu/pratywis19.jpg</t>
  </si>
  <si>
    <t>https://nematode.unl.edu/pratywis2.jpg</t>
  </si>
  <si>
    <t>https://nematode.unl.edu/pratywis20.jpg</t>
  </si>
  <si>
    <t>https://nematode.unl.edu/pratywis21.jpg</t>
  </si>
  <si>
    <t>https://nematode.unl.edu/pratywis22.jpg</t>
  </si>
  <si>
    <t>https://nematode.unl.edu/pratywis23.jpg</t>
  </si>
  <si>
    <t>https://nematode.unl.edu/pratywis24.jpg</t>
  </si>
  <si>
    <t>https://nematode.unl.edu/pratywis25.jpg</t>
  </si>
  <si>
    <t>https://nematode.unl.edu/pratywis26.jpg</t>
  </si>
  <si>
    <t>https://nematode.unl.edu/pratywis27.jpg</t>
  </si>
  <si>
    <t>https://nematode.unl.edu/pratywis28.jpg</t>
  </si>
  <si>
    <t>https://nematode.unl.edu/pratywis29.jpg</t>
  </si>
  <si>
    <t>https://nematode.unl.edu/pratywis3.jpg</t>
  </si>
  <si>
    <t>https://nematode.unl.edu/pratywis30.jpg</t>
  </si>
  <si>
    <t>https://nematode.unl.edu/pratywis4.jpg</t>
  </si>
  <si>
    <t>https://nematode.unl.edu/pratywis5.jpg</t>
  </si>
  <si>
    <t>https://nematode.unl.edu/pratywis6.jpg</t>
  </si>
  <si>
    <t>https://nematode.unl.edu/pratywis7.jpg</t>
  </si>
  <si>
    <t>https://nematode.unl.edu/pratywis8.jpg</t>
  </si>
  <si>
    <t>https://nematode.unl.edu/pratywis9.jpg</t>
  </si>
  <si>
    <t>https://nematode.unl.edu/pscri1.jpg</t>
  </si>
  <si>
    <t>https://nematode.unl.edu/pscri10.jpg</t>
  </si>
  <si>
    <t>https://nematode.unl.edu/pscri11.jpg</t>
  </si>
  <si>
    <t>https://nematode.unl.edu/pscri12.jpg</t>
  </si>
  <si>
    <t>https://nematode.unl.edu/pscri13.jpg</t>
  </si>
  <si>
    <t>https://nematode.unl.edu/pscri14.jpg</t>
  </si>
  <si>
    <t>https://nematode.unl.edu/pscri15.jpg</t>
  </si>
  <si>
    <t>https://nematode.unl.edu/pscri16.jpg</t>
  </si>
  <si>
    <t>https://nematode.unl.edu/pscri17.jpg</t>
  </si>
  <si>
    <t>https://nematode.unl.edu/pscri18.jpg</t>
  </si>
  <si>
    <t>https://nematode.unl.edu/pscri19.jpg</t>
  </si>
  <si>
    <t>https://nematode.unl.edu/pscri2.jpg</t>
  </si>
  <si>
    <t>https://nematode.unl.edu/pscri20.jpg</t>
  </si>
  <si>
    <t>https://nematode.unl.edu/pscri21.jpg</t>
  </si>
  <si>
    <t>https://nematode.unl.edu/pscri22.jpg</t>
  </si>
  <si>
    <t>https://nematode.unl.edu/pscri23.jpg</t>
  </si>
  <si>
    <t>https://nematode.unl.edu/pscri24.jpg</t>
  </si>
  <si>
    <t>https://nematode.unl.edu/pscri25.jpg</t>
  </si>
  <si>
    <t>https://nematode.unl.edu/pscri3.jpg</t>
  </si>
  <si>
    <t>https://nematode.unl.edu/pscri4.jpg</t>
  </si>
  <si>
    <t>https://nematode.unl.edu/pscri5.jpg</t>
  </si>
  <si>
    <t>https://nematode.unl.edu/pscri6.jpg</t>
  </si>
  <si>
    <t>https://nematode.unl.edu/pscri7.jpg</t>
  </si>
  <si>
    <t>https://nematode.unl.edu/pscri8.jpg</t>
  </si>
  <si>
    <t>https://nematode.unl.edu/pscri9.jpg</t>
  </si>
  <si>
    <t>https://nematode.unl.edu/pagil1.jpg</t>
  </si>
  <si>
    <t>Pratylenchus agilis</t>
  </si>
  <si>
    <t>https://nematode.unl.edu/pagil2.jpg</t>
  </si>
  <si>
    <t>https://nematode.unl.edu/pagil3.jpg</t>
  </si>
  <si>
    <t>https://nematode.unl.edu/pagil4.jpg</t>
  </si>
  <si>
    <t>https://nematode.unl.edu/pagil5.jpg</t>
  </si>
  <si>
    <t>https://nematode.unl.edu/pagil6.jpg</t>
  </si>
  <si>
    <t>https://nematode.unl.edu/pagilcmp.jpg</t>
  </si>
  <si>
    <t>https://nematode.unl.edu/pallen1.jpg</t>
  </si>
  <si>
    <t>Pratylenchus alleni</t>
  </si>
  <si>
    <t>https://nematode.unl.edu/pallen10.jpg</t>
  </si>
  <si>
    <t>https://nematode.unl.edu/pallen11.jpg</t>
  </si>
  <si>
    <t>https://nematode.unl.edu/pallen12.jpg</t>
  </si>
  <si>
    <t>https://nematode.unl.edu/pallen13.jpg</t>
  </si>
  <si>
    <t>https://nematode.unl.edu/pallen14.jpg</t>
  </si>
  <si>
    <t>https://nematode.unl.edu/pallen15.jpg</t>
  </si>
  <si>
    <t>https://nematode.unl.edu/pallen16.jpg</t>
  </si>
  <si>
    <t>https://nematode.unl.edu/pallen17.jpg</t>
  </si>
  <si>
    <t>https://nematode.unl.edu/pallen18.jpg</t>
  </si>
  <si>
    <t>https://nematode.unl.edu/pallen19.jpg</t>
  </si>
  <si>
    <t>https://nematode.unl.edu/pallen2.jpg</t>
  </si>
  <si>
    <t>https://nematode.unl.edu/pallen3.jpg</t>
  </si>
  <si>
    <t>https://nematode.unl.edu/pallen4.jpg</t>
  </si>
  <si>
    <t>https://nematode.unl.edu/pallen5.jpg</t>
  </si>
  <si>
    <t>https://nematode.unl.edu/pallen6.jpg</t>
  </si>
  <si>
    <t>https://nematode.unl.edu/pallen7.jpg</t>
  </si>
  <si>
    <t>https://nematode.unl.edu/pallen8.jpg</t>
  </si>
  <si>
    <t>https://nematode.unl.edu/pallen9.jpg</t>
  </si>
  <si>
    <t>https://nematode.unl.edu/pralle1.jpg</t>
  </si>
  <si>
    <t>https://nematode.unl.edu/pralle2.jpg</t>
  </si>
  <si>
    <t>https://nematode.unl.edu/pralle3.jpg</t>
  </si>
  <si>
    <t>https://nematode.unl.edu/pralle4.jpg</t>
  </si>
  <si>
    <t>https://nematode.unl.edu/pralle5.jpg</t>
  </si>
  <si>
    <t>https://nematode.unl.edu/pracoff1.jpg</t>
  </si>
  <si>
    <t>Pratylenchus coffeae</t>
  </si>
  <si>
    <t>https://nematode.unl.edu/pracoff10.jpg</t>
  </si>
  <si>
    <t>https://nematode.unl.edu/pracoff11.jpg</t>
  </si>
  <si>
    <t>https://nematode.unl.edu/pracoff12.jpg</t>
  </si>
  <si>
    <t>https://nematode.unl.edu/pracoff13.jpg</t>
  </si>
  <si>
    <t>https://nematode.unl.edu/pracoff16.jpg</t>
  </si>
  <si>
    <t>https://nematode.unl.edu/pracoff17.jpg</t>
  </si>
  <si>
    <t>https://nematode.unl.edu/pracoff18.jpg</t>
  </si>
  <si>
    <t>https://nematode.unl.edu/pracoff19.jpg</t>
  </si>
  <si>
    <t>https://nematode.unl.edu/pracoff2.jpg</t>
  </si>
  <si>
    <t>https://nematode.unl.edu/pracoff20.jpg</t>
  </si>
  <si>
    <t>https://nematode.unl.edu/pracoff3.jpg</t>
  </si>
  <si>
    <t>https://nematode.unl.edu/pracoff4.jpg</t>
  </si>
  <si>
    <t>https://nematode.unl.edu/pracoff5.jpg</t>
  </si>
  <si>
    <t>https://nematode.unl.edu/pracoff6.jpg</t>
  </si>
  <si>
    <t>https://nematode.unl.edu/pracoff7.jpg</t>
  </si>
  <si>
    <t>https://nematode.unl.edu/pracoff8.jpg</t>
  </si>
  <si>
    <t>https://nematode.unl.edu/pracoff9.jpg</t>
  </si>
  <si>
    <t>https://nematode.unl.edu/praconva1.jpg</t>
  </si>
  <si>
    <t>Pratylenchus convallariae</t>
  </si>
  <si>
    <t>https://nematode.unl.edu/praconva10.jpg</t>
  </si>
  <si>
    <t>https://nematode.unl.edu/praconva11.jpg</t>
  </si>
  <si>
    <t>https://nematode.unl.edu/praconva12.jpg</t>
  </si>
  <si>
    <t>https://nematode.unl.edu/praconva13.jpg</t>
  </si>
  <si>
    <t>https://nematode.unl.edu/praconva2.jpg</t>
  </si>
  <si>
    <t>https://nematode.unl.edu/praconva3.jpg</t>
  </si>
  <si>
    <t>https://nematode.unl.edu/praconva4.jpg</t>
  </si>
  <si>
    <t>https://nematode.unl.edu/praconva5.jpg</t>
  </si>
  <si>
    <t>https://nematode.unl.edu/praconva6.jpg</t>
  </si>
  <si>
    <t>https://nematode.unl.edu/praconva7.jpg</t>
  </si>
  <si>
    <t>https://nematode.unl.edu/praconva8.jpg</t>
  </si>
  <si>
    <t>https://nematode.unl.edu/praconva9.jpg</t>
  </si>
  <si>
    <t>https://nematode.unl.edu/pracren1.jpg</t>
  </si>
  <si>
    <t>Quebec, Canada</t>
  </si>
  <si>
    <t>Pratylenchus crenatus</t>
  </si>
  <si>
    <t>https://nematode.unl.edu/pracren10.jpg</t>
  </si>
  <si>
    <t>https://nematode.unl.edu/pracren11.jpg</t>
  </si>
  <si>
    <t>https://nematode.unl.edu/pracren12.jpg</t>
  </si>
  <si>
    <t>https://nematode.unl.edu/pracren13.jpg</t>
  </si>
  <si>
    <t>https://nematode.unl.edu/pracren14.jpg</t>
  </si>
  <si>
    <t>https://nematode.unl.edu/pracren15.jpg</t>
  </si>
  <si>
    <t>https://nematode.unl.edu/pracren16.jpg</t>
  </si>
  <si>
    <t>https://nematode.unl.edu/pracren17.jpg</t>
  </si>
  <si>
    <t>anterior ovary/vulva</t>
  </si>
  <si>
    <t>https://nematode.unl.edu/pracren18.jpg</t>
  </si>
  <si>
    <t>https://nematode.unl.edu/pracren19.jpg</t>
  </si>
  <si>
    <t>https://nematode.unl.edu/pracren2.jpg</t>
  </si>
  <si>
    <t>https://nematode.unl.edu/pracren20.jpg</t>
  </si>
  <si>
    <t>https://nematode.unl.edu/pracren21.jpg</t>
  </si>
  <si>
    <t>https://nematode.unl.edu/pracren3.jpg</t>
  </si>
  <si>
    <t>https://nematode.unl.edu/pracren4.jpg</t>
  </si>
  <si>
    <t>head/esophagus</t>
  </si>
  <si>
    <t>https://nematode.unl.edu/pracren5.jpg</t>
  </si>
  <si>
    <t>https://nematode.unl.edu/pracren6.jpg</t>
  </si>
  <si>
    <t>https://nematode.unl.edu/pracren7.jpg</t>
  </si>
  <si>
    <t>https://nematode.unl.edu/pracren8.jpg</t>
  </si>
  <si>
    <t>https://nematode.unl.edu/pracren9.jpg</t>
  </si>
  <si>
    <t>https://nematode.unl.edu/pratfall1.jpg</t>
  </si>
  <si>
    <t>Pratylenchus fallax</t>
  </si>
  <si>
    <t>https://nematode.unl.edu/pratfall2.jpg</t>
  </si>
  <si>
    <t>https://nematode.unl.edu/pratfall3.jpg</t>
  </si>
  <si>
    <t>https://nematode.unl.edu/pratfall4.jpg</t>
  </si>
  <si>
    <t>https://nematode.unl.edu/praflak1.jpg</t>
  </si>
  <si>
    <t>Pratylenchus flakkensis</t>
  </si>
  <si>
    <t>https://nematode.unl.edu/praflak10.jpg</t>
  </si>
  <si>
    <t>https://nematode.unl.edu/praflak11.jpg</t>
  </si>
  <si>
    <t>https://nematode.unl.edu/praflak2.jpg</t>
  </si>
  <si>
    <t>https://nematode.unl.edu/praflak3.jpg</t>
  </si>
  <si>
    <t>https://nematode.unl.edu/praflak4.jpg</t>
  </si>
  <si>
    <t>https://nematode.unl.edu/praflak5.jpg</t>
  </si>
  <si>
    <t>https://nematode.unl.edu/praflak6.jpg</t>
  </si>
  <si>
    <t>https://nematode.unl.edu/praflak7.jpg</t>
  </si>
  <si>
    <t>https://nematode.unl.edu/praflak8.jpg</t>
  </si>
  <si>
    <t>https://nematode.unl.edu/praflak9.jpg</t>
  </si>
  <si>
    <t>https://nematode.unl.edu/pflak1.jpg</t>
  </si>
  <si>
    <t>https://nematode.unl.edu/pflak10.jpg</t>
  </si>
  <si>
    <t>https://nematode.unl.edu/pflak11.jpg</t>
  </si>
  <si>
    <t>https://nematode.unl.edu/pflak12.jpg</t>
  </si>
  <si>
    <t>https://nematode.unl.edu/pflak13.jpg</t>
  </si>
  <si>
    <t>https://nematode.unl.edu/pflak14.jpg</t>
  </si>
  <si>
    <t>https://nematode.unl.edu/pflak15.jpg</t>
  </si>
  <si>
    <t>https://nematode.unl.edu/pflak16.jpg</t>
  </si>
  <si>
    <t>https://nematode.unl.edu/pflak17.jpg</t>
  </si>
  <si>
    <t>https://nematode.unl.edu/pflak18.jpg</t>
  </si>
  <si>
    <t>https://nematode.unl.edu/pflak19.jpg</t>
  </si>
  <si>
    <t>https://nematode.unl.edu/pflak2.jpg</t>
  </si>
  <si>
    <t>https://nematode.unl.edu/pflak20.jpg</t>
  </si>
  <si>
    <t>https://nematode.unl.edu/pflak21.jpg</t>
  </si>
  <si>
    <t>https://nematode.unl.edu/pflak22.jpg</t>
  </si>
  <si>
    <t>https://nematode.unl.edu/pflak23.jpg</t>
  </si>
  <si>
    <t>https://nematode.unl.edu/pflak24.jpg</t>
  </si>
  <si>
    <t>https://nematode.unl.edu/pflak25.jpg</t>
  </si>
  <si>
    <t>https://nematode.unl.edu/pflak26.jpg</t>
  </si>
  <si>
    <t>https://nematode.unl.edu/pflak27.jpg</t>
  </si>
  <si>
    <t>https://nematode.unl.edu/pflak28.jpg</t>
  </si>
  <si>
    <t>https://nematode.unl.edu/pflak29.jpg</t>
  </si>
  <si>
    <t>https://nematode.unl.edu/pflak3.jpg</t>
  </si>
  <si>
    <t>https://nematode.unl.edu/pflak30.jpg</t>
  </si>
  <si>
    <t>https://nematode.unl.edu/pflak31.jpg</t>
  </si>
  <si>
    <t>https://nematode.unl.edu/pflak32.jpg</t>
  </si>
  <si>
    <t>https://nematode.unl.edu/pflak33.jpg</t>
  </si>
  <si>
    <t>https://nematode.unl.edu/pflak34.jpg</t>
  </si>
  <si>
    <t>https://nematode.unl.edu/pflak35.jpg</t>
  </si>
  <si>
    <t>https://nematode.unl.edu/pflak36.jpg</t>
  </si>
  <si>
    <t>https://nematode.unl.edu/pflak37.jpg</t>
  </si>
  <si>
    <t>https://nematode.unl.edu/pflak38.jpg</t>
  </si>
  <si>
    <t>https://nematode.unl.edu/pflak39.jpg</t>
  </si>
  <si>
    <t>https://nematode.unl.edu/pflak4.jpg</t>
  </si>
  <si>
    <t>https://nematode.unl.edu/pflak40.jpg</t>
  </si>
  <si>
    <t>https://nematode.unl.edu/pflak41.jpg</t>
  </si>
  <si>
    <t>https://nematode.unl.edu/pflak42.jpg</t>
  </si>
  <si>
    <t>https://nematode.unl.edu/pflak43.jpg</t>
  </si>
  <si>
    <t>https://nematode.unl.edu/pflak44.jpg</t>
  </si>
  <si>
    <t>https://nematode.unl.edu/pflak45.jpg</t>
  </si>
  <si>
    <t>https://nematode.unl.edu/pflak46.jpg</t>
  </si>
  <si>
    <t>https://nematode.unl.edu/pflak47.jpg</t>
  </si>
  <si>
    <t>https://nematode.unl.edu/pflak48.jpg</t>
  </si>
  <si>
    <t>https://nematode.unl.edu/pflak49.jpg</t>
  </si>
  <si>
    <t>https://nematode.unl.edu/pflak5.jpg</t>
  </si>
  <si>
    <t>https://nematode.unl.edu/pflak50.jpg</t>
  </si>
  <si>
    <t>https://nematode.unl.edu/pflak6.jpg</t>
  </si>
  <si>
    <t>https://nematode.unl.edu/pflak7.jpg</t>
  </si>
  <si>
    <t>https://nematode.unl.edu/pflak8.jpg</t>
  </si>
  <si>
    <t>https://nematode.unl.edu/pflak9.jpg</t>
  </si>
  <si>
    <t>https://nematode.unl.edu/prahex1.jpg</t>
  </si>
  <si>
    <t>Pratylenchus hexincisus</t>
  </si>
  <si>
    <t>https://nematode.unl.edu/prahex2.jpg</t>
  </si>
  <si>
    <t>https://nematode.unl.edu/prahex3.jpg</t>
  </si>
  <si>
    <t>https://nematode.unl.edu/prahex4.jpg</t>
  </si>
  <si>
    <t>https://nematode.unl.edu/phex1.jpg</t>
  </si>
  <si>
    <t>https://nematode.unl.edu/phex10.jpg</t>
  </si>
  <si>
    <t>Nebraska</t>
  </si>
  <si>
    <t>Com</t>
  </si>
  <si>
    <t>https://nematode.unl.edu/phex11.jpg</t>
  </si>
  <si>
    <t>https://nematode.unl.edu/phex12.jpg</t>
  </si>
  <si>
    <t>https://nematode.unl.edu/phex13.jpg</t>
  </si>
  <si>
    <t>https://nematode.unl.edu/phex2.jpg</t>
  </si>
  <si>
    <t>https://nematode.unl.edu/phex3.jpg</t>
  </si>
  <si>
    <t>https://nematode.unl.edu/phex4.jpg</t>
  </si>
  <si>
    <t>https://nematode.unl.edu/phex5.jpg</t>
  </si>
  <si>
    <t>https://nematode.unl.edu/phex6.jpg</t>
  </si>
  <si>
    <t>https://nematode.unl.edu/phex7.jpg</t>
  </si>
  <si>
    <t>bursa flap</t>
  </si>
  <si>
    <t>https://nematode.unl.edu/phex8.jpg</t>
  </si>
  <si>
    <t>https://nematode.unl.edu/phex9.jpg</t>
  </si>
  <si>
    <t>https://nematode.unl.edu/phexho1.jpg</t>
  </si>
  <si>
    <t>Bigbluestem</t>
  </si>
  <si>
    <t>https://nematode.unl.edu/phexho10.jpg</t>
  </si>
  <si>
    <t>https://nematode.unl.edu/phexho11.jpg</t>
  </si>
  <si>
    <t>https://nematode.unl.edu/phexho12.jpg</t>
  </si>
  <si>
    <t>https://nematode.unl.edu/phexho13.jpg</t>
  </si>
  <si>
    <t>https://nematode.unl.edu/phexho14.jpg</t>
  </si>
  <si>
    <t>https://nematode.unl.edu/phexho15.jpg</t>
  </si>
  <si>
    <t>https://nematode.unl.edu/phexho16.jpg</t>
  </si>
  <si>
    <t>https://nematode.unl.edu/phexho17.jpg</t>
  </si>
  <si>
    <t>https://nematode.unl.edu/phexho2.jpg</t>
  </si>
  <si>
    <t>https://nematode.unl.edu/phexho3.jpg</t>
  </si>
  <si>
    <t>https://nematode.unl.edu/phexho4.jpg</t>
  </si>
  <si>
    <t>https://nematode.unl.edu/phexho5.jpg</t>
  </si>
  <si>
    <t>https://nematode.unl.edu/phexho6.jpg</t>
  </si>
  <si>
    <t>https://nematode.unl.edu/phexho7.jpg</t>
  </si>
  <si>
    <t>https://nematode.unl.edu/phexho8.jpg</t>
  </si>
  <si>
    <t>https://nematode.unl.edu/phexho9.jpg</t>
  </si>
  <si>
    <t>https://nematode.unl.edu/phexi1.jpg</t>
  </si>
  <si>
    <t>https://nematode.unl.edu/phexi10.jpg</t>
  </si>
  <si>
    <t>https://nematode.unl.edu/phexi11.jpg</t>
  </si>
  <si>
    <t>https://nematode.unl.edu/phexi12.jpg</t>
  </si>
  <si>
    <t>https://nematode.unl.edu/phexi13.jpg</t>
  </si>
  <si>
    <t>https://nematode.unl.edu/phexi14.jpg</t>
  </si>
  <si>
    <t>https://nematode.unl.edu/phexi15.jpg</t>
  </si>
  <si>
    <t>https://nematode.unl.edu/phexi16.jpg</t>
  </si>
  <si>
    <t>https://nematode.unl.edu/phexi17.jpg</t>
  </si>
  <si>
    <t>https://nematode.unl.edu/phexi18.jpg</t>
  </si>
  <si>
    <t>https://nematode.unl.edu/phexi19.jpg</t>
  </si>
  <si>
    <t>https://nematode.unl.edu/phexi2.jpg</t>
  </si>
  <si>
    <t>https://nematode.unl.edu/phexi20.jpg</t>
  </si>
  <si>
    <t>https://nematode.unl.edu/phexi21.jpg</t>
  </si>
  <si>
    <t>https://nematode.unl.edu/phexi22.jpg</t>
  </si>
  <si>
    <t>https://nematode.unl.edu/phexi23.jpg</t>
  </si>
  <si>
    <t>https://nematode.unl.edu/phexi24.jpg</t>
  </si>
  <si>
    <t>https://nematode.unl.edu/phexi25.jpg</t>
  </si>
  <si>
    <t>https://nematode.unl.edu/phexi3.jpg</t>
  </si>
  <si>
    <t>https://nematode.unl.edu/phexi4.jpg</t>
  </si>
  <si>
    <t>https://nematode.unl.edu/phexi5.jpg</t>
  </si>
  <si>
    <t>https://nematode.unl.edu/phexi6.jpg</t>
  </si>
  <si>
    <t>https://nematode.unl.edu/phexi7.jpg</t>
  </si>
  <si>
    <t>https://nematode.unl.edu/phexi8.jpg</t>
  </si>
  <si>
    <t>https://nematode.unl.edu/phexi9.jpg</t>
  </si>
  <si>
    <t>https://nematode.unl.edu/phexin1.jpg</t>
  </si>
  <si>
    <t>Idaho</t>
  </si>
  <si>
    <t>https://nematode.unl.edu/phexin10.jpg</t>
  </si>
  <si>
    <t>https://nematode.unl.edu/phexin11.jpg</t>
  </si>
  <si>
    <t>https://nematode.unl.edu/phexin12.jpg</t>
  </si>
  <si>
    <t>https://nematode.unl.edu/phexin13.jpg</t>
  </si>
  <si>
    <t>https://nematode.unl.edu/phexin14.jpg</t>
  </si>
  <si>
    <t>https://nematode.unl.edu/phexin2.jpg</t>
  </si>
  <si>
    <t>https://nematode.unl.edu/phexin3.jpg</t>
  </si>
  <si>
    <t>https://nematode.unl.edu/phexin4.jpg</t>
  </si>
  <si>
    <t>https://nematode.unl.edu/phexin5.jpg</t>
  </si>
  <si>
    <t>https://nematode.unl.edu/phexin6.jpg</t>
  </si>
  <si>
    <t>https://nematode.unl.edu/phexin7.jpg</t>
  </si>
  <si>
    <t>https://nematode.unl.edu/phexin8.jpg</t>
  </si>
  <si>
    <t>https://nematode.unl.edu/phexin9.jpg</t>
  </si>
  <si>
    <t>https://nematode.unl.edu/phexinc1.jpg</t>
  </si>
  <si>
    <t>Washington state</t>
  </si>
  <si>
    <t>https://nematode.unl.edu/phexinc10.jpg</t>
  </si>
  <si>
    <t>https://nematode.unl.edu/phexinc11.jpg</t>
  </si>
  <si>
    <t>https://nematode.unl.edu/phexinc12.jpg</t>
  </si>
  <si>
    <t>https://nematode.unl.edu/phexinc13.jpg</t>
  </si>
  <si>
    <t>https://nematode.unl.edu/phexinc14.jpg</t>
  </si>
  <si>
    <t>https://nematode.unl.edu/phexinc15.jpg</t>
  </si>
  <si>
    <t>https://nematode.unl.edu/phexinc2.jpg</t>
  </si>
  <si>
    <t>https://nematode.unl.edu/phexinc3.jpg</t>
  </si>
  <si>
    <t>https://nematode.unl.edu/phexinc4.jpg</t>
  </si>
  <si>
    <t>https://nematode.unl.edu/phexinc5.jpg</t>
  </si>
  <si>
    <t>https://nematode.unl.edu/phexinc6.jpg</t>
  </si>
  <si>
    <t>https://nematode.unl.edu/phexinc7.jpg</t>
  </si>
  <si>
    <t>https://nematode.unl.edu/phexinc8.jpg</t>
  </si>
  <si>
    <t>https://nematode.unl.edu/phexinc9.jpg</t>
  </si>
  <si>
    <t>https://nematode.unl.edu/ploos1.jpg</t>
  </si>
  <si>
    <t>Pratylenchus loosi</t>
  </si>
  <si>
    <t>https://nematode.unl.edu/ploos10.jpg</t>
  </si>
  <si>
    <t>https://nematode.unl.edu/ploos11.jpg</t>
  </si>
  <si>
    <t>https://nematode.unl.edu/ploos13.jpg</t>
  </si>
  <si>
    <t>https://nematode.unl.edu/ploos14.jpg</t>
  </si>
  <si>
    <t>https://nematode.unl.edu/ploos15.jpg</t>
  </si>
  <si>
    <t>https://nematode.unl.edu/ploos17.jpg</t>
  </si>
  <si>
    <t>https://nematode.unl.edu/ploos18.jpg</t>
  </si>
  <si>
    <t>https://nematode.unl.edu/ploos19.jpg</t>
  </si>
  <si>
    <t>https://nematode.unl.edu/ploos2.jpg</t>
  </si>
  <si>
    <t>https://nematode.unl.edu/ploos20.jpg</t>
  </si>
  <si>
    <t>https://nematode.unl.edu/ploos21.jpg</t>
  </si>
  <si>
    <t>https://nematode.unl.edu/ploos3.jpg</t>
  </si>
  <si>
    <t>https://nematode.unl.edu/ploos4.jpg</t>
  </si>
  <si>
    <t>https://nematode.unl.edu/ploos5.jpg</t>
  </si>
  <si>
    <t>https://nematode.unl.edu/ploos6.jpg</t>
  </si>
  <si>
    <t>https://nematode.unl.edu/ploos7.jpg</t>
  </si>
  <si>
    <t>https://nematode.unl.edu/ploos8.jpg</t>
  </si>
  <si>
    <t>https://nematode.unl.edu/ploos9.jpg</t>
  </si>
  <si>
    <t>https://nematode.unl.edu/praneg1.jpg</t>
  </si>
  <si>
    <t>Pratylenchus neglectus</t>
  </si>
  <si>
    <t>https://nematode.unl.edu/praneg10.jpg</t>
  </si>
  <si>
    <t>https://nematode.unl.edu/praneg11.jpg</t>
  </si>
  <si>
    <t>https://nematode.unl.edu/praneg12.jpg</t>
  </si>
  <si>
    <t>https://nematode.unl.edu/praneg13.jpg</t>
  </si>
  <si>
    <t>https://nematode.unl.edu/praneg14.jpg</t>
  </si>
  <si>
    <t>https://nematode.unl.edu/praneg15.jpg</t>
  </si>
  <si>
    <t>https://nematode.unl.edu/praneg16.jpg</t>
  </si>
  <si>
    <t>https://nematode.unl.edu/praneg17.jpg</t>
  </si>
  <si>
    <t>https://nematode.unl.edu/praneg2.jpg</t>
  </si>
  <si>
    <t>https://nematode.unl.edu/praneg3.jpg</t>
  </si>
  <si>
    <t>https://nematode.unl.edu/praneg4.jpg</t>
  </si>
  <si>
    <t>https://nematode.unl.edu/praneg5.jpg</t>
  </si>
  <si>
    <t>https://nematode.unl.edu/praneg6.jpg</t>
  </si>
  <si>
    <t>https://nematode.unl.edu/praneg7.jpg</t>
  </si>
  <si>
    <t>https://nematode.unl.edu/praneg8.jpg</t>
  </si>
  <si>
    <t>https://nematode.unl.edu/praneg9.jpg</t>
  </si>
  <si>
    <t>https://nematode.unl.edu/pranegwa1.jpg</t>
  </si>
  <si>
    <t>https://nematode.unl.edu/pranegwa2.jpg</t>
  </si>
  <si>
    <t>https://nematode.unl.edu/pranegwa3.jpg</t>
  </si>
  <si>
    <t>https://nematode.unl.edu/pranegwa4.jpg</t>
  </si>
  <si>
    <t>https://nematode.unl.edu/pranegwa5.jpg</t>
  </si>
  <si>
    <t>https://nematode.unl.edu/pranegwa6.jpg</t>
  </si>
  <si>
    <t>https://nematode.unl.edu/pranegwa7.jpg</t>
  </si>
  <si>
    <t>https://nematode.unl.edu/pranegwa8.jpg</t>
  </si>
  <si>
    <t>https://nematode.unl.edu/pratex1.jpg</t>
  </si>
  <si>
    <t>https://nematode.unl.edu/pratex2.jpg</t>
  </si>
  <si>
    <t>https://nematode.unl.edu/pratex3.jpg</t>
  </si>
  <si>
    <t>https://nematode.unl.edu/pratex4.jpg</t>
  </si>
  <si>
    <t>https://nematode.unl.edu/pnegwis1.jpg</t>
  </si>
  <si>
    <t>University of Wisconsin, in culture, Wisconsin</t>
  </si>
  <si>
    <t>https://nematode.unl.edu/pnegwis2.jpg</t>
  </si>
  <si>
    <t>https://nematode.unl.edu/pnegwis3.jpg</t>
  </si>
  <si>
    <t>https://nematode.unl.edu/pnegwis4.jpg</t>
  </si>
  <si>
    <t>https://nematode.unl.edu/pnegwis5.jpg</t>
  </si>
  <si>
    <t>https://nematode.unl.edu/pnegwis6.jpg</t>
  </si>
  <si>
    <t>https://nematode.unl.edu/ppenet1.jpg</t>
  </si>
  <si>
    <t>Pratylenchus penetrans</t>
  </si>
  <si>
    <t>https://nematode.unl.edu/ppenet2.jpg</t>
  </si>
  <si>
    <t>https://nematode.unl.edu/ppenet3.jpg</t>
  </si>
  <si>
    <t>https://nematode.unl.edu/ppenet4.jpg</t>
  </si>
  <si>
    <t>https://nematode.unl.edu/ppenet5.jpg</t>
  </si>
  <si>
    <t>https://nematode.unl.edu/ppenet6.jpg</t>
  </si>
  <si>
    <t>https://nematode.unl.edu/ppenet7.jpg</t>
  </si>
  <si>
    <t>https://nematode.unl.edu/prapen1.jpg</t>
  </si>
  <si>
    <t>https://nematode.unl.edu/prapen10.jpg</t>
  </si>
  <si>
    <t>https://nematode.unl.edu/prapen11.jpg</t>
  </si>
  <si>
    <t>https://nematode.unl.edu/prapen12.jpg</t>
  </si>
  <si>
    <t>https://nematode.unl.edu/prapen13.jpg</t>
  </si>
  <si>
    <t>https://nematode.unl.edu/prapen14.jpg</t>
  </si>
  <si>
    <t>https://nematode.unl.edu/prapen15.jpg</t>
  </si>
  <si>
    <t>https://nematode.unl.edu/prapen16.jpg</t>
  </si>
  <si>
    <t>https://nematode.unl.edu/prapen2.jpg</t>
  </si>
  <si>
    <t>https://nematode.unl.edu/prapen3.jpg</t>
  </si>
  <si>
    <t>https://nematode.unl.edu/prapen4.jpg</t>
  </si>
  <si>
    <t>https://nematode.unl.edu/prapen5.jpg</t>
  </si>
  <si>
    <t>https://nematode.unl.edu/prapen6.jpg</t>
  </si>
  <si>
    <t>https://nematode.unl.edu/prapen7.jpg</t>
  </si>
  <si>
    <t>https://nematode.unl.edu/prapen8.jpg</t>
  </si>
  <si>
    <t>https://nematode.unl.edu/prapen9.jpg</t>
  </si>
  <si>
    <t>https://nematode.unl.edu/prapenho1.jpg</t>
  </si>
  <si>
    <t>https://nematode.unl.edu/prapenho2.jpg</t>
  </si>
  <si>
    <t>https://nematode.unl.edu/prapenho3.jpg</t>
  </si>
  <si>
    <t>https://nematode.unl.edu/prapenho4.jpg</t>
  </si>
  <si>
    <t>https://nematode.unl.edu/prapenho5.jpg</t>
  </si>
  <si>
    <t>https://nematode.unl.edu/prapenho6.jpg</t>
  </si>
  <si>
    <t>https://nematode.unl.edu/prapenho7.jpg</t>
  </si>
  <si>
    <t>https://nematode.unl.edu/pratypen1.jpg</t>
  </si>
  <si>
    <t>in Culture</t>
  </si>
  <si>
    <t>https://nematode.unl.edu/pratypen10.jpg</t>
  </si>
  <si>
    <t>https://nematode.unl.edu/pratypen11.jpg</t>
  </si>
  <si>
    <t>https://nematode.unl.edu/pratypen12.jpg</t>
  </si>
  <si>
    <t>https://nematode.unl.edu/pratypen13.jpg</t>
  </si>
  <si>
    <t>https://nematode.unl.edu/pratypen14.jpg</t>
  </si>
  <si>
    <t>https://nematode.unl.edu/pratypen15.jpg</t>
  </si>
  <si>
    <t>https://nematode.unl.edu/pratypen16.jpg</t>
  </si>
  <si>
    <t>https://nematode.unl.edu/pratypen17.jpg</t>
  </si>
  <si>
    <t>https://nematode.unl.edu/pratypen18.jpg</t>
  </si>
  <si>
    <t>https://nematode.unl.edu/pratypen19.jpg</t>
  </si>
  <si>
    <t>https://nematode.unl.edu/pratypen2.jpg</t>
  </si>
  <si>
    <t>https://nematode.unl.edu/pratypen20.jpg</t>
  </si>
  <si>
    <t>https://nematode.unl.edu/pratypen21.jpg</t>
  </si>
  <si>
    <t>https://nematode.unl.edu/pratypen22.jpg</t>
  </si>
  <si>
    <t>https://nematode.unl.edu/pratypen23.jpg</t>
  </si>
  <si>
    <t>https://nematode.unl.edu/pratypen24.jpg</t>
  </si>
  <si>
    <t>https://nematode.unl.edu/pratypen25.jpg</t>
  </si>
  <si>
    <t>https://nematode.unl.edu/pratypen26.jpg</t>
  </si>
  <si>
    <t>https://nematode.unl.edu/pratypen27.jpg</t>
  </si>
  <si>
    <t>https://nematode.unl.edu/pratypen28.jpg</t>
  </si>
  <si>
    <t>https://nematode.unl.edu/pratypen29.jpg</t>
  </si>
  <si>
    <t>https://nematode.unl.edu/pratypen3.jpg</t>
  </si>
  <si>
    <t>https://nematode.unl.edu/pratypen30.jpg</t>
  </si>
  <si>
    <t>https://nematode.unl.edu/pratypen31.jpg</t>
  </si>
  <si>
    <t>https://nematode.unl.edu/pratypen32.jpg</t>
  </si>
  <si>
    <t>https://nematode.unl.edu/pratypen33.jpg</t>
  </si>
  <si>
    <t>https://nematode.unl.edu/pratypen34.jpg</t>
  </si>
  <si>
    <t>https://nematode.unl.edu/pratypen35.jpg</t>
  </si>
  <si>
    <t>https://nematode.unl.edu/pratypen36.jpg</t>
  </si>
  <si>
    <t>https://nematode.unl.edu/pratypen37.jpg</t>
  </si>
  <si>
    <t>https://nematode.unl.edu/pratypen38.jpg</t>
  </si>
  <si>
    <t>https://nematode.unl.edu/pratypen39.jpg</t>
  </si>
  <si>
    <t>https://nematode.unl.edu/pratypen4.jpg</t>
  </si>
  <si>
    <t>https://nematode.unl.edu/pratypen40.jpg</t>
  </si>
  <si>
    <t>https://nematode.unl.edu/pratypen41.jpg</t>
  </si>
  <si>
    <t>https://nematode.unl.edu/pratypen42.jpg</t>
  </si>
  <si>
    <t>vulva/tail</t>
  </si>
  <si>
    <t>https://nematode.unl.edu/pratypen43.jpg</t>
  </si>
  <si>
    <t>https://nematode.unl.edu/pratypen44.jpg</t>
  </si>
  <si>
    <t>https://nematode.unl.edu/pratypen45.jpg</t>
  </si>
  <si>
    <t>https://nematode.unl.edu/pratypen46.jpg</t>
  </si>
  <si>
    <t>https://nematode.unl.edu/pratypen47.jpg</t>
  </si>
  <si>
    <t>https://nematode.unl.edu/pratypen48.jpg</t>
  </si>
  <si>
    <t>https://nematode.unl.edu/pratypen49.jpg</t>
  </si>
  <si>
    <t>https://nematode.unl.edu/pratypen5.jpg</t>
  </si>
  <si>
    <t>https://nematode.unl.edu/pratypen50.jpg</t>
  </si>
  <si>
    <t>https://nematode.unl.edu/pratypen51.jpg</t>
  </si>
  <si>
    <t>https://nematode.unl.edu/pratypen52.jpg</t>
  </si>
  <si>
    <t>https://nematode.unl.edu/pratypen53.jpg</t>
  </si>
  <si>
    <t>https://nematode.unl.edu/pratypen54.jpg</t>
  </si>
  <si>
    <t>https://nematode.unl.edu/pratypen55.jpg</t>
  </si>
  <si>
    <t>https://nematode.unl.edu/pratypen56.jpg</t>
  </si>
  <si>
    <t>https://nematode.unl.edu/pratypen57.jpg</t>
  </si>
  <si>
    <t>https://nematode.unl.edu/pratypen58.jpg</t>
  </si>
  <si>
    <t>https://nematode.unl.edu/pratypen59.jpg</t>
  </si>
  <si>
    <t>https://nematode.unl.edu/pratypen6.jpg</t>
  </si>
  <si>
    <t>https://nematode.unl.edu/pratypen60.jpg</t>
  </si>
  <si>
    <t>https://nematode.unl.edu/pratypen61.jpg</t>
  </si>
  <si>
    <t>https://nematode.unl.edu/pratypen62.jpg</t>
  </si>
  <si>
    <t>https://nematode.unl.edu/pratypen63.jpg</t>
  </si>
  <si>
    <t>https://nematode.unl.edu/pratypen64.jpg</t>
  </si>
  <si>
    <t>https://nematode.unl.edu/pratypen65.jpg</t>
  </si>
  <si>
    <t>https://nematode.unl.edu/pratypen66.jpg</t>
  </si>
  <si>
    <t>https://nematode.unl.edu/pratypen67.jpg</t>
  </si>
  <si>
    <t>https://nematode.unl.edu/pratypen68.jpg</t>
  </si>
  <si>
    <t>https://nematode.unl.edu/pratypen69.jpg</t>
  </si>
  <si>
    <t>https://nematode.unl.edu/pratypen7.jpg</t>
  </si>
  <si>
    <t>https://nematode.unl.edu/pratypen70.jpg</t>
  </si>
  <si>
    <t>https://nematode.unl.edu/pratypen71.jpg</t>
  </si>
  <si>
    <t>https://nematode.unl.edu/pratypen72.jpg</t>
  </si>
  <si>
    <t>https://nematode.unl.edu/pratypen73.jpg</t>
  </si>
  <si>
    <t>https://nematode.unl.edu/pratypen74.jpg</t>
  </si>
  <si>
    <t>https://nematode.unl.edu/pratypen75.jpg</t>
  </si>
  <si>
    <t>https://nematode.unl.edu/pratypen76.jpg</t>
  </si>
  <si>
    <t>https://nematode.unl.edu/pratypen77.jpg</t>
  </si>
  <si>
    <t>https://nematode.unl.edu/pratypen78.jpg</t>
  </si>
  <si>
    <t>https://nematode.unl.edu/pratypen79.jpg</t>
  </si>
  <si>
    <t>https://nematode.unl.edu/pratypen8.jpg</t>
  </si>
  <si>
    <t>https://nematode.unl.edu/pratypen80.jpg</t>
  </si>
  <si>
    <t>https://nematode.unl.edu/pratypen81.jpg</t>
  </si>
  <si>
    <t>https://nematode.unl.edu/pratypen82.jpg</t>
  </si>
  <si>
    <t>https://nematode.unl.edu/pratypen83.jpg</t>
  </si>
  <si>
    <t>https://nematode.unl.edu/pratypen84.jpg</t>
  </si>
  <si>
    <t>https://nematode.unl.edu/pratypen85.jpg</t>
  </si>
  <si>
    <t>https://nematode.unl.edu/pratypen86.jpg</t>
  </si>
  <si>
    <t>https://nematode.unl.edu/pratypen87.jpg</t>
  </si>
  <si>
    <t>https://nematode.unl.edu/pratypen88.jpg</t>
  </si>
  <si>
    <t>https://nematode.unl.edu/pratypen89.jpg</t>
  </si>
  <si>
    <t>https://nematode.unl.edu/pratypen9.jpg</t>
  </si>
  <si>
    <t>https://nematode.unl.edu/pratypen90.jpg</t>
  </si>
  <si>
    <t>https://nematode.unl.edu/prapse1.jpg</t>
  </si>
  <si>
    <t>Pratylenchus pseudopratensis</t>
  </si>
  <si>
    <t>https://nematode.unl.edu/prapse2.jpg</t>
  </si>
  <si>
    <t>https://nematode.unl.edu/prapse3.jpg</t>
  </si>
  <si>
    <t>https://nematode.unl.edu/prapse4.jpg</t>
  </si>
  <si>
    <t>https://nematode.unl.edu/prasc1.jpg</t>
  </si>
  <si>
    <t>Beltsville, Maryland</t>
  </si>
  <si>
    <t xml:space="preserve"> tissue culture</t>
  </si>
  <si>
    <t>Pratylenchus scribneri</t>
  </si>
  <si>
    <t>https://nematode.unl.edu/prasc10.jpg</t>
  </si>
  <si>
    <t>https://nematode.unl.edu/prasc11.jpg</t>
  </si>
  <si>
    <t>https://nematode.unl.edu/prasc12.jpg</t>
  </si>
  <si>
    <t>https://nematode.unl.edu/prasc13.jpg</t>
  </si>
  <si>
    <t>https://nematode.unl.edu/prasc14.jpg</t>
  </si>
  <si>
    <t>https://nematode.unl.edu/prasc2.jpg</t>
  </si>
  <si>
    <t>https://nematode.unl.edu/prasc3.jpg</t>
  </si>
  <si>
    <t>https://nematode.unl.edu/prasc4.jpg</t>
  </si>
  <si>
    <t>https://nematode.unl.edu/prasc5.jpg</t>
  </si>
  <si>
    <t>https://nematode.unl.edu/prasc6.jpg</t>
  </si>
  <si>
    <t>https://nematode.unl.edu/prasc7.jpg</t>
  </si>
  <si>
    <t>https://nematode.unl.edu/prasc8.jpg</t>
  </si>
  <si>
    <t>https://nematode.unl.edu/prasc9.jpg</t>
  </si>
  <si>
    <t>https://nematode.unl.edu/prascrib1.jpg</t>
  </si>
  <si>
    <t>Minden, Nebraska</t>
  </si>
  <si>
    <t>https://nematode.unl.edu/prascrib10.jpg</t>
  </si>
  <si>
    <t>https://nematode.unl.edu/prascrib11.jpg</t>
  </si>
  <si>
    <t>https://nematode.unl.edu/prascrib12.jpg</t>
  </si>
  <si>
    <t>glands</t>
  </si>
  <si>
    <t>https://nematode.unl.edu/prascrib13.jpg</t>
  </si>
  <si>
    <t>https://nematode.unl.edu/prascrib14.jpg</t>
  </si>
  <si>
    <t>hemizonid</t>
  </si>
  <si>
    <t>https://nematode.unl.edu/prascrib15.jpg</t>
  </si>
  <si>
    <t>https://nematode.unl.edu/prascrib16.jpg</t>
  </si>
  <si>
    <t>https://nematode.unl.edu/prascrib17.jpg</t>
  </si>
  <si>
    <t>https://nematode.unl.edu/prascrib18.jpg</t>
  </si>
  <si>
    <t>https://nematode.unl.edu/prascrib19.jpg</t>
  </si>
  <si>
    <t>https://nematode.unl.edu/prascrib2.jpg</t>
  </si>
  <si>
    <t>https://nematode.unl.edu/prascrib20.jpg</t>
  </si>
  <si>
    <t>https://nematode.unl.edu/prascrib21.jpg</t>
  </si>
  <si>
    <t>https://nematode.unl.edu/prascrib22.jpg</t>
  </si>
  <si>
    <t>https://nematode.unl.edu/prascrib23.jpg</t>
  </si>
  <si>
    <t>https://nematode.unl.edu/prascrib24.jpg</t>
  </si>
  <si>
    <t>https://nematode.unl.edu/prascrib3.jpg</t>
  </si>
  <si>
    <t>https://nematode.unl.edu/prascrib4.jpg</t>
  </si>
  <si>
    <t>https://nematode.unl.edu/prascrib5.jpg</t>
  </si>
  <si>
    <t>https://nematode.unl.edu/prascrib6.jpg</t>
  </si>
  <si>
    <t>https://nematode.unl.edu/prascrib7.jpg</t>
  </si>
  <si>
    <t>https://nematode.unl.edu/prascrib8.jpg</t>
  </si>
  <si>
    <t>https://nematode.unl.edu/prascrib9.jpg</t>
  </si>
  <si>
    <t>https://nematode.unl.edu/prats1.jpg</t>
  </si>
  <si>
    <t>https://nematode.unl.edu/prats10.jpg</t>
  </si>
  <si>
    <t>https://nematode.unl.edu/prats11.jpg</t>
  </si>
  <si>
    <t>https://nematode.unl.edu/prats12.jpg</t>
  </si>
  <si>
    <t>https://nematode.unl.edu/prats13.jpg</t>
  </si>
  <si>
    <t>https://nematode.unl.edu/prats14.jpg</t>
  </si>
  <si>
    <t>https://nematode.unl.edu/prats15.jpg</t>
  </si>
  <si>
    <t>https://nematode.unl.edu/prats16.jpg</t>
  </si>
  <si>
    <t>PUS</t>
  </si>
  <si>
    <t>https://nematode.unl.edu/prats17.jpg</t>
  </si>
  <si>
    <t>https://nematode.unl.edu/prats18.jpg</t>
  </si>
  <si>
    <t>https://nematode.unl.edu/prats19.jpg</t>
  </si>
  <si>
    <t>https://nematode.unl.edu/prats2.jpg</t>
  </si>
  <si>
    <t>https://nematode.unl.edu/prats20.jpg</t>
  </si>
  <si>
    <t>https://nematode.unl.edu/prats21.jpg</t>
  </si>
  <si>
    <t>Post Uterine Sac</t>
  </si>
  <si>
    <t>https://nematode.unl.edu/prats3.jpg</t>
  </si>
  <si>
    <t>https://nematode.unl.edu/prats4.jpg</t>
  </si>
  <si>
    <t>https://nematode.unl.edu/prats5.jpg</t>
  </si>
  <si>
    <t>https://nematode.unl.edu/prats6.jpg</t>
  </si>
  <si>
    <t>https://nematode.unl.edu/prats7.jpg</t>
  </si>
  <si>
    <t>https://nematode.unl.edu/prats8.jpg</t>
  </si>
  <si>
    <t>https://nematode.unl.edu/prats9.jpg</t>
  </si>
  <si>
    <t>https://nematode.unl.edu/pratser1.jpg</t>
  </si>
  <si>
    <t>Bush key island, Florida</t>
  </si>
  <si>
    <t>https://nematode.unl.edu/pratser2.jpg</t>
  </si>
  <si>
    <t>https://nematode.unl.edu/pratser3.jpg</t>
  </si>
  <si>
    <t>https://nematode.unl.edu/pratser4.jpg</t>
  </si>
  <si>
    <t>https://nematode.unl.edu/pratser5.jpg</t>
  </si>
  <si>
    <t>https://nematode.unl.edu/pratser6.jpg</t>
  </si>
  <si>
    <t>https://nematode.unl.edu/pratser7.jpg</t>
  </si>
  <si>
    <t>https://nematode.unl.edu/pratser8.jpg</t>
  </si>
  <si>
    <t>https://nematode.unl.edu/pscricmp.jpg</t>
  </si>
  <si>
    <t>https://nematode.unl.edu/prathy1.jpg</t>
  </si>
  <si>
    <t>Pratylenchus thornei</t>
  </si>
  <si>
    <t>https://nematode.unl.edu/prathy2.jpg</t>
  </si>
  <si>
    <t>https://nematode.unl.edu/prathy3.jpg</t>
  </si>
  <si>
    <t>gland nuclei</t>
  </si>
  <si>
    <t>https://nematode.unl.edu/prathy4.jpg</t>
  </si>
  <si>
    <t>https://nematode.unl.edu/prathy5.jpg</t>
  </si>
  <si>
    <t>https://nematode.unl.edu/prathy6.jpg</t>
  </si>
  <si>
    <t>https://nematode.unl.edu/prathy7.jpg</t>
  </si>
  <si>
    <t>https://nematode.unl.edu/prathy8.jpg</t>
  </si>
  <si>
    <t>https://nematode.unl.edu/priongs1.jpg</t>
  </si>
  <si>
    <t>Prionchulus</t>
  </si>
  <si>
    <t>https://nematode.unl.edu/priongs2.jpg</t>
  </si>
  <si>
    <t>https://nematode.unl.edu/priongs3.jpg</t>
  </si>
  <si>
    <t>tooth/denticles</t>
  </si>
  <si>
    <t>https://nematode.unl.edu/priongs4.jpg</t>
  </si>
  <si>
    <t>https://nematode.unl.edu/priongs5.jpg</t>
  </si>
  <si>
    <t>https://nematode.unl.edu/priol.jpg</t>
  </si>
  <si>
    <t>Prionchulus longus</t>
  </si>
  <si>
    <t>https://nematode.unl.edu/primu1.jpg</t>
  </si>
  <si>
    <t>Prionchulus muscorum</t>
  </si>
  <si>
    <t>https://nematode.unl.edu/primu2.jpg</t>
  </si>
  <si>
    <t>https://nematode.unl.edu/primu3.jpg</t>
  </si>
  <si>
    <t>https://nematode.unl.edu/primu4.jpg</t>
  </si>
  <si>
    <t>https://nematode.unl.edu/primu5.jpg</t>
  </si>
  <si>
    <t>https://nematode.unl.edu/primucmp.jpg</t>
  </si>
  <si>
    <t>https://nematode.unl.edu/priopunc1.jpg</t>
  </si>
  <si>
    <t>stoma/denticles</t>
  </si>
  <si>
    <t>Prionchulus punctatus</t>
  </si>
  <si>
    <t>https://nematode.unl.edu/priotatus1.jpg</t>
  </si>
  <si>
    <t>https://nematode.unl.edu/priotatus2.jpg</t>
  </si>
  <si>
    <t>https://nematode.unl.edu/priotatus3.jpg</t>
  </si>
  <si>
    <t>https://nematode.unl.edu/priotatus4.jpg</t>
  </si>
  <si>
    <t>https://nematode.unl.edu/priotatus5.jpg</t>
  </si>
  <si>
    <t>https://nematode.unl.edu/pripunc1.jpg</t>
  </si>
  <si>
    <t>https://nematode.unl.edu/pripunc2.jpg</t>
  </si>
  <si>
    <t>https://nematode.unl.edu/pripunc3.jpg</t>
  </si>
  <si>
    <t>https://nematode.unl.edu/pripunc4.jpg</t>
  </si>
  <si>
    <t>https://nematode.unl.edu/pripunc5.jpg</t>
  </si>
  <si>
    <t>https://nematode.unl.edu/prism1.jpg</t>
  </si>
  <si>
    <t>Prismatolaimus</t>
  </si>
  <si>
    <t>Prismatolaimidae</t>
  </si>
  <si>
    <t>https://nematode.unl.edu/prism2.jpg</t>
  </si>
  <si>
    <t>https://nematode.unl.edu/prism3.jpg</t>
  </si>
  <si>
    <t>https://nematode.unl.edu/prism4.jpg</t>
  </si>
  <si>
    <t>https://nematode.unl.edu/prism5.jpg</t>
  </si>
  <si>
    <t>https://nematode.unl.edu/prism6.jpg</t>
  </si>
  <si>
    <t>https://nematode.unl.edu/prism7.jpg</t>
  </si>
  <si>
    <t>https://nematode.unl.edu/prisma1.jpg</t>
  </si>
  <si>
    <t>https://nematode.unl.edu/prisma10.jpg</t>
  </si>
  <si>
    <t>vulva/anus</t>
  </si>
  <si>
    <t>https://nematode.unl.edu/prisma11.jpg</t>
  </si>
  <si>
    <t>https://nematode.unl.edu/prisma12.jpg</t>
  </si>
  <si>
    <t>https://nematode.unl.edu/prisma13.jpg</t>
  </si>
  <si>
    <t>https://nematode.unl.edu/prisma14.jpg</t>
  </si>
  <si>
    <t>https://nematode.unl.edu/prisma15.jpg</t>
  </si>
  <si>
    <t>https://nematode.unl.edu/prisma16.jpg</t>
  </si>
  <si>
    <t>https://nematode.unl.edu/prisma17.jpg</t>
  </si>
  <si>
    <t>https://nematode.unl.edu/prisma2.jpg</t>
  </si>
  <si>
    <t>https://nematode.unl.edu/prisma3.jpg</t>
  </si>
  <si>
    <t>https://nematode.unl.edu/prisma4.jpg</t>
  </si>
  <si>
    <t>https://nematode.unl.edu/prisma5.jpg</t>
  </si>
  <si>
    <t>https://nematode.unl.edu/prisma6.jpg</t>
  </si>
  <si>
    <t>https://nematode.unl.edu/prisma7.jpg</t>
  </si>
  <si>
    <t>https://nematode.unl.edu/prisma8.jpg</t>
  </si>
  <si>
    <t>https://nematode.unl.edu/prisma9.jpg</t>
  </si>
  <si>
    <t>https://nematode.unl.edu/prismat1.jpg</t>
  </si>
  <si>
    <t>https://nematode.unl.edu/prismat2.jpg</t>
  </si>
  <si>
    <t>https://nematode.unl.edu/prismin1.jpg</t>
  </si>
  <si>
    <t>Prismatolaimus intermedius</t>
  </si>
  <si>
    <t>https://nematode.unl.edu/prismin2.jpg</t>
  </si>
  <si>
    <t>https://nematode.unl.edu/prismin3.jpg</t>
  </si>
  <si>
    <t>https://nematode.unl.edu/pristi1.jpg</t>
  </si>
  <si>
    <t>Pristionchus</t>
  </si>
  <si>
    <t>https://nematode.unl.edu/pristi10.jpg</t>
  </si>
  <si>
    <t>https://nematode.unl.edu/pristi11.jpg</t>
  </si>
  <si>
    <t>https://nematode.unl.edu/pristi12.jpg</t>
  </si>
  <si>
    <t>https://nematode.unl.edu/pristi13.jpg</t>
  </si>
  <si>
    <t>https://nematode.unl.edu/pristi14.jpg</t>
  </si>
  <si>
    <t>https://nematode.unl.edu/pristi15.jpg</t>
  </si>
  <si>
    <t>https://nematode.unl.edu/pristi16.jpg</t>
  </si>
  <si>
    <t>https://nematode.unl.edu/pristi17.jpg</t>
  </si>
  <si>
    <t>https://nematode.unl.edu/pristi18.jpg</t>
  </si>
  <si>
    <t>https://nematode.unl.edu/pristi19.jpg</t>
  </si>
  <si>
    <t>https://nematode.unl.edu/pristi2.jpg</t>
  </si>
  <si>
    <t>https://nematode.unl.edu/pristi20.jpg</t>
  </si>
  <si>
    <t>https://nematode.unl.edu/pristi21.jpg</t>
  </si>
  <si>
    <t>https://nematode.unl.edu/pristi22.jpg</t>
  </si>
  <si>
    <t>https://nematode.unl.edu/pristi23.jpg</t>
  </si>
  <si>
    <t>https://nematode.unl.edu/pristi24.jpg</t>
  </si>
  <si>
    <t>https://nematode.unl.edu/pristi25.jpg</t>
  </si>
  <si>
    <t>https://nematode.unl.edu/pristi26.jpg</t>
  </si>
  <si>
    <t>https://nematode.unl.edu/pristi27.jpg</t>
  </si>
  <si>
    <t>https://nematode.unl.edu/pristi28.jpg</t>
  </si>
  <si>
    <t>https://nematode.unl.edu/pristi29.jpg</t>
  </si>
  <si>
    <t>https://nematode.unl.edu/pristi3.jpg</t>
  </si>
  <si>
    <t>https://nematode.unl.edu/pristi30.jpg</t>
  </si>
  <si>
    <t>https://nematode.unl.edu/pristi31.jpg</t>
  </si>
  <si>
    <t>https://nematode.unl.edu/pristi32.jpg</t>
  </si>
  <si>
    <t>https://nematode.unl.edu/pristi33.jpg</t>
  </si>
  <si>
    <t>https://nematode.unl.edu/pristi34.jpg</t>
  </si>
  <si>
    <t>https://nematode.unl.edu/pristi35.jpg</t>
  </si>
  <si>
    <t>dauer</t>
  </si>
  <si>
    <t>https://nematode.unl.edu/pristi36.jpg</t>
  </si>
  <si>
    <t>https://nematode.unl.edu/pristi37.jpg</t>
  </si>
  <si>
    <t>https://nematode.unl.edu/pristi38.jpg</t>
  </si>
  <si>
    <t>https://nematode.unl.edu/pristi39.jpg</t>
  </si>
  <si>
    <t>https://nematode.unl.edu/pristi4.jpg</t>
  </si>
  <si>
    <t>https://nematode.unl.edu/pristi40.jpg</t>
  </si>
  <si>
    <t>https://nematode.unl.edu/pristi41.jpg</t>
  </si>
  <si>
    <t>https://nematode.unl.edu/pristi42.jpg</t>
  </si>
  <si>
    <t>https://nematode.unl.edu/pristi43.jpg</t>
  </si>
  <si>
    <t>https://nematode.unl.edu/pristi44.jpg</t>
  </si>
  <si>
    <t>https://nematode.unl.edu/pristi45.jpg</t>
  </si>
  <si>
    <t>https://nematode.unl.edu/pristi46.jpg</t>
  </si>
  <si>
    <t>https://nematode.unl.edu/pristi47.jpg</t>
  </si>
  <si>
    <t>https://nematode.unl.edu/pristi48.jpg</t>
  </si>
  <si>
    <t>https://nematode.unl.edu/pristi49.jpg</t>
  </si>
  <si>
    <t>oocyte</t>
  </si>
  <si>
    <t>https://nematode.unl.edu/pristi5.jpg</t>
  </si>
  <si>
    <t>https://nematode.unl.edu/pristi50.jpg</t>
  </si>
  <si>
    <t>https://nematode.unl.edu/pristi51.jpg</t>
  </si>
  <si>
    <t>https://nematode.unl.edu/pristi6.jpg</t>
  </si>
  <si>
    <t>https://nematode.unl.edu/pristi7.jpg</t>
  </si>
  <si>
    <t>https://nematode.unl.edu/pristi8.jpg</t>
  </si>
  <si>
    <t>https://nematode.unl.edu/pristi9.jpg</t>
  </si>
  <si>
    <t>https://nematode.unl.edu/pristpac1.jpg</t>
  </si>
  <si>
    <t>Pristionchus pacificus</t>
  </si>
  <si>
    <t>https://nematode.unl.edu/pristpac10.jpg</t>
  </si>
  <si>
    <t>https://nematode.unl.edu/pristpac11.jpg</t>
  </si>
  <si>
    <t>https://nematode.unl.edu/pristpac12.jpg</t>
  </si>
  <si>
    <t>https://nematode.unl.edu/pristpac13.jpg</t>
  </si>
  <si>
    <t>https://nematode.unl.edu/pristpac15.jpg</t>
  </si>
  <si>
    <t>sem</t>
  </si>
  <si>
    <t>https://nematode.unl.edu/pristpac2.jpg</t>
  </si>
  <si>
    <t>https://nematode.unl.edu/pristpac3.jpg</t>
  </si>
  <si>
    <t>https://nematode.unl.edu/pristpac4.jpg</t>
  </si>
  <si>
    <t>https://nematode.unl.edu/pristpac5.jpg</t>
  </si>
  <si>
    <t>https://nematode.unl.edu/pristpac6.jpg</t>
  </si>
  <si>
    <t>https://nematode.unl.edu/pristpac7.jpg</t>
  </si>
  <si>
    <t>https://nematode.unl.edu/pristpac8.jpg</t>
  </si>
  <si>
    <t>https://nematode.unl.edu/pristpac9.jpg</t>
  </si>
  <si>
    <t>https://nematode.unl.edu/prodons1.jpg</t>
  </si>
  <si>
    <t>Prodontorhabditis</t>
  </si>
  <si>
    <t>https://nematode.unl.edu/prohab1.jpg</t>
  </si>
  <si>
    <t>https://nematode.unl.edu/protis1.jpg</t>
  </si>
  <si>
    <t>https://nematode.unl.edu/protis2.jpg</t>
  </si>
  <si>
    <t>https://nematode.unl.edu/protors1.jpg</t>
  </si>
  <si>
    <t>https://nematode.unl.edu/prodo1.jpg</t>
  </si>
  <si>
    <t>Prodorylaimus</t>
  </si>
  <si>
    <t>https://nematode.unl.edu/prodo2.jpg</t>
  </si>
  <si>
    <t>https://nematode.unl.edu/prodo3.jpg</t>
  </si>
  <si>
    <t>https://nematode.unl.edu/protors2.jpg</t>
  </si>
  <si>
    <t>Protorhabditis</t>
  </si>
  <si>
    <t>https://nematode.unl.edu/protors3.jpg</t>
  </si>
  <si>
    <t>https://nematode.unl.edu/protors4.jpg</t>
  </si>
  <si>
    <t>https://nematode.unl.edu/protors5.jpg</t>
  </si>
  <si>
    <t>https://nematode.unl.edu/protors6.jpg</t>
  </si>
  <si>
    <t>https://nematode.unl.edu/protors7.jpg</t>
  </si>
  <si>
    <t>https://nematode.unl.edu/protors8.jpg</t>
  </si>
  <si>
    <t>https://nematode.unl.edu/pseudip1.jpg</t>
  </si>
  <si>
    <t>Pseudodiplogasteroides</t>
  </si>
  <si>
    <t>https://nematode.unl.edu/pseudip2.jpg</t>
  </si>
  <si>
    <t>https://nematode.unl.edu/pseudip3.jpg</t>
  </si>
  <si>
    <t>https://nematode.unl.edu/pseudip4.jpg</t>
  </si>
  <si>
    <t>https://nematode.unl.edu/phila1.jpg</t>
  </si>
  <si>
    <t>Psilenchus hilarulus</t>
  </si>
  <si>
    <t>Psilenchus</t>
  </si>
  <si>
    <t>https://nematode.unl.edu/phila10.jpg</t>
  </si>
  <si>
    <t>https://nematode.unl.edu/phila11.jpg</t>
  </si>
  <si>
    <t>https://nematode.unl.edu/phila12.jpg</t>
  </si>
  <si>
    <t>https://nematode.unl.edu/phila13.jpg</t>
  </si>
  <si>
    <t>https://nematode.unl.edu/phila14.jpg</t>
  </si>
  <si>
    <t>https://nematode.unl.edu/phila15.jpg</t>
  </si>
  <si>
    <t>https://nematode.unl.edu/phila16.jpg</t>
  </si>
  <si>
    <t>https://nematode.unl.edu/phila17.jpg</t>
  </si>
  <si>
    <t>https://nematode.unl.edu/phila18.jpg</t>
  </si>
  <si>
    <t>https://nematode.unl.edu/phila19.jpg</t>
  </si>
  <si>
    <t>https://nematode.unl.edu/phila2.jpg</t>
  </si>
  <si>
    <t>https://nematode.unl.edu/phila20.jpg</t>
  </si>
  <si>
    <t>https://nematode.unl.edu/phila21.jpg</t>
  </si>
  <si>
    <t>https://nematode.unl.edu/phila22.jpg</t>
  </si>
  <si>
    <t>https://nematode.unl.edu/phila23.jpg</t>
  </si>
  <si>
    <t>https://nematode.unl.edu/phila3.jpg</t>
  </si>
  <si>
    <t>https://nematode.unl.edu/phila4.jpg</t>
  </si>
  <si>
    <t>https://nematode.unl.edu/phila5.jpg</t>
  </si>
  <si>
    <t>https://nematode.unl.edu/phila6.jpg</t>
  </si>
  <si>
    <t>https://nematode.unl.edu/phila7.jpg</t>
  </si>
  <si>
    <t>https://nematode.unl.edu/phila8.jpg</t>
  </si>
  <si>
    <t>https://nematode.unl.edu/phila9.jpg</t>
  </si>
  <si>
    <t>https://nematode.unl.edu/philacmp.jpg</t>
  </si>
  <si>
    <t>https://nematode.unl.edu/philar1.jpg</t>
  </si>
  <si>
    <t>Antelope County, Nebraska</t>
  </si>
  <si>
    <t>corn field</t>
  </si>
  <si>
    <t>https://nematode.unl.edu/pshila1.jpg</t>
  </si>
  <si>
    <t>https://nematode.unl.edu/pshila2.jpg</t>
  </si>
  <si>
    <t>https://nematode.unl.edu/pshila3.jpg</t>
  </si>
  <si>
    <t>https://nematode.unl.edu/pshila4.jpg</t>
  </si>
  <si>
    <t>https://nematode.unl.edu/psihil1.jpg</t>
  </si>
  <si>
    <t>https://nematode.unl.edu/psihil2.jpg</t>
  </si>
  <si>
    <t>https://nematode.unl.edu/psihil3.jpg</t>
  </si>
  <si>
    <t>https://nematode.unl.edu/psihil4.jpg</t>
  </si>
  <si>
    <t>https://nematode.unl.edu/psihil5.jpg</t>
  </si>
  <si>
    <t>https://nematode.unl.edu/pint1.jpg</t>
  </si>
  <si>
    <t>Psilenchus intermedius</t>
  </si>
  <si>
    <t>https://nematode.unl.edu/pint2.jpg</t>
  </si>
  <si>
    <t>https://nematode.unl.edu/pint3.jpg</t>
  </si>
  <si>
    <t>https://nematode.unl.edu/pint4.jpg</t>
  </si>
  <si>
    <t>https://nematode.unl.edu/pint5.jpg</t>
  </si>
  <si>
    <t>https://nematode.unl.edu/pint6.jpg</t>
  </si>
  <si>
    <t>https://nematode.unl.edu/pint7.jpg</t>
  </si>
  <si>
    <t>https://nematode.unl.edu/pint8.jpg</t>
  </si>
  <si>
    <t>https://nematode.unl.edu/pint9.jpg</t>
  </si>
  <si>
    <t>https://nematode.unl.edu/psinter1.jpg</t>
  </si>
  <si>
    <t>https://nematode.unl.edu/psinter10.jpg</t>
  </si>
  <si>
    <t>https://nematode.unl.edu/psinter11.jpg</t>
  </si>
  <si>
    <t>https://nematode.unl.edu/psinter2.jpg</t>
  </si>
  <si>
    <t>https://nematode.unl.edu/psinter3.jpg</t>
  </si>
  <si>
    <t>https://nematode.unl.edu/psinter4.jpg</t>
  </si>
  <si>
    <t>https://nematode.unl.edu/psinter5.jpg</t>
  </si>
  <si>
    <t>https://nematode.unl.edu/psinter6.jpg</t>
  </si>
  <si>
    <t>https://nematode.unl.edu/psinter7.jpg</t>
  </si>
  <si>
    <t>https://nematode.unl.edu/psinter8.jpg</t>
  </si>
  <si>
    <t>https://nematode.unl.edu/psinter9.jpg</t>
  </si>
  <si>
    <t>https://nematode.unl.edu/puncyst1.jpg</t>
  </si>
  <si>
    <t>Punctodera punctata</t>
  </si>
  <si>
    <t>Punctodera</t>
  </si>
  <si>
    <t>https://nematode.unl.edu/puncyst2.jpg</t>
  </si>
  <si>
    <t>https://nematode.unl.edu/puncyst3.jpg</t>
  </si>
  <si>
    <t>https://nematode.unl.edu/puncyst4.jpg</t>
  </si>
  <si>
    <t>https://nematode.unl.edu/puncyst5.jpg</t>
  </si>
  <si>
    <t>https://nematode.unl.edu/puncyst6.jpg</t>
  </si>
  <si>
    <t>https://nematode.unl.edu/pentus1.jpg</t>
  </si>
  <si>
    <t>Pungentus</t>
  </si>
  <si>
    <t>https://nematode.unl.edu/pentus2.jpg</t>
  </si>
  <si>
    <t>https://nematode.unl.edu/pentus3.jpg</t>
  </si>
  <si>
    <t>https://nematode.unl.edu/pentus4.jpg</t>
  </si>
  <si>
    <t>https://nematode.unl.edu/pentus5.jpg</t>
  </si>
  <si>
    <t>https://nematode.unl.edu/pungho1.jpg</t>
  </si>
  <si>
    <t>https://nematode.unl.edu/pungho10.jpg</t>
  </si>
  <si>
    <t>https://nematode.unl.edu/pungho11.jpg</t>
  </si>
  <si>
    <t>https://nematode.unl.edu/pungho12.jpg</t>
  </si>
  <si>
    <t>https://nematode.unl.edu/pungho13.jpg</t>
  </si>
  <si>
    <t>https://nematode.unl.edu/pungho14.jpg</t>
  </si>
  <si>
    <t>https://nematode.unl.edu/pungho15.jpg</t>
  </si>
  <si>
    <t>https://nematode.unl.edu/pungho16.jpg</t>
  </si>
  <si>
    <t>https://nematode.unl.edu/pungho2.jpg</t>
  </si>
  <si>
    <t>https://nematode.unl.edu/pungho3.jpg</t>
  </si>
  <si>
    <t>https://nematode.unl.edu/pungho4.jpg</t>
  </si>
  <si>
    <t>https://nematode.unl.edu/pungho5.jpg</t>
  </si>
  <si>
    <t>https://nematode.unl.edu/pungho6.jpg</t>
  </si>
  <si>
    <t>https://nematode.unl.edu/pungho7.jpg</t>
  </si>
  <si>
    <t>https://nematode.unl.edu/pungho8.jpg</t>
  </si>
  <si>
    <t>https://nematode.unl.edu/pungho9.jpg</t>
  </si>
  <si>
    <t>https://nematode.unl.edu/pungs1.jpg</t>
  </si>
  <si>
    <t>https://nematode.unl.edu/pungs2.jpg</t>
  </si>
  <si>
    <t>https://nematode.unl.edu/puntus1.jpg</t>
  </si>
  <si>
    <t>https://nematode.unl.edu/puntus2.jpg</t>
  </si>
  <si>
    <t>https://nematode.unl.edu/puntus3.jpg</t>
  </si>
  <si>
    <t>https://nematode.unl.edu/puntus4.jpg</t>
  </si>
  <si>
    <t>https://nematode.unl.edu/puntus5.jpg</t>
  </si>
  <si>
    <t>https://nematode.unl.edu/puntus6.jpg</t>
  </si>
  <si>
    <t>https://nematode.unl.edu/punan1.jpg</t>
  </si>
  <si>
    <t>Pungentus angulosus</t>
  </si>
  <si>
    <t>https://nematode.unl.edu/punan10.jpg</t>
  </si>
  <si>
    <t>https://nematode.unl.edu/punan11.jpg</t>
  </si>
  <si>
    <t>https://nematode.unl.edu/punan12.jpg</t>
  </si>
  <si>
    <t>https://nematode.unl.edu/punan13.jpg</t>
  </si>
  <si>
    <t>https://nematode.unl.edu/punan14.jpg</t>
  </si>
  <si>
    <t>https://nematode.unl.edu/punan2.jpg</t>
  </si>
  <si>
    <t>https://nematode.unl.edu/punan3.jpg</t>
  </si>
  <si>
    <t>https://nematode.unl.edu/punan4.jpg</t>
  </si>
  <si>
    <t>https://nematode.unl.edu/punan5.jpg</t>
  </si>
  <si>
    <t>https://nematode.unl.edu/punan6.jpg</t>
  </si>
  <si>
    <t>https://nematode.unl.edu/punan7.jpg</t>
  </si>
  <si>
    <t>https://nematode.unl.edu/punan8.jpg</t>
  </si>
  <si>
    <t>https://nematode.unl.edu/punan9.jpg</t>
  </si>
  <si>
    <t>https://nematode.unl.edu/punancmp.jpg</t>
  </si>
  <si>
    <t>https://nematode.unl.edu/punbre1.jpg</t>
  </si>
  <si>
    <t>Pungentus brevidentatus</t>
  </si>
  <si>
    <t>https://nematode.unl.edu/punbre2.jpg</t>
  </si>
  <si>
    <t>https://nematode.unl.edu/punbre3.jpg</t>
  </si>
  <si>
    <t>https://nematode.unl.edu/punbre4.jpg</t>
  </si>
  <si>
    <t>https://nematode.unl.edu/punbre5.jpg</t>
  </si>
  <si>
    <t>https://nematode.unl.edu/punbrecmp.jpg</t>
  </si>
  <si>
    <t>https://nematode.unl.edu/pucras1.jpg</t>
  </si>
  <si>
    <t>Pungentus crassus</t>
  </si>
  <si>
    <t>https://nematode.unl.edu/pucras10.jpg</t>
  </si>
  <si>
    <t>https://nematode.unl.edu/pucras11.jpg</t>
  </si>
  <si>
    <t>https://nematode.unl.edu/pucras2.jpg</t>
  </si>
  <si>
    <t>https://nematode.unl.edu/pucras3.jpg</t>
  </si>
  <si>
    <t>https://nematode.unl.edu/pucras4.jpg</t>
  </si>
  <si>
    <t>https://nematode.unl.edu/pumo1.jpg</t>
  </si>
  <si>
    <t>Pungentus monohystera</t>
  </si>
  <si>
    <t>https://nematode.unl.edu/pumo10.jpg</t>
  </si>
  <si>
    <t>https://nematode.unl.edu/pumo11.jpg</t>
  </si>
  <si>
    <t>https://nematode.unl.edu/pumo12.jpg</t>
  </si>
  <si>
    <t>https://nematode.unl.edu/pumo13.jpg</t>
  </si>
  <si>
    <t>https://nematode.unl.edu/pumo14.jpg</t>
  </si>
  <si>
    <t>https://nematode.unl.edu/pumo15.jpg</t>
  </si>
  <si>
    <t>https://nematode.unl.edu/pumo16.jpg</t>
  </si>
  <si>
    <t>https://nematode.unl.edu/pumo17.jpg</t>
  </si>
  <si>
    <t>https://nematode.unl.edu/pumo18.jpg</t>
  </si>
  <si>
    <t>https://nematode.unl.edu/pumo19.jpg</t>
  </si>
  <si>
    <t>https://nematode.unl.edu/pumo2.jpg</t>
  </si>
  <si>
    <t>https://nematode.unl.edu/pumo20.jpg</t>
  </si>
  <si>
    <t>https://nematode.unl.edu/pumo21.jpg</t>
  </si>
  <si>
    <t>https://nematode.unl.edu/pumo22.jpg</t>
  </si>
  <si>
    <t>https://nematode.unl.edu/pumo23.jpg</t>
  </si>
  <si>
    <t>https://nematode.unl.edu/pumo24.jpg</t>
  </si>
  <si>
    <t>https://nematode.unl.edu/pumo25.jpg</t>
  </si>
  <si>
    <t>https://nematode.unl.edu/pumo26.jpg</t>
  </si>
  <si>
    <t>https://nematode.unl.edu/pumo27.jpg</t>
  </si>
  <si>
    <t>https://nematode.unl.edu/pumo28.jpg</t>
  </si>
  <si>
    <t>https://nematode.unl.edu/pumo29.jpg</t>
  </si>
  <si>
    <t>https://nematode.unl.edu/pumo3.jpg</t>
  </si>
  <si>
    <t>https://nematode.unl.edu/pumo30.jpg</t>
  </si>
  <si>
    <t>https://nematode.unl.edu/pumo31.jpg</t>
  </si>
  <si>
    <t>https://nematode.unl.edu/pumo32.jpg</t>
  </si>
  <si>
    <t>https://nematode.unl.edu/pumo33.jpg</t>
  </si>
  <si>
    <t>https://nematode.unl.edu/pumo34.jpg</t>
  </si>
  <si>
    <t>https://nematode.unl.edu/pumo35.jpg</t>
  </si>
  <si>
    <t>https://nematode.unl.edu/pumo36.jpg</t>
  </si>
  <si>
    <t>https://nematode.unl.edu/pumo37.jpg</t>
  </si>
  <si>
    <t>https://nematode.unl.edu/pumo38.jpg</t>
  </si>
  <si>
    <t>https://nematode.unl.edu/pumo4.jpg</t>
  </si>
  <si>
    <t>https://nematode.unl.edu/pumo5.jpg</t>
  </si>
  <si>
    <t>https://nematode.unl.edu/pumo6.jpg</t>
  </si>
  <si>
    <t>https://nematode.unl.edu/pumo7.jpg</t>
  </si>
  <si>
    <t>https://nematode.unl.edu/pumo8.jpg</t>
  </si>
  <si>
    <t>https://nematode.unl.edu/pumo9.jpg</t>
  </si>
  <si>
    <t>https://nematode.unl.edu/pumocmp.jpg</t>
  </si>
  <si>
    <t>https://nematode.unl.edu/pungmogw1.jpg</t>
  </si>
  <si>
    <t>https://nematode.unl.edu/pungmogw2.jpg</t>
  </si>
  <si>
    <t>https://nematode.unl.edu/pungmogw3.jpg</t>
  </si>
  <si>
    <t>https://nematode.unl.edu/pungmogw4.jpg</t>
  </si>
  <si>
    <t>https://nematode.unl.edu/pungmogw5.jpg</t>
  </si>
  <si>
    <t>https://nematode.unl.edu/pungmogw6.jpg</t>
  </si>
  <si>
    <t>https://nematode.unl.edu/pungmogw7.jpg</t>
  </si>
  <si>
    <t>https://nematode.unl.edu/pungmogw8.jpg</t>
  </si>
  <si>
    <t>https://nematode.unl.edu/punmon1.jpg</t>
  </si>
  <si>
    <t>https://nematode.unl.edu/punmon2.jpg</t>
  </si>
  <si>
    <t>https://nematode.unl.edu/punmon3.jpg</t>
  </si>
  <si>
    <t>https://nematode.unl.edu/punmon4.jpg</t>
  </si>
  <si>
    <t>https://nematode.unl.edu/punmon5.jpg</t>
  </si>
  <si>
    <t>https://nematode.unl.edu/punmon6.jpg</t>
  </si>
  <si>
    <t>https://nematode.unl.edu/pungob1.jpg</t>
  </si>
  <si>
    <t>Pungentus obscurus</t>
  </si>
  <si>
    <t>https://nematode.unl.edu/pungob2.jpg</t>
  </si>
  <si>
    <t>https://nematode.unl.edu/pungob3.jpg</t>
  </si>
  <si>
    <t>https://nematode.unl.edu/pungob4.jpg</t>
  </si>
  <si>
    <t>https://nematode.unl.edu/pungob5.jpg</t>
  </si>
  <si>
    <t>https://nematode.unl.edu/pungob6.jpg</t>
  </si>
  <si>
    <t>https://nematode.unl.edu/pungob7.jpg</t>
  </si>
  <si>
    <t>https://nematode.unl.edu/punob1.jpg</t>
  </si>
  <si>
    <t>https://nematode.unl.edu/punob10.jpg</t>
  </si>
  <si>
    <t>https://nematode.unl.edu/punob11.jpg</t>
  </si>
  <si>
    <t>https://nematode.unl.edu/punob12.jpg</t>
  </si>
  <si>
    <t>https://nematode.unl.edu/punob13.jpg</t>
  </si>
  <si>
    <t>https://nematode.unl.edu/punob14.jpg</t>
  </si>
  <si>
    <t>https://nematode.unl.edu/punob15.jpg</t>
  </si>
  <si>
    <t>https://nematode.unl.edu/punob2.jpg</t>
  </si>
  <si>
    <t>https://nematode.unl.edu/punob3.jpg</t>
  </si>
  <si>
    <t>https://nematode.unl.edu/punob4.jpg</t>
  </si>
  <si>
    <t>https://nematode.unl.edu/punob5.jpg</t>
  </si>
  <si>
    <t>https://nematode.unl.edu/punob6.jpg</t>
  </si>
  <si>
    <t>https://nematode.unl.edu/punob7.jpg</t>
  </si>
  <si>
    <t>https://nematode.unl.edu/punob8.jpg</t>
  </si>
  <si>
    <t>https://nematode.unl.edu/punob9.jpg</t>
  </si>
  <si>
    <t>https://nematode.unl.edu/punobcmp.jpg</t>
  </si>
  <si>
    <t>https://nematode.unl.edu/pungen2.jpg</t>
  </si>
  <si>
    <t>Pungentus pungens</t>
  </si>
  <si>
    <t>https://nematode.unl.edu/pungen3.jpg</t>
  </si>
  <si>
    <t>https://nematode.unl.edu/pungen4.jpg</t>
  </si>
  <si>
    <t>https://nematode.unl.edu/pungen5.jpg</t>
  </si>
  <si>
    <t>https://nematode.unl.edu/punpun1.jpg</t>
  </si>
  <si>
    <t>https://nematode.unl.edu/punpun10.jpg</t>
  </si>
  <si>
    <t>https://nematode.unl.edu/punpun11.jpg</t>
  </si>
  <si>
    <t>https://nematode.unl.edu/punpun12.jpg</t>
  </si>
  <si>
    <t>https://nematode.unl.edu/punpun13.jpg</t>
  </si>
  <si>
    <t>https://nematode.unl.edu/punpun14.jpg</t>
  </si>
  <si>
    <t>https://nematode.unl.edu/punpun15.jpg</t>
  </si>
  <si>
    <t>https://nematode.unl.edu/punpun16.jpg</t>
  </si>
  <si>
    <t>https://nematode.unl.edu/punpun2.jpg</t>
  </si>
  <si>
    <t>https://nematode.unl.edu/punpun3.jpg</t>
  </si>
  <si>
    <t>https://nematode.unl.edu/punpun4.jpg</t>
  </si>
  <si>
    <t>https://nematode.unl.edu/punpun5.jpg</t>
  </si>
  <si>
    <t>https://nematode.unl.edu/punpun6.jpg</t>
  </si>
  <si>
    <t>https://nematode.unl.edu/punpun7.jpg</t>
  </si>
  <si>
    <t>https://nematode.unl.edu/punpun8.jpg</t>
  </si>
  <si>
    <t>https://nematode.unl.edu/punpun9.jpg</t>
  </si>
  <si>
    <t>https://nematode.unl.edu/punpuncmp.jpg</t>
  </si>
  <si>
    <t>https://nematode.unl.edu/pupu1.jpg</t>
  </si>
  <si>
    <t>https://nematode.unl.edu/pupu10.jpg</t>
  </si>
  <si>
    <t>https://nematode.unl.edu/pupu11.jpg</t>
  </si>
  <si>
    <t>https://nematode.unl.edu/pupu2.jpg</t>
  </si>
  <si>
    <t>https://nematode.unl.edu/pupu3.jpg</t>
  </si>
  <si>
    <t>https://nematode.unl.edu/pupu4.jpg</t>
  </si>
  <si>
    <t>https://nematode.unl.edu/pupu5.jpg</t>
  </si>
  <si>
    <t>https://nematode.unl.edu/pupu6.jpg</t>
  </si>
  <si>
    <t>https://nematode.unl.edu/pupu7.jpg</t>
  </si>
  <si>
    <t>https://nematode.unl.edu/pupu8.jpg</t>
  </si>
  <si>
    <t>https://nematode.unl.edu/pupu9.jpg</t>
  </si>
  <si>
    <t>https://nematode.unl.edu/pungen1.jpg</t>
  </si>
  <si>
    <t>https://nematode.unl.edu/quina1.jpg</t>
  </si>
  <si>
    <t>Quinisulcius acutus</t>
  </si>
  <si>
    <t>Quinisulcius</t>
  </si>
  <si>
    <t>https://nematode.unl.edu/quina10.jpg</t>
  </si>
  <si>
    <t>https://nematode.unl.edu/quina11.jpg</t>
  </si>
  <si>
    <t>https://nematode.unl.edu/quina12.jpg</t>
  </si>
  <si>
    <t>https://nematode.unl.edu/quina13.jpg</t>
  </si>
  <si>
    <t>https://nematode.unl.edu/quina14.jpg</t>
  </si>
  <si>
    <t>https://nematode.unl.edu/quina15.jpg</t>
  </si>
  <si>
    <t>https://nematode.unl.edu/quina16.jpg</t>
  </si>
  <si>
    <t>https://nematode.unl.edu/quina17.jpg</t>
  </si>
  <si>
    <t>https://nematode.unl.edu/quina18.jpg</t>
  </si>
  <si>
    <t>https://nematode.unl.edu/quina2.jpg</t>
  </si>
  <si>
    <t>https://nematode.unl.edu/quina3.jpg</t>
  </si>
  <si>
    <t>https://nematode.unl.edu/quina4.jpg</t>
  </si>
  <si>
    <t>https://nematode.unl.edu/quina5.jpg</t>
  </si>
  <si>
    <t>https://nematode.unl.edu/quina6.jpg</t>
  </si>
  <si>
    <t>https://nematode.unl.edu/quina7.jpg</t>
  </si>
  <si>
    <t>https://nematode.unl.edu/quina8.jpg</t>
  </si>
  <si>
    <t>https://nematode.unl.edu/quina9.jpg</t>
  </si>
  <si>
    <t>https://nematode.unl.edu/quinicut1.jpg</t>
  </si>
  <si>
    <t>https://nematode.unl.edu/quinicut10.jpg</t>
  </si>
  <si>
    <t>https://nematode.unl.edu/quinicut11.jpg</t>
  </si>
  <si>
    <t>https://nematode.unl.edu/quinicut12.jpg</t>
  </si>
  <si>
    <t>https://nematode.unl.edu/quinicut13.jpg</t>
  </si>
  <si>
    <t>https://nematode.unl.edu/quinicut14.jpg</t>
  </si>
  <si>
    <t>https://nematode.unl.edu/quinicut15.jpg</t>
  </si>
  <si>
    <t>https://nematode.unl.edu/quinicut16.jpg</t>
  </si>
  <si>
    <t>https://nematode.unl.edu/quinicut17.jpg</t>
  </si>
  <si>
    <t>https://nematode.unl.edu/quinicut18.jpg</t>
  </si>
  <si>
    <t>https://nematode.unl.edu/quinicut2.jpg</t>
  </si>
  <si>
    <t>https://nematode.unl.edu/quinicut3.jpg</t>
  </si>
  <si>
    <t>https://nematode.unl.edu/quinicut4.jpg</t>
  </si>
  <si>
    <t>https://nematode.unl.edu/quinicut5.jpg</t>
  </si>
  <si>
    <t>https://nematode.unl.edu/quinicut6.jpg</t>
  </si>
  <si>
    <t>https://nematode.unl.edu/quinicut7.jpg</t>
  </si>
  <si>
    <t>https://nematode.unl.edu/quinicut8.jpg</t>
  </si>
  <si>
    <t>https://nematode.unl.edu/quinicut9.jpg</t>
  </si>
  <si>
    <t>https://nematode.unl.edu/rhabella1.jpg</t>
  </si>
  <si>
    <t>Rhabditella</t>
  </si>
  <si>
    <t>https://nematode.unl.edu/rhabella10.jpg</t>
  </si>
  <si>
    <t>https://nematode.unl.edu/rhabella11.jpg</t>
  </si>
  <si>
    <t>https://nematode.unl.edu/rhabella12.jpg</t>
  </si>
  <si>
    <t>https://nematode.unl.edu/rhabella13.jpg</t>
  </si>
  <si>
    <t>https://nematode.unl.edu/rhabella2.jpg</t>
  </si>
  <si>
    <t>https://nematode.unl.edu/rhabella3.jpg</t>
  </si>
  <si>
    <t>https://nematode.unl.edu/rhabella4.jpg</t>
  </si>
  <si>
    <t>https://nematode.unl.edu/rhabella5.jpg</t>
  </si>
  <si>
    <t>https://nematode.unl.edu/rhabella6.jpg</t>
  </si>
  <si>
    <t>https://nematode.unl.edu/rhabella7.jpg</t>
  </si>
  <si>
    <t>https://nematode.unl.edu/rhabella8.jpg</t>
  </si>
  <si>
    <t>https://nematode.unl.edu/rhabella9.jpg</t>
  </si>
  <si>
    <t>https://nematode.unl.edu/rhabtis1.jpg</t>
  </si>
  <si>
    <t>Dead Pig B</t>
  </si>
  <si>
    <t>Rhabditis</t>
  </si>
  <si>
    <t>https://nematode.unl.edu/rhabtis10.jpg</t>
  </si>
  <si>
    <t>https://nematode.unl.edu/rhabtis11.jpg</t>
  </si>
  <si>
    <t>https://nematode.unl.edu/rhabtis12.jpg</t>
  </si>
  <si>
    <t>muscles</t>
  </si>
  <si>
    <t>https://nematode.unl.edu/rhabtis13.jpg</t>
  </si>
  <si>
    <t>https://nematode.unl.edu/rhabtis14.jpg</t>
  </si>
  <si>
    <t>https://nematode.unl.edu/rhabtis15.jpg</t>
  </si>
  <si>
    <t>https://nematode.unl.edu/rhabtis16.jpg</t>
  </si>
  <si>
    <t>https://nematode.unl.edu/rhabtis17.jpg</t>
  </si>
  <si>
    <t>https://nematode.unl.edu/rhabtis18.jpg</t>
  </si>
  <si>
    <t>https://nematode.unl.edu/rhabtis19.jpg</t>
  </si>
  <si>
    <t>https://nematode.unl.edu/rhabtis2.jpg</t>
  </si>
  <si>
    <t>https://nematode.unl.edu/rhabtis20.jpg</t>
  </si>
  <si>
    <t>https://nematode.unl.edu/rhabtis21.jpg</t>
  </si>
  <si>
    <t>https://nematode.unl.edu/rhabtis22.jpg</t>
  </si>
  <si>
    <t>https://nematode.unl.edu/rhabtis23.jpg</t>
  </si>
  <si>
    <t>https://nematode.unl.edu/rhabtis24.jpg</t>
  </si>
  <si>
    <t>https://nematode.unl.edu/rhabtis25.jpg</t>
  </si>
  <si>
    <t>https://nematode.unl.edu/rhabtis26.jpg</t>
  </si>
  <si>
    <t>lateral field/rays</t>
  </si>
  <si>
    <t>https://nematode.unl.edu/rhabtis3.jpg</t>
  </si>
  <si>
    <t>https://nematode.unl.edu/rhabtis4.jpg</t>
  </si>
  <si>
    <t>https://nematode.unl.edu/rhabtis5.jpg</t>
  </si>
  <si>
    <t>https://nematode.unl.edu/rhabtis6.jpg</t>
  </si>
  <si>
    <t>https://nematode.unl.edu/rhabtis7.jpg</t>
  </si>
  <si>
    <t>somatic muscles</t>
  </si>
  <si>
    <t>https://nematode.unl.edu/rhabtis8.jpg</t>
  </si>
  <si>
    <t>https://nematode.unl.edu/rhabtis9.jpg</t>
  </si>
  <si>
    <t>https://nematode.unl.edu/rhoides1.jpg</t>
  </si>
  <si>
    <t>Rhabditoides</t>
  </si>
  <si>
    <t>https://nematode.unl.edu/rhoides12.jpg</t>
  </si>
  <si>
    <t>https://nematode.unl.edu/rhoides13.jpg</t>
  </si>
  <si>
    <t>https://nematode.unl.edu/rhoides2.jpg</t>
  </si>
  <si>
    <t>https://nematode.unl.edu/rhoides3.jpg</t>
  </si>
  <si>
    <t>https://nematode.unl.edu/rhoides4.jpg</t>
  </si>
  <si>
    <t>https://nematode.unl.edu/rhoides5.jpg</t>
  </si>
  <si>
    <t>https://nematode.unl.edu/rhoides6.jpg</t>
  </si>
  <si>
    <t>https://nematode.unl.edu/rhoides7.jpg</t>
  </si>
  <si>
    <t>https://nematode.unl.edu/rhong1.jpg</t>
  </si>
  <si>
    <t>Rhabditoides longicaudata</t>
  </si>
  <si>
    <t>https://nematode.unl.edu/rhong2.jpg</t>
  </si>
  <si>
    <t>https://nematode.unl.edu/rhong3.jpg</t>
  </si>
  <si>
    <t>https://nematode.unl.edu/rhabo1.jpg</t>
  </si>
  <si>
    <t>Rhabditonema</t>
  </si>
  <si>
    <t>https://nematode.unl.edu/rhabo2.jpg</t>
  </si>
  <si>
    <t>https://nematode.unl.edu/rhabo3.jpg</t>
  </si>
  <si>
    <t>https://nematode.unl.edu/rhabter.jpg</t>
  </si>
  <si>
    <t>Rhabdolaimus terrestris</t>
  </si>
  <si>
    <t>Rhabdolaimidae</t>
  </si>
  <si>
    <t>Rhabdolaimus</t>
  </si>
  <si>
    <t>https://nematode.unl.edu/rotana1.jpg</t>
  </si>
  <si>
    <t>Rotylenchulus anamictus</t>
  </si>
  <si>
    <t>Rotylenchulus</t>
  </si>
  <si>
    <t>https://nematode.unl.edu/rotana2.jpg</t>
  </si>
  <si>
    <t>https://nematode.unl.edu/rotana3.jpg</t>
  </si>
  <si>
    <t>https://nematode.unl.edu/rotana4.jpg</t>
  </si>
  <si>
    <t>https://nematode.unl.edu/rotana5.jpg</t>
  </si>
  <si>
    <t>https://nematode.unl.edu/rotana6.jpg</t>
  </si>
  <si>
    <t>https://nematode.unl.edu/rotana7.jpg</t>
  </si>
  <si>
    <t>https://nematode.unl.edu/sakiac1.jpg</t>
  </si>
  <si>
    <t>Sakia</t>
  </si>
  <si>
    <t>https://nematode.unl.edu/sakiac2.jpg</t>
  </si>
  <si>
    <t>https://nematode.unl.edu/sakiac3.jpg</t>
  </si>
  <si>
    <t>https://nematode.unl.edu/sakiac4.jpg</t>
  </si>
  <si>
    <t>https://nematode.unl.edu/sakiac5.jpg</t>
  </si>
  <si>
    <t>https://nematode.unl.edu/sectos1.jpg</t>
  </si>
  <si>
    <t>Sectonema</t>
  </si>
  <si>
    <t>https://nematode.unl.edu/sectos2.jpg</t>
  </si>
  <si>
    <t>https://nematode.unl.edu/sectos3.jpg</t>
  </si>
  <si>
    <t>https://nematode.unl.edu/sectos4.jpg</t>
  </si>
  <si>
    <t>https://nematode.unl.edu/seinurp1.jpg</t>
  </si>
  <si>
    <t>Seinura</t>
  </si>
  <si>
    <t>https://nematode.unl.edu/seinurp2.jpg</t>
  </si>
  <si>
    <t>https://nematode.unl.edu/seinurp3.jpg</t>
  </si>
  <si>
    <t>https://nematode.unl.edu/seinurp4.jpg</t>
  </si>
  <si>
    <t>https://nematode.unl.edu/seinurp5.jpg</t>
  </si>
  <si>
    <t>https://nematode.unl.edu/seinurp6.jpg</t>
  </si>
  <si>
    <t>https://nematode.unl.edu/seinurp7.jpg</t>
  </si>
  <si>
    <t>https://nematode.unl.edu/seinurp8.jpg</t>
  </si>
  <si>
    <t>https://nematode.unl.edu/sovul1.jpg</t>
  </si>
  <si>
    <t>Solididens vulgaris</t>
  </si>
  <si>
    <t>Solididens</t>
  </si>
  <si>
    <t>https://nematode.unl.edu/sovul10.jpg</t>
  </si>
  <si>
    <t>https://nematode.unl.edu/sovul11.jpg</t>
  </si>
  <si>
    <t>https://nematode.unl.edu/sovul12.jpg</t>
  </si>
  <si>
    <t>https://nematode.unl.edu/sovul13.jpg</t>
  </si>
  <si>
    <t>https://nematode.unl.edu/sovul14.jpg</t>
  </si>
  <si>
    <t>https://nematode.unl.edu/sovul15.jpg</t>
  </si>
  <si>
    <t>https://nematode.unl.edu/sovul16.jpg</t>
  </si>
  <si>
    <t>https://nematode.unl.edu/sovul17.jpg</t>
  </si>
  <si>
    <t>https://nematode.unl.edu/sovul18.jpg</t>
  </si>
  <si>
    <t>https://nematode.unl.edu/sovul19.jpg</t>
  </si>
  <si>
    <t>https://nematode.unl.edu/sovul2.jpg</t>
  </si>
  <si>
    <t>https://nematode.unl.edu/sovul20.jpg</t>
  </si>
  <si>
    <t>https://nematode.unl.edu/sovul21.jpg</t>
  </si>
  <si>
    <t>https://nematode.unl.edu/sovul3.jpg</t>
  </si>
  <si>
    <t>https://nematode.unl.edu/sovul4.jpg</t>
  </si>
  <si>
    <t>https://nematode.unl.edu/sovul5.jpg</t>
  </si>
  <si>
    <t>https://nematode.unl.edu/sovul6.jpg</t>
  </si>
  <si>
    <t>https://nematode.unl.edu/sovul7.jpg</t>
  </si>
  <si>
    <t>https://nematode.unl.edu/sovul8.jpg</t>
  </si>
  <si>
    <t>https://nematode.unl.edu/sovul9.jpg</t>
  </si>
  <si>
    <t>https://nematode.unl.edu/sovulcmp.jpg</t>
  </si>
  <si>
    <t>https://nematode.unl.edu/sporon1.jpg</t>
  </si>
  <si>
    <t>alpine trail pond</t>
  </si>
  <si>
    <t>Sporonchulus</t>
  </si>
  <si>
    <t>https://nematode.unl.edu/sporon2.jpg</t>
  </si>
  <si>
    <t>https://nematode.unl.edu/sporon3.jpg</t>
  </si>
  <si>
    <t>https://nematode.unl.edu/sporon4.jpg</t>
  </si>
  <si>
    <t>https://nematode.unl.edu/sporon5.jpg</t>
  </si>
  <si>
    <t>https://nematode.unl.edu/sporon6.jpg</t>
  </si>
  <si>
    <t>https://nematode.unl.edu/sporonus1.jpg</t>
  </si>
  <si>
    <t>https://nematode.unl.edu/sporonus2.jpg</t>
  </si>
  <si>
    <t>https://nematode.unl.edu/sporonus3.jpg</t>
  </si>
  <si>
    <t>https://nematode.unl.edu/sporonus4.jpg</t>
  </si>
  <si>
    <t>https://nematode.unl.edu/sporonus5.jpg</t>
  </si>
  <si>
    <t>https://nematode.unl.edu/steiner1.jpg</t>
  </si>
  <si>
    <t>Steinernema</t>
  </si>
  <si>
    <t>Steinernematidae</t>
  </si>
  <si>
    <t>https://nematode.unl.edu/steiner10.jpg</t>
  </si>
  <si>
    <t>https://nematode.unl.edu/steiner11.jpg</t>
  </si>
  <si>
    <t>https://nematode.unl.edu/steiner12.jpg</t>
  </si>
  <si>
    <t>https://nematode.unl.edu/steiner13.jpg</t>
  </si>
  <si>
    <t>https://nematode.unl.edu/steiner14.jpg</t>
  </si>
  <si>
    <t>https://nematode.unl.edu/steiner15.jpg</t>
  </si>
  <si>
    <t>https://nematode.unl.edu/steiner16.jpg</t>
  </si>
  <si>
    <t>https://nematode.unl.edu/steiner17.jpg</t>
  </si>
  <si>
    <t>https://nematode.unl.edu/steiner18.jpg</t>
  </si>
  <si>
    <t>https://nematode.unl.edu/steiner2.jpg</t>
  </si>
  <si>
    <t>https://nematode.unl.edu/steiner3.jpg</t>
  </si>
  <si>
    <t>https://nematode.unl.edu/steiner4.jpg</t>
  </si>
  <si>
    <t>https://nematode.unl.edu/steiner5.jpg</t>
  </si>
  <si>
    <t>https://nematode.unl.edu/steiner6.jpg</t>
  </si>
  <si>
    <t>https://nematode.unl.edu/steiner7.jpg</t>
  </si>
  <si>
    <t>https://nematode.unl.edu/steiner8.jpg</t>
  </si>
  <si>
    <t>https://nematode.unl.edu/steiner9.jpg</t>
  </si>
  <si>
    <t>https://nematode.unl.edu/steinho1.jpg</t>
  </si>
  <si>
    <t>https://nematode.unl.edu/stegl1.jpg</t>
  </si>
  <si>
    <t>Steinernema glaseri</t>
  </si>
  <si>
    <t>https://nematode.unl.edu/stegl2.jpg</t>
  </si>
  <si>
    <t>https://nematode.unl.edu/stegl3.jpg</t>
  </si>
  <si>
    <t>https://nematode.unl.edu/stegl4.jpg</t>
  </si>
  <si>
    <t>https://nematode.unl.edu/stegl5.jpg</t>
  </si>
  <si>
    <t>https://nematode.unl.edu/stegl6.jpg</t>
  </si>
  <si>
    <t>https://nematode.unl.edu/stegl7.jpg</t>
  </si>
  <si>
    <t>https://nematode.unl.edu/suban1.jpg</t>
  </si>
  <si>
    <t>Subanguina</t>
  </si>
  <si>
    <t>https://nematode.unl.edu/suban10.jpg</t>
  </si>
  <si>
    <t>https://nematode.unl.edu/suban11.jpg</t>
  </si>
  <si>
    <t>https://nematode.unl.edu/suban12.jpg</t>
  </si>
  <si>
    <t>https://nematode.unl.edu/suban13.jpg</t>
  </si>
  <si>
    <t>https://nematode.unl.edu/suban14.jpg</t>
  </si>
  <si>
    <t>https://nematode.unl.edu/suban2.jpg</t>
  </si>
  <si>
    <t>https://nematode.unl.edu/suban3.jpg</t>
  </si>
  <si>
    <t>https://nematode.unl.edu/suban4.jpg</t>
  </si>
  <si>
    <t>https://nematode.unl.edu/suban5.jpg</t>
  </si>
  <si>
    <t>https://nematode.unl.edu/suban6.jpg</t>
  </si>
  <si>
    <t>https://nematode.unl.edu/suban7.jpg</t>
  </si>
  <si>
    <t>https://nematode.unl.edu/suban8.jpg</t>
  </si>
  <si>
    <t>https://nematode.unl.edu/suban9.jpg</t>
  </si>
  <si>
    <t>https://nematode.unl.edu/sycho1.jpg</t>
  </si>
  <si>
    <t>Chadron State Park, Nebraska</t>
  </si>
  <si>
    <t>Pine</t>
  </si>
  <si>
    <t>Sychnotylenchus</t>
  </si>
  <si>
    <t>Sychnotylenchidae</t>
  </si>
  <si>
    <t>https://nematode.unl.edu/sycho2.jpg</t>
  </si>
  <si>
    <t>https://nematode.unl.edu/sycho3.jpg</t>
  </si>
  <si>
    <t>https://nematode.unl.edu/talamau1.jpg</t>
  </si>
  <si>
    <t>Talanema mauritiense</t>
  </si>
  <si>
    <t>Talanema</t>
  </si>
  <si>
    <t>https://nematode.unl.edu/talamau2.jpg</t>
  </si>
  <si>
    <t>https://nematode.unl.edu/talamau3.jpg</t>
  </si>
  <si>
    <t>https://nematode.unl.edu/talamau4.jpg</t>
  </si>
  <si>
    <t>https://nematode.unl.edu/talamau5.jpg</t>
  </si>
  <si>
    <t>https://nematode.unl.edu/talamau6.jpg</t>
  </si>
  <si>
    <t>https://nematode.unl.edu/talamau7.jpg</t>
  </si>
  <si>
    <t>https://nematode.unl.edu/talesp1.jpg</t>
  </si>
  <si>
    <t>https://nematode.unl.edu/talesp10.jpg</t>
  </si>
  <si>
    <t>https://nematode.unl.edu/talesp11.jpg</t>
  </si>
  <si>
    <t>https://nematode.unl.edu/talesp12.jpg</t>
  </si>
  <si>
    <t>https://nematode.unl.edu/talesp13.jpg</t>
  </si>
  <si>
    <t>https://nematode.unl.edu/talesp14.jpg</t>
  </si>
  <si>
    <t>https://nematode.unl.edu/talesp15.jpg</t>
  </si>
  <si>
    <t>https://nematode.unl.edu/talesp2.jpg</t>
  </si>
  <si>
    <t>https://nematode.unl.edu/talesp3.jpg</t>
  </si>
  <si>
    <t>https://nematode.unl.edu/talesp4.jpg</t>
  </si>
  <si>
    <t>https://nematode.unl.edu/talesp5.jpg</t>
  </si>
  <si>
    <t>https://nematode.unl.edu/talesp6.jpg</t>
  </si>
  <si>
    <t>https://nematode.unl.edu/talesp7.jpg</t>
  </si>
  <si>
    <t>https://nematode.unl.edu/talesp8.jpg</t>
  </si>
  <si>
    <t>https://nematode.unl.edu/talesp9.jpg</t>
  </si>
  <si>
    <t>https://nematode.unl.edu/teratoa1.jpg</t>
  </si>
  <si>
    <t>Teratorhabditis</t>
  </si>
  <si>
    <t>https://nematode.unl.edu/teratoa2.jpg</t>
  </si>
  <si>
    <t>https://nematode.unl.edu/theella1.jpg</t>
  </si>
  <si>
    <t>Thorneella</t>
  </si>
  <si>
    <t>Thorniidae</t>
  </si>
  <si>
    <t>https://nematode.unl.edu/theella2.jpg</t>
  </si>
  <si>
    <t>https://nematode.unl.edu/theella3.jpg</t>
  </si>
  <si>
    <t>https://nematode.unl.edu/theella4.jpg</t>
  </si>
  <si>
    <t>https://nematode.unl.edu/theella5.jpg</t>
  </si>
  <si>
    <t>https://nematode.unl.edu/theella6.jpg</t>
  </si>
  <si>
    <t>https://nematode.unl.edu/theella7.jpg</t>
  </si>
  <si>
    <t>https://nematode.unl.edu/teella1.jpg</t>
  </si>
  <si>
    <t>Thorneella teres</t>
  </si>
  <si>
    <t>https://nematode.unl.edu/teella10.jpg</t>
  </si>
  <si>
    <t>https://nematode.unl.edu/teella11.jpg</t>
  </si>
  <si>
    <t>https://nematode.unl.edu/teella12.jpg</t>
  </si>
  <si>
    <t>https://nematode.unl.edu/teella13.jpg</t>
  </si>
  <si>
    <t>https://nematode.unl.edu/teella14.jpg</t>
  </si>
  <si>
    <t>https://nematode.unl.edu/teella15.jpg</t>
  </si>
  <si>
    <t>https://nematode.unl.edu/teella16.jpg</t>
  </si>
  <si>
    <t>https://nematode.unl.edu/teella17.jpg</t>
  </si>
  <si>
    <t>https://nematode.unl.edu/teella2.jpg</t>
  </si>
  <si>
    <t>https://nematode.unl.edu/teella3.jpg</t>
  </si>
  <si>
    <t>https://nematode.unl.edu/teella4.jpg</t>
  </si>
  <si>
    <t>https://nematode.unl.edu/teella5.jpg</t>
  </si>
  <si>
    <t>https://nematode.unl.edu/teella6.jpg</t>
  </si>
  <si>
    <t>https://nematode.unl.edu/teella7.jpg</t>
  </si>
  <si>
    <t>https://nematode.unl.edu/teella8.jpg</t>
  </si>
  <si>
    <t>https://nematode.unl.edu/teella9.jpg</t>
  </si>
  <si>
    <t>https://nematode.unl.edu/thornec1.jpg</t>
  </si>
  <si>
    <t>Thornenema</t>
  </si>
  <si>
    <t>https://nematode.unl.edu/thornec2.jpg</t>
  </si>
  <si>
    <t>https://nematode.unl.edu/thornec3.jpg</t>
  </si>
  <si>
    <t>https://nematode.unl.edu/thornec4.jpg</t>
  </si>
  <si>
    <t>https://nematode.unl.edu/thornen1.jpg</t>
  </si>
  <si>
    <t>Haughton Crater in Oasis</t>
  </si>
  <si>
    <t>https://nematode.unl.edu/thornen2.jpg</t>
  </si>
  <si>
    <t>https://nematode.unl.edu/thornen3.jpg</t>
  </si>
  <si>
    <t>https://nematode.unl.edu/thornen4.jpg</t>
  </si>
  <si>
    <t>https://nematode.unl.edu/thornen5.jpg</t>
  </si>
  <si>
    <t>https://nematode.unl.edu/thornen6.jpg</t>
  </si>
  <si>
    <t>https://nematode.unl.edu/thornen7.jpg</t>
  </si>
  <si>
    <t>https://nematode.unl.edu/thornen8.jpg</t>
  </si>
  <si>
    <t>https://nematode.unl.edu/thorla1.jpg</t>
  </si>
  <si>
    <t>Thornenema laevicapitatum</t>
  </si>
  <si>
    <t>https://nematode.unl.edu/thorla10.jpg</t>
  </si>
  <si>
    <t>https://nematode.unl.edu/thorla11.jpg</t>
  </si>
  <si>
    <t>https://nematode.unl.edu/thorla2.jpg</t>
  </si>
  <si>
    <t>https://nematode.unl.edu/thorla3.jpg</t>
  </si>
  <si>
    <t>https://nematode.unl.edu/thorla4.jpg</t>
  </si>
  <si>
    <t>https://nematode.unl.edu/thorla5.jpg</t>
  </si>
  <si>
    <t>https://nematode.unl.edu/thorla6.jpg</t>
  </si>
  <si>
    <t>https://nematode.unl.edu/thorla7.jpg</t>
  </si>
  <si>
    <t>DO/DN</t>
  </si>
  <si>
    <t>https://nematode.unl.edu/thorla8.jpg</t>
  </si>
  <si>
    <t>VSL O/VSL N</t>
  </si>
  <si>
    <t>https://nematode.unl.edu/thorla9.jpg</t>
  </si>
  <si>
    <t>VSL 2 O</t>
  </si>
  <si>
    <t>https://nematode.unl.edu/thorni1.jpg</t>
  </si>
  <si>
    <t>Thornia</t>
  </si>
  <si>
    <t>https://nematode.unl.edu/thorni2.jpg</t>
  </si>
  <si>
    <t>https://nematode.unl.edu/trob1.jpg</t>
  </si>
  <si>
    <t>https://nematode.unl.edu/trob10.jpg</t>
  </si>
  <si>
    <t>https://nematode.unl.edu/trob11.jpg</t>
  </si>
  <si>
    <t>https://nematode.unl.edu/trob12.jpg</t>
  </si>
  <si>
    <t>https://nematode.unl.edu/trob13.jpg</t>
  </si>
  <si>
    <t>https://nematode.unl.edu/trob14.jpg</t>
  </si>
  <si>
    <t>https://nematode.unl.edu/trob15.jpg</t>
  </si>
  <si>
    <t>https://nematode.unl.edu/trob16.jpg</t>
  </si>
  <si>
    <t>https://nematode.unl.edu/trob2.jpg</t>
  </si>
  <si>
    <t>https://nematode.unl.edu/trob3.jpg</t>
  </si>
  <si>
    <t>https://nematode.unl.edu/trob4.jpg</t>
  </si>
  <si>
    <t>https://nematode.unl.edu/trob5.jpg</t>
  </si>
  <si>
    <t>https://nematode.unl.edu/trob6.jpg</t>
  </si>
  <si>
    <t>https://nematode.unl.edu/trob7.jpg</t>
  </si>
  <si>
    <t>https://nematode.unl.edu/trob8.jpg</t>
  </si>
  <si>
    <t>https://nematode.unl.edu/trob9.jpg</t>
  </si>
  <si>
    <t>https://nematode.unl.edu/trobcmp.jpg</t>
  </si>
  <si>
    <t>https://nematode.unl.edu/tripasnake1.jpg</t>
  </si>
  <si>
    <t>maple</t>
  </si>
  <si>
    <t>Tripyla</t>
  </si>
  <si>
    <t>Tripylidae</t>
  </si>
  <si>
    <t>https://nematode.unl.edu/tripasnake2.jpg</t>
  </si>
  <si>
    <t>https://nematode.unl.edu/tripasnake3.jpg</t>
  </si>
  <si>
    <t>https://nematode.unl.edu/tripasnake4.jpg</t>
  </si>
  <si>
    <t>https://nematode.unl.edu/tripasnake5.jpg</t>
  </si>
  <si>
    <t>https://nematode.unl.edu/tripasnake6.jpg</t>
  </si>
  <si>
    <t>https://nematode.unl.edu/tripasnake7.jpg</t>
  </si>
  <si>
    <t>https://nematode.unl.edu/trips1.jpg</t>
  </si>
  <si>
    <t>https://nematode.unl.edu/trips2.jpg</t>
  </si>
  <si>
    <t>https://nematode.unl.edu/tripy1.jpg</t>
  </si>
  <si>
    <t>https://nematode.unl.edu/tripy2.jpg</t>
  </si>
  <si>
    <t>https://nematode.unl.edu/tripyho1.jpg</t>
  </si>
  <si>
    <t>https://nematode.unl.edu/tripyho2.jpg</t>
  </si>
  <si>
    <t>https://nematode.unl.edu/tripyho3.jpg</t>
  </si>
  <si>
    <t>https://nematode.unl.edu/tripyho4.jpg</t>
  </si>
  <si>
    <t>https://nematode.unl.edu/tripyho5.jpg</t>
  </si>
  <si>
    <t>https://nematode.unl.edu/tripyl1.jpg</t>
  </si>
  <si>
    <t>https://nematode.unl.edu/tylab1.jpg</t>
  </si>
  <si>
    <t>https://nematode.unl.edu/tylab10.jpg</t>
  </si>
  <si>
    <t>https://nematode.unl.edu/tylab11.jpg</t>
  </si>
  <si>
    <t>https://nematode.unl.edu/tylab12.jpg</t>
  </si>
  <si>
    <t>https://nematode.unl.edu/tylab13.jpg</t>
  </si>
  <si>
    <t>https://nematode.unl.edu/tylab14.jpg</t>
  </si>
  <si>
    <t>https://nematode.unl.edu/tylab15.jpg</t>
  </si>
  <si>
    <t>https://nematode.unl.edu/tylab2.jpg</t>
  </si>
  <si>
    <t>https://nematode.unl.edu/tylab3.jpg</t>
  </si>
  <si>
    <t>https://nematode.unl.edu/tylab4.jpg</t>
  </si>
  <si>
    <t>https://nematode.unl.edu/tylab5.jpg</t>
  </si>
  <si>
    <t>https://nematode.unl.edu/tylab6.jpg</t>
  </si>
  <si>
    <t>https://nematode.unl.edu/tylab7.jpg</t>
  </si>
  <si>
    <t>https://nematode.unl.edu/tylab8.jpg</t>
  </si>
  <si>
    <t>https://nematode.unl.edu/tylab9.jpg</t>
  </si>
  <si>
    <t>https://nematode.unl.edu/tripaf1.jpg</t>
  </si>
  <si>
    <t>Tripyla affinis</t>
  </si>
  <si>
    <t>https://nematode.unl.edu/tripaf2.jpg</t>
  </si>
  <si>
    <t>https://nematode.unl.edu/tripaf3.jpg</t>
  </si>
  <si>
    <t>https://nematode.unl.edu/tripaf4.jpg</t>
  </si>
  <si>
    <t>https://nematode.unl.edu/crtrop1.jpg</t>
  </si>
  <si>
    <t>Trophotylenchulus</t>
  </si>
  <si>
    <t>https://nematode.unl.edu/tropho1.jpg</t>
  </si>
  <si>
    <t>https://nematode.unl.edu/tropho10.jpg</t>
  </si>
  <si>
    <t>https://nematode.unl.edu/tropho11.jpg</t>
  </si>
  <si>
    <t>https://nematode.unl.edu/tropho12.jpg</t>
  </si>
  <si>
    <t>https://nematode.unl.edu/tropho13.jpg</t>
  </si>
  <si>
    <t>https://nematode.unl.edu/tropho2.jpg</t>
  </si>
  <si>
    <t>https://nematode.unl.edu/tropho3.jpg</t>
  </si>
  <si>
    <t>https://nematode.unl.edu/tropho4.jpg</t>
  </si>
  <si>
    <t>https://nematode.unl.edu/tropho5.jpg</t>
  </si>
  <si>
    <t>https://nematode.unl.edu/tropho6.jpg</t>
  </si>
  <si>
    <t>https://nematode.unl.edu/tropho7.jpg</t>
  </si>
  <si>
    <t>https://nematode.unl.edu/tropho8.jpg</t>
  </si>
  <si>
    <t>https://nematode.unl.edu/tropho9.jpg</t>
  </si>
  <si>
    <t>https://nematode.unl.edu/tromi1.jpg</t>
  </si>
  <si>
    <t>Trophurus minnesotensis</t>
  </si>
  <si>
    <t>Trophurus</t>
  </si>
  <si>
    <t>https://nematode.unl.edu/tromi2.jpg</t>
  </si>
  <si>
    <t>https://nematode.unl.edu/tromi3.jpg</t>
  </si>
  <si>
    <t>https://nematode.unl.edu/tromi4.jpg</t>
  </si>
  <si>
    <t>https://nematode.unl.edu/tromi5.jpg</t>
  </si>
  <si>
    <t>https://nematode.unl.edu/tromi6.jpg</t>
  </si>
  <si>
    <t>DGN</t>
  </si>
  <si>
    <t>https://nematode.unl.edu/tromi7.jpg</t>
  </si>
  <si>
    <t>https://nematode.unl.edu/tropmin1.jpg</t>
  </si>
  <si>
    <t>Gully bank</t>
  </si>
  <si>
    <t>https://nematode.unl.edu/tropmin10.jpg</t>
  </si>
  <si>
    <t>https://nematode.unl.edu/tropmin11.jpg</t>
  </si>
  <si>
    <t>https://nematode.unl.edu/tropmin12.jpg</t>
  </si>
  <si>
    <t>https://nematode.unl.edu/tropmin13.jpg</t>
  </si>
  <si>
    <t>https://nematode.unl.edu/tropmin2.jpg</t>
  </si>
  <si>
    <t>https://nematode.unl.edu/tropmin3.jpg</t>
  </si>
  <si>
    <t>https://nematode.unl.edu/tropmin4.jpg</t>
  </si>
  <si>
    <t>https://nematode.unl.edu/tropmin5.jpg</t>
  </si>
  <si>
    <t>https://nematode.unl.edu/tropmin6.jpg</t>
  </si>
  <si>
    <t>https://nematode.unl.edu/tropmin7.jpg</t>
  </si>
  <si>
    <t>https://nematode.unl.edu/tropmin8.jpg</t>
  </si>
  <si>
    <t>https://nematode.unl.edu/tropmin9.jpg</t>
  </si>
  <si>
    <t>https://nematode.unl.edu/tylaff1.jpg</t>
  </si>
  <si>
    <t>Tylencholaimellus affinis</t>
  </si>
  <si>
    <t>Tylencholaimellus</t>
  </si>
  <si>
    <t>https://nematode.unl.edu/tylaff10.jpg</t>
  </si>
  <si>
    <t>https://nematode.unl.edu/tylaff11.jpg</t>
  </si>
  <si>
    <t>https://nematode.unl.edu/tylaff12.jpg</t>
  </si>
  <si>
    <t>https://nematode.unl.edu/tylaff13.jpg</t>
  </si>
  <si>
    <t>https://nematode.unl.edu/tylaff14.jpg</t>
  </si>
  <si>
    <t>https://nematode.unl.edu/tylaff15.jpg</t>
  </si>
  <si>
    <t>https://nematode.unl.edu/tylaff16.jpg</t>
  </si>
  <si>
    <t>https://nematode.unl.edu/tylaff17.jpg</t>
  </si>
  <si>
    <t>https://nematode.unl.edu/tylaff18.jpg</t>
  </si>
  <si>
    <t>https://nematode.unl.edu/tylaff19.jpg</t>
  </si>
  <si>
    <t>https://nematode.unl.edu/tylaff2.jpg</t>
  </si>
  <si>
    <t>https://nematode.unl.edu/tylaff20.jpg</t>
  </si>
  <si>
    <t>https://nematode.unl.edu/tylaff3.jpg</t>
  </si>
  <si>
    <t>https://nematode.unl.edu/tylaff4.jpg</t>
  </si>
  <si>
    <t>https://nematode.unl.edu/tylaff5.jpg</t>
  </si>
  <si>
    <t>https://nematode.unl.edu/tylaff6.jpg</t>
  </si>
  <si>
    <t>https://nematode.unl.edu/tylaff7.jpg</t>
  </si>
  <si>
    <t>https://nematode.unl.edu/tylaff8.jpg</t>
  </si>
  <si>
    <t>https://nematode.unl.edu/tylaff9.jpg</t>
  </si>
  <si>
    <t>https://nematode.unl.edu/tylaffcmp.jpg</t>
  </si>
  <si>
    <t>https://nematode.unl.edu/tylenaf1.jpg</t>
  </si>
  <si>
    <t>https://nematode.unl.edu/tylenaf2.jpg</t>
  </si>
  <si>
    <t>AUB (Anterior Uterine Branch)/Vulva</t>
  </si>
  <si>
    <t>https://nematode.unl.edu/tylenaf3.jpg</t>
  </si>
  <si>
    <t>https://nematode.unl.edu/tylenaf4.jpg</t>
  </si>
  <si>
    <t>https://nematode.unl.edu/tylenaf5.jpg</t>
  </si>
  <si>
    <t>https://nematode.unl.edu/tylenaf6.jpg</t>
  </si>
  <si>
    <t>https://nematode.unl.edu/tylenaf7.jpg</t>
  </si>
  <si>
    <t>AUB (Anterior Uterine Branch)</t>
  </si>
  <si>
    <t>https://nematode.unl.edu/tylenaf8.jpg</t>
  </si>
  <si>
    <t>https://nematode.unl.edu/tylenaf9.jpg</t>
  </si>
  <si>
    <t>https://nematode.unl.edu/tylec1.jpg</t>
  </si>
  <si>
    <t>Tylencholaimellus coronatus</t>
  </si>
  <si>
    <t>https://nematode.unl.edu/tylec2.jpg</t>
  </si>
  <si>
    <t>https://nematode.unl.edu/tyleg1.jpg</t>
  </si>
  <si>
    <t>https://nematode.unl.edu/tyleg10.jpg</t>
  </si>
  <si>
    <t>https://nematode.unl.edu/tyleg11.jpg</t>
  </si>
  <si>
    <t>https://nematode.unl.edu/tyleg12.jpg</t>
  </si>
  <si>
    <t>https://nematode.unl.edu/tyleg13.jpg</t>
  </si>
  <si>
    <t>https://nematode.unl.edu/tyleg14.jpg</t>
  </si>
  <si>
    <t>https://nematode.unl.edu/tyleg15.jpg</t>
  </si>
  <si>
    <t>https://nematode.unl.edu/tyleg16.jpg</t>
  </si>
  <si>
    <t>https://nematode.unl.edu/tyleg17.jpg</t>
  </si>
  <si>
    <t>https://nematode.unl.edu/tyleg18.jpg</t>
  </si>
  <si>
    <t>https://nematode.unl.edu/tyleg19.jpg</t>
  </si>
  <si>
    <t>https://nematode.unl.edu/tyleg2.jpg</t>
  </si>
  <si>
    <t>https://nematode.unl.edu/tyleg20.jpg</t>
  </si>
  <si>
    <t>https://nematode.unl.edu/tyleg21.jpg</t>
  </si>
  <si>
    <t>https://nematode.unl.edu/tyleg22.jpg</t>
  </si>
  <si>
    <t>https://nematode.unl.edu/tyleg23.jpg</t>
  </si>
  <si>
    <t>https://nematode.unl.edu/tyleg24.jpg</t>
  </si>
  <si>
    <t>https://nematode.unl.edu/tyleg25.jpg</t>
  </si>
  <si>
    <t>https://nematode.unl.edu/tyleg26.jpg</t>
  </si>
  <si>
    <t>https://nematode.unl.edu/tyleg27.jpg</t>
  </si>
  <si>
    <t>https://nematode.unl.edu/tyleg28.jpg</t>
  </si>
  <si>
    <t>https://nematode.unl.edu/tyleg29.jpg</t>
  </si>
  <si>
    <t>https://nematode.unl.edu/tyleg3.jpg</t>
  </si>
  <si>
    <t>https://nematode.unl.edu/tyleg4.jpg</t>
  </si>
  <si>
    <t>https://nematode.unl.edu/tyleg5.jpg</t>
  </si>
  <si>
    <t>https://nematode.unl.edu/tyleg6.jpg</t>
  </si>
  <si>
    <t>https://nematode.unl.edu/tyleg7.jpg</t>
  </si>
  <si>
    <t>https://nematode.unl.edu/tyleg8.jpg</t>
  </si>
  <si>
    <t>https://nematode.unl.edu/tyleg9.jpg</t>
  </si>
  <si>
    <t>https://nematode.unl.edu/tylegcmp.jpg</t>
  </si>
  <si>
    <t>Tylencholaimellus grandis</t>
  </si>
  <si>
    <t>https://nematode.unl.edu/tylem1.jpg</t>
  </si>
  <si>
    <t>Tylencholaimellus magnidens</t>
  </si>
  <si>
    <t>https://nematode.unl.edu/tylem10.jpg</t>
  </si>
  <si>
    <t>https://nematode.unl.edu/tylem11.jpg</t>
  </si>
  <si>
    <t>https://nematode.unl.edu/tylem12.jpg</t>
  </si>
  <si>
    <t>https://nematode.unl.edu/tylem13.jpg</t>
  </si>
  <si>
    <t>https://nematode.unl.edu/tylem2.jpg</t>
  </si>
  <si>
    <t>https://nematode.unl.edu/tylem3.jpg</t>
  </si>
  <si>
    <t>https://nematode.unl.edu/tylem4.jpg</t>
  </si>
  <si>
    <t>https://nematode.unl.edu/tylem5.jpg</t>
  </si>
  <si>
    <t>https://nematode.unl.edu/tylem6.jpg</t>
  </si>
  <si>
    <t>Artemisia</t>
  </si>
  <si>
    <t>https://nematode.unl.edu/tylem7.jpg</t>
  </si>
  <si>
    <t>https://nematode.unl.edu/tylem8.jpg</t>
  </si>
  <si>
    <t>https://nematode.unl.edu/tylem9.jpg</t>
  </si>
  <si>
    <t>https://nematode.unl.edu/tyles1.jpg</t>
  </si>
  <si>
    <t>Tylencholaimellus striatus</t>
  </si>
  <si>
    <t>https://nematode.unl.edu/tyles10.jpg</t>
  </si>
  <si>
    <t>https://nematode.unl.edu/tyles11.jpg</t>
  </si>
  <si>
    <t>https://nematode.unl.edu/tyles12.jpg</t>
  </si>
  <si>
    <t>https://nematode.unl.edu/tyles13.jpg</t>
  </si>
  <si>
    <t>https://nematode.unl.edu/tyles14.jpg</t>
  </si>
  <si>
    <t>https://nematode.unl.edu/tyles15.jpg</t>
  </si>
  <si>
    <t>https://nematode.unl.edu/tyles2.jpg</t>
  </si>
  <si>
    <t>https://nematode.unl.edu/tyles3.jpg</t>
  </si>
  <si>
    <t>Little Bluestem</t>
  </si>
  <si>
    <t>https://nematode.unl.edu/tyles4.jpg</t>
  </si>
  <si>
    <t>https://nematode.unl.edu/tyles5.jpg</t>
  </si>
  <si>
    <t>https://nematode.unl.edu/tyles6.jpg</t>
  </si>
  <si>
    <t>https://nematode.unl.edu/tyles7.jpg</t>
  </si>
  <si>
    <t>https://nematode.unl.edu/tyles8.jpg</t>
  </si>
  <si>
    <t>https://nematode.unl.edu/tyles9.jpg</t>
  </si>
  <si>
    <t>https://nematode.unl.edu/tylescmp.jpg</t>
  </si>
  <si>
    <t>https://nematode.unl.edu/tyls1.jpg</t>
  </si>
  <si>
    <t>https://nematode.unl.edu/tyls2.jpg</t>
  </si>
  <si>
    <t>https://nematode.unl.edu/tyls3.jpg</t>
  </si>
  <si>
    <t>https://nematode.unl.edu/tyls4.jpg</t>
  </si>
  <si>
    <t>https://nematode.unl.edu/tyls5.jpg</t>
  </si>
  <si>
    <t>https://nematode.unl.edu/tyls6.jpg</t>
  </si>
  <si>
    <t>https://nematode.unl.edu/tyls7.jpg</t>
  </si>
  <si>
    <t>https://nematode.unl.edu/tyls8.jpg</t>
  </si>
  <si>
    <t>https://nematode.unl.edu/tyls9.jpg</t>
  </si>
  <si>
    <t>https://nematode.unl.edu/tystri1.jpg</t>
  </si>
  <si>
    <t>Sandy Hills</t>
  </si>
  <si>
    <t>https://nematode.unl.edu/tystri2.jpg</t>
  </si>
  <si>
    <t>https://nematode.unl.edu/tystri3.jpg</t>
  </si>
  <si>
    <t>https://nematode.unl.edu/tystri4.jpg</t>
  </si>
  <si>
    <t>https://nematode.unl.edu/tystri5.jpg</t>
  </si>
  <si>
    <t>spicules/supplements</t>
  </si>
  <si>
    <t>https://nematode.unl.edu/tystri6.jpg</t>
  </si>
  <si>
    <t>https://nematode.unl.edu/tystri7.jpg</t>
  </si>
  <si>
    <t>https://nematode.unl.edu/tystri8.jpg</t>
  </si>
  <si>
    <t>https://nematode.unl.edu/tylemi1.jpg</t>
  </si>
  <si>
    <t>Tylencholaimus minimus</t>
  </si>
  <si>
    <t>Tylencholaimus</t>
  </si>
  <si>
    <t>https://nematode.unl.edu/tylemi2.jpg</t>
  </si>
  <si>
    <t>https://nematode.unl.edu/tylemi3.jpg</t>
  </si>
  <si>
    <t>https://nematode.unl.edu/tylemi4.jpg</t>
  </si>
  <si>
    <t>https://nematode.unl.edu/tymin1.jpg</t>
  </si>
  <si>
    <t>https://nematode.unl.edu/tymin2.jpg</t>
  </si>
  <si>
    <t>https://nematode.unl.edu/tymin3.jpg</t>
  </si>
  <si>
    <t>https://nematode.unl.edu/tymin4.jpg</t>
  </si>
  <si>
    <t>https://nematode.unl.edu/tymin5.jpg</t>
  </si>
  <si>
    <t>https://nematode.unl.edu/tymin6.jpg</t>
  </si>
  <si>
    <t>https://nematode.unl.edu/tymin7.jpg</t>
  </si>
  <si>
    <t>https://nematode.unl.edu/tymin8.jpg</t>
  </si>
  <si>
    <t>https://nematode.unl.edu/tymin9.jpg</t>
  </si>
  <si>
    <t>https://nematode.unl.edu/tynan1.jpg</t>
  </si>
  <si>
    <t>Tylencholaimus nanus</t>
  </si>
  <si>
    <t>https://nematode.unl.edu/tynan2.jpg</t>
  </si>
  <si>
    <t>https://nematode.unl.edu/tynan3.jpg</t>
  </si>
  <si>
    <t>https://nematode.unl.edu/tynan4.jpg</t>
  </si>
  <si>
    <t>https://nematode.unl.edu/tynan5.jpg</t>
  </si>
  <si>
    <t>https://nematode.unl.edu/tynan6.jpg</t>
  </si>
  <si>
    <t>https://nematode.unl.edu/tynan7.jpg</t>
  </si>
  <si>
    <t>https://nematode.unl.edu/tynancmp.jpg</t>
  </si>
  <si>
    <t>https://nematode.unl.edu/tylep1.jpg</t>
  </si>
  <si>
    <t>Tylencholaimus proximus</t>
  </si>
  <si>
    <t>https://nematode.unl.edu/tylep2.jpg</t>
  </si>
  <si>
    <t>https://nematode.unl.edu/tylep3.jpg</t>
  </si>
  <si>
    <t>https://nematode.unl.edu/tylep4.jpg</t>
  </si>
  <si>
    <t>https://nematode.unl.edu/tylep5.jpg</t>
  </si>
  <si>
    <t>https://nematode.unl.edu/tylep6.jpg</t>
  </si>
  <si>
    <t>https://nematode.unl.edu/typho1.jpg</t>
  </si>
  <si>
    <t>https://nematode.unl.edu/typho2.jpg</t>
  </si>
  <si>
    <t>https://nematode.unl.edu/typho3.jpg</t>
  </si>
  <si>
    <t>https://nematode.unl.edu/typho4.jpg</t>
  </si>
  <si>
    <t>https://nematode.unl.edu/typho5.jpg</t>
  </si>
  <si>
    <t>https://nematode.unl.edu/typro1.jpg</t>
  </si>
  <si>
    <t>https://nematode.unl.edu/typro10.jpg</t>
  </si>
  <si>
    <t>https://nematode.unl.edu/typro11.jpg</t>
  </si>
  <si>
    <t>https://nematode.unl.edu/typro12.jpg</t>
  </si>
  <si>
    <t>https://nematode.unl.edu/typro13.jpg</t>
  </si>
  <si>
    <t>https://nematode.unl.edu/typro14.jpg</t>
  </si>
  <si>
    <t>https://nematode.unl.edu/typro15.jpg</t>
  </si>
  <si>
    <t>https://nematode.unl.edu/typro16.jpg</t>
  </si>
  <si>
    <t>https://nematode.unl.edu/typro17.jpg</t>
  </si>
  <si>
    <t>https://nematode.unl.edu/typro18.jpg</t>
  </si>
  <si>
    <t>https://nematode.unl.edu/typro2.jpg</t>
  </si>
  <si>
    <t>https://nematode.unl.edu/typro3.jpg</t>
  </si>
  <si>
    <t>https://nematode.unl.edu/typro4.jpg</t>
  </si>
  <si>
    <t>https://nematode.unl.edu/typro5.jpg</t>
  </si>
  <si>
    <t>https://nematode.unl.edu/typro6.jpg</t>
  </si>
  <si>
    <t>https://nematode.unl.edu/typro7.jpg</t>
  </si>
  <si>
    <t>https://nematode.unl.edu/typro8.jpg</t>
  </si>
  <si>
    <t>https://nematode.unl.edu/typro9.jpg</t>
  </si>
  <si>
    <t>https://nematode.unl.edu/typrocmp.jpg</t>
  </si>
  <si>
    <t>https://nematode.unl.edu/tystec1.jpg</t>
  </si>
  <si>
    <t>Tylencholaimus stecki</t>
  </si>
  <si>
    <t>https://nematode.unl.edu/tystec2.jpg</t>
  </si>
  <si>
    <t>https://nematode.unl.edu/tystec3.jpg</t>
  </si>
  <si>
    <t>https://nematode.unl.edu/tystec4.jpg</t>
  </si>
  <si>
    <t>https://nematode.unl.edu/tystec5.jpg</t>
  </si>
  <si>
    <t>https://nematode.unl.edu/tystec6.jpg</t>
  </si>
  <si>
    <t>https://nematode.unl.edu/tystec7.jpg</t>
  </si>
  <si>
    <t>https://nematode.unl.edu/tystec8.jpg</t>
  </si>
  <si>
    <t>https://nematode.unl.edu/tystec9.jpg</t>
  </si>
  <si>
    <t>https://nematode.unl.edu/tyter1.jpg</t>
  </si>
  <si>
    <t>Tylencholaimus teres</t>
  </si>
  <si>
    <t>https://nematode.unl.edu/tyter2.jpg</t>
  </si>
  <si>
    <t>https://nematode.unl.edu/tyter3.jpg</t>
  </si>
  <si>
    <t>https://nematode.unl.edu/tyter4.jpg</t>
  </si>
  <si>
    <t>https://nematode.unl.edu/tyter5.jpg</t>
  </si>
  <si>
    <t>https://nematode.unl.edu/tyter6.jpg</t>
  </si>
  <si>
    <t>https://nematode.unl.edu/tyter7.jpg</t>
  </si>
  <si>
    <t>https://nematode.unl.edu/tyter8.jpg</t>
  </si>
  <si>
    <t>https://nematode.unl.edu/tyter9.jpg</t>
  </si>
  <si>
    <t>https://nematode.unl.edu/thynchy1.jpg</t>
  </si>
  <si>
    <t>Tylenchorhynchus cylindricus</t>
  </si>
  <si>
    <t>https://nematode.unl.edu/thynchy10.jpg</t>
  </si>
  <si>
    <t>https://nematode.unl.edu/thynchy11.jpg</t>
  </si>
  <si>
    <t>https://nematode.unl.edu/thynchy2.jpg</t>
  </si>
  <si>
    <t>https://nematode.unl.edu/thynchy3.jpg</t>
  </si>
  <si>
    <t>https://nematode.unl.edu/thynchy4.jpg</t>
  </si>
  <si>
    <t>https://nematode.unl.edu/thynchy5.jpg</t>
  </si>
  <si>
    <t>https://nematode.unl.edu/thynchy6.jpg</t>
  </si>
  <si>
    <t>https://nematode.unl.edu/thynchy7.jpg</t>
  </si>
  <si>
    <t>https://nematode.unl.edu/thynchy8.jpg</t>
  </si>
  <si>
    <t>https://nematode.unl.edu/thynchy9.jpg</t>
  </si>
  <si>
    <t>https://nematode.unl.edu/thord1.jpg</t>
  </si>
  <si>
    <t>Tylenchorhynchus hordei</t>
  </si>
  <si>
    <t>https://nematode.unl.edu/thord2.jpg</t>
  </si>
  <si>
    <t>https://nematode.unl.edu/thord3.jpg</t>
  </si>
  <si>
    <t>https://nematode.unl.edu/thord4.jpg</t>
  </si>
  <si>
    <t>https://nematode.unl.edu/thord5.jpg</t>
  </si>
  <si>
    <t>https://nematode.unl.edu/thord6.jpg</t>
  </si>
  <si>
    <t>https://nematode.unl.edu/thord7.jpg</t>
  </si>
  <si>
    <t>https://nematode.unl.edu/thord8.jpg</t>
  </si>
  <si>
    <t>https://nematode.unl.edu/tnudlip.jpg</t>
  </si>
  <si>
    <t>Tylenchorhynchus nudus</t>
  </si>
  <si>
    <t>https://nematode.unl.edu/tylstyl.jpg</t>
  </si>
  <si>
    <t>https://nematode.unl.edu/tynud1.jpg</t>
  </si>
  <si>
    <t>https://nematode.unl.edu/tynud2.jpg</t>
  </si>
  <si>
    <t>https://nematode.unl.edu/tynud3.jpg</t>
  </si>
  <si>
    <t>https://nematode.unl.edu/tynud4.jpg</t>
  </si>
  <si>
    <t>https://nematode.unl.edu/tynud6.jpg</t>
  </si>
  <si>
    <t>https://nematode.unl.edu/tynudcmp.jpg</t>
  </si>
  <si>
    <t>https://nematode.unl.edu/tynuds1.jpg</t>
  </si>
  <si>
    <t>https://nematode.unl.edu/tynuds2.jpg</t>
  </si>
  <si>
    <t>https://nematode.unl.edu/tynuds3.jpg</t>
  </si>
  <si>
    <t>https://nematode.unl.edu/tynuds4.jpg</t>
  </si>
  <si>
    <t>https://nematode.unl.edu/tynuds5.jpg</t>
  </si>
  <si>
    <t>https://nematode.unl.edu/tynuds6.jpg</t>
  </si>
  <si>
    <t>https://nematode.unl.edu/tynuds7.jpg</t>
  </si>
  <si>
    <t>https://nematode.unl.edu/tynuds8.jpg</t>
  </si>
  <si>
    <t>https://nematode.unl.edu/tylerob1.jpg</t>
  </si>
  <si>
    <t>Tylenchorhynchus robustus</t>
  </si>
  <si>
    <t>https://nematode.unl.edu/tylerob10.jpg</t>
  </si>
  <si>
    <t>https://nematode.unl.edu/tylerob11.jpg</t>
  </si>
  <si>
    <t>https://nematode.unl.edu/tylerob12.jpg</t>
  </si>
  <si>
    <t>https://nematode.unl.edu/tylerob13.jpg</t>
  </si>
  <si>
    <t>https://nematode.unl.edu/tylerob14.jpg</t>
  </si>
  <si>
    <t>https://nematode.unl.edu/tylerob15.jpg</t>
  </si>
  <si>
    <t>https://nematode.unl.edu/tylerob16.jpg</t>
  </si>
  <si>
    <t>https://nematode.unl.edu/tylerob2.jpg</t>
  </si>
  <si>
    <t>https://nematode.unl.edu/tylerob3.jpg</t>
  </si>
  <si>
    <t>https://nematode.unl.edu/tylerob4.jpg</t>
  </si>
  <si>
    <t>https://nematode.unl.edu/tylerob5.jpg</t>
  </si>
  <si>
    <t>https://nematode.unl.edu/tylerob6.jpg</t>
  </si>
  <si>
    <t>https://nematode.unl.edu/tylerob7.jpg</t>
  </si>
  <si>
    <t>https://nematode.unl.edu/tylerob8.jpg</t>
  </si>
  <si>
    <t>https://nematode.unl.edu/tylerob9.jpg</t>
  </si>
  <si>
    <t>https://nematode.unl.edu/tylepro1.jpg</t>
  </si>
  <si>
    <t>Tyleptus projectus</t>
  </si>
  <si>
    <t>Tyleptus</t>
  </si>
  <si>
    <t>https://nematode.unl.edu/tylepro2.jpg</t>
  </si>
  <si>
    <t>https://nematode.unl.edu/tylpec1.jpg</t>
  </si>
  <si>
    <t>Gully Moss</t>
  </si>
  <si>
    <t>https://nematode.unl.edu/tylpec10.jpg</t>
  </si>
  <si>
    <t>https://nematode.unl.edu/tylpec11.jpg</t>
  </si>
  <si>
    <t>https://nematode.unl.edu/tylpec12.jpg</t>
  </si>
  <si>
    <t>https://nematode.unl.edu/tylpec13.jpg</t>
  </si>
  <si>
    <t>https://nematode.unl.edu/tylpec14.jpg</t>
  </si>
  <si>
    <t>https://nematode.unl.edu/tylpec15.jpg</t>
  </si>
  <si>
    <t>https://nematode.unl.edu/tylpec2.jpg</t>
  </si>
  <si>
    <t>https://nematode.unl.edu/tylpec3.jpg</t>
  </si>
  <si>
    <t>https://nematode.unl.edu/tylpec4.jpg</t>
  </si>
  <si>
    <t>https://nematode.unl.edu/tylpec5.jpg</t>
  </si>
  <si>
    <t>https://nematode.unl.edu/tylpec6.jpg</t>
  </si>
  <si>
    <t>https://nematode.unl.edu/tylpec7.jpg</t>
  </si>
  <si>
    <t>https://nematode.unl.edu/tylpec8.jpg</t>
  </si>
  <si>
    <t>https://nematode.unl.edu/tylpec9.jpg</t>
  </si>
  <si>
    <t>https://nematode.unl.edu/tylpro1.jpg</t>
  </si>
  <si>
    <t>https://nematode.unl.edu/tylproj1.jpg</t>
  </si>
  <si>
    <t>https://nematode.unl.edu/tyloc1.jpg</t>
  </si>
  <si>
    <t>Tylocephalus</t>
  </si>
  <si>
    <t>https://nematode.unl.edu/tyloc2.jpg</t>
  </si>
  <si>
    <t>https://nematode.unl.edu/tyloc3.jpg</t>
  </si>
  <si>
    <t>https://nematode.unl.edu/tyloc4.jpg</t>
  </si>
  <si>
    <t>https://nematode.unl.edu/tyloc5.jpg</t>
  </si>
  <si>
    <t>https://nematode.unl.edu/tyloc6.jpg</t>
  </si>
  <si>
    <t>https://nematode.unl.edu/tyloc7.jpg</t>
  </si>
  <si>
    <t>https://nematode.unl.edu/tyloceph1.jpg</t>
  </si>
  <si>
    <t>https://nematode.unl.edu/tyloceph10.jpg</t>
  </si>
  <si>
    <t>https://nematode.unl.edu/tyloceph2.jpg</t>
  </si>
  <si>
    <t>https://nematode.unl.edu/tyloceph3.jpg</t>
  </si>
  <si>
    <t>https://nematode.unl.edu/tyloceph4.jpg</t>
  </si>
  <si>
    <t>https://nematode.unl.edu/tyloceph5.jpg</t>
  </si>
  <si>
    <t>https://nematode.unl.edu/tyloceph6.jpg</t>
  </si>
  <si>
    <t>https://nematode.unl.edu/tyloceph7.jpg</t>
  </si>
  <si>
    <t>https://nematode.unl.edu/tyloceph8.jpg</t>
  </si>
  <si>
    <t>https://nematode.unl.edu/tyloceph9.jpg</t>
  </si>
  <si>
    <t>https://nematode.unl.edu/tylop1.jpg</t>
  </si>
  <si>
    <t>Tylopharynx</t>
  </si>
  <si>
    <t>https://nematode.unl.edu/tylop10.jpg</t>
  </si>
  <si>
    <t>https://nematode.unl.edu/tylop11.jpg</t>
  </si>
  <si>
    <t>https://nematode.unl.edu/tylop12.jpg</t>
  </si>
  <si>
    <t>https://nematode.unl.edu/tylop13.jpg</t>
  </si>
  <si>
    <t>https://nematode.unl.edu/tylop14.jpg</t>
  </si>
  <si>
    <t>https://nematode.unl.edu/tylop15.jpg</t>
  </si>
  <si>
    <t>https://nematode.unl.edu/tylop16.jpg</t>
  </si>
  <si>
    <t>https://nematode.unl.edu/tylop17.jpg</t>
  </si>
  <si>
    <t>https://nematode.unl.edu/tylop18.jpg</t>
  </si>
  <si>
    <t>https://nematode.unl.edu/tylop19.jpg</t>
  </si>
  <si>
    <t>https://nematode.unl.edu/tylop2.jpg</t>
  </si>
  <si>
    <t>https://nematode.unl.edu/tylop20.jpg</t>
  </si>
  <si>
    <t>Layton, Utah</t>
  </si>
  <si>
    <t>onion</t>
  </si>
  <si>
    <t>https://nematode.unl.edu/tylop21.jpg</t>
  </si>
  <si>
    <t>https://nematode.unl.edu/tylop22.jpg</t>
  </si>
  <si>
    <t>https://nematode.unl.edu/tylop23.jpg</t>
  </si>
  <si>
    <t>https://nematode.unl.edu/tylop24.jpg</t>
  </si>
  <si>
    <t>https://nematode.unl.edu/tylop25.jpg</t>
  </si>
  <si>
    <t>https://nematode.unl.edu/tylop26.jpg</t>
  </si>
  <si>
    <t>https://nematode.unl.edu/tylop27.jpg</t>
  </si>
  <si>
    <t>https://nematode.unl.edu/tylop28.jpg</t>
  </si>
  <si>
    <t>https://nematode.unl.edu/tylop29.jpg</t>
  </si>
  <si>
    <t>https://nematode.unl.edu/tylop3.jpg</t>
  </si>
  <si>
    <t>https://nematode.unl.edu/tylop30.jpg</t>
  </si>
  <si>
    <t>https://nematode.unl.edu/tylop31.jpg</t>
  </si>
  <si>
    <t>https://nematode.unl.edu/tylop4.jpg</t>
  </si>
  <si>
    <t>https://nematode.unl.edu/tylop5.jpg</t>
  </si>
  <si>
    <t>https://nematode.unl.edu/tylop6.jpg</t>
  </si>
  <si>
    <t>https://nematode.unl.edu/tylop7.jpg</t>
  </si>
  <si>
    <t>https://nematode.unl.edu/tylop8.jpg</t>
  </si>
  <si>
    <t>https://nematode.unl.edu/tylop9.jpg</t>
  </si>
  <si>
    <t>https://nematode.unl.edu/willin1.jpg</t>
  </si>
  <si>
    <t>Willinema</t>
  </si>
  <si>
    <t>https://nematode.unl.edu/willin2.jpg</t>
  </si>
  <si>
    <t>https://nematode.unl.edu/wilson1.jpg</t>
  </si>
  <si>
    <t>Wilsonema</t>
  </si>
  <si>
    <t>https://nematode.unl.edu/wilson10.jpg</t>
  </si>
  <si>
    <t>https://nematode.unl.edu/wilson11.jpg</t>
  </si>
  <si>
    <t>https://nematode.unl.edu/wilson12.jpg</t>
  </si>
  <si>
    <t>https://nematode.unl.edu/wilson13.jpg</t>
  </si>
  <si>
    <t>https://nematode.unl.edu/wilson14.jpg</t>
  </si>
  <si>
    <t>https://nematode.unl.edu/wilson15.jpg</t>
  </si>
  <si>
    <t>https://nematode.unl.edu/wilson16.jpg</t>
  </si>
  <si>
    <t>https://nematode.unl.edu/wilson17.jpg</t>
  </si>
  <si>
    <t>https://nematode.unl.edu/wilson18.jpg</t>
  </si>
  <si>
    <t>https://nematode.unl.edu/wilson19.jpg</t>
  </si>
  <si>
    <t>https://nematode.unl.edu/wilson2.jpg</t>
  </si>
  <si>
    <t>https://nematode.unl.edu/wilson20.jpg</t>
  </si>
  <si>
    <t>https://nematode.unl.edu/wilson21.jpg</t>
  </si>
  <si>
    <t>https://nematode.unl.edu/wilson22.jpg</t>
  </si>
  <si>
    <t>https://nematode.unl.edu/wilson23.jpg</t>
  </si>
  <si>
    <t>https://nematode.unl.edu/wilson24.jpg</t>
  </si>
  <si>
    <t>https://nematode.unl.edu/wilson3.jpg</t>
  </si>
  <si>
    <t>https://nematode.unl.edu/wilson4.jpg</t>
  </si>
  <si>
    <t>https://nematode.unl.edu/wilson5.jpg</t>
  </si>
  <si>
    <t>https://nematode.unl.edu/wilson6.jpg</t>
  </si>
  <si>
    <t>https://nematode.unl.edu/wilson7.jpg</t>
  </si>
  <si>
    <t>https://nematode.unl.edu/xemactim1.jpg</t>
  </si>
  <si>
    <t>Timber Point Lake Wildlife Management Area, Nebraska</t>
  </si>
  <si>
    <t>https://nematode.unl.edu/xemactim10.jpg</t>
  </si>
  <si>
    <t>https://nematode.unl.edu/xemactim11.jpg</t>
  </si>
  <si>
    <t>https://nematode.unl.edu/xemactim12.jpg</t>
  </si>
  <si>
    <t>https://nematode.unl.edu/xemactim13.jpg</t>
  </si>
  <si>
    <t>https://nematode.unl.edu/xemactim14.jpg</t>
  </si>
  <si>
    <t>https://nematode.unl.edu/xemactim15.jpg</t>
  </si>
  <si>
    <t>https://nematode.unl.edu/xemactim16.jpg</t>
  </si>
  <si>
    <t>https://nematode.unl.edu/xemactim2.jpg</t>
  </si>
  <si>
    <t>https://nematode.unl.edu/xemactim3.jpg</t>
  </si>
  <si>
    <t>https://nematode.unl.edu/xemactim4.jpg</t>
  </si>
  <si>
    <t>https://nematode.unl.edu/xemactim5.jpg</t>
  </si>
  <si>
    <t>https://nematode.unl.edu/xemactim6.jpg</t>
  </si>
  <si>
    <t>https://nematode.unl.edu/xemactim7.jpg</t>
  </si>
  <si>
    <t>https://nematode.unl.edu/xemactim8.jpg</t>
  </si>
  <si>
    <t>https://nematode.unl.edu/xemactim9.jpg</t>
  </si>
  <si>
    <t>https://nematode.unl.edu/xemads1.jpg</t>
  </si>
  <si>
    <t>https://nematode.unl.edu/xemads10.jpg</t>
  </si>
  <si>
    <t>https://nematode.unl.edu/xemads11.jpg</t>
  </si>
  <si>
    <t>https://nematode.unl.edu/xemads12.jpg</t>
  </si>
  <si>
    <t>https://nematode.unl.edu/xemads13.jpg</t>
  </si>
  <si>
    <t>https://nematode.unl.edu/xemads2.jpg</t>
  </si>
  <si>
    <t>https://nematode.unl.edu/xemads3.jpg</t>
  </si>
  <si>
    <t>https://nematode.unl.edu/xemads4.jpg</t>
  </si>
  <si>
    <t>https://nematode.unl.edu/xemads5.jpg</t>
  </si>
  <si>
    <t>https://nematode.unl.edu/xemads6.jpg</t>
  </si>
  <si>
    <t>https://nematode.unl.edu/xemads7.jpg</t>
  </si>
  <si>
    <t>https://nematode.unl.edu/xemads8.jpg</t>
  </si>
  <si>
    <t>https://nematode.unl.edu/xemads9.jpg</t>
  </si>
  <si>
    <t>https://nematode.unl.edu/xemafax1.jpg</t>
  </si>
  <si>
    <t>https://nematode.unl.edu/xemafax2.jpg</t>
  </si>
  <si>
    <t>https://nematode.unl.edu/xemafax3.jpg</t>
  </si>
  <si>
    <t>https://nematode.unl.edu/xemafax4.jpg</t>
  </si>
  <si>
    <t>https://nematode.unl.edu/xemafax5.jpg</t>
  </si>
  <si>
    <t>https://nematode.unl.edu/xemafax6.jpg</t>
  </si>
  <si>
    <t>https://nematode.unl.edu/xemafax7.jpg</t>
  </si>
  <si>
    <t>https://nematode.unl.edu/xemagsmo1.jpg</t>
  </si>
  <si>
    <t>oak/maple hardwood forest</t>
  </si>
  <si>
    <t>https://nematode.unl.edu/xemagsmo2.jpg</t>
  </si>
  <si>
    <t>https://nematode.unl.edu/xemagsmo3.jpg</t>
  </si>
  <si>
    <t>https://nematode.unl.edu/xemagsmo4.jpg</t>
  </si>
  <si>
    <t>https://nematode.unl.edu/xemagsmo5.jpg</t>
  </si>
  <si>
    <t>https://nematode.unl.edu/xemagsmo6.jpg</t>
  </si>
  <si>
    <t>https://nematode.unl.edu/xemagsmo7.jpg</t>
  </si>
  <si>
    <t>https://nematode.unl.edu/xemagsmo8.jpg</t>
  </si>
  <si>
    <t>https://nematode.unl.edu/xenocrimac1.jpg</t>
  </si>
  <si>
    <t>Conard Environmental Research Area, Kellogg, Iowa</t>
  </si>
  <si>
    <t>Oak/hickory forest</t>
  </si>
  <si>
    <t>https://nematode.unl.edu/xenocrimac10.jpg</t>
  </si>
  <si>
    <t>https://nematode.unl.edu/xenocrimac11.jpg</t>
  </si>
  <si>
    <t>https://nematode.unl.edu/xenocrimac12.jpg</t>
  </si>
  <si>
    <t>https://nematode.unl.edu/xenocrimac2.jpg</t>
  </si>
  <si>
    <t>Conard Environmental Research Area, Grinnell College, Iowa</t>
  </si>
  <si>
    <t>https://nematode.unl.edu/xenocrimac3.jpg</t>
  </si>
  <si>
    <t>https://nematode.unl.edu/xenocrimac4.jpg</t>
  </si>
  <si>
    <t>https://nematode.unl.edu/xenocrimac5.jpg</t>
  </si>
  <si>
    <t>https://nematode.unl.edu/xenocrimac6.jpg</t>
  </si>
  <si>
    <t>https://nematode.unl.edu/xenocrimac7.jpg</t>
  </si>
  <si>
    <t>https://nematode.unl.edu/xenocrimac8.jpg</t>
  </si>
  <si>
    <t>https://nematode.unl.edu/xenocrimac9.jpg</t>
  </si>
  <si>
    <t>https://nematode.unl.edu/xenocrimds1.jpg</t>
  </si>
  <si>
    <t>Blue Mounds, Wisconsin</t>
  </si>
  <si>
    <t>Red oak</t>
  </si>
  <si>
    <t>https://nematode.unl.edu/xenocrimds10.jpg</t>
  </si>
  <si>
    <t>https://nematode.unl.edu/xenocrimds11.jpg</t>
  </si>
  <si>
    <t>https://nematode.unl.edu/xenocrimds12.jpg</t>
  </si>
  <si>
    <t>https://nematode.unl.edu/xenocrimds13.jpg</t>
  </si>
  <si>
    <t>https://nematode.unl.edu/xenocrimds14.jpg</t>
  </si>
  <si>
    <t>https://nematode.unl.edu/xenocrimds2.jpg</t>
  </si>
  <si>
    <t>https://nematode.unl.edu/xenocrimds3.jpg</t>
  </si>
  <si>
    <t>https://nematode.unl.edu/xenocrimds4.jpg</t>
  </si>
  <si>
    <t>head,stylet,excretory</t>
  </si>
  <si>
    <t>https://nematode.unl.edu/xenocrimds5.jpg</t>
  </si>
  <si>
    <t>https://nematode.unl.edu/xenocrimds6.jpg</t>
  </si>
  <si>
    <t>https://nematode.unl.edu/xenocrimds7.jpg</t>
  </si>
  <si>
    <t>https://nematode.unl.edu/xenocrimds8.jpg</t>
  </si>
  <si>
    <t>https://nematode.unl.edu/xenocrimds9.jpg</t>
  </si>
  <si>
    <t>Bull</t>
  </si>
  <si>
    <t>https://nematode.unl.edu/xenocrimn1.jpg</t>
  </si>
  <si>
    <t>Great River Bluffs State Park, Minnesota</t>
  </si>
  <si>
    <t>https://nematode.unl.edu/xenocrimn2.jpg</t>
  </si>
  <si>
    <t>https://nematode.unl.edu/xenocrimn3.jpg</t>
  </si>
  <si>
    <t>https://nematode.unl.edu/xenocrimn4.jpg</t>
  </si>
  <si>
    <t>https://nematode.unl.edu/xenocrimn5.jpg</t>
  </si>
  <si>
    <t>https://nematode.unl.edu/xenocrimn6.jpg</t>
  </si>
  <si>
    <t>https://nematode.unl.edu/xenocrimn7.jpg</t>
  </si>
  <si>
    <t>spermatheca/reproductive tract</t>
  </si>
  <si>
    <t>https://nematode.unl.edu/xenocrimn8.jpg</t>
  </si>
  <si>
    <t>https://nematode.unl.edu/xenocrimn9.jpg</t>
  </si>
  <si>
    <t>https://nematode.unl.edu/xenolou1.jpg</t>
  </si>
  <si>
    <t>Glendalough State Park, Minnesota</t>
  </si>
  <si>
    <t>Burr oak</t>
  </si>
  <si>
    <t>https://nematode.unl.edu/xenolou2.jpg</t>
  </si>
  <si>
    <t>https://nematode.unl.edu/xenolou3.jpg</t>
  </si>
  <si>
    <t>https://nematode.unl.edu/xenolou4.jpg</t>
  </si>
  <si>
    <t>https://nematode.unl.edu/xenoloup1.jpg</t>
  </si>
  <si>
    <t>https://nematode.unl.edu/xenoloup2.jpg</t>
  </si>
  <si>
    <t>https://nematode.unl.edu/xenoloup3.jpg</t>
  </si>
  <si>
    <t>https://nematode.unl.edu/xenoloup4.jpg</t>
  </si>
  <si>
    <t>https://nematode.unl.edu/xenoloup5.jpg</t>
  </si>
  <si>
    <t>https://nematode.unl.edu/xenoloup6.jpg</t>
  </si>
  <si>
    <t>https://nematode.unl.edu/xenoloup7.jpg</t>
  </si>
  <si>
    <t>https://nematode.unl.edu/xenoloup8.jpg</t>
  </si>
  <si>
    <t>https://nematode.unl.edu/xenomavo1.jpg</t>
  </si>
  <si>
    <t>https://nematode.unl.edu/xenomavo2.jpg</t>
  </si>
  <si>
    <t>https://nematode.unl.edu/xenomavo3.jpg</t>
  </si>
  <si>
    <t>https://nematode.unl.edu/xenomavo4.jpg</t>
  </si>
  <si>
    <t>https://nematode.unl.edu/xenomex1.jpg</t>
  </si>
  <si>
    <t>Tajique, New Mexico</t>
  </si>
  <si>
    <t>Ponderosa pine</t>
  </si>
  <si>
    <t>https://nematode.unl.edu/xenomex10.jpg</t>
  </si>
  <si>
    <t>https://nematode.unl.edu/xenomex11.jpg</t>
  </si>
  <si>
    <t>https://nematode.unl.edu/xenomex12.jpg</t>
  </si>
  <si>
    <t>https://nematode.unl.edu/xenomex13.jpg</t>
  </si>
  <si>
    <t>https://nematode.unl.edu/xenomex14.jpg</t>
  </si>
  <si>
    <t>https://nematode.unl.edu/xenomex15.jpg</t>
  </si>
  <si>
    <t>https://nematode.unl.edu/xenomex16.jpg</t>
  </si>
  <si>
    <t>https://nematode.unl.edu/xenomex17.jpg</t>
  </si>
  <si>
    <t>https://nematode.unl.edu/xenomex2.jpg</t>
  </si>
  <si>
    <t>https://nematode.unl.edu/xenomex4.jpg</t>
  </si>
  <si>
    <t>https://nematode.unl.edu/xenomex5.jpg</t>
  </si>
  <si>
    <t>https://nematode.unl.edu/xenomex6.jpg</t>
  </si>
  <si>
    <t>https://nematode.unl.edu/xenomex7.jpg</t>
  </si>
  <si>
    <t>https://nematode.unl.edu/xenomex8.jpg</t>
  </si>
  <si>
    <t>https://nematode.unl.edu/xenomex9.jpg</t>
  </si>
  <si>
    <t>https://nematode.unl.edu/xenomiche1.jpg</t>
  </si>
  <si>
    <t>https://nematode.unl.edu/xenomiche2.jpg</t>
  </si>
  <si>
    <t>https://nematode.unl.edu/xenomiche3.jpg</t>
  </si>
  <si>
    <t>https://nematode.unl.edu/xenomiche4.jpg</t>
  </si>
  <si>
    <t>https://nematode.unl.edu/xenomols1.jpg</t>
  </si>
  <si>
    <t>Oak Lake, South Dakota</t>
  </si>
  <si>
    <t>https://nematode.unl.edu/xenomols2.jpg</t>
  </si>
  <si>
    <t>https://nematode.unl.edu/xenomols3.jpg</t>
  </si>
  <si>
    <t>https://nematode.unl.edu/xenoss1.jpg</t>
  </si>
  <si>
    <t>oak / bluestem</t>
  </si>
  <si>
    <t>https://nematode.unl.edu/xenoss2.jpg</t>
  </si>
  <si>
    <t>https://nematode.unl.edu/xenoss3.jpg</t>
  </si>
  <si>
    <t>https://nematode.unl.edu/xenoss4.jpg</t>
  </si>
  <si>
    <t>https://nematode.unl.edu/xenoss5.jpg</t>
  </si>
  <si>
    <t>https://nematode.unl.edu/xenoss6.jpg</t>
  </si>
  <si>
    <t>https://nematode.unl.edu/xenoss7.jpg</t>
  </si>
  <si>
    <t>https://nematode.unl.edu/xenoss8.jpg</t>
  </si>
  <si>
    <t>https://nematode.unl.edu/xenoss9.jpg</t>
  </si>
  <si>
    <t>https://nematode.unl.edu/xmacrodorf1.jpg</t>
  </si>
  <si>
    <t>Frederick County, Maryland</t>
  </si>
  <si>
    <t>https://nematode.unl.edu/xmacrodorf2.jpg</t>
  </si>
  <si>
    <t>https://nematode.unl.edu/xmacrodorf3.jpg</t>
  </si>
  <si>
    <t>https://nematode.unl.edu/xmacrodorf4.jpg</t>
  </si>
  <si>
    <t>female midbody cuticle</t>
  </si>
  <si>
    <t>https://nematode.unl.edu/xiphis1.jpg</t>
  </si>
  <si>
    <t>Xiphinema</t>
  </si>
  <si>
    <t>https://nematode.unl.edu/xiagw1.jpg</t>
  </si>
  <si>
    <t>Xiphinema americanum</t>
  </si>
  <si>
    <t>https://nematode.unl.edu/xiagw2.jpg</t>
  </si>
  <si>
    <t>https://nematode.unl.edu/xiagw3.jpg</t>
  </si>
  <si>
    <t>https://nematode.unl.edu/xiagw4.jpg</t>
  </si>
  <si>
    <t>https://nematode.unl.edu/xiagw5.jpg</t>
  </si>
  <si>
    <t>https://nematode.unl.edu/xiam1.jpg</t>
  </si>
  <si>
    <t>https://nematode.unl.edu/xiam10.jpg</t>
  </si>
  <si>
    <t>https://nematode.unl.edu/xiam11.jpg</t>
  </si>
  <si>
    <t>https://nematode.unl.edu/xiam12.jpg</t>
  </si>
  <si>
    <t>https://nematode.unl.edu/xiam13.jpg</t>
  </si>
  <si>
    <t>https://nematode.unl.edu/xiam14.jpg</t>
  </si>
  <si>
    <t>https://nematode.unl.edu/xiam15.jpg</t>
  </si>
  <si>
    <t>https://nematode.unl.edu/xiam16.jpg</t>
  </si>
  <si>
    <t>https://nematode.unl.edu/xiam18.jpg</t>
  </si>
  <si>
    <t>https://nematode.unl.edu/xiam19.jpg</t>
  </si>
  <si>
    <t>https://nematode.unl.edu/xiam2.jpg</t>
  </si>
  <si>
    <t>https://nematode.unl.edu/xiam3.jpg</t>
  </si>
  <si>
    <t>https://nematode.unl.edu/xiam4.jpg</t>
  </si>
  <si>
    <t>https://nematode.unl.edu/xiam5.jpg</t>
  </si>
  <si>
    <t>https://nematode.unl.edu/xiam6.jpg</t>
  </si>
  <si>
    <t>https://nematode.unl.edu/xiam7.jpg</t>
  </si>
  <si>
    <t>https://nematode.unl.edu/xiam8.jpg</t>
  </si>
  <si>
    <t>https://nematode.unl.edu/xiam9.jpg</t>
  </si>
  <si>
    <t>https://nematode.unl.edu/xiamcmp.jpg</t>
  </si>
  <si>
    <t>https://nematode.unl.edu/xipam1.jpg</t>
  </si>
  <si>
    <t>Galley forest. Stream bank</t>
  </si>
  <si>
    <t>https://nematode.unl.edu/xipham1.jpg</t>
  </si>
  <si>
    <t>https://nematode.unl.edu/xipham2.jpg</t>
  </si>
  <si>
    <t>https://nematode.unl.edu/xipham3.jpg</t>
  </si>
  <si>
    <t>https://nematode.unl.edu/xipham4.jpg</t>
  </si>
  <si>
    <t>https://nematode.unl.edu/xipham5.jpg</t>
  </si>
  <si>
    <t>https://nematode.unl.edu/xiphamer1.jpg</t>
  </si>
  <si>
    <t>https://nematode.unl.edu/xiphamer2.jpg</t>
  </si>
  <si>
    <t>https://nematode.unl.edu/xiphamer3.jpg</t>
  </si>
  <si>
    <t>https://nematode.unl.edu/xiphamer4.jpg</t>
  </si>
  <si>
    <t>https://nematode.unl.edu/xiphamer5.jpg</t>
  </si>
  <si>
    <t>https://nematode.unl.edu/xibrasil1.jpg</t>
  </si>
  <si>
    <t>Xiphinema brasiliense</t>
  </si>
  <si>
    <t>https://nematode.unl.edu/xibrasil10.jpg</t>
  </si>
  <si>
    <t>pharyngeal bulb/DN</t>
  </si>
  <si>
    <t>https://nematode.unl.edu/xibrasil11.jpg</t>
  </si>
  <si>
    <t>https://nematode.unl.edu/xibrasil12.jpg</t>
  </si>
  <si>
    <t>https://nematode.unl.edu/xibrasil13.jpg</t>
  </si>
  <si>
    <t>https://nematode.unl.edu/xibrasil14.jpg</t>
  </si>
  <si>
    <t>https://nematode.unl.edu/xibrasil15.jpg</t>
  </si>
  <si>
    <t>https://nematode.unl.edu/xibrasil2.jpg</t>
  </si>
  <si>
    <t>https://nematode.unl.edu/xibrasil3.jpg</t>
  </si>
  <si>
    <t>https://nematode.unl.edu/xibrasil4.jpg</t>
  </si>
  <si>
    <t>https://nematode.unl.edu/xibrasil5.jpg</t>
  </si>
  <si>
    <t>https://nematode.unl.edu/xibrasil6.jpg</t>
  </si>
  <si>
    <t>https://nematode.unl.edu/xibrasil7.jpg</t>
  </si>
  <si>
    <t>https://nematode.unl.edu/xibrasil8.jpg</t>
  </si>
  <si>
    <t>https://nematode.unl.edu/xibrasil9.jpg</t>
  </si>
  <si>
    <t>https://nematode.unl.edu/xiphibe1.jpg</t>
  </si>
  <si>
    <t>Xiphinema brevicolle</t>
  </si>
  <si>
    <t>https://nematode.unl.edu/xiphibe2.jpg</t>
  </si>
  <si>
    <t>https://nematode.unl.edu/xiphibe3.jpg</t>
  </si>
  <si>
    <t>https://nematode.unl.edu/xiphibe4.jpg</t>
  </si>
  <si>
    <t>https://nematode.unl.edu/xiphibe5.jpg</t>
  </si>
  <si>
    <t>https://nematode.unl.edu/xiphibe6.jpg</t>
  </si>
  <si>
    <t>https://nematode.unl.edu/xiphibe7.jpg</t>
  </si>
  <si>
    <t>https://nematode.unl.edu/xiphibe8.jpg</t>
  </si>
  <si>
    <t>https://nematode.unl.edu/xcost1.jpg</t>
  </si>
  <si>
    <t>Xiphinema costaricense</t>
  </si>
  <si>
    <t>https://nematode.unl.edu/xcost10.jpg</t>
  </si>
  <si>
    <t>https://nematode.unl.edu/xcost2.jpg</t>
  </si>
  <si>
    <t>https://nematode.unl.edu/xcost3.jpg</t>
  </si>
  <si>
    <t>https://nematode.unl.edu/xcost4.jpg</t>
  </si>
  <si>
    <t>https://nematode.unl.edu/xcost5.jpg</t>
  </si>
  <si>
    <t>https://nematode.unl.edu/xcost6.jpg</t>
  </si>
  <si>
    <t>https://nematode.unl.edu/xcost7.jpg</t>
  </si>
  <si>
    <t>https://nematode.unl.edu/xcost8.jpg</t>
  </si>
  <si>
    <t>https://nematode.unl.edu/xcost9.jpg</t>
  </si>
  <si>
    <t>https://nematode.unl.edu/xindexdrw.jpg</t>
  </si>
  <si>
    <t>comare</t>
  </si>
  <si>
    <t>Xiphinema index</t>
  </si>
  <si>
    <t>https://nematode.unl.edu/xiphiv10.jpg</t>
  </si>
  <si>
    <t>Xiphinema vuittenezi</t>
  </si>
  <si>
    <t>https://nematode.unl.edu/xiphiv11.jpg</t>
  </si>
  <si>
    <t>https://nematode.unl.edu/xiphiv12.jpg</t>
  </si>
  <si>
    <t>https://nematode.unl.edu/xiphiv13.jpg</t>
  </si>
  <si>
    <t>https://nematode.unl.edu/xiphiv14.jpg</t>
  </si>
  <si>
    <t>https://nematode.unl.edu/xiphiv15.jpg</t>
  </si>
  <si>
    <t>https://nematode.unl.edu/xiphiv2.jpg</t>
  </si>
  <si>
    <t>https://nematode.unl.edu/xiphiv20.jpg</t>
  </si>
  <si>
    <t>https://nematode.unl.edu/xiphiv21.jpg</t>
  </si>
  <si>
    <t>https://nematode.unl.edu/xiphiv22.jpg</t>
  </si>
  <si>
    <t>https://nematode.unl.edu/xiphiv23.jpg</t>
  </si>
  <si>
    <t>https://nematode.unl.edu/xiphiv24.jpg</t>
  </si>
  <si>
    <t>https://nematode.unl.edu/xiphiv25.jpg</t>
  </si>
  <si>
    <t>https://nematode.unl.edu/xiphiv26.jpg</t>
  </si>
  <si>
    <t>https://nematode.unl.edu/xiphiv27.jpg</t>
  </si>
  <si>
    <t>https://nematode.unl.edu/xiphiv28.jpg</t>
  </si>
  <si>
    <t>https://nematode.unl.edu/xiphiv29.jpg</t>
  </si>
  <si>
    <t>https://nematode.unl.edu/xiphiv3.jpg</t>
  </si>
  <si>
    <t>https://nematode.unl.edu/xiphiv30.jpg</t>
  </si>
  <si>
    <t>https://nematode.unl.edu/xiphiv31.jpg</t>
  </si>
  <si>
    <t>https://nematode.unl.edu/xiphiv32.jpg</t>
  </si>
  <si>
    <t>https://nematode.unl.edu/xiphiv33.jpg</t>
  </si>
  <si>
    <t>https://nematode.unl.edu/xiphiv34.jpg</t>
  </si>
  <si>
    <t>https://nematode.unl.edu/xiphiv35.jpg</t>
  </si>
  <si>
    <t>https://nematode.unl.edu/xiphiv36.jpg</t>
  </si>
  <si>
    <t>https://nematode.unl.edu/xiphiv37.jpg</t>
  </si>
  <si>
    <t>https://nematode.unl.edu/xiphiv38.jpg</t>
  </si>
  <si>
    <t>https://nematode.unl.edu/xiphiv39.jpg</t>
  </si>
  <si>
    <t>https://nematode.unl.edu/xiphiv40.jpg</t>
  </si>
  <si>
    <t>https://nematode.unl.edu/xiphiv41.jpg</t>
  </si>
  <si>
    <t>https://nematode.unl.edu/xiphiv42.jpg</t>
  </si>
  <si>
    <t>https://nematode.unl.edu/xiphiv43.jpg</t>
  </si>
  <si>
    <t>https://nematode.unl.edu/xiphiv44.jpg</t>
  </si>
  <si>
    <t>https://nematode.unl.edu/xiphiv45.jpg</t>
  </si>
  <si>
    <t>https://nematode.unl.edu/xiphiv46.jpg</t>
  </si>
  <si>
    <t>https://nematode.unl.edu/xiphiv47.jpg</t>
  </si>
  <si>
    <t>https://nematode.unl.edu/xiphiv48.jpg</t>
  </si>
  <si>
    <t>tail tip, spicules</t>
  </si>
  <si>
    <t>https://nematode.unl.edu/xiphiv49.jpg</t>
  </si>
  <si>
    <t>https://nematode.unl.edu/xiphiv50.jpg</t>
  </si>
  <si>
    <t>https://nematode.unl.edu/xiphiv51.jpg</t>
  </si>
  <si>
    <t>https://nematode.unl.edu/xiphiv52.jpg</t>
  </si>
  <si>
    <t>https://nematode.unl.edu/xiphiv54.jpg</t>
  </si>
  <si>
    <t>https://nematode.unl.edu/xiphiv55.jpg</t>
  </si>
  <si>
    <t>https://nematode.unl.edu/xiphiv56.jpg</t>
  </si>
  <si>
    <t>https://nematode.unl.edu/xiphiv57.jpg</t>
  </si>
  <si>
    <t>https://nematode.unl.edu/xiphiv58.jpg</t>
  </si>
  <si>
    <t>https://nematode.unl.edu/xiphiv59.jpg</t>
  </si>
  <si>
    <t>https://nematode.unl.edu/xiphiv60.jpg</t>
  </si>
  <si>
    <t>https://nematode.unl.edu/xiphiv61.jpg</t>
  </si>
  <si>
    <t>https://nematode.unl.edu/xiphiv62.jpg</t>
  </si>
  <si>
    <t>https://nematode.unl.edu/xiphiv63.jpg</t>
  </si>
  <si>
    <t>https://nematode.unl.edu/xiphiv64.jpg</t>
  </si>
  <si>
    <t>https://nematode.unl.edu/xiphiv7.jpg</t>
  </si>
  <si>
    <t>https://nematode.unl.edu/xiphiv8.jpg</t>
  </si>
  <si>
    <t>https://nematode.unl.edu/xiphiv9.jpg</t>
  </si>
  <si>
    <t>https://nematode.unl.edu/xiphivcmp.jpg</t>
  </si>
  <si>
    <t>https://nematode.unl.edu/UNL-Nemalogo.jpg</t>
  </si>
  <si>
    <t>Acrobeloides apiculatus</t>
  </si>
  <si>
    <t>Alaimus rimitivus</t>
  </si>
  <si>
    <t>File</t>
  </si>
  <si>
    <t>Z:\nemtode\general\website_mirrors\nematode.unl.edu_2022_09_21\cyli2.jpg</t>
  </si>
  <si>
    <t>Z:\nemtode\general\website_mirrors\nematode.unl.edu_2022_09_21\cylmus5.jpg</t>
  </si>
  <si>
    <t>Z:\nemtode\general\website_mirrors\nematode.unl.edu_2022_09_21\cyli1.jpg</t>
  </si>
  <si>
    <t>Z:\nemtode\general\website_mirrors\nematode.unl.edu_2022_09_21\cyli3.jpg</t>
  </si>
  <si>
    <t>Z:\nemtode\general\website_mirrors\nematode.unl.edu_2022_09_21\cylmus1.jpg</t>
  </si>
  <si>
    <t>Z:\nemtode\general\website_mirrors\nematode.unl.edu_2022_09_21\cylmus12.jpg</t>
  </si>
  <si>
    <t>Z:\nemtode\general\website_mirrors\nematode.unl.edu_2022_09_21\cylmus13.jpg</t>
  </si>
  <si>
    <t>Z:\nemtode\general\website_mirrors\nematode.unl.edu_2022_09_21\cylmus6.jpg</t>
  </si>
  <si>
    <t>Z:\nemtode\general\website_mirrors\nematode.unl.edu_2022_09_21\cylmus7.jpg</t>
  </si>
  <si>
    <t>Z:\nemtode\general\website_mirrors\nematode.unl.edu_2022_09_21\cylmus9.jpg</t>
  </si>
  <si>
    <t>Z:\nemtode\general\website_mirrors\nematode.unl.edu_2022_09_21\cylmus14.jpg</t>
  </si>
  <si>
    <t>Z:\nemtode\general\website_mirrors\nematode.unl.edu_2022_09_21\cylmus11.jpg</t>
  </si>
  <si>
    <t>Z:\nemtode\general\website_mirrors\nematode.unl.edu_2022_09_21\cylmus10.jpg</t>
  </si>
  <si>
    <t>Z:\nemtode\general\website_mirrors\nematode.unl.edu_2022_09_21\cylmus2.jpg</t>
  </si>
  <si>
    <t>Z:\nemtode\general\website_mirrors\nematode.unl.edu_2022_09_21\cylmus8.jpg</t>
  </si>
  <si>
    <t>Z:\nemtode\general\website_mirrors\nematode.unl.edu_2022_09_21\cylmus3.jpg</t>
  </si>
  <si>
    <t>Z:\nemtode\general\website_mirrors\nematode.unl.edu_2022_09_21\cylmus4.jpg</t>
  </si>
  <si>
    <t>Z:\nemtode\general\website_mirrors\nematode.unl.edu_2022_09_21\achroma1.jpg</t>
  </si>
  <si>
    <t>Z:\nemtode\general\website_mirrors\nematode.unl.edu_2022_09_21\achroma5.jpg</t>
  </si>
  <si>
    <t>Z:\nemtode\general\website_mirrors\nematode.unl.edu_2022_09_21\achroma7.jpg</t>
  </si>
  <si>
    <t>Z:\nemtode\general\website_mirrors\nematode.unl.edu_2022_09_21\achroma10.jpg</t>
  </si>
  <si>
    <t>Z:\nemtode\general\website_mirrors\nematode.unl.edu_2022_09_21\achroma3.jpg</t>
  </si>
  <si>
    <t>Z:\nemtode\general\website_mirrors\nematode.unl.edu_2022_09_21\achroma8.jpg</t>
  </si>
  <si>
    <t>Z:\nemtode\general\website_mirrors\nematode.unl.edu_2022_09_21\achroma9.jpg</t>
  </si>
  <si>
    <t>Z:\nemtode\general\website_mirrors\nematode.unl.edu_2022_09_21\achroma6.jpg</t>
  </si>
  <si>
    <t>Z:\nemtode\general\website_mirrors\nematode.unl.edu_2022_09_21\achroma2.jpg</t>
  </si>
  <si>
    <t>Z:\nemtode\general\website_mirrors\nematode.unl.edu_2022_09_21\achroma4.jpg</t>
  </si>
  <si>
    <t>Z:\nemtode\general\website_mirrors\nematode.unl.edu_2022_09_21\achrsp7.jpg</t>
  </si>
  <si>
    <t>Z:\nemtode\general\website_mirrors\nematode.unl.edu_2022_09_21\achrspk1.jpg</t>
  </si>
  <si>
    <t>Z:\nemtode\general\website_mirrors\nematode.unl.edu_2022_09_21\achrspk21.jpg</t>
  </si>
  <si>
    <t>Z:\nemtode\general\website_mirrors\nematode.unl.edu_2022_09_21\achrspk9.jpg</t>
  </si>
  <si>
    <t>Z:\nemtode\general\website_mirrors\nematode.unl.edu_2022_09_21\achrsp6.jpg</t>
  </si>
  <si>
    <t>Z:\nemtode\general\website_mirrors\nematode.unl.edu_2022_09_21\achrspk11.jpg</t>
  </si>
  <si>
    <t>Z:\nemtode\general\website_mirrors\nematode.unl.edu_2022_09_21\achrspk12.jpg</t>
  </si>
  <si>
    <t>Z:\nemtode\general\website_mirrors\nematode.unl.edu_2022_09_21\achrspk15.jpg</t>
  </si>
  <si>
    <t>Z:\nemtode\general\website_mirrors\nematode.unl.edu_2022_09_21\achrspk2.jpg</t>
  </si>
  <si>
    <t>Z:\nemtode\general\website_mirrors\nematode.unl.edu_2022_09_21\achrspk6.jpg</t>
  </si>
  <si>
    <t>Z:\nemtode\general\website_mirrors\nematode.unl.edu_2022_09_21\achrspk8.jpg</t>
  </si>
  <si>
    <t>Z:\nemtode\general\website_mirrors\nematode.unl.edu_2022_09_21\achrsp8.jpg</t>
  </si>
  <si>
    <t>Z:\nemtode\general\website_mirrors\nematode.unl.edu_2022_09_21\achrspk5.jpg</t>
  </si>
  <si>
    <t>Z:\nemtode\general\website_mirrors\nematode.unl.edu_2022_09_21\achrspk10.jpg</t>
  </si>
  <si>
    <t>Z:\nemtode\general\website_mirrors\nematode.unl.edu_2022_09_21\achrspk14.jpg</t>
  </si>
  <si>
    <t>Z:\nemtode\general\website_mirrors\nematode.unl.edu_2022_09_21\achrspk16.jpg</t>
  </si>
  <si>
    <t>Z:\nemtode\general\website_mirrors\nematode.unl.edu_2022_09_21\achrspk19.jpg</t>
  </si>
  <si>
    <t>Z:\nemtode\general\website_mirrors\nematode.unl.edu_2022_09_21\achrspk3.jpg</t>
  </si>
  <si>
    <t>Z:\nemtode\general\website_mirrors\nematode.unl.edu_2022_09_21\achrsp9.jpg</t>
  </si>
  <si>
    <t>Z:\nemtode\general\website_mirrors\nematode.unl.edu_2022_09_21\achrspk7.jpg</t>
  </si>
  <si>
    <t>Z:\nemtode\general\website_mirrors\nematode.unl.edu_2022_09_21\achrspk17.jpg</t>
  </si>
  <si>
    <t>Z:\nemtode\general\website_mirrors\nematode.unl.edu_2022_09_21\achrspk18.jpg</t>
  </si>
  <si>
    <t>Z:\nemtode\general\website_mirrors\nematode.unl.edu_2022_09_21\achrspk20.jpg</t>
  </si>
  <si>
    <t>Z:\nemtode\general\website_mirrors\nematode.unl.edu_2022_09_21\achrspk4.jpg</t>
  </si>
  <si>
    <t>Z:\nemtode\general\website_mirrors\nematode.unl.edu_2022_09_21\achrsp4.jpg</t>
  </si>
  <si>
    <t>Z:\nemtode\general\website_mirrors\nematode.unl.edu_2022_09_21\achrsp2.jpg</t>
  </si>
  <si>
    <t>Z:\nemtode\general\website_mirrors\nematode.unl.edu_2022_09_21\achrsp1.jpg</t>
  </si>
  <si>
    <t>Z:\nemtode\general\website_mirrors\nematode.unl.edu_2022_09_21\achrsp5.jpg</t>
  </si>
  <si>
    <t>Z:\nemtode\general\website_mirrors\nematode.unl.edu_2022_09_21\achrsp3.jpg</t>
  </si>
  <si>
    <t>Z:\nemtode\general\website_mirrors\nematode.unl.edu_2022_09_21\paracy1.jpg</t>
  </si>
  <si>
    <t>Z:\nemtode\general\website_mirrors\nematode.unl.edu_2022_09_21\paracy3.jpg</t>
  </si>
  <si>
    <t>Z:\nemtode\general\website_mirrors\nematode.unl.edu_2022_09_21\paracy2.jpg</t>
  </si>
  <si>
    <t>Z:\nemtode\general\website_mirrors\nematode.unl.edu_2022_09_21\desmohd.jpg</t>
  </si>
  <si>
    <t>Z:\nemtode\general\website_mirrors\nematode.unl.edu_2022_09_21\dimell2.jpg</t>
  </si>
  <si>
    <t>Z:\nemtode\general\website_mirrors\nematode.unl.edu_2022_09_21\diploma.jpg</t>
  </si>
  <si>
    <t>Z:\nemtode\general\website_mirrors\nematode.unl.edu_2022_09_21\dimell1.jpg</t>
  </si>
  <si>
    <t>Z:\nemtode\general\website_mirrors\nematode.unl.edu_2022_09_21\dimell3.jpg</t>
  </si>
  <si>
    <t>Z:\nemtode\general\website_mirrors\nematode.unl.edu_2022_09_21\diploms.jpg</t>
  </si>
  <si>
    <t>Z:\nemtode\general\website_mirrors\nematode.unl.edu_2022_09_21\diplomh.jpg</t>
  </si>
  <si>
    <t>Z:\nemtode\general\website_mirrors\nematode.unl.edu_2022_09_21\dimell5.jpg</t>
  </si>
  <si>
    <t>Z:\nemtode\general\website_mirrors\nematode.unl.edu_2022_09_21\dimell4.jpg</t>
  </si>
  <si>
    <t>Z:\nemtode\general\website_mirrors\nematode.unl.edu_2022_09_21\diploid4.jpg</t>
  </si>
  <si>
    <t>Z:\nemtode\general\website_mirrors\nematode.unl.edu_2022_09_21\diploid1.jpg</t>
  </si>
  <si>
    <t>Z:\nemtode\general\website_mirrors\nematode.unl.edu_2022_09_21\diploid10.jpg</t>
  </si>
  <si>
    <t>Z:\nemtode\general\website_mirrors\nematode.unl.edu_2022_09_21\diploid3.jpg</t>
  </si>
  <si>
    <t>Z:\nemtode\general\website_mirrors\nematode.unl.edu_2022_09_21\diploid7.jpg</t>
  </si>
  <si>
    <t>Z:\nemtode\general\website_mirrors\nematode.unl.edu_2022_09_21\diploid5.jpg</t>
  </si>
  <si>
    <t>Z:\nemtode\general\website_mirrors\nematode.unl.edu_2022_09_21\diploid8.jpg</t>
  </si>
  <si>
    <t>Z:\nemtode\general\website_mirrors\nematode.unl.edu_2022_09_21\diploid2.jpg</t>
  </si>
  <si>
    <t>Z:\nemtode\general\website_mirrors\nematode.unl.edu_2022_09_21\diploid9.jpg</t>
  </si>
  <si>
    <t>Z:\nemtode\general\website_mirrors\nematode.unl.edu_2022_09_21\diploid6.jpg</t>
  </si>
  <si>
    <t>Z:\nemtode\general\website_mirrors\nematode.unl.edu_2022_09_21\eustica1.jpg</t>
  </si>
  <si>
    <t>Z:\nemtode\general\website_mirrors\nematode.unl.edu_2022_09_21\eustica9.jpg</t>
  </si>
  <si>
    <t>Z:\nemtode\general\website_mirrors\nematode.unl.edu_2022_09_21\eustica10.jpg</t>
  </si>
  <si>
    <t>Z:\nemtode\general\website_mirrors\nematode.unl.edu_2022_09_21\eustica2.jpg</t>
  </si>
  <si>
    <t>Z:\nemtode\general\website_mirrors\nematode.unl.edu_2022_09_21\eustica5.jpg</t>
  </si>
  <si>
    <t>Z:\nemtode\general\website_mirrors\nematode.unl.edu_2022_09_21\eustica6.jpg</t>
  </si>
  <si>
    <t>Z:\nemtode\general\website_mirrors\nematode.unl.edu_2022_09_21\eustica12.jpg</t>
  </si>
  <si>
    <t>Z:\nemtode\general\website_mirrors\nematode.unl.edu_2022_09_21\eustica4.jpg</t>
  </si>
  <si>
    <t>Z:\nemtode\general\website_mirrors\nematode.unl.edu_2022_09_21\eustica8.jpg</t>
  </si>
  <si>
    <t>Z:\nemtode\general\website_mirrors\nematode.unl.edu_2022_09_21\eustica11.jpg</t>
  </si>
  <si>
    <t>Z:\nemtode\general\website_mirrors\nematode.unl.edu_2022_09_21\eustica3.jpg</t>
  </si>
  <si>
    <t>Z:\nemtode\general\website_mirrors\nematode.unl.edu_2022_09_21\eustica7.jpg</t>
  </si>
  <si>
    <t>Z:\nemtode\general\website_mirrors\nematode.unl.edu_2022_09_21\eumov7.jpg</t>
  </si>
  <si>
    <t>Z:\nemtode\general\website_mirrors\nematode.unl.edu_2022_09_21\eumov1.jpg</t>
  </si>
  <si>
    <t>Z:\nemtode\general\website_mirrors\nematode.unl.edu_2022_09_21\eumov3.jpg</t>
  </si>
  <si>
    <t>Z:\nemtode\general\website_mirrors\nematode.unl.edu_2022_09_21\eumov8.jpg</t>
  </si>
  <si>
    <t>Z:\nemtode\general\website_mirrors\nematode.unl.edu_2022_09_21\eumov6.jpg</t>
  </si>
  <si>
    <t>Z:\nemtode\general\website_mirrors\nematode.unl.edu_2022_09_21\eumov2.jpg</t>
  </si>
  <si>
    <t>Z:\nemtode\general\website_mirrors\nematode.unl.edu_2022_09_21\eumov4.jpg</t>
  </si>
  <si>
    <t>Z:\nemtode\general\website_mirrors\nematode.unl.edu_2022_09_21\eumov9.jpg</t>
  </si>
  <si>
    <t>Z:\nemtode\general\website_mirrors\nematode.unl.edu_2022_09_21\eumov5.jpg</t>
  </si>
  <si>
    <t>Z:\nemtode\general\website_mirrors\nematode.unl.edu_2022_09_21\monfili.jpg</t>
  </si>
  <si>
    <t>Z:\nemtode\general\website_mirrors\nematode.unl.edu_2022_09_21\geomonae9.jpg</t>
  </si>
  <si>
    <t>Z:\nemtode\general\website_mirrors\nematode.unl.edu_2022_09_21\geomonae3.jpg</t>
  </si>
  <si>
    <t>Z:\nemtode\general\website_mirrors\nematode.unl.edu_2022_09_21\geomonae7.jpg</t>
  </si>
  <si>
    <t>Z:\nemtode\general\website_mirrors\nematode.unl.edu_2022_09_21\geomonae2.jpg</t>
  </si>
  <si>
    <t>Z:\nemtode\general\website_mirrors\nematode.unl.edu_2022_09_21\geomonae6.jpg</t>
  </si>
  <si>
    <t>Z:\nemtode\general\website_mirrors\nematode.unl.edu_2022_09_21\geomonae1.jpg</t>
  </si>
  <si>
    <t>Z:\nemtode\general\website_mirrors\nematode.unl.edu_2022_09_21\geomonae5.jpg</t>
  </si>
  <si>
    <t>Z:\nemtode\general\website_mirrors\nematode.unl.edu_2022_09_21\geomonae4.jpg</t>
  </si>
  <si>
    <t>Z:\nemtode\general\website_mirrors\nematode.unl.edu_2022_09_21\geomonae8.jpg</t>
  </si>
  <si>
    <t>Z:\nemtode\general\website_mirrors\nematode.unl.edu_2022_09_21\gaust6.jpg</t>
  </si>
  <si>
    <t>Z:\nemtode\general\website_mirrors\nematode.unl.edu_2022_09_21\gaust3.jpg</t>
  </si>
  <si>
    <t>Z:\nemtode\general\website_mirrors\nematode.unl.edu_2022_09_21\gaust5.jpg</t>
  </si>
  <si>
    <t>Z:\nemtode\general\website_mirrors\nematode.unl.edu_2022_09_21\gaust1.jpg</t>
  </si>
  <si>
    <t>Z:\nemtode\general\website_mirrors\nematode.unl.edu_2022_09_21\gaust2.jpg</t>
  </si>
  <si>
    <t>Z:\nemtode\general\website_mirrors\nematode.unl.edu_2022_09_21\gaust8.jpg</t>
  </si>
  <si>
    <t>Z:\nemtode\general\website_mirrors\nematode.unl.edu_2022_09_21\gaust7.jpg</t>
  </si>
  <si>
    <t>Z:\nemtode\general\website_mirrors\nematode.unl.edu_2022_09_21\gaust10.jpg</t>
  </si>
  <si>
    <t>Z:\nemtode\general\website_mirrors\nematode.unl.edu_2022_09_21\gaust4.jpg</t>
  </si>
  <si>
    <t>Z:\nemtode\general\website_mirrors\nematode.unl.edu_2022_09_21\gaust9.jpg</t>
  </si>
  <si>
    <t>Z:\nemtode\general\website_mirrors\nematode.unl.edu_2022_09_21\geovi5.jpg</t>
  </si>
  <si>
    <t>Z:\nemtode\general\website_mirrors\nematode.unl.edu_2022_09_21\geovi8.jpg</t>
  </si>
  <si>
    <t>Z:\nemtode\general\website_mirrors\nematode.unl.edu_2022_09_21\geovi14.jpg</t>
  </si>
  <si>
    <t>Z:\nemtode\general\website_mirrors\nematode.unl.edu_2022_09_21\geovi10.jpg</t>
  </si>
  <si>
    <t>Z:\nemtode\general\website_mirrors\nematode.unl.edu_2022_09_21\geovi6.jpg</t>
  </si>
  <si>
    <t>Z:\nemtode\general\website_mirrors\nematode.unl.edu_2022_09_21\geovi7.jpg</t>
  </si>
  <si>
    <t>Z:\nemtode\general\website_mirrors\nematode.unl.edu_2022_09_21\geovi12.jpg</t>
  </si>
  <si>
    <t>Z:\nemtode\general\website_mirrors\nematode.unl.edu_2022_09_21\geovi11.jpg</t>
  </si>
  <si>
    <t>Z:\nemtode\general\website_mirrors\nematode.unl.edu_2022_09_21\geovi2.jpg</t>
  </si>
  <si>
    <t>Z:\nemtode\general\website_mirrors\nematode.unl.edu_2022_09_21\geovi1.jpg</t>
  </si>
  <si>
    <t>Z:\nemtode\general\website_mirrors\nematode.unl.edu_2022_09_21\geovi15.jpg</t>
  </si>
  <si>
    <t>Z:\nemtode\general\website_mirrors\nematode.unl.edu_2022_09_21\geovi13.jpg</t>
  </si>
  <si>
    <t>Z:\nemtode\general\website_mirrors\nematode.unl.edu_2022_09_21\geovi4.jpg</t>
  </si>
  <si>
    <t>Z:\nemtode\general\website_mirrors\nematode.unl.edu_2022_09_21\geovi3.jpg</t>
  </si>
  <si>
    <t>Z:\nemtode\general\website_mirrors\nematode.unl.edu_2022_09_21\geovi9.jpg</t>
  </si>
  <si>
    <t>Z:\nemtode\general\website_mirrors\nematode.unl.edu_2022_09_21\monvillo.jpg</t>
  </si>
  <si>
    <t>Z:\nemtode\general\website_mirrors\nematode.unl.edu_2022_09_21\monhys1.jpg</t>
  </si>
  <si>
    <t>Z:\nemtode\general\website_mirrors\nematode.unl.edu_2022_09_21\monhys15.jpg</t>
  </si>
  <si>
    <t>Z:\nemtode\general\website_mirrors\nematode.unl.edu_2022_09_21\monhys7.jpg</t>
  </si>
  <si>
    <t>Z:\nemtode\general\website_mirrors\nematode.unl.edu_2022_09_21\monhys16.jpg</t>
  </si>
  <si>
    <t>Z:\nemtode\general\website_mirrors\nematode.unl.edu_2022_09_21\monhys10.jpg</t>
  </si>
  <si>
    <t>Z:\nemtode\general\website_mirrors\nematode.unl.edu_2022_09_21\monhys12.jpg</t>
  </si>
  <si>
    <t>Z:\nemtode\general\website_mirrors\nematode.unl.edu_2022_09_21\monhys13.jpg</t>
  </si>
  <si>
    <t>Z:\nemtode\general\website_mirrors\nematode.unl.edu_2022_09_21\monhys14.jpg</t>
  </si>
  <si>
    <t>Z:\nemtode\general\website_mirrors\nematode.unl.edu_2022_09_21\monhys3.jpg</t>
  </si>
  <si>
    <t>Z:\nemtode\general\website_mirrors\nematode.unl.edu_2022_09_21\monhys6.jpg</t>
  </si>
  <si>
    <t>Z:\nemtode\general\website_mirrors\nematode.unl.edu_2022_09_21\monhys8.jpg</t>
  </si>
  <si>
    <t>Z:\nemtode\general\website_mirrors\nematode.unl.edu_2022_09_21\monhys2.jpg</t>
  </si>
  <si>
    <t>Z:\nemtode\general\website_mirrors\nematode.unl.edu_2022_09_21\monhys4.jpg</t>
  </si>
  <si>
    <t>Z:\nemtode\general\website_mirrors\nematode.unl.edu_2022_09_21\monhys5.jpg</t>
  </si>
  <si>
    <t>Z:\nemtode\general\website_mirrors\nematode.unl.edu_2022_09_21\monhys9.jpg</t>
  </si>
  <si>
    <t>Z:\nemtode\general\website_mirrors\nematode.unl.edu_2022_09_21\monhys11.jpg</t>
  </si>
  <si>
    <t>Z:\nemtode\general\website_mirrors\nematode.unl.edu_2022_09_21\aphas1.jpg</t>
  </si>
  <si>
    <t>Z:\nemtode\general\website_mirrors\nematode.unl.edu_2022_09_21\chronog1.jpg</t>
  </si>
  <si>
    <t>Z:\nemtode\general\website_mirrors\nematode.unl.edu_2022_09_21\leptol1.jpg</t>
  </si>
  <si>
    <t>Z:\nemtode\general\website_mirrors\nematode.unl.edu_2022_09_21\leptol3.jpg</t>
  </si>
  <si>
    <t>Z:\nemtode\general\website_mirrors\nematode.unl.edu_2022_09_21\leptols1.jpg</t>
  </si>
  <si>
    <t>Z:\nemtode\general\website_mirrors\nematode.unl.edu_2022_09_21\leptol2.jpg</t>
  </si>
  <si>
    <t>Z:\nemtode\general\website_mirrors\nematode.unl.edu_2022_09_21\parapl1.jpg</t>
  </si>
  <si>
    <t>Z:\nemtode\general\website_mirrors\nematode.unl.edu_2022_09_21\parpl1.jpg</t>
  </si>
  <si>
    <t>Z:\nemtode\general\website_mirrors\nematode.unl.edu_2022_09_21\parpl2.jpg</t>
  </si>
  <si>
    <t>Z:\nemtode\general\website_mirrors\nematode.unl.edu_2022_09_21\parpl3.jpg</t>
  </si>
  <si>
    <t>Z:\nemtode\general\website_mirrors\nematode.unl.edu_2022_09_21\parapl2.jpg</t>
  </si>
  <si>
    <t>Z:\nemtode\general\website_mirrors\nematode.unl.edu_2022_09_21\parpl4.jpg</t>
  </si>
  <si>
    <t>Z:\nemtode\general\website_mirrors\nematode.unl.edu_2022_09_21\metatera1.jpg</t>
  </si>
  <si>
    <t>Z:\nemtode\general\website_mirrors\nematode.unl.edu_2022_09_21\metatera3.jpg</t>
  </si>
  <si>
    <t>Z:\nemtode\general\website_mirrors\nematode.unl.edu_2022_09_21\metatera2.jpg</t>
  </si>
  <si>
    <t>Z:\nemtode\general\website_mirrors\nematode.unl.edu_2022_09_21\anagsma3.jpg</t>
  </si>
  <si>
    <t>Z:\nemtode\general\website_mirrors\nematode.unl.edu_2022_09_21\anapha11.jpg</t>
  </si>
  <si>
    <t>Z:\nemtode\general\website_mirrors\nematode.unl.edu_2022_09_21\anaplec17.jpg</t>
  </si>
  <si>
    <t>Z:\nemtode\general\website_mirrors\nematode.unl.edu_2022_09_21\anaplec7.jpg</t>
  </si>
  <si>
    <t>Z:\nemtode\general\website_mirrors\nematode.unl.edu_2022_09_21\anagsma2.jpg</t>
  </si>
  <si>
    <t>Z:\nemtode\general\website_mirrors\nematode.unl.edu_2022_09_21\anaplec13.jpg</t>
  </si>
  <si>
    <t>Z:\nemtode\general\website_mirrors\nematode.unl.edu_2022_09_21\anapha1.jpg</t>
  </si>
  <si>
    <t>Z:\nemtode\general\website_mirrors\nematode.unl.edu_2022_09_21\anapha13.jpg</t>
  </si>
  <si>
    <t>Z:\nemtode\general\website_mirrors\nematode.unl.edu_2022_09_21\anapha3.jpg</t>
  </si>
  <si>
    <t>Z:\nemtode\general\website_mirrors\nematode.unl.edu_2022_09_21\anapha5.jpg</t>
  </si>
  <si>
    <t>Z:\nemtode\general\website_mirrors\nematode.unl.edu_2022_09_21\anapha8.jpg</t>
  </si>
  <si>
    <t>Z:\nemtode\general\website_mirrors\nematode.unl.edu_2022_09_21\anapl23.jpg</t>
  </si>
  <si>
    <t>Z:\nemtode\general\website_mirrors\nematode.unl.edu_2022_09_21\anaplec16.jpg</t>
  </si>
  <si>
    <t>Z:\nemtode\general\website_mirrors\nematode.unl.edu_2022_09_21\anaplec3.jpg</t>
  </si>
  <si>
    <t>Z:\nemtode\general\website_mirrors\nematode.unl.edu_2022_09_21\anaplec6.jpg</t>
  </si>
  <si>
    <t>Z:\nemtode\general\website_mirrors\nematode.unl.edu_2022_09_21\anaptus1.jpg</t>
  </si>
  <si>
    <t>Z:\nemtode\general\website_mirrors\nematode.unl.edu_2022_09_21\anaptus4.jpg</t>
  </si>
  <si>
    <t>Z:\nemtode\general\website_mirrors\nematode.unl.edu_2022_09_21\anaptus7.jpg</t>
  </si>
  <si>
    <t>Z:\nemtode\general\website_mirrors\nematode.unl.edu_2022_09_21\anaplec5.jpg</t>
  </si>
  <si>
    <t>Z:\nemtode\general\website_mirrors\nematode.unl.edu_2022_09_21\anapha4.jpg</t>
  </si>
  <si>
    <t>Z:\nemtode\general\website_mirrors\nematode.unl.edu_2022_09_21\anaplec18.jpg</t>
  </si>
  <si>
    <t>Z:\nemtode\general\website_mirrors\nematode.unl.edu_2022_09_21\anaplec8.jpg</t>
  </si>
  <si>
    <t>Z:\nemtode\general\website_mirrors\nematode.unl.edu_2022_09_21\anaptus2.jpg</t>
  </si>
  <si>
    <t>Z:\nemtode\general\website_mirrors\nematode.unl.edu_2022_09_21\anagsma1.jpg</t>
  </si>
  <si>
    <t>Z:\nemtode\general\website_mirrors\nematode.unl.edu_2022_09_21\anapha7.jpg</t>
  </si>
  <si>
    <t>Z:\nemtode\general\website_mirrors\nematode.unl.edu_2022_09_21\anapl22.jpg</t>
  </si>
  <si>
    <t>Z:\nemtode\general\website_mirrors\nematode.unl.edu_2022_09_21\anaplec1.jpg</t>
  </si>
  <si>
    <t>Z:\nemtode\general\website_mirrors\nematode.unl.edu_2022_09_21\anaplec12.jpg</t>
  </si>
  <si>
    <t>Z:\nemtode\general\website_mirrors\nematode.unl.edu_2022_09_21\anaplec2.jpg</t>
  </si>
  <si>
    <t>Z:\nemtode\general\website_mirrors\nematode.unl.edu_2022_09_21\anaptus3.jpg</t>
  </si>
  <si>
    <t>Z:\nemtode\general\website_mirrors\nematode.unl.edu_2022_09_21\anapl24.jpg</t>
  </si>
  <si>
    <t>Z:\nemtode\general\website_mirrors\nematode.unl.edu_2022_09_21\anagsma4.jpg</t>
  </si>
  <si>
    <t>Z:\nemtode\general\website_mirrors\nematode.unl.edu_2022_09_21\anapha12.jpg</t>
  </si>
  <si>
    <t>Z:\nemtode\general\website_mirrors\nematode.unl.edu_2022_09_21\anaplec11.jpg</t>
  </si>
  <si>
    <t>Z:\nemtode\general\website_mirrors\nematode.unl.edu_2022_09_21\anagsma6.jpg</t>
  </si>
  <si>
    <t>Z:\nemtode\general\website_mirrors\nematode.unl.edu_2022_09_21\anagsma5.jpg</t>
  </si>
  <si>
    <t>Z:\nemtode\general\website_mirrors\nematode.unl.edu_2022_09_21\anapha10.jpg</t>
  </si>
  <si>
    <t>Z:\nemtode\general\website_mirrors\nematode.unl.edu_2022_09_21\anapha14.jpg</t>
  </si>
  <si>
    <t>Z:\nemtode\general\website_mirrors\nematode.unl.edu_2022_09_21\anapha2.jpg</t>
  </si>
  <si>
    <t>Z:\nemtode\general\website_mirrors\nematode.unl.edu_2022_09_21\anapha6.jpg</t>
  </si>
  <si>
    <t>Z:\nemtode\general\website_mirrors\nematode.unl.edu_2022_09_21\anapl25.jpg</t>
  </si>
  <si>
    <t>Z:\nemtode\general\website_mirrors\nematode.unl.edu_2022_09_21\anaplec15.jpg</t>
  </si>
  <si>
    <t>Z:\nemtode\general\website_mirrors\nematode.unl.edu_2022_09_21\anaplec19.jpg</t>
  </si>
  <si>
    <t>Z:\nemtode\general\website_mirrors\nematode.unl.edu_2022_09_21\anaptus6.jpg</t>
  </si>
  <si>
    <t>Z:\nemtode\general\website_mirrors\nematode.unl.edu_2022_09_21\anaptus8.jpg</t>
  </si>
  <si>
    <t>Z:\nemtode\general\website_mirrors\nematode.unl.edu_2022_09_21\anaplec10.jpg</t>
  </si>
  <si>
    <t>Z:\nemtode\general\website_mirrors\nematode.unl.edu_2022_09_21\anaplec14.jpg</t>
  </si>
  <si>
    <t>Z:\nemtode\general\website_mirrors\nematode.unl.edu_2022_09_21\anapha9.jpg</t>
  </si>
  <si>
    <t>Z:\nemtode\general\website_mirrors\nematode.unl.edu_2022_09_21\anaplec4.jpg</t>
  </si>
  <si>
    <t>Z:\nemtode\general\website_mirrors\nematode.unl.edu_2022_09_21\anaplec9.jpg</t>
  </si>
  <si>
    <t>Z:\nemtode\general\website_mirrors\nematode.unl.edu_2022_09_21\anaptus5.jpg</t>
  </si>
  <si>
    <t>Z:\nemtode\general\website_mirrors\nematode.unl.edu_2022_09_21\chiple13.jpg</t>
  </si>
  <si>
    <t>Z:\nemtode\general\website_mirrors\nematode.unl.edu_2022_09_21\chiple5.jpg</t>
  </si>
  <si>
    <t>Z:\nemtode\general\website_mirrors\nematode.unl.edu_2022_09_21\chiple12.jpg</t>
  </si>
  <si>
    <t>Z:\nemtode\general\website_mirrors\nematode.unl.edu_2022_09_21\chiple15.jpg</t>
  </si>
  <si>
    <t>Z:\nemtode\general\website_mirrors\nematode.unl.edu_2022_09_21\chiple2.jpg</t>
  </si>
  <si>
    <t>Z:\nemtode\general\website_mirrors\nematode.unl.edu_2022_09_21\chiple4.jpg</t>
  </si>
  <si>
    <t>Z:\nemtode\general\website_mirrors\nematode.unl.edu_2022_09_21\chiple6.jpg</t>
  </si>
  <si>
    <t>Z:\nemtode\general\website_mirrors\nematode.unl.edu_2022_09_21\chiple9.jpg</t>
  </si>
  <si>
    <t>Z:\nemtode\general\website_mirrors\nematode.unl.edu_2022_09_21\chiple7.jpg</t>
  </si>
  <si>
    <t>Z:\nemtode\general\website_mirrors\nematode.unl.edu_2022_09_21\chiple1.jpg</t>
  </si>
  <si>
    <t>Z:\nemtode\general\website_mirrors\nematode.unl.edu_2022_09_21\chiple11.jpg</t>
  </si>
  <si>
    <t>Z:\nemtode\general\website_mirrors\nematode.unl.edu_2022_09_21\chiple10.jpg</t>
  </si>
  <si>
    <t>Z:\nemtode\general\website_mirrors\nematode.unl.edu_2022_09_21\chiple17.jpg</t>
  </si>
  <si>
    <t>Z:\nemtode\general\website_mirrors\nematode.unl.edu_2022_09_21\chiple14.jpg</t>
  </si>
  <si>
    <t>Z:\nemtode\general\website_mirrors\nematode.unl.edu_2022_09_21\chiple16.jpg</t>
  </si>
  <si>
    <t>Z:\nemtode\general\website_mirrors\nematode.unl.edu_2022_09_21\chiple3.jpg</t>
  </si>
  <si>
    <t>Z:\nemtode\general\website_mirrors\nematode.unl.edu_2022_09_21\chiple8.jpg</t>
  </si>
  <si>
    <t>Z:\nemtode\general\website_mirrors\nematode.unl.edu_2022_09_21\plecu4.jpg</t>
  </si>
  <si>
    <t>Z:\nemtode\general\website_mirrors\nematode.unl.edu_2022_09_21\plum11.jpg</t>
  </si>
  <si>
    <t>Z:\nemtode\general\website_mirrors\nematode.unl.edu_2022_09_21\plum3.jpg</t>
  </si>
  <si>
    <t>Z:\nemtode\general\website_mirrors\nematode.unl.edu_2022_09_21\plac1.jpg</t>
  </si>
  <si>
    <t>Z:\nemtode\general\website_mirrors\nematode.unl.edu_2022_09_21\plac4.jpg</t>
  </si>
  <si>
    <t>Z:\nemtode\general\website_mirrors\nematode.unl.edu_2022_09_21\plecu16.jpg</t>
  </si>
  <si>
    <t>Z:\nemtode\general\website_mirrors\nematode.unl.edu_2022_09_21\plecu19.jpg</t>
  </si>
  <si>
    <t>Z:\nemtode\general\website_mirrors\nematode.unl.edu_2022_09_21\plecu23.jpg</t>
  </si>
  <si>
    <t>Z:\nemtode\general\website_mirrors\nematode.unl.edu_2022_09_21\plecu5.jpg</t>
  </si>
  <si>
    <t>Z:\nemtode\general\website_mirrors\nematode.unl.edu_2022_09_21\plecu6.jpg</t>
  </si>
  <si>
    <t>Z:\nemtode\general\website_mirrors\nematode.unl.edu_2022_09_21\plecu7.jpg</t>
  </si>
  <si>
    <t>Z:\nemtode\general\website_mirrors\nematode.unl.edu_2022_09_21\plum12.jpg</t>
  </si>
  <si>
    <t>Z:\nemtode\general\website_mirrors\nematode.unl.edu_2022_09_21\plum13.jpg</t>
  </si>
  <si>
    <t>Z:\nemtode\general\website_mirrors\nematode.unl.edu_2022_09_21\plum16.jpg</t>
  </si>
  <si>
    <t>Z:\nemtode\general\website_mirrors\nematode.unl.edu_2022_09_21\plum4.jpg</t>
  </si>
  <si>
    <t>Z:\nemtode\general\website_mirrors\nematode.unl.edu_2022_09_21\plum7.jpg</t>
  </si>
  <si>
    <t>Z:\nemtode\general\website_mirrors\nematode.unl.edu_2022_09_21\plum8.jpg</t>
  </si>
  <si>
    <t>Z:\nemtode\general\website_mirrors\nematode.unl.edu_2022_09_21\plum9.jpg</t>
  </si>
  <si>
    <t>Z:\nemtode\general\website_mirrors\nematode.unl.edu_2022_09_21\plecu22.jpg</t>
  </si>
  <si>
    <t>Z:\nemtode\general\website_mirrors\nematode.unl.edu_2022_09_21\plecu28.jpg</t>
  </si>
  <si>
    <t>Z:\nemtode\general\website_mirrors\nematode.unl.edu_2022_09_21\plecu8.jpg</t>
  </si>
  <si>
    <t>Z:\nemtode\general\website_mirrors\nematode.unl.edu_2022_09_21\plecu2.jpg</t>
  </si>
  <si>
    <t>Z:\nemtode\general\website_mirrors\nematode.unl.edu_2022_09_21\plecu20.jpg</t>
  </si>
  <si>
    <t>Z:\nemtode\general\website_mirrors\nematode.unl.edu_2022_09_21\plecu25.jpg</t>
  </si>
  <si>
    <t>Z:\nemtode\general\website_mirrors\nematode.unl.edu_2022_09_21\plum1.jpg</t>
  </si>
  <si>
    <t>Z:\nemtode\general\website_mirrors\nematode.unl.edu_2022_09_21\plum10.jpg</t>
  </si>
  <si>
    <t>Z:\nemtode\general\website_mirrors\nematode.unl.edu_2022_09_21\plecu27.jpg</t>
  </si>
  <si>
    <t>Z:\nemtode\general\website_mirrors\nematode.unl.edu_2022_09_21\plac7.jpg</t>
  </si>
  <si>
    <t>Z:\nemtode\general\website_mirrors\nematode.unl.edu_2022_09_21\plecu24.jpg</t>
  </si>
  <si>
    <t>Z:\nemtode\general\website_mirrors\nematode.unl.edu_2022_09_21\plecu26.jpg</t>
  </si>
  <si>
    <t>Z:\nemtode\general\website_mirrors\nematode.unl.edu_2022_09_21\plum5.jpg</t>
  </si>
  <si>
    <t>Z:\nemtode\general\website_mirrors\nematode.unl.edu_2022_09_21\plac6.jpg</t>
  </si>
  <si>
    <t>Z:\nemtode\general\website_mirrors\nematode.unl.edu_2022_09_21\plac8.jpg</t>
  </si>
  <si>
    <t>Z:\nemtode\general\website_mirrors\nematode.unl.edu_2022_09_21\plecu1.jpg</t>
  </si>
  <si>
    <t>Z:\nemtode\general\website_mirrors\nematode.unl.edu_2022_09_21\plecu17.jpg</t>
  </si>
  <si>
    <t>Z:\nemtode\general\website_mirrors\nematode.unl.edu_2022_09_21\plecu21.jpg</t>
  </si>
  <si>
    <t>Z:\nemtode\general\website_mirrors\nematode.unl.edu_2022_09_21\plum14.jpg</t>
  </si>
  <si>
    <t>Z:\nemtode\general\website_mirrors\nematode.unl.edu_2022_09_21\plum2.jpg</t>
  </si>
  <si>
    <t>Z:\nemtode\general\website_mirrors\nematode.unl.edu_2022_09_21\plum6.jpg</t>
  </si>
  <si>
    <t>Z:\nemtode\general\website_mirrors\nematode.unl.edu_2022_09_21\plac5.jpg</t>
  </si>
  <si>
    <t>Z:\nemtode\general\website_mirrors\nematode.unl.edu_2022_09_21\plac9.jpg</t>
  </si>
  <si>
    <t>Z:\nemtode\general\website_mirrors\nematode.unl.edu_2022_09_21\plecu18.jpg</t>
  </si>
  <si>
    <t>Z:\nemtode\general\website_mirrors\nematode.unl.edu_2022_09_21\plecu3.jpg</t>
  </si>
  <si>
    <t>Z:\nemtode\general\website_mirrors\nematode.unl.edu_2022_09_21\panda2.jpg</t>
  </si>
  <si>
    <t>Z:\nemtode\general\website_mirrors\nematode.unl.edu_2022_09_21\pland1.jpg</t>
  </si>
  <si>
    <t>Z:\nemtode\general\website_mirrors\nematode.unl.edu_2022_09_21\pland4.jpg</t>
  </si>
  <si>
    <t>Z:\nemtode\general\website_mirrors\nematode.unl.edu_2022_09_21\pland6.jpg</t>
  </si>
  <si>
    <t>Z:\nemtode\general\website_mirrors\nematode.unl.edu_2022_09_21\pland7.jpg</t>
  </si>
  <si>
    <t>Z:\nemtode\general\website_mirrors\nematode.unl.edu_2022_09_21\pland9.jpg</t>
  </si>
  <si>
    <t>Z:\nemtode\general\website_mirrors\nematode.unl.edu_2022_09_21\panda1.jpg</t>
  </si>
  <si>
    <t>Z:\nemtode\general\website_mirrors\nematode.unl.edu_2022_09_21\pland3.jpg</t>
  </si>
  <si>
    <t>Z:\nemtode\general\website_mirrors\nematode.unl.edu_2022_09_21\pland5.jpg</t>
  </si>
  <si>
    <t>Z:\nemtode\general\website_mirrors\nematode.unl.edu_2022_09_21\panda4.jpg</t>
  </si>
  <si>
    <t>Z:\nemtode\general\website_mirrors\nematode.unl.edu_2022_09_21\pland2.jpg</t>
  </si>
  <si>
    <t>Z:\nemtode\general\website_mirrors\nematode.unl.edu_2022_09_21\pland8.jpg</t>
  </si>
  <si>
    <t>Z:\nemtode\general\website_mirrors\nematode.unl.edu_2022_09_21\panda3.jpg</t>
  </si>
  <si>
    <t>Z:\nemtode\general\website_mirrors\nematode.unl.edu_2022_09_21\plannu1.jpg</t>
  </si>
  <si>
    <t>Z:\nemtode\general\website_mirrors\nematode.unl.edu_2022_09_21\plannu2.jpg</t>
  </si>
  <si>
    <t>Z:\nemtode\general\website_mirrors\nematode.unl.edu_2022_09_21\plannu3.jpg</t>
  </si>
  <si>
    <t>Z:\nemtode\general\website_mirrors\nematode.unl.edu_2022_09_21\plannu4.jpg</t>
  </si>
  <si>
    <t>Z:\nemtode\general\website_mirrors\nematode.unl.edu_2022_09_21\plaqua2.jpg</t>
  </si>
  <si>
    <t>Z:\nemtode\general\website_mirrors\nematode.unl.edu_2022_09_21\plaqua1.jpg</t>
  </si>
  <si>
    <t>Z:\nemtode\general\website_mirrors\nematode.unl.edu_2022_09_21\plaqua3.jpg</t>
  </si>
  <si>
    <t>Z:\nemtode\general\website_mirrors\nematode.unl.edu_2022_09_21\plaqua4.jpg</t>
  </si>
  <si>
    <t>Z:\nemtode\general\website_mirrors\nematode.unl.edu_2022_09_21\parma2.jpg</t>
  </si>
  <si>
    <t>Z:\nemtode\general\website_mirrors\nematode.unl.edu_2022_09_21\parma5.jpg</t>
  </si>
  <si>
    <t>Z:\nemtode\general\website_mirrors\nematode.unl.edu_2022_09_21\plarm5.jpg</t>
  </si>
  <si>
    <t>Z:\nemtode\general\website_mirrors\nematode.unl.edu_2022_09_21\parma1.jpg</t>
  </si>
  <si>
    <t>Z:\nemtode\general\website_mirrors\nematode.unl.edu_2022_09_21\parma4.jpg</t>
  </si>
  <si>
    <t>Z:\nemtode\general\website_mirrors\nematode.unl.edu_2022_09_21\parma6.jpg</t>
  </si>
  <si>
    <t>Z:\nemtode\general\website_mirrors\nematode.unl.edu_2022_09_21\plarm1.jpg</t>
  </si>
  <si>
    <t>Z:\nemtode\general\website_mirrors\nematode.unl.edu_2022_09_21\plarm3.jpg</t>
  </si>
  <si>
    <t>Z:\nemtode\general\website_mirrors\nematode.unl.edu_2022_09_21\plarm4.jpg</t>
  </si>
  <si>
    <t>Z:\nemtode\general\website_mirrors\nematode.unl.edu_2022_09_21\parma3.jpg</t>
  </si>
  <si>
    <t>Z:\nemtode\general\website_mirrors\nematode.unl.edu_2022_09_21\parma7.jpg</t>
  </si>
  <si>
    <t>Z:\nemtode\general\website_mirrors\nematode.unl.edu_2022_09_21\plarm2.jpg</t>
  </si>
  <si>
    <t>Z:\nemtode\general\website_mirrors\nematode.unl.edu_2022_09_21\plassi3.jpg</t>
  </si>
  <si>
    <t>Z:\nemtode\general\website_mirrors\nematode.unl.edu_2022_09_21\passim1.jpg</t>
  </si>
  <si>
    <t>Z:\nemtode\general\website_mirrors\nematode.unl.edu_2022_09_21\passim4.jpg</t>
  </si>
  <si>
    <t>Z:\nemtode\general\website_mirrors\nematode.unl.edu_2022_09_21\passim5.jpg</t>
  </si>
  <si>
    <t>Z:\nemtode\general\website_mirrors\nematode.unl.edu_2022_09_21\plassi4.jpg</t>
  </si>
  <si>
    <t>Z:\nemtode\general\website_mirrors\nematode.unl.edu_2022_09_21\plassi5.jpg</t>
  </si>
  <si>
    <t>Z:\nemtode\general\website_mirrors\nematode.unl.edu_2022_09_21\plassi9.jpg</t>
  </si>
  <si>
    <t>Z:\nemtode\general\website_mirrors\nematode.unl.edu_2022_09_21\passim2.jpg</t>
  </si>
  <si>
    <t>Z:\nemtode\general\website_mirrors\nematode.unl.edu_2022_09_21\plassi2.jpg</t>
  </si>
  <si>
    <t>Z:\nemtode\general\website_mirrors\nematode.unl.edu_2022_09_21\passim3.jpg</t>
  </si>
  <si>
    <t>Z:\nemtode\general\website_mirrors\nematode.unl.edu_2022_09_21\passim6.jpg</t>
  </si>
  <si>
    <t>Z:\nemtode\general\website_mirrors\nematode.unl.edu_2022_09_21\plassi1.jpg</t>
  </si>
  <si>
    <t>Z:\nemtode\general\website_mirrors\nematode.unl.edu_2022_09_21\plecc7.jpg</t>
  </si>
  <si>
    <t>Z:\nemtode\general\website_mirrors\nematode.unl.edu_2022_09_21\pleci10.jpg</t>
  </si>
  <si>
    <t>Z:\nemtode\general\website_mirrors\nematode.unl.edu_2022_09_21\pleci12.jpg</t>
  </si>
  <si>
    <t>Z:\nemtode\general\website_mirrors\nematode.unl.edu_2022_09_21\pleci2.jpg</t>
  </si>
  <si>
    <t>Z:\nemtode\general\website_mirrors\nematode.unl.edu_2022_09_21\pleci6.jpg</t>
  </si>
  <si>
    <t>Z:\nemtode\general\website_mirrors\nematode.unl.edu_2022_09_21\plecc3.jpg</t>
  </si>
  <si>
    <t>Z:\nemtode\general\website_mirrors\nematode.unl.edu_2022_09_21\plecc6.jpg</t>
  </si>
  <si>
    <t>Z:\nemtode\general\website_mirrors\nematode.unl.edu_2022_09_21\pleci1.jpg</t>
  </si>
  <si>
    <t>Z:\nemtode\general\website_mirrors\nematode.unl.edu_2022_09_21\pleci13.jpg</t>
  </si>
  <si>
    <t>Z:\nemtode\general\website_mirrors\nematode.unl.edu_2022_09_21\pleci5.jpg</t>
  </si>
  <si>
    <t>Z:\nemtode\general\website_mirrors\nematode.unl.edu_2022_09_21\pleci9.jpg</t>
  </si>
  <si>
    <t>Z:\nemtode\general\website_mirrors\nematode.unl.edu_2022_09_21\pleci7.jpg</t>
  </si>
  <si>
    <t>Z:\nemtode\general\website_mirrors\nematode.unl.edu_2022_09_21\plecccmp.jpg</t>
  </si>
  <si>
    <t>Z:\nemtode\general\website_mirrors\nematode.unl.edu_2022_09_21\plecc4.jpg</t>
  </si>
  <si>
    <t>Z:\nemtode\general\website_mirrors\nematode.unl.edu_2022_09_21\plecc5.jpg</t>
  </si>
  <si>
    <t>Z:\nemtode\general\website_mirrors\nematode.unl.edu_2022_09_21\pleci8.jpg</t>
  </si>
  <si>
    <t>Z:\nemtode\general\website_mirrors\nematode.unl.edu_2022_09_21\plecc1.jpg</t>
  </si>
  <si>
    <t>Z:\nemtode\general\website_mirrors\nematode.unl.edu_2022_09_21\pleci11.jpg</t>
  </si>
  <si>
    <t>Z:\nemtode\general\website_mirrors\nematode.unl.edu_2022_09_21\pleci14.jpg</t>
  </si>
  <si>
    <t>Z:\nemtode\general\website_mirrors\nematode.unl.edu_2022_09_21\pleci4.jpg</t>
  </si>
  <si>
    <t>Z:\nemtode\general\website_mirrors\nematode.unl.edu_2022_09_21\plecc2.jpg</t>
  </si>
  <si>
    <t>Z:\nemtode\general\website_mirrors\nematode.unl.edu_2022_09_21\pleci3.jpg</t>
  </si>
  <si>
    <t>Z:\nemtode\general\website_mirrors\nematode.unl.edu_2022_09_21\plege10.jpg</t>
  </si>
  <si>
    <t>Z:\nemtode\general\website_mirrors\nematode.unl.edu_2022_09_21\plege15.jpg</t>
  </si>
  <si>
    <t>Z:\nemtode\general\website_mirrors\nematode.unl.edu_2022_09_21\plege18.jpg</t>
  </si>
  <si>
    <t>Z:\nemtode\general\website_mirrors\nematode.unl.edu_2022_09_21\plege19.jpg</t>
  </si>
  <si>
    <t>Z:\nemtode\general\website_mirrors\nematode.unl.edu_2022_09_21\plege2.jpg</t>
  </si>
  <si>
    <t>Z:\nemtode\general\website_mirrors\nematode.unl.edu_2022_09_21\plege7.jpg</t>
  </si>
  <si>
    <t>Z:\nemtode\general\website_mirrors\nematode.unl.edu_2022_09_21\plege12.jpg</t>
  </si>
  <si>
    <t>Z:\nemtode\general\website_mirrors\nematode.unl.edu_2022_09_21\plege17.jpg</t>
  </si>
  <si>
    <t>Z:\nemtode\general\website_mirrors\nematode.unl.edu_2022_09_21\plege1.jpg</t>
  </si>
  <si>
    <t>Z:\nemtode\general\website_mirrors\nematode.unl.edu_2022_09_21\plege6.jpg</t>
  </si>
  <si>
    <t>Z:\nemtode\general\website_mirrors\nematode.unl.edu_2022_09_21\plege11.jpg</t>
  </si>
  <si>
    <t>Z:\nemtode\general\website_mirrors\nematode.unl.edu_2022_09_21\plege5.jpg</t>
  </si>
  <si>
    <t>Z:\nemtode\general\website_mirrors\nematode.unl.edu_2022_09_21\plege13.jpg</t>
  </si>
  <si>
    <t>Z:\nemtode\general\website_mirrors\nematode.unl.edu_2022_09_21\plege14.jpg</t>
  </si>
  <si>
    <t>Z:\nemtode\general\website_mirrors\nematode.unl.edu_2022_09_21\plege20.jpg</t>
  </si>
  <si>
    <t>Z:\nemtode\general\website_mirrors\nematode.unl.edu_2022_09_21\plege3.jpg</t>
  </si>
  <si>
    <t>Z:\nemtode\general\website_mirrors\nematode.unl.edu_2022_09_21\plege4.jpg</t>
  </si>
  <si>
    <t>Z:\nemtode\general\website_mirrors\nematode.unl.edu_2022_09_21\plege9.jpg</t>
  </si>
  <si>
    <t>Z:\nemtode\general\website_mirrors\nematode.unl.edu_2022_09_21\plege16.jpg</t>
  </si>
  <si>
    <t>Z:\nemtode\general\website_mirrors\nematode.unl.edu_2022_09_21\plege8.jpg</t>
  </si>
  <si>
    <t>Z:\nemtode\general\website_mirrors\nematode.unl.edu_2022_09_21\pmakrod7.jpg</t>
  </si>
  <si>
    <t>Z:\nemtode\general\website_mirrors\nematode.unl.edu_2022_09_21\pmakrod1.jpg</t>
  </si>
  <si>
    <t>Z:\nemtode\general\website_mirrors\nematode.unl.edu_2022_09_21\pmakrod3.jpg</t>
  </si>
  <si>
    <t>Z:\nemtode\general\website_mirrors\nematode.unl.edu_2022_09_21\pmakrod2.jpg</t>
  </si>
  <si>
    <t>Z:\nemtode\general\website_mirrors\nematode.unl.edu_2022_09_21\pmakrod8.jpg</t>
  </si>
  <si>
    <t>Z:\nemtode\general\website_mirrors\nematode.unl.edu_2022_09_21\pmakrod6.jpg</t>
  </si>
  <si>
    <t>Z:\nemtode\general\website_mirrors\nematode.unl.edu_2022_09_21\pmakrod5.jpg</t>
  </si>
  <si>
    <t>Z:\nemtode\general\website_mirrors\nematode.unl.edu_2022_09_21\pmakrod4.jpg</t>
  </si>
  <si>
    <t>Z:\nemtode\general\website_mirrors\nematode.unl.edu_2022_09_21\plemak1.jpg</t>
  </si>
  <si>
    <t>Z:\nemtode\general\website_mirrors\nematode.unl.edu_2022_09_21\plemak4.jpg</t>
  </si>
  <si>
    <t>Z:\nemtode\general\website_mirrors\nematode.unl.edu_2022_09_21\plemak3.jpg</t>
  </si>
  <si>
    <t>Z:\nemtode\general\website_mirrors\nematode.unl.edu_2022_09_21\plemak5.jpg</t>
  </si>
  <si>
    <t>Z:\nemtode\general\website_mirrors\nematode.unl.edu_2022_09_21\plemak2.jpg</t>
  </si>
  <si>
    <t>Z:\nemtode\general\website_mirrors\nematode.unl.edu_2022_09_21\plemin5.jpg</t>
  </si>
  <si>
    <t>Z:\nemtode\general\website_mirrors\nematode.unl.edu_2022_09_21\plemin2.jpg</t>
  </si>
  <si>
    <t>Z:\nemtode\general\website_mirrors\nematode.unl.edu_2022_09_21\plemin6.jpg</t>
  </si>
  <si>
    <t>Z:\nemtode\general\website_mirrors\nematode.unl.edu_2022_09_21\plemin9.jpg</t>
  </si>
  <si>
    <t>Z:\nemtode\general\website_mirrors\nematode.unl.edu_2022_09_21\plemin1.jpg</t>
  </si>
  <si>
    <t>Z:\nemtode\general\website_mirrors\nematode.unl.edu_2022_09_21\plemin12.jpg</t>
  </si>
  <si>
    <t>Z:\nemtode\general\website_mirrors\nematode.unl.edu_2022_09_21\plemin11.jpg</t>
  </si>
  <si>
    <t>Z:\nemtode\general\website_mirrors\nematode.unl.edu_2022_09_21\plemin4.jpg</t>
  </si>
  <si>
    <t>Z:\nemtode\general\website_mirrors\nematode.unl.edu_2022_09_21\plemin8.jpg</t>
  </si>
  <si>
    <t>Z:\nemtode\general\website_mirrors\nematode.unl.edu_2022_09_21\plemin10.jpg</t>
  </si>
  <si>
    <t>Z:\nemtode\general\website_mirrors\nematode.unl.edu_2022_09_21\plemin3.jpg</t>
  </si>
  <si>
    <t>Z:\nemtode\general\website_mirrors\nematode.unl.edu_2022_09_21\plemin7.jpg</t>
  </si>
  <si>
    <t>Z:\nemtode\general\website_mirrors\nematode.unl.edu_2022_09_21\plemi2.jpg</t>
  </si>
  <si>
    <t>Z:\nemtode\general\website_mirrors\nematode.unl.edu_2022_09_21\plemi3.jpg</t>
  </si>
  <si>
    <t>Z:\nemtode\general\website_mirrors\nematode.unl.edu_2022_09_21\plemi1.jpg</t>
  </si>
  <si>
    <t>Z:\nemtode\general\website_mirrors\nematode.unl.edu_2022_09_21\plemi5.jpg</t>
  </si>
  <si>
    <t>Z:\nemtode\general\website_mirrors\nematode.unl.edu_2022_09_21\plemi4.jpg</t>
  </si>
  <si>
    <t>Z:\nemtode\general\website_mirrors\nematode.unl.edu_2022_09_21\plecpa20.jpg</t>
  </si>
  <si>
    <t>Z:\nemtode\general\website_mirrors\nematode.unl.edu_2022_09_21\plecpa3.jpg</t>
  </si>
  <si>
    <t>Z:\nemtode\general\website_mirrors\nematode.unl.edu_2022_09_21\plariet1.jpg</t>
  </si>
  <si>
    <t>Z:\nemtode\general\website_mirrors\nematode.unl.edu_2022_09_21\plecpa11.jpg</t>
  </si>
  <si>
    <t>Z:\nemtode\general\website_mirrors\nematode.unl.edu_2022_09_21\plecpa13.jpg</t>
  </si>
  <si>
    <t>Z:\nemtode\general\website_mirrors\nematode.unl.edu_2022_09_21\plecpa15.jpg</t>
  </si>
  <si>
    <t>Z:\nemtode\general\website_mirrors\nematode.unl.edu_2022_09_21\plecpa18.jpg</t>
  </si>
  <si>
    <t>Z:\nemtode\general\website_mirrors\nematode.unl.edu_2022_09_21\plecpa2.jpg</t>
  </si>
  <si>
    <t>Z:\nemtode\general\website_mirrors\nematode.unl.edu_2022_09_21\plecpa5.jpg</t>
  </si>
  <si>
    <t>Z:\nemtode\general\website_mirrors\nematode.unl.edu_2022_09_21\plepari1.jpg</t>
  </si>
  <si>
    <t>Z:\nemtode\general\website_mirrors\nematode.unl.edu_2022_09_21\plepari2.jpg</t>
  </si>
  <si>
    <t>Z:\nemtode\general\website_mirrors\nematode.unl.edu_2022_09_21\ppariet1.jpg</t>
  </si>
  <si>
    <t>Z:\nemtode\general\website_mirrors\nematode.unl.edu_2022_09_21\plecpa6.jpg</t>
  </si>
  <si>
    <t>Z:\nemtode\general\website_mirrors\nematode.unl.edu_2022_09_21\plepari3.jpg</t>
  </si>
  <si>
    <t>Z:\nemtode\general\website_mirrors\nematode.unl.edu_2022_09_21\ppariet3.jpg</t>
  </si>
  <si>
    <t>Z:\nemtode\general\website_mirrors\nematode.unl.edu_2022_09_21\plecpa12.jpg</t>
  </si>
  <si>
    <t>Z:\nemtode\general\website_mirrors\nematode.unl.edu_2022_09_21\plecpa10.jpg</t>
  </si>
  <si>
    <t>Z:\nemtode\general\website_mirrors\nematode.unl.edu_2022_09_21\plecpa1.jpg</t>
  </si>
  <si>
    <t>Z:\nemtode\general\website_mirrors\nematode.unl.edu_2022_09_21\plariet2.jpg</t>
  </si>
  <si>
    <t>Z:\nemtode\general\website_mirrors\nematode.unl.edu_2022_09_21\plecpa14.jpg</t>
  </si>
  <si>
    <t>Z:\nemtode\general\website_mirrors\nematode.unl.edu_2022_09_21\plecpa17.jpg</t>
  </si>
  <si>
    <t>Z:\nemtode\general\website_mirrors\nematode.unl.edu_2022_09_21\plecpa19.jpg</t>
  </si>
  <si>
    <t>Z:\nemtode\general\website_mirrors\nematode.unl.edu_2022_09_21\plecpa4.jpg</t>
  </si>
  <si>
    <t>Z:\nemtode\general\website_mirrors\nematode.unl.edu_2022_09_21\plecpa8.jpg</t>
  </si>
  <si>
    <t>Z:\nemtode\general\website_mirrors\nematode.unl.edu_2022_09_21\plecpa9.jpg</t>
  </si>
  <si>
    <t>Z:\nemtode\general\website_mirrors\nematode.unl.edu_2022_09_21\ppariet2.jpg</t>
  </si>
  <si>
    <t>Z:\nemtode\general\website_mirrors\nematode.unl.edu_2022_09_21\ppariet4.jpg</t>
  </si>
  <si>
    <t>Z:\nemtode\general\website_mirrors\nematode.unl.edu_2022_09_21\plecpa16.jpg</t>
  </si>
  <si>
    <t>Z:\nemtode\general\website_mirrors\nematode.unl.edu_2022_09_21\plecpa7.jpg</t>
  </si>
  <si>
    <t>Z:\nemtode\general\website_mirrors\nematode.unl.edu_2022_09_21\plepa6.jpg</t>
  </si>
  <si>
    <t>Z:\nemtode\general\website_mirrors\nematode.unl.edu_2022_09_21\plepar13.jpg</t>
  </si>
  <si>
    <t>Z:\nemtode\general\website_mirrors\nematode.unl.edu_2022_09_21\plepar7.jpg</t>
  </si>
  <si>
    <t>Z:\nemtode\general\website_mirrors\nematode.unl.edu_2022_09_21\pparvgw5.jpg</t>
  </si>
  <si>
    <t>Z:\nemtode\general\website_mirrors\nematode.unl.edu_2022_09_21\plepar9.jpg</t>
  </si>
  <si>
    <t>Z:\nemtode\general\website_mirrors\nematode.unl.edu_2022_09_21\pparvgw2.jpg</t>
  </si>
  <si>
    <t>Z:\nemtode\general\website_mirrors\nematode.unl.edu_2022_09_21\plepa10.jpg</t>
  </si>
  <si>
    <t>Z:\nemtode\general\website_mirrors\nematode.unl.edu_2022_09_21\plepa13.jpg</t>
  </si>
  <si>
    <t>Z:\nemtode\general\website_mirrors\nematode.unl.edu_2022_09_21\plepa15.jpg</t>
  </si>
  <si>
    <t>Z:\nemtode\general\website_mirrors\nematode.unl.edu_2022_09_21\plepa3.jpg</t>
  </si>
  <si>
    <t>Z:\nemtode\general\website_mirrors\nematode.unl.edu_2022_09_21\plepa4.jpg</t>
  </si>
  <si>
    <t>Z:\nemtode\general\website_mirrors\nematode.unl.edu_2022_09_21\plepar11.jpg</t>
  </si>
  <si>
    <t>Z:\nemtode\general\website_mirrors\nematode.unl.edu_2022_09_21\plepar12.jpg</t>
  </si>
  <si>
    <t>Z:\nemtode\general\website_mirrors\nematode.unl.edu_2022_09_21\plepar15.jpg</t>
  </si>
  <si>
    <t>Z:\nemtode\general\website_mirrors\nematode.unl.edu_2022_09_21\plepar18.jpg</t>
  </si>
  <si>
    <t>Z:\nemtode\general\website_mirrors\nematode.unl.edu_2022_09_21\plepar2.jpg</t>
  </si>
  <si>
    <t>Z:\nemtode\general\website_mirrors\nematode.unl.edu_2022_09_21\plepar6.jpg</t>
  </si>
  <si>
    <t>Z:\nemtode\general\website_mirrors\nematode.unl.edu_2022_09_21\pparvgw4.jpg</t>
  </si>
  <si>
    <t>Z:\nemtode\general\website_mirrors\nematode.unl.edu_2022_09_21\pparvgw7.jpg</t>
  </si>
  <si>
    <t>Z:\nemtode\general\website_mirrors\nematode.unl.edu_2022_09_21\plepa1.jpg</t>
  </si>
  <si>
    <t>Z:\nemtode\general\website_mirrors\nematode.unl.edu_2022_09_21\plepa11.jpg</t>
  </si>
  <si>
    <t>Z:\nemtode\general\website_mirrors\nematode.unl.edu_2022_09_21\plepa14.jpg</t>
  </si>
  <si>
    <t>Z:\nemtode\general\website_mirrors\nematode.unl.edu_2022_09_21\plepar1.jpg</t>
  </si>
  <si>
    <t>Z:\nemtode\general\website_mirrors\nematode.unl.edu_2022_09_21\plepar14.jpg</t>
  </si>
  <si>
    <t>Z:\nemtode\general\website_mirrors\nematode.unl.edu_2022_09_21\pparvgw1.jpg</t>
  </si>
  <si>
    <t>Z:\nemtode\general\website_mirrors\nematode.unl.edu_2022_09_21\plepacmp.jpg</t>
  </si>
  <si>
    <t>Z:\nemtode\general\website_mirrors\nematode.unl.edu_2022_09_21\pparvgw8.jpg</t>
  </si>
  <si>
    <t>Z:\nemtode\general\website_mirrors\nematode.unl.edu_2022_09_21\plepa17.jpg</t>
  </si>
  <si>
    <t>Z:\nemtode\general\website_mirrors\nematode.unl.edu_2022_09_21\plepa5.jpg</t>
  </si>
  <si>
    <t>Z:\nemtode\general\website_mirrors\nematode.unl.edu_2022_09_21\plepa7.jpg</t>
  </si>
  <si>
    <t>Z:\nemtode\general\website_mirrors\nematode.unl.edu_2022_09_21\plepar19.jpg</t>
  </si>
  <si>
    <t>Z:\nemtode\general\website_mirrors\nematode.unl.edu_2022_09_21\plepar5.jpg</t>
  </si>
  <si>
    <t>Z:\nemtode\general\website_mirrors\nematode.unl.edu_2022_09_21\pparvgw10.jpg</t>
  </si>
  <si>
    <t>Z:\nemtode\general\website_mirrors\nematode.unl.edu_2022_09_21\pparvgw3.jpg</t>
  </si>
  <si>
    <t>Z:\nemtode\general\website_mirrors\nematode.unl.edu_2022_09_21\pparvgw6.jpg</t>
  </si>
  <si>
    <t>Z:\nemtode\general\website_mirrors\nematode.unl.edu_2022_09_21\plepa12.jpg</t>
  </si>
  <si>
    <t>Z:\nemtode\general\website_mirrors\nematode.unl.edu_2022_09_21\plepa2.jpg</t>
  </si>
  <si>
    <t>Z:\nemtode\general\website_mirrors\nematode.unl.edu_2022_09_21\plepar10.jpg</t>
  </si>
  <si>
    <t>Z:\nemtode\general\website_mirrors\nematode.unl.edu_2022_09_21\plepar17.jpg</t>
  </si>
  <si>
    <t>Z:\nemtode\general\website_mirrors\nematode.unl.edu_2022_09_21\plepar4.jpg</t>
  </si>
  <si>
    <t>Z:\nemtode\general\website_mirrors\nematode.unl.edu_2022_09_21\plepar8.jpg</t>
  </si>
  <si>
    <t>Z:\nemtode\general\website_mirrors\nematode.unl.edu_2022_09_21\plepa16.jpg</t>
  </si>
  <si>
    <t>Z:\nemtode\general\website_mirrors\nematode.unl.edu_2022_09_21\plepar16.jpg</t>
  </si>
  <si>
    <t>Z:\nemtode\general\website_mirrors\nematode.unl.edu_2022_09_21\plepar3.jpg</t>
  </si>
  <si>
    <t>Z:\nemtode\general\website_mirrors\nematode.unl.edu_2022_09_21\pparvgw9.jpg</t>
  </si>
  <si>
    <t>Z:\nemtode\general\website_mirrors\nematode.unl.edu_2022_09_21\plepus4.jpg</t>
  </si>
  <si>
    <t>Z:\nemtode\general\website_mirrors\nematode.unl.edu_2022_09_21\plepus11.jpg</t>
  </si>
  <si>
    <t>Z:\nemtode\general\website_mirrors\nematode.unl.edu_2022_09_21\plepus12.jpg</t>
  </si>
  <si>
    <t>Z:\nemtode\general\website_mirrors\nematode.unl.edu_2022_09_21\plepus18.jpg</t>
  </si>
  <si>
    <t>Z:\nemtode\general\website_mirrors\nematode.unl.edu_2022_09_21\plepus2.jpg</t>
  </si>
  <si>
    <t>Z:\nemtode\general\website_mirrors\nematode.unl.edu_2022_09_21\plepus21.jpg</t>
  </si>
  <si>
    <t>Z:\nemtode\general\website_mirrors\nematode.unl.edu_2022_09_21\plepus5.jpg</t>
  </si>
  <si>
    <t>Z:\nemtode\general\website_mirrors\nematode.unl.edu_2022_09_21\plepus1.jpg</t>
  </si>
  <si>
    <t>Z:\nemtode\general\website_mirrors\nematode.unl.edu_2022_09_21\plepus9.jpg</t>
  </si>
  <si>
    <t>Z:\nemtode\general\website_mirrors\nematode.unl.edu_2022_09_21\plepus7.jpg</t>
  </si>
  <si>
    <t>Z:\nemtode\general\website_mirrors\nematode.unl.edu_2022_09_21\plepus10.jpg</t>
  </si>
  <si>
    <t>Z:\nemtode\general\website_mirrors\nematode.unl.edu_2022_09_21\plepus13.jpg</t>
  </si>
  <si>
    <t>Z:\nemtode\general\website_mirrors\nematode.unl.edu_2022_09_21\plepus20.jpg</t>
  </si>
  <si>
    <t>Z:\nemtode\general\website_mirrors\nematode.unl.edu_2022_09_21\plepus3.jpg</t>
  </si>
  <si>
    <t>Z:\nemtode\general\website_mirrors\nematode.unl.edu_2022_09_21\plepus6.jpg</t>
  </si>
  <si>
    <t>Z:\nemtode\general\website_mirrors\nematode.unl.edu_2022_09_21\plepus19.jpg</t>
  </si>
  <si>
    <t>Z:\nemtode\general\website_mirrors\nematode.unl.edu_2022_09_21\plepus8.jpg</t>
  </si>
  <si>
    <t>Z:\nemtode\general\website_mirrors\nematode.unl.edu_2022_09_21\plerizop1.jpg</t>
  </si>
  <si>
    <t>Z:\nemtode\general\website_mirrors\nematode.unl.edu_2022_09_21\plerizop15.jpg</t>
  </si>
  <si>
    <t>Z:\nemtode\general\website_mirrors\nematode.unl.edu_2022_09_21\plerizop19.jpg</t>
  </si>
  <si>
    <t>Z:\nemtode\general\website_mirrors\nematode.unl.edu_2022_09_21\plerizop22.jpg</t>
  </si>
  <si>
    <t>Z:\nemtode\general\website_mirrors\nematode.unl.edu_2022_09_21\plerizop24.jpg</t>
  </si>
  <si>
    <t>Z:\nemtode\general\website_mirrors\nematode.unl.edu_2022_09_21\plerizop7.jpg</t>
  </si>
  <si>
    <t>Z:\nemtode\general\website_mirrors\nematode.unl.edu_2022_09_21\plerizop8.jpg</t>
  </si>
  <si>
    <t>Z:\nemtode\general\website_mirrors\nematode.unl.edu_2022_09_21\plerizop21.jpg</t>
  </si>
  <si>
    <t>Z:\nemtode\general\website_mirrors\nematode.unl.edu_2022_09_21\pleriz4.jpg</t>
  </si>
  <si>
    <t>Z:\nemtode\general\website_mirrors\nematode.unl.edu_2022_09_21\pleriz5.jpg</t>
  </si>
  <si>
    <t>Z:\nemtode\general\website_mirrors\nematode.unl.edu_2022_09_21\plerizop11.jpg</t>
  </si>
  <si>
    <t>Z:\nemtode\general\website_mirrors\nematode.unl.edu_2022_09_21\plerizop16.jpg</t>
  </si>
  <si>
    <t>Z:\nemtode\general\website_mirrors\nematode.unl.edu_2022_09_21\plerizop20.jpg</t>
  </si>
  <si>
    <t>Z:\nemtode\general\website_mirrors\nematode.unl.edu_2022_09_21\plerizop23.jpg</t>
  </si>
  <si>
    <t>Z:\nemtode\general\website_mirrors\nematode.unl.edu_2022_09_21\plerizop3.jpg</t>
  </si>
  <si>
    <t>Z:\nemtode\general\website_mirrors\nematode.unl.edu_2022_09_21\plerizop6.jpg</t>
  </si>
  <si>
    <t>Z:\nemtode\general\website_mirrors\nematode.unl.edu_2022_09_21\plerizop9.jpg</t>
  </si>
  <si>
    <t>Z:\nemtode\general\website_mirrors\nematode.unl.edu_2022_09_21\plerizop12.jpg</t>
  </si>
  <si>
    <t>Z:\nemtode\general\website_mirrors\nematode.unl.edu_2022_09_21\pleriz1.jpg</t>
  </si>
  <si>
    <t>Z:\nemtode\general\website_mirrors\nematode.unl.edu_2022_09_21\plerizop2.jpg</t>
  </si>
  <si>
    <t>Z:\nemtode\general\website_mirrors\nematode.unl.edu_2022_09_21\plerizcmp.jpg</t>
  </si>
  <si>
    <t>Z:\nemtode\general\website_mirrors\nematode.unl.edu_2022_09_21\plerizop17.jpg</t>
  </si>
  <si>
    <t>Z:\nemtode\general\website_mirrors\nematode.unl.edu_2022_09_21\plerizop18.jpg</t>
  </si>
  <si>
    <t>Z:\nemtode\general\website_mirrors\nematode.unl.edu_2022_09_21\pleriz2.jpg</t>
  </si>
  <si>
    <t>Z:\nemtode\general\website_mirrors\nematode.unl.edu_2022_09_21\plerizop10.jpg</t>
  </si>
  <si>
    <t>Z:\nemtode\general\website_mirrors\nematode.unl.edu_2022_09_21\plerizop14.jpg</t>
  </si>
  <si>
    <t>Z:\nemtode\general\website_mirrors\nematode.unl.edu_2022_09_21\plerizop26.jpg</t>
  </si>
  <si>
    <t>Z:\nemtode\general\website_mirrors\nematode.unl.edu_2022_09_21\plerizop5.jpg</t>
  </si>
  <si>
    <t>Z:\nemtode\general\website_mirrors\nematode.unl.edu_2022_09_21\pleriz3.jpg</t>
  </si>
  <si>
    <t>Z:\nemtode\general\website_mirrors\nematode.unl.edu_2022_09_21\plerizop13.jpg</t>
  </si>
  <si>
    <t>Z:\nemtode\general\website_mirrors\nematode.unl.edu_2022_09_21\plerizop25.jpg</t>
  </si>
  <si>
    <t>Z:\nemtode\general\website_mirrors\nematode.unl.edu_2022_09_21\plerizop4.jpg</t>
  </si>
  <si>
    <t>Z:\nemtode\general\website_mirrors\nematode.unl.edu_2022_09_21\pletho1.jpg</t>
  </si>
  <si>
    <t>Z:\nemtode\general\website_mirrors\nematode.unl.edu_2022_09_21\pleva3.jpg</t>
  </si>
  <si>
    <t>Z:\nemtode\general\website_mirrors\nematode.unl.edu_2022_09_21\pleva2.jpg</t>
  </si>
  <si>
    <t>Z:\nemtode\general\website_mirrors\nematode.unl.edu_2022_09_21\pleva1.jpg</t>
  </si>
  <si>
    <t>Z:\nemtode\general\website_mirrors\nematode.unl.edu_2022_09_21\pleva4.jpg</t>
  </si>
  <si>
    <t>Z:\nemtode\general\website_mirrors\nematode.unl.edu_2022_09_21\tyloc4.jpg</t>
  </si>
  <si>
    <t>Z:\nemtode\general\website_mirrors\nematode.unl.edu_2022_09_21\tyloceph1.jpg</t>
  </si>
  <si>
    <t>Z:\nemtode\general\website_mirrors\nematode.unl.edu_2022_09_21\tyloc1.jpg</t>
  </si>
  <si>
    <t>Z:\nemtode\general\website_mirrors\nematode.unl.edu_2022_09_21\tyloc3.jpg</t>
  </si>
  <si>
    <t>Z:\nemtode\general\website_mirrors\nematode.unl.edu_2022_09_21\tyloceph3.jpg</t>
  </si>
  <si>
    <t>Z:\nemtode\general\website_mirrors\nematode.unl.edu_2022_09_21\tyloceph5.jpg</t>
  </si>
  <si>
    <t>Z:\nemtode\general\website_mirrors\nematode.unl.edu_2022_09_21\tyloceph6.jpg</t>
  </si>
  <si>
    <t>Z:\nemtode\general\website_mirrors\nematode.unl.edu_2022_09_21\tyloceph8.jpg</t>
  </si>
  <si>
    <t>Z:\nemtode\general\website_mirrors\nematode.unl.edu_2022_09_21\tyloc5.jpg</t>
  </si>
  <si>
    <t>Z:\nemtode\general\website_mirrors\nematode.unl.edu_2022_09_21\tyloc7.jpg</t>
  </si>
  <si>
    <t>Z:\nemtode\general\website_mirrors\nematode.unl.edu_2022_09_21\tyloc2.jpg</t>
  </si>
  <si>
    <t>Z:\nemtode\general\website_mirrors\nematode.unl.edu_2022_09_21\tyloc6.jpg</t>
  </si>
  <si>
    <t>Z:\nemtode\general\website_mirrors\nematode.unl.edu_2022_09_21\tyloceph10.jpg</t>
  </si>
  <si>
    <t>Z:\nemtode\general\website_mirrors\nematode.unl.edu_2022_09_21\tyloceph2.jpg</t>
  </si>
  <si>
    <t>Z:\nemtode\general\website_mirrors\nematode.unl.edu_2022_09_21\tyloceph4.jpg</t>
  </si>
  <si>
    <t>Z:\nemtode\general\website_mirrors\nematode.unl.edu_2022_09_21\tyloceph7.jpg</t>
  </si>
  <si>
    <t>Z:\nemtode\general\website_mirrors\nematode.unl.edu_2022_09_21\tyloceph9.jpg</t>
  </si>
  <si>
    <t>Z:\nemtode\general\website_mirrors\nematode.unl.edu_2022_09_21\wilson1.jpg</t>
  </si>
  <si>
    <t>Z:\nemtode\general\website_mirrors\nematode.unl.edu_2022_09_21\wilson11.jpg</t>
  </si>
  <si>
    <t>Z:\nemtode\general\website_mirrors\nematode.unl.edu_2022_09_21\wilson12.jpg</t>
  </si>
  <si>
    <t>Z:\nemtode\general\website_mirrors\nematode.unl.edu_2022_09_21\wilson13.jpg</t>
  </si>
  <si>
    <t>Z:\nemtode\general\website_mirrors\nematode.unl.edu_2022_09_21\wilson15.jpg</t>
  </si>
  <si>
    <t>Z:\nemtode\general\website_mirrors\nematode.unl.edu_2022_09_21\wilson16.jpg</t>
  </si>
  <si>
    <t>Z:\nemtode\general\website_mirrors\nematode.unl.edu_2022_09_21\wilson17.jpg</t>
  </si>
  <si>
    <t>Z:\nemtode\general\website_mirrors\nematode.unl.edu_2022_09_21\wilson18.jpg</t>
  </si>
  <si>
    <t>Z:\nemtode\general\website_mirrors\nematode.unl.edu_2022_09_21\wilson22.jpg</t>
  </si>
  <si>
    <t>Z:\nemtode\general\website_mirrors\nematode.unl.edu_2022_09_21\wilson23.jpg</t>
  </si>
  <si>
    <t>Z:\nemtode\general\website_mirrors\nematode.unl.edu_2022_09_21\wilson3.jpg</t>
  </si>
  <si>
    <t>Z:\nemtode\general\website_mirrors\nematode.unl.edu_2022_09_21\wilson5.jpg</t>
  </si>
  <si>
    <t>Z:\nemtode\general\website_mirrors\nematode.unl.edu_2022_09_21\wilson6.jpg</t>
  </si>
  <si>
    <t>Z:\nemtode\general\website_mirrors\nematode.unl.edu_2022_09_21\wilson2.jpg</t>
  </si>
  <si>
    <t>Z:\nemtode\general\website_mirrors\nematode.unl.edu_2022_09_21\wilson7.jpg</t>
  </si>
  <si>
    <t>Z:\nemtode\general\website_mirrors\nematode.unl.edu_2022_09_21\wilson21.jpg</t>
  </si>
  <si>
    <t>Z:\nemtode\general\website_mirrors\nematode.unl.edu_2022_09_21\wilson10.jpg</t>
  </si>
  <si>
    <t>Z:\nemtode\general\website_mirrors\nematode.unl.edu_2022_09_21\wilson14.jpg</t>
  </si>
  <si>
    <t>Z:\nemtode\general\website_mirrors\nematode.unl.edu_2022_09_21\wilson20.jpg</t>
  </si>
  <si>
    <t>Z:\nemtode\general\website_mirrors\nematode.unl.edu_2022_09_21\wilson4.jpg</t>
  </si>
  <si>
    <t>Z:\nemtode\general\website_mirrors\nematode.unl.edu_2022_09_21\wilson24.jpg</t>
  </si>
  <si>
    <t>Z:\nemtode\general\website_mirrors\nematode.unl.edu_2022_09_21\wilson19.jpg</t>
  </si>
  <si>
    <t>Z:\nemtode\general\website_mirrors\nematode.unl.edu_2022_09_21\howasp2.jpg</t>
  </si>
  <si>
    <t>Z:\nemtode\general\website_mirrors\nematode.unl.edu_2022_09_21\howasp4.jpg</t>
  </si>
  <si>
    <t>Z:\nemtode\general\website_mirrors\nematode.unl.edu_2022_09_21\howasp6.jpg</t>
  </si>
  <si>
    <t>Z:\nemtode\general\website_mirrors\nematode.unl.edu_2022_09_21\howasp9.jpg</t>
  </si>
  <si>
    <t>Z:\nemtode\general\website_mirrors\nematode.unl.edu_2022_09_21\howasp1.jpg</t>
  </si>
  <si>
    <t>Z:\nemtode\general\website_mirrors\nematode.unl.edu_2022_09_21\howasp8.jpg</t>
  </si>
  <si>
    <t>Z:\nemtode\general\website_mirrors\nematode.unl.edu_2022_09_21\howasp3.jpg</t>
  </si>
  <si>
    <t>Z:\nemtode\general\website_mirrors\nematode.unl.edu_2022_09_21\howasp5.jpg</t>
  </si>
  <si>
    <t>Z:\nemtode\general\website_mirrors\nematode.unl.edu_2022_09_21\howasp7.jpg</t>
  </si>
  <si>
    <t>Z:\nemtode\general\website_mirrors\nematode.unl.edu_2022_09_21\aagro11.jpg</t>
  </si>
  <si>
    <t>Z:\nemtode\general\website_mirrors\nematode.unl.edu_2022_09_21\aagro15.jpg</t>
  </si>
  <si>
    <t>Z:\nemtode\general\website_mirrors\nematode.unl.edu_2022_09_21\aagro20.jpg</t>
  </si>
  <si>
    <t>Z:\nemtode\general\website_mirrors\nematode.unl.edu_2022_09_21\aagro5.jpg</t>
  </si>
  <si>
    <t>Z:\nemtode\general\website_mirrors\nematode.unl.edu_2022_09_21\aagro12.jpg</t>
  </si>
  <si>
    <t>Z:\nemtode\general\website_mirrors\nematode.unl.edu_2022_09_21\aagro18.jpg</t>
  </si>
  <si>
    <t>Z:\nemtode\general\website_mirrors\nematode.unl.edu_2022_09_21\aagro3.jpg</t>
  </si>
  <si>
    <t>Z:\nemtode\general\website_mirrors\nematode.unl.edu_2022_09_21\aagro8.jpg</t>
  </si>
  <si>
    <t>Z:\nemtode\general\website_mirrors\nematode.unl.edu_2022_09_21\aagro1.jpg</t>
  </si>
  <si>
    <t>Z:\nemtode\general\website_mirrors\nematode.unl.edu_2022_09_21\aagro10.jpg</t>
  </si>
  <si>
    <t>Z:\nemtode\general\website_mirrors\nematode.unl.edu_2022_09_21\aagro14.jpg</t>
  </si>
  <si>
    <t>Z:\nemtode\general\website_mirrors\nematode.unl.edu_2022_09_21\aagro2.jpg</t>
  </si>
  <si>
    <t>Z:\nemtode\general\website_mirrors\nematode.unl.edu_2022_09_21\aagro7.jpg</t>
  </si>
  <si>
    <t>Z:\nemtode\general\website_mirrors\nematode.unl.edu_2022_09_21\aagro13.jpg</t>
  </si>
  <si>
    <t>Z:\nemtode\general\website_mirrors\nematode.unl.edu_2022_09_21\aagro16.jpg</t>
  </si>
  <si>
    <t>Z:\nemtode\general\website_mirrors\nematode.unl.edu_2022_09_21\aagro4.jpg</t>
  </si>
  <si>
    <t>Z:\nemtode\general\website_mirrors\nematode.unl.edu_2022_09_21\aagro6.jpg</t>
  </si>
  <si>
    <t>Z:\nemtode\general\website_mirrors\nematode.unl.edu_2022_09_21\aagro9.jpg</t>
  </si>
  <si>
    <t>Z:\nemtode\general\website_mirrors\nematode.unl.edu_2022_09_21\aagro17.jpg</t>
  </si>
  <si>
    <t>Z:\nemtode\general\website_mirrors\nematode.unl.edu_2022_09_21\aagro19.jpg</t>
  </si>
  <si>
    <t>Z:\nemtode\general\website_mirrors\nematode.unl.edu_2022_09_21\anguipa5.jpg</t>
  </si>
  <si>
    <t>Z:\nemtode\general\website_mirrors\nematode.unl.edu_2022_09_21\anguipa6.jpg</t>
  </si>
  <si>
    <t>Z:\nemtode\general\website_mirrors\nematode.unl.edu_2022_09_21\anguipa1.jpg</t>
  </si>
  <si>
    <t>Z:\nemtode\general\website_mirrors\nematode.unl.edu_2022_09_21\anguipa2.jpg</t>
  </si>
  <si>
    <t>Z:\nemtode\general\website_mirrors\nematode.unl.edu_2022_09_21\anguipa3.jpg</t>
  </si>
  <si>
    <t>Z:\nemtode\general\website_mirrors\nematode.unl.edu_2022_09_21\anguipa4.jpg</t>
  </si>
  <si>
    <t>Z:\nemtode\general\website_mirrors\nematode.unl.edu_2022_09_21\antriti14.jpg</t>
  </si>
  <si>
    <t>Z:\nemtode\general\website_mirrors\nematode.unl.edu_2022_09_21\antriti10.jpg</t>
  </si>
  <si>
    <t>Z:\nemtode\general\website_mirrors\nematode.unl.edu_2022_09_21\antriti13.jpg</t>
  </si>
  <si>
    <t>Z:\nemtode\general\website_mirrors\nematode.unl.edu_2022_09_21\antriti8.jpg</t>
  </si>
  <si>
    <t>Z:\nemtode\general\website_mirrors\nematode.unl.edu_2022_09_21\antriti1.jpg</t>
  </si>
  <si>
    <t>Z:\nemtode\general\website_mirrors\nematode.unl.edu_2022_09_21\antriti2.jpg</t>
  </si>
  <si>
    <t>Z:\nemtode\general\website_mirrors\nematode.unl.edu_2022_09_21\antriti3.jpg</t>
  </si>
  <si>
    <t>Z:\nemtode\general\website_mirrors\nematode.unl.edu_2022_09_21\antriti4.jpg</t>
  </si>
  <si>
    <t>Z:\nemtode\general\website_mirrors\nematode.unl.edu_2022_09_21\antriti5.jpg</t>
  </si>
  <si>
    <t>Z:\nemtode\general\website_mirrors\nematode.unl.edu_2022_09_21\antriti6.jpg</t>
  </si>
  <si>
    <t>Z:\nemtode\general\website_mirrors\nematode.unl.edu_2022_09_21\antriti7.jpg</t>
  </si>
  <si>
    <t>Z:\nemtode\general\website_mirrors\nematode.unl.edu_2022_09_21\antriti11.jpg</t>
  </si>
  <si>
    <t>Z:\nemtode\general\website_mirrors\nematode.unl.edu_2022_09_21\antriti12.jpg</t>
  </si>
  <si>
    <t>Z:\nemtode\general\website_mirrors\nematode.unl.edu_2022_09_21\antriti15.jpg</t>
  </si>
  <si>
    <t>Z:\nemtode\general\website_mirrors\nematode.unl.edu_2022_09_21\antriti9.jpg</t>
  </si>
  <si>
    <t>Z:\nemtode\general\website_mirrors\nematode.unl.edu_2022_09_21\dityco2.jpg</t>
  </si>
  <si>
    <t>Z:\nemtode\general\website_mirrors\nematode.unl.edu_2022_09_21\dityco4.jpg</t>
  </si>
  <si>
    <t>Z:\nemtode\general\website_mirrors\nematode.unl.edu_2022_09_21\ditymn1.jpg</t>
  </si>
  <si>
    <t>Z:\nemtode\general\website_mirrors\nematode.unl.edu_2022_09_21\dityne1.jpg</t>
  </si>
  <si>
    <t>Z:\nemtode\general\website_mirrors\nematode.unl.edu_2022_09_21\dityne3.jpg</t>
  </si>
  <si>
    <t>Z:\nemtode\general\website_mirrors\nematode.unl.edu_2022_09_21\dityne5.jpg</t>
  </si>
  <si>
    <t>Z:\nemtode\general\website_mirrors\nematode.unl.edu_2022_09_21\dityne9.jpg</t>
  </si>
  <si>
    <t>Z:\nemtode\general\website_mirrors\nematode.unl.edu_2022_09_21\ditsp2.jpg</t>
  </si>
  <si>
    <t>Z:\nemtode\general\website_mirrors\nematode.unl.edu_2022_09_21\ditsp5.jpg</t>
  </si>
  <si>
    <t>Z:\nemtode\general\website_mirrors\nematode.unl.edu_2022_09_21\dityco1.jpg</t>
  </si>
  <si>
    <t>Z:\nemtode\general\website_mirrors\nematode.unl.edu_2022_09_21\dityne8.jpg</t>
  </si>
  <si>
    <t>Z:\nemtode\general\website_mirrors\nematode.unl.edu_2022_09_21\dityco5.jpg</t>
  </si>
  <si>
    <t>Z:\nemtode\general\website_mirrors\nematode.unl.edu_2022_09_21\dityco6.jpg</t>
  </si>
  <si>
    <t>Z:\nemtode\general\website_mirrors\nematode.unl.edu_2022_09_21\ditymn2.jpg</t>
  </si>
  <si>
    <t>Z:\nemtode\general\website_mirrors\nematode.unl.edu_2022_09_21\dityne6.jpg</t>
  </si>
  <si>
    <t>Z:\nemtode\general\website_mirrors\nematode.unl.edu_2022_09_21\dityco3.jpg</t>
  </si>
  <si>
    <t>Z:\nemtode\general\website_mirrors\nematode.unl.edu_2022_09_21\dityco7.jpg</t>
  </si>
  <si>
    <t>Z:\nemtode\general\website_mirrors\nematode.unl.edu_2022_09_21\ditymn3.jpg</t>
  </si>
  <si>
    <t>Z:\nemtode\general\website_mirrors\nematode.unl.edu_2022_09_21\dityne7.jpg</t>
  </si>
  <si>
    <t>Z:\nemtode\general\website_mirrors\nematode.unl.edu_2022_09_21\ditsp1.jpg</t>
  </si>
  <si>
    <t>Z:\nemtode\general\website_mirrors\nematode.unl.edu_2022_09_21\ditsp4.jpg</t>
  </si>
  <si>
    <t>Z:\nemtode\general\website_mirrors\nematode.unl.edu_2022_09_21\dityne4.jpg</t>
  </si>
  <si>
    <t>Z:\nemtode\general\website_mirrors\nematode.unl.edu_2022_09_21\dityne2.jpg</t>
  </si>
  <si>
    <t>Z:\nemtode\general\website_mirrors\nematode.unl.edu_2022_09_21\dityne11.jpg</t>
  </si>
  <si>
    <t>Z:\nemtode\general\website_mirrors\nematode.unl.edu_2022_09_21\ditsp3.jpg</t>
  </si>
  <si>
    <t>Z:\nemtode\general\website_mirrors\nematode.unl.edu_2022_09_21\dityne10.jpg</t>
  </si>
  <si>
    <t>Z:\nemtode\general\website_mirrors\nematode.unl.edu_2022_09_21\ditobe6.jpg</t>
  </si>
  <si>
    <t>Z:\nemtode\general\website_mirrors\nematode.unl.edu_2022_09_21\dianch1.jpg</t>
  </si>
  <si>
    <t>Z:\nemtode\general\website_mirrors\nematode.unl.edu_2022_09_21\dicaud2.jpg</t>
  </si>
  <si>
    <t>Z:\nemtode\general\website_mirrors\nematode.unl.edu_2022_09_21\dicaud4.jpg</t>
  </si>
  <si>
    <t>Z:\nemtode\general\website_mirrors\nematode.unl.edu_2022_09_21\dicaud6.jpg</t>
  </si>
  <si>
    <t>Z:\nemtode\general\website_mirrors\nematode.unl.edu_2022_09_21\dicaud1.jpg</t>
  </si>
  <si>
    <t>Z:\nemtode\general\website_mirrors\nematode.unl.edu_2022_09_21\dicaud5.jpg</t>
  </si>
  <si>
    <t>Z:\nemtode\general\website_mirrors\nematode.unl.edu_2022_09_21\dicaud7.jpg</t>
  </si>
  <si>
    <t>Z:\nemtode\general\website_mirrors\nematode.unl.edu_2022_09_21\dicaud3.jpg</t>
  </si>
  <si>
    <t>Z:\nemtode\general\website_mirrors\nematode.unl.edu_2022_09_21\dclar12.jpg</t>
  </si>
  <si>
    <t>Z:\nemtode\general\website_mirrors\nematode.unl.edu_2022_09_21\dclar7.jpg</t>
  </si>
  <si>
    <t>Z:\nemtode\general\website_mirrors\nematode.unl.edu_2022_09_21\dclar1.jpg</t>
  </si>
  <si>
    <t>Z:\nemtode\general\website_mirrors\nematode.unl.edu_2022_09_21\dclar14.jpg</t>
  </si>
  <si>
    <t>Z:\nemtode\general\website_mirrors\nematode.unl.edu_2022_09_21\dclar18.jpg</t>
  </si>
  <si>
    <t>Z:\nemtode\general\website_mirrors\nematode.unl.edu_2022_09_21\dclar3.jpg</t>
  </si>
  <si>
    <t>Z:\nemtode\general\website_mirrors\nematode.unl.edu_2022_09_21\dclar5.jpg</t>
  </si>
  <si>
    <t>Z:\nemtode\general\website_mirrors\nematode.unl.edu_2022_09_21\dclar9.jpg</t>
  </si>
  <si>
    <t>Z:\nemtode\general\website_mirrors\nematode.unl.edu_2022_09_21\ditclar10.jpg</t>
  </si>
  <si>
    <t>Z:\nemtode\general\website_mirrors\nematode.unl.edu_2022_09_21\ditclar7.jpg</t>
  </si>
  <si>
    <t>Z:\nemtode\general\website_mirrors\nematode.unl.edu_2022_09_21\dclar4.jpg</t>
  </si>
  <si>
    <t>Z:\nemtode\general\website_mirrors\nematode.unl.edu_2022_09_21\dclar17.jpg</t>
  </si>
  <si>
    <t>Z:\nemtode\general\website_mirrors\nematode.unl.edu_2022_09_21\dclar6.jpg</t>
  </si>
  <si>
    <t>Z:\nemtode\general\website_mirrors\nematode.unl.edu_2022_09_21\ditclar1.jpg</t>
  </si>
  <si>
    <t>Z:\nemtode\general\website_mirrors\nematode.unl.edu_2022_09_21\dclar11.jpg</t>
  </si>
  <si>
    <t>Z:\nemtode\general\website_mirrors\nematode.unl.edu_2022_09_21\ditclarcmp.jpg</t>
  </si>
  <si>
    <t>Z:\nemtode\general\website_mirrors\nematode.unl.edu_2022_09_21\ditclar5.jpg</t>
  </si>
  <si>
    <t>Z:\nemtode\general\website_mirrors\nematode.unl.edu_2022_09_21\dclar10.jpg</t>
  </si>
  <si>
    <t>Z:\nemtode\general\website_mirrors\nematode.unl.edu_2022_09_21\dclar15.jpg</t>
  </si>
  <si>
    <t>Z:\nemtode\general\website_mirrors\nematode.unl.edu_2022_09_21\dclar16.jpg</t>
  </si>
  <si>
    <t>Z:\nemtode\general\website_mirrors\nematode.unl.edu_2022_09_21\dclar2.jpg</t>
  </si>
  <si>
    <t>Z:\nemtode\general\website_mirrors\nematode.unl.edu_2022_09_21\dclar20.jpg</t>
  </si>
  <si>
    <t>Z:\nemtode\general\website_mirrors\nematode.unl.edu_2022_09_21\dclar8.jpg</t>
  </si>
  <si>
    <t>Z:\nemtode\general\website_mirrors\nematode.unl.edu_2022_09_21\ditclar6.jpg</t>
  </si>
  <si>
    <t>Z:\nemtode\general\website_mirrors\nematode.unl.edu_2022_09_21\ditclar9.jpg</t>
  </si>
  <si>
    <t>Z:\nemtode\general\website_mirrors\nematode.unl.edu_2022_09_21\dclar13.jpg</t>
  </si>
  <si>
    <t>Z:\nemtode\general\website_mirrors\nematode.unl.edu_2022_09_21\dclar19.jpg</t>
  </si>
  <si>
    <t>Z:\nemtode\general\website_mirrors\nematode.unl.edu_2022_09_21\ditclar12.jpg</t>
  </si>
  <si>
    <t>Z:\nemtode\general\website_mirrors\nematode.unl.edu_2022_09_21\ditclar3.jpg</t>
  </si>
  <si>
    <t>Z:\nemtode\general\website_mirrors\nematode.unl.edu_2022_09_21\didest15.jpg</t>
  </si>
  <si>
    <t>Z:\nemtode\general\website_mirrors\nematode.unl.edu_2022_09_21\didest16.jpg</t>
  </si>
  <si>
    <t>Z:\nemtode\general\website_mirrors\nematode.unl.edu_2022_09_21\didest2.jpg</t>
  </si>
  <si>
    <t>Z:\nemtode\general\website_mirrors\nematode.unl.edu_2022_09_21\didest22.jpg</t>
  </si>
  <si>
    <t>Z:\nemtode\general\website_mirrors\nematode.unl.edu_2022_09_21\didest24.jpg</t>
  </si>
  <si>
    <t>Z:\nemtode\general\website_mirrors\nematode.unl.edu_2022_09_21\didest27.jpg</t>
  </si>
  <si>
    <t>Z:\nemtode\general\website_mirrors\nematode.unl.edu_2022_09_21\didest3.jpg</t>
  </si>
  <si>
    <t>Z:\nemtode\general\website_mirrors\nematode.unl.edu_2022_09_21\didest5.jpg</t>
  </si>
  <si>
    <t>Z:\nemtode\general\website_mirrors\nematode.unl.edu_2022_09_21\didest12.jpg</t>
  </si>
  <si>
    <t>Z:\nemtode\general\website_mirrors\nematode.unl.edu_2022_09_21\didest29.jpg</t>
  </si>
  <si>
    <t>Z:\nemtode\general\website_mirrors\nematode.unl.edu_2022_09_21\didest31.jpg</t>
  </si>
  <si>
    <t>Z:\nemtode\general\website_mirrors\nematode.unl.edu_2022_09_21\didest8.jpg</t>
  </si>
  <si>
    <t>Z:\nemtode\general\website_mirrors\nematode.unl.edu_2022_09_21\didest1.jpg</t>
  </si>
  <si>
    <t>Z:\nemtode\general\website_mirrors\nematode.unl.edu_2022_09_21\didest18.jpg</t>
  </si>
  <si>
    <t>Z:\nemtode\general\website_mirrors\nematode.unl.edu_2022_09_21\didest20.jpg</t>
  </si>
  <si>
    <t>Z:\nemtode\general\website_mirrors\nematode.unl.edu_2022_09_21\didest21.jpg</t>
  </si>
  <si>
    <t>Z:\nemtode\general\website_mirrors\nematode.unl.edu_2022_09_21\didest11.jpg</t>
  </si>
  <si>
    <t>Z:\nemtode\general\website_mirrors\nematode.unl.edu_2022_09_21\didest13.jpg</t>
  </si>
  <si>
    <t>Z:\nemtode\general\website_mirrors\nematode.unl.edu_2022_09_21\didestcmp.jpg</t>
  </si>
  <si>
    <t>Z:\nemtode\general\website_mirrors\nematode.unl.edu_2022_09_21\didestdrw.jpg</t>
  </si>
  <si>
    <t>Z:\nemtode\general\website_mirrors\nematode.unl.edu_2022_09_21\didest14.jpg</t>
  </si>
  <si>
    <t>Z:\nemtode\general\website_mirrors\nematode.unl.edu_2022_09_21\didest25.jpg</t>
  </si>
  <si>
    <t>Z:\nemtode\general\website_mirrors\nematode.unl.edu_2022_09_21\didest26.jpg</t>
  </si>
  <si>
    <t>Z:\nemtode\general\website_mirrors\nematode.unl.edu_2022_09_21\didest7.jpg</t>
  </si>
  <si>
    <t>Z:\nemtode\general\website_mirrors\nematode.unl.edu_2022_09_21\didest28.jpg</t>
  </si>
  <si>
    <t>Z:\nemtode\general\website_mirrors\nematode.unl.edu_2022_09_21\didest17.jpg</t>
  </si>
  <si>
    <t>Z:\nemtode\general\website_mirrors\nematode.unl.edu_2022_09_21\didest4.jpg</t>
  </si>
  <si>
    <t>Z:\nemtode\general\website_mirrors\nematode.unl.edu_2022_09_21\didest10.jpg</t>
  </si>
  <si>
    <t>Z:\nemtode\general\website_mirrors\nematode.unl.edu_2022_09_21\didest23.jpg</t>
  </si>
  <si>
    <t>Z:\nemtode\general\website_mirrors\nematode.unl.edu_2022_09_21\didest30.jpg</t>
  </si>
  <si>
    <t>Z:\nemtode\general\website_mirrors\nematode.unl.edu_2022_09_21\didest32.jpg</t>
  </si>
  <si>
    <t>Z:\nemtode\general\website_mirrors\nematode.unl.edu_2022_09_21\didest33.jpg</t>
  </si>
  <si>
    <t>Z:\nemtode\general\website_mirrors\nematode.unl.edu_2022_09_21\didest9.jpg</t>
  </si>
  <si>
    <t>Z:\nemtode\general\website_mirrors\nematode.unl.edu_2022_09_21\didest6.jpg</t>
  </si>
  <si>
    <t>Z:\nemtode\general\website_mirrors\nematode.unl.edu_2022_09_21\didiput2.jpg</t>
  </si>
  <si>
    <t>Z:\nemtode\general\website_mirrors\nematode.unl.edu_2022_09_21\didiput4.jpg</t>
  </si>
  <si>
    <t>Z:\nemtode\general\website_mirrors\nematode.unl.edu_2022_09_21\didiput7.jpg</t>
  </si>
  <si>
    <t>Z:\nemtode\general\website_mirrors\nematode.unl.edu_2022_09_21\didiput9.jpg</t>
  </si>
  <si>
    <t>Z:\nemtode\general\website_mirrors\nematode.unl.edu_2022_09_21\didiput1.jpg</t>
  </si>
  <si>
    <t>Z:\nemtode\general\website_mirrors\nematode.unl.edu_2022_09_21\didiput6.jpg</t>
  </si>
  <si>
    <t>Z:\nemtode\general\website_mirrors\nematode.unl.edu_2022_09_21\ditdipsdrw.jpg</t>
  </si>
  <si>
    <t>Z:\nemtode\general\website_mirrors\nematode.unl.edu_2022_09_21\didiput10.jpg</t>
  </si>
  <si>
    <t>Z:\nemtode\general\website_mirrors\nematode.unl.edu_2022_09_21\didiput8.jpg</t>
  </si>
  <si>
    <t>Z:\nemtode\general\website_mirrors\nematode.unl.edu_2022_09_21\didiput12.jpg</t>
  </si>
  <si>
    <t>Z:\nemtode\general\website_mirrors\nematode.unl.edu_2022_09_21\didiput3.jpg</t>
  </si>
  <si>
    <t>Z:\nemtode\general\website_mirrors\nematode.unl.edu_2022_09_21\didiput5.jpg</t>
  </si>
  <si>
    <t>Z:\nemtode\general\website_mirrors\nematode.unl.edu_2022_09_21\didiput11.jpg</t>
  </si>
  <si>
    <t>Z:\nemtode\general\website_mirrors\nematode.unl.edu_2022_09_21\ditmi23.jpg</t>
  </si>
  <si>
    <t>Z:\nemtode\general\website_mirrors\nematode.unl.edu_2022_09_21\ditmi1.jpg</t>
  </si>
  <si>
    <t>Z:\nemtode\general\website_mirrors\nematode.unl.edu_2022_09_21\ditmi14.jpg</t>
  </si>
  <si>
    <t>Z:\nemtode\general\website_mirrors\nematode.unl.edu_2022_09_21\ditmi16.jpg</t>
  </si>
  <si>
    <t>Z:\nemtode\general\website_mirrors\nematode.unl.edu_2022_09_21\ditmi21.jpg</t>
  </si>
  <si>
    <t>Z:\nemtode\general\website_mirrors\nematode.unl.edu_2022_09_21\ditmi26.jpg</t>
  </si>
  <si>
    <t>Z:\nemtode\general\website_mirrors\nematode.unl.edu_2022_09_21\ditmi27.jpg</t>
  </si>
  <si>
    <t>Z:\nemtode\general\website_mirrors\nematode.unl.edu_2022_09_21\ditmi3.jpg</t>
  </si>
  <si>
    <t>Z:\nemtode\general\website_mirrors\nematode.unl.edu_2022_09_21\ditmi6.jpg</t>
  </si>
  <si>
    <t>Z:\nemtode\general\website_mirrors\nematode.unl.edu_2022_09_21\ditmic4.jpg</t>
  </si>
  <si>
    <t>Z:\nemtode\general\website_mirrors\nematode.unl.edu_2022_09_21\ditmi30.jpg</t>
  </si>
  <si>
    <t>Z:\nemtode\general\website_mirrors\nematode.unl.edu_2022_09_21\ditmi5.jpg</t>
  </si>
  <si>
    <t>Z:\nemtode\general\website_mirrors\nematode.unl.edu_2022_09_21\ditmi13.jpg</t>
  </si>
  <si>
    <t>Z:\nemtode\general\website_mirrors\nematode.unl.edu_2022_09_21\ditmic6.jpg</t>
  </si>
  <si>
    <t>Z:\nemtode\general\website_mirrors\nematode.unl.edu_2022_09_21\ditmic7.jpg</t>
  </si>
  <si>
    <t>Z:\nemtode\general\website_mirrors\nematode.unl.edu_2022_09_21\ditmi18.jpg</t>
  </si>
  <si>
    <t>Z:\nemtode\general\website_mirrors\nematode.unl.edu_2022_09_21\ditmcmp.jpg</t>
  </si>
  <si>
    <t>Z:\nemtode\general\website_mirrors\nematode.unl.edu_2022_09_21\ditmi19.jpg</t>
  </si>
  <si>
    <t>Z:\nemtode\general\website_mirrors\nematode.unl.edu_2022_09_21\ditmi20.jpg</t>
  </si>
  <si>
    <t>Z:\nemtode\general\website_mirrors\nematode.unl.edu_2022_09_21\ditmi29.jpg</t>
  </si>
  <si>
    <t>Z:\nemtode\general\website_mirrors\nematode.unl.edu_2022_09_21\ditmi17.jpg</t>
  </si>
  <si>
    <t>Z:\nemtode\general\website_mirrors\nematode.unl.edu_2022_09_21\ditmi15.jpg</t>
  </si>
  <si>
    <t>Z:\nemtode\general\website_mirrors\nematode.unl.edu_2022_09_21\ditmi2.jpg</t>
  </si>
  <si>
    <t>Z:\nemtode\general\website_mirrors\nematode.unl.edu_2022_09_21\ditmi22.jpg</t>
  </si>
  <si>
    <t>Z:\nemtode\general\website_mirrors\nematode.unl.edu_2022_09_21\ditmi25.jpg</t>
  </si>
  <si>
    <t>Z:\nemtode\general\website_mirrors\nematode.unl.edu_2022_09_21\ditmi31.jpg</t>
  </si>
  <si>
    <t>Z:\nemtode\general\website_mirrors\nematode.unl.edu_2022_09_21\ditmi8.jpg</t>
  </si>
  <si>
    <t>Z:\nemtode\general\website_mirrors\nematode.unl.edu_2022_09_21\ditmic2.jpg</t>
  </si>
  <si>
    <t>Z:\nemtode\general\website_mirrors\nematode.unl.edu_2022_09_21\ditmic8.jpg</t>
  </si>
  <si>
    <t>Z:\nemtode\general\website_mirrors\nematode.unl.edu_2022_09_21\ditmi4.jpg</t>
  </si>
  <si>
    <t>Z:\nemtode\general\website_mirrors\nematode.unl.edu_2022_09_21\ditmi24.jpg</t>
  </si>
  <si>
    <t>Z:\nemtode\general\website_mirrors\nematode.unl.edu_2022_09_21\ditmi28.jpg</t>
  </si>
  <si>
    <t>Z:\nemtode\general\website_mirrors\nematode.unl.edu_2022_09_21\ditmi7.jpg</t>
  </si>
  <si>
    <t>Z:\nemtode\general\website_mirrors\nematode.unl.edu_2022_09_21\ditmic1.jpg</t>
  </si>
  <si>
    <t>Z:\nemtode\general\website_mirrors\nematode.unl.edu_2022_09_21\ditmic5.jpg</t>
  </si>
  <si>
    <t>Z:\nemtode\general\website_mirrors\nematode.unl.edu_2022_09_21\ditob1.jpg</t>
  </si>
  <si>
    <t>Z:\nemtode\general\website_mirrors\nematode.unl.edu_2022_09_21\ditob5.jpg</t>
  </si>
  <si>
    <t>Z:\nemtode\general\website_mirrors\nematode.unl.edu_2022_09_21\ditobe2.jpg</t>
  </si>
  <si>
    <t>Z:\nemtode\general\website_mirrors\nematode.unl.edu_2022_09_21\ditobe7.jpg</t>
  </si>
  <si>
    <t>Z:\nemtode\general\website_mirrors\nematode.unl.edu_2022_09_21\ditobe1.jpg</t>
  </si>
  <si>
    <t>Z:\nemtode\general\website_mirrors\nematode.unl.edu_2022_09_21\ditobcmp.jpg</t>
  </si>
  <si>
    <t>Z:\nemtode\general\website_mirrors\nematode.unl.edu_2022_09_21\ditobe3.jpg</t>
  </si>
  <si>
    <t>Z:\nemtode\general\website_mirrors\nematode.unl.edu_2022_09_21\ditob3.jpg</t>
  </si>
  <si>
    <t>Z:\nemtode\general\website_mirrors\nematode.unl.edu_2022_09_21\ditob2.jpg</t>
  </si>
  <si>
    <t>Z:\nemtode\general\website_mirrors\nematode.unl.edu_2022_09_21\ditob4.jpg</t>
  </si>
  <si>
    <t>Z:\nemtode\general\website_mirrors\nematode.unl.edu_2022_09_21\ditobe4.jpg</t>
  </si>
  <si>
    <t>Z:\nemtode\general\website_mirrors\nematode.unl.edu_2022_09_21\ditobe5.jpg</t>
  </si>
  <si>
    <t>Z:\nemtode\general\website_mirrors\nematode.unl.edu_2022_09_21\dival2.jpg</t>
  </si>
  <si>
    <t>Z:\nemtode\general\website_mirrors\nematode.unl.edu_2022_09_21\dival4.jpg</t>
  </si>
  <si>
    <t>Z:\nemtode\general\website_mirrors\nematode.unl.edu_2022_09_21\dival1.jpg</t>
  </si>
  <si>
    <t>Z:\nemtode\general\website_mirrors\nematode.unl.edu_2022_09_21\dival5.jpg</t>
  </si>
  <si>
    <t>Z:\nemtode\general\website_mirrors\nematode.unl.edu_2022_09_21\dival3.jpg</t>
  </si>
  <si>
    <t>Z:\nemtode\general\website_mirrors\nematode.unl.edu_2022_09_21\nothenac8.jpg</t>
  </si>
  <si>
    <t>Z:\nemtode\general\website_mirrors\nematode.unl.edu_2022_09_21\nothenac4.jpg</t>
  </si>
  <si>
    <t>Z:\nemtode\general\website_mirrors\nematode.unl.edu_2022_09_21\nothenac7.jpg</t>
  </si>
  <si>
    <t>Z:\nemtode\general\website_mirrors\nematode.unl.edu_2022_09_21\nothenac1.jpg</t>
  </si>
  <si>
    <t>Z:\nemtode\general\website_mirrors\nematode.unl.edu_2022_09_21\nothenac2.jpg</t>
  </si>
  <si>
    <t>Z:\nemtode\general\website_mirrors\nematode.unl.edu_2022_09_21\nothenac3.jpg</t>
  </si>
  <si>
    <t>Z:\nemtode\general\website_mirrors\nematode.unl.edu_2022_09_21\nothenac6.jpg</t>
  </si>
  <si>
    <t>Z:\nemtode\general\website_mirrors\nematode.unl.edu_2022_09_21\nothenac10.jpg</t>
  </si>
  <si>
    <t>Z:\nemtode\general\website_mirrors\nematode.unl.edu_2022_09_21\nothenac11.jpg</t>
  </si>
  <si>
    <t>Z:\nemtode\general\website_mirrors\nematode.unl.edu_2022_09_21\nothenac12.jpg</t>
  </si>
  <si>
    <t>Z:\nemtode\general\website_mirrors\nematode.unl.edu_2022_09_21\nothenac5.jpg</t>
  </si>
  <si>
    <t>Z:\nemtode\general\website_mirrors\nematode.unl.edu_2022_09_21\nothenac9.jpg</t>
  </si>
  <si>
    <t>Z:\nemtode\general\website_mirrors\nematode.unl.edu_2022_09_21\suban12.jpg</t>
  </si>
  <si>
    <t>Z:\nemtode\general\website_mirrors\nematode.unl.edu_2022_09_21\suban14.jpg</t>
  </si>
  <si>
    <t>Z:\nemtode\general\website_mirrors\nematode.unl.edu_2022_09_21\suban2.jpg</t>
  </si>
  <si>
    <t>Z:\nemtode\general\website_mirrors\nematode.unl.edu_2022_09_21\suban4.jpg</t>
  </si>
  <si>
    <t>Z:\nemtode\general\website_mirrors\nematode.unl.edu_2022_09_21\suban9.jpg</t>
  </si>
  <si>
    <t>Z:\nemtode\general\website_mirrors\nematode.unl.edu_2022_09_21\suban5.jpg</t>
  </si>
  <si>
    <t>Z:\nemtode\general\website_mirrors\nematode.unl.edu_2022_09_21\suban1.jpg</t>
  </si>
  <si>
    <t>Z:\nemtode\general\website_mirrors\nematode.unl.edu_2022_09_21\suban11.jpg</t>
  </si>
  <si>
    <t>Z:\nemtode\general\website_mirrors\nematode.unl.edu_2022_09_21\suban8.jpg</t>
  </si>
  <si>
    <t>Z:\nemtode\general\website_mirrors\nematode.unl.edu_2022_09_21\suban6.jpg</t>
  </si>
  <si>
    <t>Z:\nemtode\general\website_mirrors\nematode.unl.edu_2022_09_21\suban10.jpg</t>
  </si>
  <si>
    <t>Z:\nemtode\general\website_mirrors\nematode.unl.edu_2022_09_21\suban13.jpg</t>
  </si>
  <si>
    <t>Z:\nemtode\general\website_mirrors\nematode.unl.edu_2022_09_21\suban3.jpg</t>
  </si>
  <si>
    <t>Z:\nemtode\general\website_mirrors\nematode.unl.edu_2022_09_21\suban7.jpg</t>
  </si>
  <si>
    <t>Z:\nemtode\general\website_mirrors\nematode.unl.edu_2022_09_21\aphen2.jpg</t>
  </si>
  <si>
    <t>Z:\nemtode\general\website_mirrors\nematode.unl.edu_2022_09_21\aphen4.jpg</t>
  </si>
  <si>
    <t>Z:\nemtode\general\website_mirrors\nematode.unl.edu_2022_09_21\aphen1.jpg</t>
  </si>
  <si>
    <t>Z:\nemtode\general\website_mirrors\nematode.unl.edu_2022_09_21\aphen3.jpg</t>
  </si>
  <si>
    <t>Z:\nemtode\general\website_mirrors\nematode.unl.edu_2022_09_21\aphen5.jpg</t>
  </si>
  <si>
    <t>Z:\nemtode\general\website_mirrors\nematode.unl.edu_2022_09_21\aphave1.jpg</t>
  </si>
  <si>
    <t>Z:\nemtode\general\website_mirrors\nematode.unl.edu_2022_09_21\aaven9.jpg</t>
  </si>
  <si>
    <t>Z:\nemtode\general\website_mirrors\nematode.unl.edu_2022_09_21\aaven2.jpg</t>
  </si>
  <si>
    <t>Z:\nemtode\general\website_mirrors\nematode.unl.edu_2022_09_21\aaven4.jpg</t>
  </si>
  <si>
    <t>Z:\nemtode\general\website_mirrors\nematode.unl.edu_2022_09_21\aaven6.jpg</t>
  </si>
  <si>
    <t>Z:\nemtode\general\website_mirrors\nematode.unl.edu_2022_09_21\apagw2.jpg</t>
  </si>
  <si>
    <t>Z:\nemtode\general\website_mirrors\nematode.unl.edu_2022_09_21\aaven5.jpg</t>
  </si>
  <si>
    <t>Z:\nemtode\general\website_mirrors\nematode.unl.edu_2022_09_21\apagw1.jpg</t>
  </si>
  <si>
    <t>Z:\nemtode\general\website_mirrors\nematode.unl.edu_2022_09_21\apagw3.jpg</t>
  </si>
  <si>
    <t>Z:\nemtode\general\website_mirrors\nematode.unl.edu_2022_09_21\aaven3.jpg</t>
  </si>
  <si>
    <t>Z:\nemtode\general\website_mirrors\nematode.unl.edu_2022_09_21\aaven1.jpg</t>
  </si>
  <si>
    <t>Z:\nemtode\general\website_mirrors\nematode.unl.edu_2022_09_21\aaven11.jpg</t>
  </si>
  <si>
    <t>Z:\nemtode\general\website_mirrors\nematode.unl.edu_2022_09_21\aaven8.jpg</t>
  </si>
  <si>
    <t>Z:\nemtode\general\website_mirrors\nematode.unl.edu_2022_09_21\aaven10.jpg</t>
  </si>
  <si>
    <t>Z:\nemtode\general\website_mirrors\nematode.unl.edu_2022_09_21\aaven7.jpg</t>
  </si>
  <si>
    <t>Z:\nemtode\general\website_mirrors\nematode.unl.edu_2022_09_21\parap2.jpg</t>
  </si>
  <si>
    <t>Z:\nemtode\general\website_mirrors\nematode.unl.edu_2022_09_21\parap8.jpg</t>
  </si>
  <si>
    <t>Z:\nemtode\general\website_mirrors\nematode.unl.edu_2022_09_21\parap6.jpg</t>
  </si>
  <si>
    <t>Z:\nemtode\general\website_mirrors\nematode.unl.edu_2022_09_21\parap1.jpg</t>
  </si>
  <si>
    <t>Z:\nemtode\general\website_mirrors\nematode.unl.edu_2022_09_21\parap5.jpg</t>
  </si>
  <si>
    <t>Z:\nemtode\general\website_mirrors\nematode.unl.edu_2022_09_21\parap7.jpg</t>
  </si>
  <si>
    <t>Z:\nemtode\general\website_mirrors\nematode.unl.edu_2022_09_21\parap4.jpg</t>
  </si>
  <si>
    <t>Z:\nemtode\general\website_mirrors\nematode.unl.edu_2022_09_21\parap3.jpg</t>
  </si>
  <si>
    <t>Z:\nemtode\general\website_mirrors\nematode.unl.edu_2022_09_21\aphelha2.jpg</t>
  </si>
  <si>
    <t>Z:\nemtode\general\website_mirrors\nematode.unl.edu_2022_09_21\aphelha5.jpg</t>
  </si>
  <si>
    <t>Z:\nemtode\general\website_mirrors\nematode.unl.edu_2022_09_21\aphelha7.jpg</t>
  </si>
  <si>
    <t>Z:\nemtode\general\website_mirrors\nematode.unl.edu_2022_09_21\aphelha8.jpg</t>
  </si>
  <si>
    <t>Z:\nemtode\general\website_mirrors\nematode.unl.edu_2022_09_21\aphelha1.jpg</t>
  </si>
  <si>
    <t>Z:\nemtode\general\website_mirrors\nematode.unl.edu_2022_09_21\aphelha3.jpg</t>
  </si>
  <si>
    <t>Z:\nemtode\general\website_mirrors\nematode.unl.edu_2022_09_21\aphelha4.jpg</t>
  </si>
  <si>
    <t>Z:\nemtode\general\website_mirrors\nematode.unl.edu_2022_09_21\aphelha6.jpg</t>
  </si>
  <si>
    <t>Z:\nemtode\general\website_mirrors\nematode.unl.edu_2022_09_21\abesse12.jpg</t>
  </si>
  <si>
    <t>Z:\nemtode\general\website_mirrors\nematode.unl.edu_2022_09_21\abess2.jpg</t>
  </si>
  <si>
    <t>Z:\nemtode\general\website_mirrors\nematode.unl.edu_2022_09_21\abesse11.jpg</t>
  </si>
  <si>
    <t>Z:\nemtode\general\website_mirrors\nematode.unl.edu_2022_09_21\abesse5.jpg</t>
  </si>
  <si>
    <t>Z:\nemtode\general\website_mirrors\nematode.unl.edu_2022_09_21\abesse1.jpg</t>
  </si>
  <si>
    <t>Z:\nemtode\general\website_mirrors\nematode.unl.edu_2022_09_21\abesse10.jpg</t>
  </si>
  <si>
    <t>Z:\nemtode\general\website_mirrors\nematode.unl.edu_2022_09_21\abesscmp.jpg</t>
  </si>
  <si>
    <t>Z:\nemtode\general\website_mirrors\nematode.unl.edu_2022_09_21\abess3.jpg</t>
  </si>
  <si>
    <t>Z:\nemtode\general\website_mirrors\nematode.unl.edu_2022_09_21\abesse9.jpg</t>
  </si>
  <si>
    <t>Z:\nemtode\general\website_mirrors\nematode.unl.edu_2022_09_21\abesse2.jpg</t>
  </si>
  <si>
    <t>Z:\nemtode\general\website_mirrors\nematode.unl.edu_2022_09_21\abesse3.jpg</t>
  </si>
  <si>
    <t>Z:\nemtode\general\website_mirrors\nematode.unl.edu_2022_09_21\abess1.jpg</t>
  </si>
  <si>
    <t>Z:\nemtode\general\website_mirrors\nematode.unl.edu_2022_09_21\abesse4.jpg</t>
  </si>
  <si>
    <t>Z:\nemtode\general\website_mirrors\nematode.unl.edu_2022_09_21\abesse6.jpg</t>
  </si>
  <si>
    <t>Z:\nemtode\general\website_mirrors\nematode.unl.edu_2022_09_21\abess4.jpg</t>
  </si>
  <si>
    <t>Z:\nemtode\general\website_mirrors\nematode.unl.edu_2022_09_21\abesse7.jpg</t>
  </si>
  <si>
    <t>Z:\nemtode\general\website_mirrors\nematode.unl.edu_2022_09_21\abesse8.jpg</t>
  </si>
  <si>
    <t>Z:\nemtode\general\website_mirrors\nematode.unl.edu_2022_09_21\aphbic1.jpg</t>
  </si>
  <si>
    <t>Z:\nemtode\general\website_mirrors\nematode.unl.edu_2022_09_21\aphbic3.jpg</t>
  </si>
  <si>
    <t>Z:\nemtode\general\website_mirrors\nematode.unl.edu_2022_09_21\aphbic2.jpg</t>
  </si>
  <si>
    <t>Z:\nemtode\general\website_mirrors\nematode.unl.edu_2022_09_21\aphcent2.jpg</t>
  </si>
  <si>
    <t>Z:\nemtode\general\website_mirrors\nematode.unl.edu_2022_09_21\aphcent4.jpg</t>
  </si>
  <si>
    <t>Z:\nemtode\general\website_mirrors\nematode.unl.edu_2022_09_21\aphcent1.jpg</t>
  </si>
  <si>
    <t>Z:\nemtode\general\website_mirrors\nematode.unl.edu_2022_09_21\aphcent5.jpg</t>
  </si>
  <si>
    <t>Z:\nemtode\general\website_mirrors\nematode.unl.edu_2022_09_21\aphcent6.jpg</t>
  </si>
  <si>
    <t>Z:\nemtode\general\website_mirrors\nematode.unl.edu_2022_09_21\aphcent3.jpg</t>
  </si>
  <si>
    <t>Z:\nemtode\general\website_mirrors\nematode.unl.edu_2022_09_21\aphcla10.jpg</t>
  </si>
  <si>
    <t>Z:\nemtode\general\website_mirrors\nematode.unl.edu_2022_09_21\aphcla2.jpg</t>
  </si>
  <si>
    <t>Z:\nemtode\general\website_mirrors\nematode.unl.edu_2022_09_21\aphcla4.jpg</t>
  </si>
  <si>
    <t>Z:\nemtode\general\website_mirrors\nematode.unl.edu_2022_09_21\aphcla1.jpg</t>
  </si>
  <si>
    <t>Z:\nemtode\general\website_mirrors\nematode.unl.edu_2022_09_21\aphcla6.jpg</t>
  </si>
  <si>
    <t>Z:\nemtode\general\website_mirrors\nematode.unl.edu_2022_09_21\aphcla9.jpg</t>
  </si>
  <si>
    <t>Z:\nemtode\general\website_mirrors\nematode.unl.edu_2022_09_21\aphclacmp.jpg</t>
  </si>
  <si>
    <t>Z:\nemtode\general\website_mirrors\nematode.unl.edu_2022_09_21\aphcla5.jpg</t>
  </si>
  <si>
    <t>Z:\nemtode\general\website_mirrors\nematode.unl.edu_2022_09_21\aphcla11.jpg</t>
  </si>
  <si>
    <t>Z:\nemtode\general\website_mirrors\nematode.unl.edu_2022_09_21\aphcla3.jpg</t>
  </si>
  <si>
    <t>Z:\nemtode\general\website_mirrors\nematode.unl.edu_2022_09_21\aphcla7.jpg</t>
  </si>
  <si>
    <t>Z:\nemtode\general\website_mirrors\nematode.unl.edu_2022_09_21\aconfu2.jpg</t>
  </si>
  <si>
    <t>Z:\nemtode\general\website_mirrors\nematode.unl.edu_2022_09_21\aconfu1.jpg</t>
  </si>
  <si>
    <t>Z:\nemtode\general\website_mirrors\nematode.unl.edu_2022_09_21\aconfu4.jpg</t>
  </si>
  <si>
    <t>Z:\nemtode\general\website_mirrors\nematode.unl.edu_2022_09_21\aconfu3.jpg</t>
  </si>
  <si>
    <t>Z:\nemtode\general\website_mirrors\nematode.unl.edu_2022_09_21\aphdac1.jpg</t>
  </si>
  <si>
    <t>Z:\nemtode\general\website_mirrors\nematode.unl.edu_2022_09_21\aphdac3.jpg</t>
  </si>
  <si>
    <t>Z:\nemtode\general\website_mirrors\nematode.unl.edu_2022_09_21\aphdac2.jpg</t>
  </si>
  <si>
    <t>Z:\nemtode\general\website_mirrors\nematode.unl.edu_2022_09_21\aobtucmp.jpg</t>
  </si>
  <si>
    <t>Z:\nemtode\general\website_mirrors\nematode.unl.edu_2022_09_21\aphpa2.jpg</t>
  </si>
  <si>
    <t>Z:\nemtode\general\website_mirrors\nematode.unl.edu_2022_09_21\aphpa1.jpg</t>
  </si>
  <si>
    <t>Z:\nemtode\general\website_mirrors\nematode.unl.edu_2022_09_21\aphpa4.jpg</t>
  </si>
  <si>
    <t>Z:\nemtode\general\website_mirrors\nematode.unl.edu_2022_09_21\aphpa3.jpg</t>
  </si>
  <si>
    <t>Z:\nemtode\general\website_mirrors\nematode.unl.edu_2022_09_21\appus2.jpg</t>
  </si>
  <si>
    <t>Z:\nemtode\general\website_mirrors\nematode.unl.edu_2022_09_21\appus9.jpg</t>
  </si>
  <si>
    <t>Z:\nemtode\general\website_mirrors\nematode.unl.edu_2022_09_21\appus7.jpg</t>
  </si>
  <si>
    <t>Z:\nemtode\general\website_mirrors\nematode.unl.edu_2022_09_21\appus1.jpg</t>
  </si>
  <si>
    <t>Z:\nemtode\general\website_mirrors\nematode.unl.edu_2022_09_21\appuscmp.jpg</t>
  </si>
  <si>
    <t>Z:\nemtode\general\website_mirrors\nematode.unl.edu_2022_09_21\appus10.jpg</t>
  </si>
  <si>
    <t>Z:\nemtode\general\website_mirrors\nematode.unl.edu_2022_09_21\appus8.jpg</t>
  </si>
  <si>
    <t>Z:\nemtode\general\website_mirrors\nematode.unl.edu_2022_09_21\appus4.jpg</t>
  </si>
  <si>
    <t>Z:\nemtode\general\website_mirrors\nematode.unl.edu_2022_09_21\appus5.jpg</t>
  </si>
  <si>
    <t>Z:\nemtode\general\website_mirrors\nematode.unl.edu_2022_09_21\appus3.jpg</t>
  </si>
  <si>
    <t>Z:\nemtode\general\website_mirrors\nematode.unl.edu_2022_09_21\appus6.jpg</t>
  </si>
  <si>
    <t>Z:\nemtode\general\website_mirrors\nematode.unl.edu_2022_09_21\asac2.jpg</t>
  </si>
  <si>
    <t>Z:\nemtode\general\website_mirrors\nematode.unl.edu_2022_09_21\asack2.jpg</t>
  </si>
  <si>
    <t>Z:\nemtode\general\website_mirrors\nematode.unl.edu_2022_09_21\asack4.jpg</t>
  </si>
  <si>
    <t>Z:\nemtode\general\website_mirrors\nematode.unl.edu_2022_09_21\asac1.jpg</t>
  </si>
  <si>
    <t>Z:\nemtode\general\website_mirrors\nematode.unl.edu_2022_09_21\asack1.jpg</t>
  </si>
  <si>
    <t>Z:\nemtode\general\website_mirrors\nematode.unl.edu_2022_09_21\asaccmp.jpg</t>
  </si>
  <si>
    <t>Z:\nemtode\general\website_mirrors\nematode.unl.edu_2022_09_21\asack3.jpg</t>
  </si>
  <si>
    <t>Z:\nemtode\general\website_mirrors\nematode.unl.edu_2022_09_21\asack5.jpg</t>
  </si>
  <si>
    <t>Z:\nemtode\general\website_mirrors\nematode.unl.edu_2022_09_21\asac3.jpg</t>
  </si>
  <si>
    <t>Z:\nemtode\general\website_mirrors\nematode.unl.edu_2022_09_21\aphvi1.jpg</t>
  </si>
  <si>
    <t>Z:\nemtode\general\website_mirrors\nematode.unl.edu_2022_09_21\aphvicmp.jpg</t>
  </si>
  <si>
    <t>Z:\nemtode\general\website_mirrors\nematode.unl.edu_2022_09_21\aphvi2.jpg</t>
  </si>
  <si>
    <t>Z:\nemtode\general\website_mirrors\nematode.unl.edu_2022_09_21\aptida2.jpg</t>
  </si>
  <si>
    <t>Z:\nemtode\general\website_mirrors\nematode.unl.edu_2022_09_21\aptidb33.jpg</t>
  </si>
  <si>
    <t>Z:\nemtode\general\website_mirrors\nematode.unl.edu_2022_09_21\aptidb8.jpg</t>
  </si>
  <si>
    <t>Z:\nemtode\general\website_mirrors\nematode.unl.edu_2022_09_21\aptidb22.jpg</t>
  </si>
  <si>
    <t>Z:\nemtode\general\website_mirrors\nematode.unl.edu_2022_09_21\aptida10.jpg</t>
  </si>
  <si>
    <t>Z:\nemtode\general\website_mirrors\nematode.unl.edu_2022_09_21\aptida4.jpg</t>
  </si>
  <si>
    <t>Z:\nemtode\general\website_mirrors\nematode.unl.edu_2022_09_21\aptida8.jpg</t>
  </si>
  <si>
    <t>Z:\nemtode\general\website_mirrors\nematode.unl.edu_2022_09_21\aptidb11.jpg</t>
  </si>
  <si>
    <t>Z:\nemtode\general\website_mirrors\nematode.unl.edu_2022_09_21\aptidb15.jpg</t>
  </si>
  <si>
    <t>Z:\nemtode\general\website_mirrors\nematode.unl.edu_2022_09_21\aptidb20.jpg</t>
  </si>
  <si>
    <t>Z:\nemtode\general\website_mirrors\nematode.unl.edu_2022_09_21\aptidb24.jpg</t>
  </si>
  <si>
    <t>Z:\nemtode\general\website_mirrors\nematode.unl.edu_2022_09_21\aptidb27.jpg</t>
  </si>
  <si>
    <t>Z:\nemtode\general\website_mirrors\nematode.unl.edu_2022_09_21\aptidb31.jpg</t>
  </si>
  <si>
    <t>Z:\nemtode\general\website_mirrors\nematode.unl.edu_2022_09_21\aptidb6.jpg</t>
  </si>
  <si>
    <t>Z:\nemtode\general\website_mirrors\nematode.unl.edu_2022_09_21\aptida1.jpg</t>
  </si>
  <si>
    <t>Z:\nemtode\general\website_mirrors\nematode.unl.edu_2022_09_21\aptidb23.jpg</t>
  </si>
  <si>
    <t>Z:\nemtode\general\website_mirrors\nematode.unl.edu_2022_09_21\aptidb5.jpg</t>
  </si>
  <si>
    <t>Z:\nemtode\general\website_mirrors\nematode.unl.edu_2022_09_21\aptida6.jpg</t>
  </si>
  <si>
    <t>Z:\nemtode\general\website_mirrors\nematode.unl.edu_2022_09_21\aptidb14.jpg</t>
  </si>
  <si>
    <t>Z:\nemtode\general\website_mirrors\nematode.unl.edu_2022_09_21\aptidb3.jpg</t>
  </si>
  <si>
    <t>Z:\nemtode\general\website_mirrors\nematode.unl.edu_2022_09_21\aptidb30.jpg</t>
  </si>
  <si>
    <t>Z:\nemtode\general\website_mirrors\nematode.unl.edu_2022_09_21\aptidb1.jpg</t>
  </si>
  <si>
    <t>Z:\nemtode\general\website_mirrors\nematode.unl.edu_2022_09_21\aptidb12.jpg</t>
  </si>
  <si>
    <t>Z:\nemtode\general\website_mirrors\nematode.unl.edu_2022_09_21\aptidb28.jpg</t>
  </si>
  <si>
    <t>Z:\nemtode\general\website_mirrors\nematode.unl.edu_2022_09_21\aptida11.jpg</t>
  </si>
  <si>
    <t>Z:\nemtode\general\website_mirrors\nematode.unl.edu_2022_09_21\aptida3.jpg</t>
  </si>
  <si>
    <t>Z:\nemtode\general\website_mirrors\nematode.unl.edu_2022_09_21\aptida9.jpg</t>
  </si>
  <si>
    <t>Z:\nemtode\general\website_mirrors\nematode.unl.edu_2022_09_21\aptidb10.jpg</t>
  </si>
  <si>
    <t>Z:\nemtode\general\website_mirrors\nematode.unl.edu_2022_09_21\aptidb19.jpg</t>
  </si>
  <si>
    <t>Z:\nemtode\general\website_mirrors\nematode.unl.edu_2022_09_21\aptidb26.jpg</t>
  </si>
  <si>
    <t>Z:\nemtode\general\website_mirrors\nematode.unl.edu_2022_09_21\aptidb32.jpg</t>
  </si>
  <si>
    <t>Z:\nemtode\general\website_mirrors\nematode.unl.edu_2022_09_21\aptidb35.jpg</t>
  </si>
  <si>
    <t>Z:\nemtode\general\website_mirrors\nematode.unl.edu_2022_09_21\aptidb4.jpg</t>
  </si>
  <si>
    <t>Z:\nemtode\general\website_mirrors\nematode.unl.edu_2022_09_21\aptida5.jpg</t>
  </si>
  <si>
    <t>Z:\nemtode\general\website_mirrors\nematode.unl.edu_2022_09_21\aptidb13.jpg</t>
  </si>
  <si>
    <t>Z:\nemtode\general\website_mirrors\nematode.unl.edu_2022_09_21\aptidb18.jpg</t>
  </si>
  <si>
    <t>Z:\nemtode\general\website_mirrors\nematode.unl.edu_2022_09_21\aptidb2.jpg</t>
  </si>
  <si>
    <t>Z:\nemtode\general\website_mirrors\nematode.unl.edu_2022_09_21\aptidb21.jpg</t>
  </si>
  <si>
    <t>Z:\nemtode\general\website_mirrors\nematode.unl.edu_2022_09_21\aptidb25.jpg</t>
  </si>
  <si>
    <t>Z:\nemtode\general\website_mirrors\nematode.unl.edu_2022_09_21\aptidb29.jpg</t>
  </si>
  <si>
    <t>Z:\nemtode\general\website_mirrors\nematode.unl.edu_2022_09_21\aptidb34.jpg</t>
  </si>
  <si>
    <t>Z:\nemtode\general\website_mirrors\nematode.unl.edu_2022_09_21\aptidb7.jpg</t>
  </si>
  <si>
    <t>Z:\nemtode\general\website_mirrors\nematode.unl.edu_2022_09_21\bursap2.jpg</t>
  </si>
  <si>
    <t>Z:\nemtode\general\website_mirrors\nematode.unl.edu_2022_09_21\bursap1.jpg</t>
  </si>
  <si>
    <t>Z:\nemtode\general\website_mirrors\nematode.unl.edu_2022_09_21\bursap5.jpg</t>
  </si>
  <si>
    <t>Z:\nemtode\general\website_mirrors\nematode.unl.edu_2022_09_21\bursap3.jpg</t>
  </si>
  <si>
    <t>Z:\nemtode\general\website_mirrors\nematode.unl.edu_2022_09_21\bursap4.jpg</t>
  </si>
  <si>
    <t>Z:\nemtode\general\website_mirrors\nematode.unl.edu_2022_09_21\buxy5.jpg</t>
  </si>
  <si>
    <t>Z:\nemtode\general\website_mirrors\nematode.unl.edu_2022_09_21\buxy8.jpg</t>
  </si>
  <si>
    <t>Z:\nemtode\general\website_mirrors\nematode.unl.edu_2022_09_21\buxy11.jpg</t>
  </si>
  <si>
    <t>Z:\nemtode\general\website_mirrors\nematode.unl.edu_2022_09_21\buxy15.jpg</t>
  </si>
  <si>
    <t>Z:\nemtode\general\website_mirrors\nematode.unl.edu_2022_09_21\buxy19.jpg</t>
  </si>
  <si>
    <t>Z:\nemtode\general\website_mirrors\nematode.unl.edu_2022_09_21\buxy2.jpg</t>
  </si>
  <si>
    <t>Z:\nemtode\general\website_mirrors\nematode.unl.edu_2022_09_21\buxy23.jpg</t>
  </si>
  <si>
    <t>Z:\nemtode\general\website_mirrors\nematode.unl.edu_2022_09_21\buxy24.jpg</t>
  </si>
  <si>
    <t>Z:\nemtode\general\website_mirrors\nematode.unl.edu_2022_09_21\buxy28.jpg</t>
  </si>
  <si>
    <t>Z:\nemtode\general\website_mirrors\nematode.unl.edu_2022_09_21\buxy1.jpg</t>
  </si>
  <si>
    <t>Z:\nemtode\general\website_mirrors\nematode.unl.edu_2022_09_21\buxy21.jpg</t>
  </si>
  <si>
    <t>Z:\nemtode\general\website_mirrors\nematode.unl.edu_2022_09_21\buxy4.jpg</t>
  </si>
  <si>
    <t>Z:\nemtode\general\website_mirrors\nematode.unl.edu_2022_09_21\buxy7.jpg</t>
  </si>
  <si>
    <t>Z:\nemtode\general\website_mirrors\nematode.unl.edu_2022_09_21\buxy22.jpg</t>
  </si>
  <si>
    <t>Z:\nemtode\general\website_mirrors\nematode.unl.edu_2022_09_21\buxy27.jpg</t>
  </si>
  <si>
    <t>Z:\nemtode\general\website_mirrors\nematode.unl.edu_2022_09_21\buxy12.jpg</t>
  </si>
  <si>
    <t>Z:\nemtode\general\website_mirrors\nematode.unl.edu_2022_09_21\buxy16.jpg</t>
  </si>
  <si>
    <t>Z:\nemtode\general\website_mirrors\nematode.unl.edu_2022_09_21\buxy25.jpg</t>
  </si>
  <si>
    <t>Z:\nemtode\general\website_mirrors\nematode.unl.edu_2022_09_21\buxy6.jpg</t>
  </si>
  <si>
    <t>Z:\nemtode\general\website_mirrors\nematode.unl.edu_2022_09_21\buxy10.jpg</t>
  </si>
  <si>
    <t>Z:\nemtode\general\website_mirrors\nematode.unl.edu_2022_09_21\buxy14.jpg</t>
  </si>
  <si>
    <t>Z:\nemtode\general\website_mirrors\nematode.unl.edu_2022_09_21\buxy18.jpg</t>
  </si>
  <si>
    <t>Z:\nemtode\general\website_mirrors\nematode.unl.edu_2022_09_21\buxy20.jpg</t>
  </si>
  <si>
    <t>Z:\nemtode\general\website_mirrors\nematode.unl.edu_2022_09_21\buxy26.jpg</t>
  </si>
  <si>
    <t>Z:\nemtode\general\website_mirrors\nematode.unl.edu_2022_09_21\buxy29.jpg</t>
  </si>
  <si>
    <t>Z:\nemtode\general\website_mirrors\nematode.unl.edu_2022_09_21\buxy3.jpg</t>
  </si>
  <si>
    <t>Z:\nemtode\general\website_mirrors\nematode.unl.edu_2022_09_21\buxy31.jpg</t>
  </si>
  <si>
    <t>Z:\nemtode\general\website_mirrors\nematode.unl.edu_2022_09_21\buxy13.jpg</t>
  </si>
  <si>
    <t>Z:\nemtode\general\website_mirrors\nematode.unl.edu_2022_09_21\buxy17.jpg</t>
  </si>
  <si>
    <t>Z:\nemtode\general\website_mirrors\nematode.unl.edu_2022_09_21\buxy30.jpg</t>
  </si>
  <si>
    <t>Z:\nemtode\general\website_mirrors\nematode.unl.edu_2022_09_21\buxy9.jpg</t>
  </si>
  <si>
    <t>Z:\nemtode\general\website_mirrors\nematode.unl.edu_2022_09_21\laimpe2.jpg</t>
  </si>
  <si>
    <t>Z:\nemtode\general\website_mirrors\nematode.unl.edu_2022_09_21\laimpe1.jpg</t>
  </si>
  <si>
    <t>Z:\nemtode\general\website_mirrors\nematode.unl.edu_2022_09_21\laimpe5.jpg</t>
  </si>
  <si>
    <t>Z:\nemtode\general\website_mirrors\nematode.unl.edu_2022_09_21\laimpe4.jpg</t>
  </si>
  <si>
    <t>Z:\nemtode\general\website_mirrors\nematode.unl.edu_2022_09_21\laimpe3.jpg</t>
  </si>
  <si>
    <t>Z:\nemtode\general\website_mirrors\nematode.unl.edu_2022_09_21\laimpe7.jpg</t>
  </si>
  <si>
    <t>Z:\nemtode\general\website_mirrors\nematode.unl.edu_2022_09_21\laimpe6.jpg</t>
  </si>
  <si>
    <t>Z:\nemtode\general\website_mirrors\nematode.unl.edu_2022_09_21\seinurp2.jpg</t>
  </si>
  <si>
    <t>Z:\nemtode\general\website_mirrors\nematode.unl.edu_2022_09_21\seinurp5.jpg</t>
  </si>
  <si>
    <t>Z:\nemtode\general\website_mirrors\nematode.unl.edu_2022_09_21\seinurp7.jpg</t>
  </si>
  <si>
    <t>Z:\nemtode\general\website_mirrors\nematode.unl.edu_2022_09_21\seinurp3.jpg</t>
  </si>
  <si>
    <t>Z:\nemtode\general\website_mirrors\nematode.unl.edu_2022_09_21\seinurp1.jpg</t>
  </si>
  <si>
    <t>Z:\nemtode\general\website_mirrors\nematode.unl.edu_2022_09_21\seinurp4.jpg</t>
  </si>
  <si>
    <t>Z:\nemtode\general\website_mirrors\nematode.unl.edu_2022_09_21\seinurp8.jpg</t>
  </si>
  <si>
    <t>Z:\nemtode\general\website_mirrors\nematode.unl.edu_2022_09_21\seinurp6.jpg</t>
  </si>
  <si>
    <t>Z:\nemtode\general\website_mirrors\nematode.unl.edu_2022_09_21\bunon12.jpg</t>
  </si>
  <si>
    <t>Z:\nemtode\general\website_mirrors\nematode.unl.edu_2022_09_21\bunon19.jpg</t>
  </si>
  <si>
    <t>Z:\nemtode\general\website_mirrors\nematode.unl.edu_2022_09_21\bunon2.jpg</t>
  </si>
  <si>
    <t>Z:\nemtode\general\website_mirrors\nematode.unl.edu_2022_09_21\bunon23.jpg</t>
  </si>
  <si>
    <t>Z:\nemtode\general\website_mirrors\nematode.unl.edu_2022_09_21\bunon8.jpg</t>
  </si>
  <si>
    <t>Z:\nemtode\general\website_mirrors\nematode.unl.edu_2022_09_21\bunon9.jpg</t>
  </si>
  <si>
    <t>Z:\nemtode\general\website_mirrors\nematode.unl.edu_2022_09_21\bunsa2.jpg</t>
  </si>
  <si>
    <t>Z:\nemtode\general\website_mirrors\nematode.unl.edu_2022_09_21\bunsa4.jpg</t>
  </si>
  <si>
    <t>Z:\nemtode\general\website_mirrors\nematode.unl.edu_2022_09_21\bunsb2.jpg</t>
  </si>
  <si>
    <t>Z:\nemtode\general\website_mirrors\nematode.unl.edu_2022_09_21\bunon18.jpg</t>
  </si>
  <si>
    <t>Z:\nemtode\general\website_mirrors\nematode.unl.edu_2022_09_21\bunon21.jpg</t>
  </si>
  <si>
    <t>Z:\nemtode\general\website_mirrors\nematode.unl.edu_2022_09_21\bunon22.jpg</t>
  </si>
  <si>
    <t>Z:\nemtode\general\website_mirrors\nematode.unl.edu_2022_09_21\bunon25.jpg</t>
  </si>
  <si>
    <t>Z:\nemtode\general\website_mirrors\nematode.unl.edu_2022_09_21\bunsa5.jpg</t>
  </si>
  <si>
    <t>Z:\nemtode\general\website_mirrors\nematode.unl.edu_2022_09_21\bunsa6.jpg</t>
  </si>
  <si>
    <t>Z:\nemtode\general\website_mirrors\nematode.unl.edu_2022_09_21\bunon4.jpg</t>
  </si>
  <si>
    <t>Z:\nemtode\general\website_mirrors\nematode.unl.edu_2022_09_21\bunsb4.jpg</t>
  </si>
  <si>
    <t>Z:\nemtode\general\website_mirrors\nematode.unl.edu_2022_09_21\bunon1.jpg</t>
  </si>
  <si>
    <t>Z:\nemtode\general\website_mirrors\nematode.unl.edu_2022_09_21\bunon14.jpg</t>
  </si>
  <si>
    <t>Z:\nemtode\general\website_mirrors\nematode.unl.edu_2022_09_21\bunon15.jpg</t>
  </si>
  <si>
    <t>Z:\nemtode\general\website_mirrors\nematode.unl.edu_2022_09_21\bunon16.jpg</t>
  </si>
  <si>
    <t>Z:\nemtode\general\website_mirrors\nematode.unl.edu_2022_09_21\bunon17.jpg</t>
  </si>
  <si>
    <t>Z:\nemtode\general\website_mirrors\nematode.unl.edu_2022_09_21\bunon20.jpg</t>
  </si>
  <si>
    <t>Z:\nemtode\general\website_mirrors\nematode.unl.edu_2022_09_21\bunon6.jpg</t>
  </si>
  <si>
    <t>Z:\nemtode\general\website_mirrors\nematode.unl.edu_2022_09_21\bunsa1.jpg</t>
  </si>
  <si>
    <t>Z:\nemtode\general\website_mirrors\nematode.unl.edu_2022_09_21\bunsb1.jpg</t>
  </si>
  <si>
    <t>Z:\nemtode\general\website_mirrors\nematode.unl.edu_2022_09_21\bunon11.jpg</t>
  </si>
  <si>
    <t>Z:\nemtode\general\website_mirrors\nematode.unl.edu_2022_09_21\bunon3.jpg</t>
  </si>
  <si>
    <t>Z:\nemtode\general\website_mirrors\nematode.unl.edu_2022_09_21\bunsb3.jpg</t>
  </si>
  <si>
    <t>Z:\nemtode\general\website_mirrors\nematode.unl.edu_2022_09_21\bunon10.jpg</t>
  </si>
  <si>
    <t>Z:\nemtode\general\website_mirrors\nematode.unl.edu_2022_09_21\bunon13.jpg</t>
  </si>
  <si>
    <t>Z:\nemtode\general\website_mirrors\nematode.unl.edu_2022_09_21\bunon24.jpg</t>
  </si>
  <si>
    <t>Z:\nemtode\general\website_mirrors\nematode.unl.edu_2022_09_21\bunsa3.jpg</t>
  </si>
  <si>
    <t>Z:\nemtode\general\website_mirrors\nematode.unl.edu_2022_09_21\bunsa8.jpg</t>
  </si>
  <si>
    <t>Z:\nemtode\general\website_mirrors\nematode.unl.edu_2022_09_21\bunon26.jpg</t>
  </si>
  <si>
    <t>Z:\nemtode\general\website_mirrors\nematode.unl.edu_2022_09_21\bunon5.jpg</t>
  </si>
  <si>
    <t>Z:\nemtode\general\website_mirrors\nematode.unl.edu_2022_09_21\bunon7.jpg</t>
  </si>
  <si>
    <t>Z:\nemtode\general\website_mirrors\nematode.unl.edu_2022_09_21\bunsa7.jpg</t>
  </si>
  <si>
    <t>Z:\nemtode\general\website_mirrors\nematode.unl.edu_2022_09_21\bretic2.jpg</t>
  </si>
  <si>
    <t>Z:\nemtode\general\website_mirrors\nematode.unl.edu_2022_09_21\bretic4.jpg</t>
  </si>
  <si>
    <t>Z:\nemtode\general\website_mirrors\nematode.unl.edu_2022_09_21\bretic5.jpg</t>
  </si>
  <si>
    <t>Z:\nemtode\general\website_mirrors\nematode.unl.edu_2022_09_21\bretic1.jpg</t>
  </si>
  <si>
    <t>Z:\nemtode\general\website_mirrors\nematode.unl.edu_2022_09_21\bretic3.jpg</t>
  </si>
  <si>
    <t>Z:\nemtode\general\website_mirrors\nematode.unl.edu_2022_09_21\bretic6.jpg</t>
  </si>
  <si>
    <t>Z:\nemtode\general\website_mirrors\nematode.unl.edu_2022_09_21\acrobe1.jpg</t>
  </si>
  <si>
    <t>Z:\nemtode\general\website_mirrors\nematode.unl.edu_2022_09_21\acrobe4.jpg</t>
  </si>
  <si>
    <t>Z:\nemtode\general\website_mirrors\nematode.unl.edu_2022_09_21\Acrobeles_ciliatus_head.jpg</t>
  </si>
  <si>
    <t>Z:\nemtode\general\website_mirrors\nematode.unl.edu_2022_09_21\acrobe3.jpg</t>
  </si>
  <si>
    <t>Z:\nemtode\general\website_mirrors\nematode.unl.edu_2022_09_21\acrobe2.jpg</t>
  </si>
  <si>
    <t>Z:\nemtode\general\website_mirrors\nematode.unl.edu_2022_09_21\acrobe5.jpg</t>
  </si>
  <si>
    <t>Z:\nemtode\general\website_mirrors\nematode.unl.edu_2022_09_21\accil7.jpg</t>
  </si>
  <si>
    <t>Z:\nemtode\general\website_mirrors\nematode.unl.edu_2022_09_21\accil11.jpg</t>
  </si>
  <si>
    <t>Z:\nemtode\general\website_mirrors\nematode.unl.edu_2022_09_21\accil12.jpg</t>
  </si>
  <si>
    <t>Z:\nemtode\general\website_mirrors\nematode.unl.edu_2022_09_21\accil16.jpg</t>
  </si>
  <si>
    <t>Z:\nemtode\general\website_mirrors\nematode.unl.edu_2022_09_21\accil18.jpg</t>
  </si>
  <si>
    <t>Z:\nemtode\general\website_mirrors\nematode.unl.edu_2022_09_21\accil19.jpg</t>
  </si>
  <si>
    <t>Z:\nemtode\general\website_mirrors\nematode.unl.edu_2022_09_21\accil2.jpg</t>
  </si>
  <si>
    <t>Z:\nemtode\general\website_mirrors\nematode.unl.edu_2022_09_21\accil21.jpg</t>
  </si>
  <si>
    <t>Z:\nemtode\general\website_mirrors\nematode.unl.edu_2022_09_21\accil22.jpg</t>
  </si>
  <si>
    <t>Z:\nemtode\general\website_mirrors\nematode.unl.edu_2022_09_21\accil23.jpg</t>
  </si>
  <si>
    <t>Z:\nemtode\general\website_mirrors\nematode.unl.edu_2022_09_21\accil9.jpg</t>
  </si>
  <si>
    <t>Z:\nemtode\general\website_mirrors\nematode.unl.edu_2022_09_21\accil5.jpg</t>
  </si>
  <si>
    <t>Z:\nemtode\general\website_mirrors\nematode.unl.edu_2022_09_21\accil10.jpg</t>
  </si>
  <si>
    <t>Z:\nemtode\general\website_mirrors\nematode.unl.edu_2022_09_21\accil3.jpg</t>
  </si>
  <si>
    <t>Z:\nemtode\general\website_mirrors\nematode.unl.edu_2022_09_21\accil1.jpg</t>
  </si>
  <si>
    <t>Z:\nemtode\general\website_mirrors\nematode.unl.edu_2022_09_21\accil13.jpg</t>
  </si>
  <si>
    <t>Z:\nemtode\general\website_mirrors\nematode.unl.edu_2022_09_21\accilidrw.jpg</t>
  </si>
  <si>
    <t>Z:\nemtode\general\website_mirrors\nematode.unl.edu_2022_09_21\accil17.jpg</t>
  </si>
  <si>
    <t>Z:\nemtode\general\website_mirrors\nematode.unl.edu_2022_09_21\accil14.jpg</t>
  </si>
  <si>
    <t>Z:\nemtode\general\website_mirrors\nematode.unl.edu_2022_09_21\accil6.jpg</t>
  </si>
  <si>
    <t>Z:\nemtode\general\website_mirrors\nematode.unl.edu_2022_09_21\accil8.jpg</t>
  </si>
  <si>
    <t>Z:\nemtode\general\website_mirrors\nematode.unl.edu_2022_09_21\accil15.jpg</t>
  </si>
  <si>
    <t>Z:\nemtode\general\website_mirrors\nematode.unl.edu_2022_09_21\accil4.jpg</t>
  </si>
  <si>
    <t>Z:\nemtode\general\website_mirrors\nematode.unl.edu_2022_09_21\acomp1.jpg</t>
  </si>
  <si>
    <t>Z:\nemtode\general\website_mirrors\nematode.unl.edu_2022_09_21\acomp4.jpg</t>
  </si>
  <si>
    <t>Z:\nemtode\general\website_mirrors\nematode.unl.edu_2022_09_21\acomp7.jpg</t>
  </si>
  <si>
    <t>Z:\nemtode\general\website_mirrors\nematode.unl.edu_2022_09_21\acromp4.jpg</t>
  </si>
  <si>
    <t>Z:\nemtode\general\website_mirrors\nematode.unl.edu_2022_09_21\acromp5.jpg</t>
  </si>
  <si>
    <t>Z:\nemtode\general\website_mirrors\nematode.unl.edu_2022_09_21\acromp1.jpg</t>
  </si>
  <si>
    <t>Z:\nemtode\general\website_mirrors\nematode.unl.edu_2022_09_21\acomp6.jpg</t>
  </si>
  <si>
    <t>Z:\nemtode\general\website_mirrors\nematode.unl.edu_2022_09_21\acromp6.jpg</t>
  </si>
  <si>
    <t>Z:\nemtode\general\website_mirrors\nematode.unl.edu_2022_09_21\acomp5.jpg</t>
  </si>
  <si>
    <t>Z:\nemtode\general\website_mirrors\nematode.unl.edu_2022_09_21\acomp3.jpg</t>
  </si>
  <si>
    <t>Z:\nemtode\general\website_mirrors\nematode.unl.edu_2022_09_21\acomp8.jpg</t>
  </si>
  <si>
    <t>Z:\nemtode\general\website_mirrors\nematode.unl.edu_2022_09_21\acromp2.jpg</t>
  </si>
  <si>
    <t>Z:\nemtode\general\website_mirrors\nematode.unl.edu_2022_09_21\acomp2.jpg</t>
  </si>
  <si>
    <t>Z:\nemtode\general\website_mirrors\nematode.unl.edu_2022_09_21\acromp3.jpg</t>
  </si>
  <si>
    <t>Z:\nemtode\general\website_mirrors\nematode.unl.edu_2022_09_21\accte1.jpg</t>
  </si>
  <si>
    <t>Z:\nemtode\general\website_mirrors\nematode.unl.edu_2022_09_21\accte3.jpg</t>
  </si>
  <si>
    <t>Z:\nemtode\general\website_mirrors\nematode.unl.edu_2022_09_21\acten12.jpg</t>
  </si>
  <si>
    <t>Z:\nemtode\general\website_mirrors\nematode.unl.edu_2022_09_21\acten15.jpg</t>
  </si>
  <si>
    <t>Z:\nemtode\general\website_mirrors\nematode.unl.edu_2022_09_21\acten18.jpg</t>
  </si>
  <si>
    <t>Z:\nemtode\general\website_mirrors\nematode.unl.edu_2022_09_21\acten2.jpg</t>
  </si>
  <si>
    <t>Z:\nemtode\general\website_mirrors\nematode.unl.edu_2022_09_21\acten5.jpg</t>
  </si>
  <si>
    <t>Z:\nemtode\general\website_mirrors\nematode.unl.edu_2022_09_21\acten6.jpg</t>
  </si>
  <si>
    <t>Z:\nemtode\general\website_mirrors\nematode.unl.edu_2022_09_21\acten1.jpg</t>
  </si>
  <si>
    <t>Z:\nemtode\general\website_mirrors\nematode.unl.edu_2022_09_21\acten10.jpg</t>
  </si>
  <si>
    <t>Z:\nemtode\general\website_mirrors\nematode.unl.edu_2022_09_21\acten17.jpg</t>
  </si>
  <si>
    <t>Z:\nemtode\general\website_mirrors\nematode.unl.edu_2022_09_21\acten14.jpg</t>
  </si>
  <si>
    <t>Z:\nemtode\general\website_mirrors\nematode.unl.edu_2022_09_21\accte2.jpg</t>
  </si>
  <si>
    <t>Z:\nemtode\general\website_mirrors\nematode.unl.edu_2022_09_21\acten11.jpg</t>
  </si>
  <si>
    <t>Z:\nemtode\general\website_mirrors\nematode.unl.edu_2022_09_21\acten19.jpg</t>
  </si>
  <si>
    <t>Z:\nemtode\general\website_mirrors\nematode.unl.edu_2022_09_21\acten3.jpg</t>
  </si>
  <si>
    <t>Z:\nemtode\general\website_mirrors\nematode.unl.edu_2022_09_21\acten4.jpg</t>
  </si>
  <si>
    <t>Z:\nemtode\general\website_mirrors\nematode.unl.edu_2022_09_21\acten8.jpg</t>
  </si>
  <si>
    <t>Z:\nemtode\general\website_mirrors\nematode.unl.edu_2022_09_21\acten13.jpg</t>
  </si>
  <si>
    <t>Z:\nemtode\general\website_mirrors\nematode.unl.edu_2022_09_21\acten16.jpg</t>
  </si>
  <si>
    <t>Z:\nemtode\general\website_mirrors\nematode.unl.edu_2022_09_21\acten7.jpg</t>
  </si>
  <si>
    <t>Z:\nemtode\general\website_mirrors\nematode.unl.edu_2022_09_21\acten9.jpg</t>
  </si>
  <si>
    <t>Z:\nemtode\general\website_mirrors\nematode.unl.edu_2022_09_21\acor1.jpg</t>
  </si>
  <si>
    <t>Z:\nemtode\general\website_mirrors\nematode.unl.edu_2022_09_21\acrap3.jpg</t>
  </si>
  <si>
    <t>Z:\nemtode\general\website_mirrors\nematode.unl.edu_2022_09_21\acrap5.jpg</t>
  </si>
  <si>
    <t>Z:\nemtode\general\website_mirrors\nematode.unl.edu_2022_09_21\acrap4.jpg</t>
  </si>
  <si>
    <t>Z:\nemtode\general\website_mirrors\nematode.unl.edu_2022_09_21\acrap2.jpg</t>
  </si>
  <si>
    <t>Z:\nemtode\general\website_mirrors\nematode.unl.edu_2022_09_21\acrap1.jpg</t>
  </si>
  <si>
    <t>Z:\nemtode\general\website_mirrors\nematode.unl.edu_2022_09_21\acbuts8.jpg</t>
  </si>
  <si>
    <t>Z:\nemtode\general\website_mirrors\nematode.unl.edu_2022_09_21\acbuts5.jpg</t>
  </si>
  <si>
    <t>Z:\nemtode\general\website_mirrors\nematode.unl.edu_2022_09_21\acbuts7.jpg</t>
  </si>
  <si>
    <t>Z:\nemtode\general\website_mirrors\nematode.unl.edu_2022_09_21\acbuts9.jpg</t>
  </si>
  <si>
    <t>Z:\nemtode\general\website_mirrors\nematode.unl.edu_2022_09_21\acbuts6.jpg</t>
  </si>
  <si>
    <t>Z:\nemtode\general\website_mirrors\nematode.unl.edu_2022_09_21\acroen4.jpg</t>
  </si>
  <si>
    <t>Z:\nemtode\general\website_mirrors\nematode.unl.edu_2022_09_21\acroen5.jpg</t>
  </si>
  <si>
    <t>Z:\nemtode\general\website_mirrors\nematode.unl.edu_2022_09_21\acroen6.jpg</t>
  </si>
  <si>
    <t>Z:\nemtode\general\website_mirrors\nematode.unl.edu_2022_09_21\acroen1.jpg</t>
  </si>
  <si>
    <t>Z:\nemtode\general\website_mirrors\nematode.unl.edu_2022_09_21\acroen7.jpg</t>
  </si>
  <si>
    <t>Z:\nemtode\general\website_mirrors\nematode.unl.edu_2022_09_21\acroen2.jpg</t>
  </si>
  <si>
    <t>Z:\nemtode\general\website_mirrors\nematode.unl.edu_2022_09_21\acroen3.jpg</t>
  </si>
  <si>
    <t>Z:\nemtode\general\website_mirrors\nematode.unl.edu_2022_09_21\acbuts3.jpg</t>
  </si>
  <si>
    <t>Z:\nemtode\general\website_mirrors\nematode.unl.edu_2022_09_21\acmax2.jpg</t>
  </si>
  <si>
    <t>Z:\nemtode\general\website_mirrors\nematode.unl.edu_2022_09_21\acbuts4.jpg</t>
  </si>
  <si>
    <t>Z:\nemtode\general\website_mirrors\nematode.unl.edu_2022_09_21\acbuts1.jpg</t>
  </si>
  <si>
    <t>Z:\nemtode\general\website_mirrors\nematode.unl.edu_2022_09_21\acbuts2.jpg</t>
  </si>
  <si>
    <t>Z:\nemtode\general\website_mirrors\nematode.unl.edu_2022_09_21\acmax1.jpg</t>
  </si>
  <si>
    <t>Z:\nemtode\general\website_mirrors\nematode.unl.edu_2022_09_21\acmi5.jpg</t>
  </si>
  <si>
    <t>Z:\nemtode\general\website_mirrors\nematode.unl.edu_2022_09_21\amino2.jpg</t>
  </si>
  <si>
    <t>Z:\nemtode\general\website_mirrors\nematode.unl.edu_2022_09_21\amino5.jpg</t>
  </si>
  <si>
    <t>Z:\nemtode\general\website_mirrors\nematode.unl.edu_2022_09_21\acmi1.jpg</t>
  </si>
  <si>
    <t>Z:\nemtode\general\website_mirrors\nematode.unl.edu_2022_09_21\amino1.jpg</t>
  </si>
  <si>
    <t>Z:\nemtode\general\website_mirrors\nematode.unl.edu_2022_09_21\acmi4.jpg</t>
  </si>
  <si>
    <t>Z:\nemtode\general\website_mirrors\nematode.unl.edu_2022_09_21\acmi2.jpg</t>
  </si>
  <si>
    <t>Z:\nemtode\general\website_mirrors\nematode.unl.edu_2022_09_21\amino4.jpg</t>
  </si>
  <si>
    <t>Z:\nemtode\general\website_mirrors\nematode.unl.edu_2022_09_21\acmi3.jpg</t>
  </si>
  <si>
    <t>Z:\nemtode\general\website_mirrors\nematode.unl.edu_2022_09_21\amino3.jpg</t>
  </si>
  <si>
    <t>Z:\nemtode\general\website_mirrors\nematode.unl.edu_2022_09_21\amino6.jpg</t>
  </si>
  <si>
    <t>Z:\nemtode\general\website_mirrors\nematode.unl.edu_2022_09_21\acrol1.jpg</t>
  </si>
  <si>
    <t>Z:\nemtode\general\website_mirrors\nematode.unl.edu_2022_09_21\acrolo1.jpg</t>
  </si>
  <si>
    <t>Z:\nemtode\general\website_mirrors\nematode.unl.edu_2022_09_21\acrolo3.jpg</t>
  </si>
  <si>
    <t>Z:\nemtode\general\website_mirrors\nematode.unl.edu_2022_09_21\acrol3.jpg</t>
  </si>
  <si>
    <t>Z:\nemtode\general\website_mirrors\nematode.unl.edu_2022_09_21\acrol2.jpg</t>
  </si>
  <si>
    <t>Z:\nemtode\general\website_mirrors\nematode.unl.edu_2022_09_21\acrolo2.jpg</t>
  </si>
  <si>
    <t>Z:\nemtode\general\website_mirrors\nematode.unl.edu_2022_09_21\acrolo4.jpg</t>
  </si>
  <si>
    <t>Z:\nemtode\general\website_mirrors\nematode.unl.edu_2022_09_21\aceph13.jpg</t>
  </si>
  <si>
    <t>Z:\nemtode\general\website_mirrors\nematode.unl.edu_2022_09_21\aceph16.jpg</t>
  </si>
  <si>
    <t>Z:\nemtode\general\website_mirrors\nematode.unl.edu_2022_09_21\aceph2.jpg</t>
  </si>
  <si>
    <t>Z:\nemtode\general\website_mirrors\nematode.unl.edu_2022_09_21\aceph4.jpg</t>
  </si>
  <si>
    <t>Z:\nemtode\general\website_mirrors\nematode.unl.edu_2022_09_21\aceph5.jpg</t>
  </si>
  <si>
    <t>Z:\nemtode\general\website_mirrors\nematode.unl.edu_2022_09_21\aceph6.jpg</t>
  </si>
  <si>
    <t>Z:\nemtode\general\website_mirrors\nematode.unl.edu_2022_09_21\aceph9.jpg</t>
  </si>
  <si>
    <t>Z:\nemtode\general\website_mirrors\nematode.unl.edu_2022_09_21\aceph1.jpg</t>
  </si>
  <si>
    <t>Z:\nemtode\general\website_mirrors\nematode.unl.edu_2022_09_21\aceph11.jpg</t>
  </si>
  <si>
    <t>Z:\nemtode\general\website_mirrors\nematode.unl.edu_2022_09_21\aceph12.jpg</t>
  </si>
  <si>
    <t>Z:\nemtode\general\website_mirrors\nematode.unl.edu_2022_09_21\aceph15.jpg</t>
  </si>
  <si>
    <t>Z:\nemtode\general\website_mirrors\nematode.unl.edu_2022_09_21\aceph3.jpg</t>
  </si>
  <si>
    <t>Z:\nemtode\general\website_mirrors\nematode.unl.edu_2022_09_21\aceph7.jpg</t>
  </si>
  <si>
    <t>Z:\nemtode\general\website_mirrors\nematode.unl.edu_2022_09_21\aceph8.jpg</t>
  </si>
  <si>
    <t>Z:\nemtode\general\website_mirrors\nematode.unl.edu_2022_09_21\aceph10.jpg</t>
  </si>
  <si>
    <t>Z:\nemtode\general\website_mirrors\nematode.unl.edu_2022_09_21\aceph14.jpg</t>
  </si>
  <si>
    <t>Z:\nemtode\general\website_mirrors\nematode.unl.edu_2022_09_21\cephal6.jpg</t>
  </si>
  <si>
    <t>Z:\nemtode\general\website_mirrors\nematode.unl.edu_2022_09_21\cepha10.jpg</t>
  </si>
  <si>
    <t>Z:\nemtode\general\website_mirrors\nematode.unl.edu_2022_09_21\cepha11.jpg</t>
  </si>
  <si>
    <t>Z:\nemtode\general\website_mirrors\nematode.unl.edu_2022_09_21\cepha14.jpg</t>
  </si>
  <si>
    <t>Z:\nemtode\general\website_mirrors\nematode.unl.edu_2022_09_21\cepha17.jpg</t>
  </si>
  <si>
    <t>Z:\nemtode\general\website_mirrors\nematode.unl.edu_2022_09_21\cepha2.jpg</t>
  </si>
  <si>
    <t>Z:\nemtode\general\website_mirrors\nematode.unl.edu_2022_09_21\cepha5.jpg</t>
  </si>
  <si>
    <t>Z:\nemtode\general\website_mirrors\nematode.unl.edu_2022_09_21\cephal2.jpg</t>
  </si>
  <si>
    <t>Z:\nemtode\general\website_mirrors\nematode.unl.edu_2022_09_21\cephal9.jpg</t>
  </si>
  <si>
    <t>Z:\nemtode\general\website_mirrors\nematode.unl.edu_2022_09_21\cephas1.jpg</t>
  </si>
  <si>
    <t>Z:\nemtode\general\website_mirrors\nematode.unl.edu_2022_09_21\cepha1.jpg</t>
  </si>
  <si>
    <t>Z:\nemtode\general\website_mirrors\nematode.unl.edu_2022_09_21\cephal1.jpg</t>
  </si>
  <si>
    <t>Z:\nemtode\general\website_mirrors\nematode.unl.edu_2022_09_21\cephal5.jpg</t>
  </si>
  <si>
    <t>Z:\nemtode\general\website_mirrors\nematode.unl.edu_2022_09_21\cepha9.jpg</t>
  </si>
  <si>
    <t>Z:\nemtode\general\website_mirrors\nematode.unl.edu_2022_09_21\cepha8.jpg</t>
  </si>
  <si>
    <t>Z:\nemtode\general\website_mirrors\nematode.unl.edu_2022_09_21\cepha12.jpg</t>
  </si>
  <si>
    <t>Z:\nemtode\general\website_mirrors\nematode.unl.edu_2022_09_21\cepha13.jpg</t>
  </si>
  <si>
    <t>Z:\nemtode\general\website_mirrors\nematode.unl.edu_2022_09_21\cepha16.jpg</t>
  </si>
  <si>
    <t>Z:\nemtode\general\website_mirrors\nematode.unl.edu_2022_09_21\cepha4.jpg</t>
  </si>
  <si>
    <t>Z:\nemtode\general\website_mirrors\nematode.unl.edu_2022_09_21\cepha6.jpg</t>
  </si>
  <si>
    <t>Z:\nemtode\general\website_mirrors\nematode.unl.edu_2022_09_21\cephal4.jpg</t>
  </si>
  <si>
    <t>Z:\nemtode\general\website_mirrors\nematode.unl.edu_2022_09_21\cephal8.jpg</t>
  </si>
  <si>
    <t>Z:\nemtode\general\website_mirrors\nematode.unl.edu_2022_09_21\cepha7.jpg</t>
  </si>
  <si>
    <t>Z:\nemtode\general\website_mirrors\nematode.unl.edu_2022_09_21\cepha15.jpg</t>
  </si>
  <si>
    <t>Z:\nemtode\general\website_mirrors\nematode.unl.edu_2022_09_21\cepha18.jpg</t>
  </si>
  <si>
    <t>Z:\nemtode\general\website_mirrors\nematode.unl.edu_2022_09_21\cepha19.jpg</t>
  </si>
  <si>
    <t>Z:\nemtode\general\website_mirrors\nematode.unl.edu_2022_09_21\cepha3.jpg</t>
  </si>
  <si>
    <t>Z:\nemtode\general\website_mirrors\nematode.unl.edu_2022_09_21\cephal10.jpg</t>
  </si>
  <si>
    <t>Z:\nemtode\general\website_mirrors\nematode.unl.edu_2022_09_21\cephal3.jpg</t>
  </si>
  <si>
    <t>Z:\nemtode\general\website_mirrors\nematode.unl.edu_2022_09_21\cephal7.jpg</t>
  </si>
  <si>
    <t>Z:\nemtode\general\website_mirrors\nematode.unl.edu_2022_09_21\cervid1.jpg</t>
  </si>
  <si>
    <t>Z:\nemtode\general\website_mirrors\nematode.unl.edu_2022_09_21\cervid2.jpg</t>
  </si>
  <si>
    <t>Z:\nemtode\general\website_mirrors\nematode.unl.edu_2022_09_21\cervid4.jpg</t>
  </si>
  <si>
    <t>Z:\nemtode\general\website_mirrors\nematode.unl.edu_2022_09_21\cervid3.jpg</t>
  </si>
  <si>
    <t>Z:\nemtode\general\website_mirrors\nematode.unl.edu_2022_09_21\cerser2.jpg</t>
  </si>
  <si>
    <t>Z:\nemtode\general\website_mirrors\nematode.unl.edu_2022_09_21\cserri1.jpg</t>
  </si>
  <si>
    <t>Z:\nemtode\general\website_mirrors\nematode.unl.edu_2022_09_21\cserri3.jpg</t>
  </si>
  <si>
    <t>Z:\nemtode\general\website_mirrors\nematode.unl.edu_2022_09_21\cerser1.jpg</t>
  </si>
  <si>
    <t>Z:\nemtode\general\website_mirrors\nematode.unl.edu_2022_09_21\cerser3.jpg</t>
  </si>
  <si>
    <t>Z:\nemtode\general\website_mirrors\nematode.unl.edu_2022_09_21\cserri2.jpg</t>
  </si>
  <si>
    <t>Z:\nemtode\general\website_mirrors\nematode.unl.edu_2022_09_21\cserri5.jpg</t>
  </si>
  <si>
    <t>Z:\nemtode\general\website_mirrors\nematode.unl.edu_2022_09_21\cserri4.jpg</t>
  </si>
  <si>
    <t>Z:\nemtode\general\website_mirrors\nematode.unl.edu_2022_09_21\chilo12.jpg</t>
  </si>
  <si>
    <t>Z:\nemtode\general\website_mirrors\nematode.unl.edu_2022_09_21\chilo3.jpg</t>
  </si>
  <si>
    <t>Z:\nemtode\general\website_mirrors\nematode.unl.edu_2022_09_21\chilo6.jpg</t>
  </si>
  <si>
    <t>Z:\nemtode\general\website_mirrors\nematode.unl.edu_2022_09_21\chilo8.jpg</t>
  </si>
  <si>
    <t>Z:\nemtode\general\website_mirrors\nematode.unl.edu_2022_09_21\chilo1.jpg</t>
  </si>
  <si>
    <t>Z:\nemtode\general\website_mirrors\nematode.unl.edu_2022_09_21\chilo5.jpg</t>
  </si>
  <si>
    <t>Z:\nemtode\general\website_mirrors\nematode.unl.edu_2022_09_21\chilo11.jpg</t>
  </si>
  <si>
    <t>Z:\nemtode\general\website_mirrors\nematode.unl.edu_2022_09_21\chilo13.jpg</t>
  </si>
  <si>
    <t>Z:\nemtode\general\website_mirrors\nematode.unl.edu_2022_09_21\chilo10.jpg</t>
  </si>
  <si>
    <t>Z:\nemtode\general\website_mirrors\nematode.unl.edu_2022_09_21\chilo4.jpg</t>
  </si>
  <si>
    <t>Z:\nemtode\general\website_mirrors\nematode.unl.edu_2022_09_21\chilo7.jpg</t>
  </si>
  <si>
    <t>Z:\nemtode\general\website_mirrors\nematode.unl.edu_2022_09_21\chilo2.jpg</t>
  </si>
  <si>
    <t>Z:\nemtode\general\website_mirrors\nematode.unl.edu_2022_09_21\chilo9.jpg</t>
  </si>
  <si>
    <t>Z:\nemtode\general\website_mirrors\nematode.unl.edu_2022_09_21\chilos13.jpg</t>
  </si>
  <si>
    <t>Z:\nemtode\general\website_mirrors\nematode.unl.edu_2022_09_21\chilos16.jpg</t>
  </si>
  <si>
    <t>Z:\nemtode\general\website_mirrors\nematode.unl.edu_2022_09_21\chilos19.jpg</t>
  </si>
  <si>
    <t>Z:\nemtode\general\website_mirrors\nematode.unl.edu_2022_09_21\chilos2.jpg</t>
  </si>
  <si>
    <t>Z:\nemtode\general\website_mirrors\nematode.unl.edu_2022_09_21\chilos20.jpg</t>
  </si>
  <si>
    <t>Z:\nemtode\general\website_mirrors\nematode.unl.edu_2022_09_21\chilos23.jpg</t>
  </si>
  <si>
    <t>Z:\nemtode\general\website_mirrors\nematode.unl.edu_2022_09_21\chilos26.jpg</t>
  </si>
  <si>
    <t>Z:\nemtode\general\website_mirrors\nematode.unl.edu_2022_09_21\chilos30.jpg</t>
  </si>
  <si>
    <t>Z:\nemtode\general\website_mirrors\nematode.unl.edu_2022_09_21\chilos35.jpg</t>
  </si>
  <si>
    <t>Z:\nemtode\general\website_mirrors\nematode.unl.edu_2022_09_21\chilos39.jpg</t>
  </si>
  <si>
    <t>Z:\nemtode\general\website_mirrors\nematode.unl.edu_2022_09_21\chilos44.jpg</t>
  </si>
  <si>
    <t>Z:\nemtode\general\website_mirrors\nematode.unl.edu_2022_09_21\chilos47.jpg</t>
  </si>
  <si>
    <t>Z:\nemtode\general\website_mirrors\nematode.unl.edu_2022_09_21\chilos22.jpg</t>
  </si>
  <si>
    <t>Z:\nemtode\general\website_mirrors\nematode.unl.edu_2022_09_21\chilos27.jpg</t>
  </si>
  <si>
    <t>Z:\nemtode\general\website_mirrors\nematode.unl.edu_2022_09_21\chilos42.jpg</t>
  </si>
  <si>
    <t>Z:\nemtode\general\website_mirrors\nematode.unl.edu_2022_09_21\chilos14.jpg</t>
  </si>
  <si>
    <t>Z:\nemtode\general\website_mirrors\nematode.unl.edu_2022_09_21\chilos28.jpg</t>
  </si>
  <si>
    <t>Z:\nemtode\general\website_mirrors\nematode.unl.edu_2022_09_21\chilos37.jpg</t>
  </si>
  <si>
    <t>Z:\nemtode\general\website_mirrors\nematode.unl.edu_2022_09_21\chilos43.jpg</t>
  </si>
  <si>
    <t>Z:\nemtode\general\website_mirrors\nematode.unl.edu_2022_09_21\chilos5.jpg</t>
  </si>
  <si>
    <t>Z:\nemtode\general\website_mirrors\nematode.unl.edu_2022_09_21\chilos9.jpg</t>
  </si>
  <si>
    <t>Z:\nemtode\general\website_mirrors\nematode.unl.edu_2022_09_21\chilos11.jpg</t>
  </si>
  <si>
    <t>Z:\nemtode\general\website_mirrors\nematode.unl.edu_2022_09_21\chilos33.jpg</t>
  </si>
  <si>
    <t>Z:\nemtode\general\website_mirrors\nematode.unl.edu_2022_09_21\chilos41.jpg</t>
  </si>
  <si>
    <t>Z:\nemtode\general\website_mirrors\nematode.unl.edu_2022_09_21\chilos21.jpg</t>
  </si>
  <si>
    <t>Z:\nemtode\general\website_mirrors\nematode.unl.edu_2022_09_21\chilos40.jpg</t>
  </si>
  <si>
    <t>Z:\nemtode\general\website_mirrors\nematode.unl.edu_2022_09_21\chilos7.jpg</t>
  </si>
  <si>
    <t>Z:\nemtode\general\website_mirrors\nematode.unl.edu_2022_09_21\chilos8.jpg</t>
  </si>
  <si>
    <t>Z:\nemtode\general\website_mirrors\nematode.unl.edu_2022_09_21\chilos36.jpg</t>
  </si>
  <si>
    <t>Z:\nemtode\general\website_mirrors\nematode.unl.edu_2022_09_21\chilos38.jpg</t>
  </si>
  <si>
    <t>Z:\nemtode\general\website_mirrors\nematode.unl.edu_2022_09_21\chilos1.jpg</t>
  </si>
  <si>
    <t>Z:\nemtode\general\website_mirrors\nematode.unl.edu_2022_09_21\chilos10.jpg</t>
  </si>
  <si>
    <t>Z:\nemtode\general\website_mirrors\nematode.unl.edu_2022_09_21\chilos15.jpg</t>
  </si>
  <si>
    <t>Z:\nemtode\general\website_mirrors\nematode.unl.edu_2022_09_21\chilos18.jpg</t>
  </si>
  <si>
    <t>Z:\nemtode\general\website_mirrors\nematode.unl.edu_2022_09_21\chilos24.jpg</t>
  </si>
  <si>
    <t>Z:\nemtode\general\website_mirrors\nematode.unl.edu_2022_09_21\chilos25.jpg</t>
  </si>
  <si>
    <t>Z:\nemtode\general\website_mirrors\nematode.unl.edu_2022_09_21\chilos3.jpg</t>
  </si>
  <si>
    <t>Z:\nemtode\general\website_mirrors\nematode.unl.edu_2022_09_21\chilos32.jpg</t>
  </si>
  <si>
    <t>Z:\nemtode\general\website_mirrors\nematode.unl.edu_2022_09_21\chilos34.jpg</t>
  </si>
  <si>
    <t>Z:\nemtode\general\website_mirrors\nematode.unl.edu_2022_09_21\chilos46.jpg</t>
  </si>
  <si>
    <t>Z:\nemtode\general\website_mirrors\nematode.unl.edu_2022_09_21\chilos6.jpg</t>
  </si>
  <si>
    <t>Z:\nemtode\general\website_mirrors\nematode.unl.edu_2022_09_21\chilos12.jpg</t>
  </si>
  <si>
    <t>Z:\nemtode\general\website_mirrors\nematode.unl.edu_2022_09_21\chilos17.jpg</t>
  </si>
  <si>
    <t>Z:\nemtode\general\website_mirrors\nematode.unl.edu_2022_09_21\chilos29.jpg</t>
  </si>
  <si>
    <t>Z:\nemtode\general\website_mirrors\nematode.unl.edu_2022_09_21\chilos31.jpg</t>
  </si>
  <si>
    <t>Z:\nemtode\general\website_mirrors\nematode.unl.edu_2022_09_21\chilos45.jpg</t>
  </si>
  <si>
    <t>Z:\nemtode\general\website_mirrors\nematode.unl.edu_2022_09_21\euox1.jpg</t>
  </si>
  <si>
    <t>Z:\nemtode\general\website_mirrors\nematode.unl.edu_2022_09_21\euox11.jpg</t>
  </si>
  <si>
    <t>Z:\nemtode\general\website_mirrors\nematode.unl.edu_2022_09_21\euox12.jpg</t>
  </si>
  <si>
    <t>Z:\nemtode\general\website_mirrors\nematode.unl.edu_2022_09_21\euox17.jpg</t>
  </si>
  <si>
    <t>Z:\nemtode\general\website_mirrors\nematode.unl.edu_2022_09_21\euox18.jpg</t>
  </si>
  <si>
    <t>Z:\nemtode\general\website_mirrors\nematode.unl.edu_2022_09_21\euox23.jpg</t>
  </si>
  <si>
    <t>Z:\nemtode\general\website_mirrors\nematode.unl.edu_2022_09_21\euox25.jpg</t>
  </si>
  <si>
    <t>Z:\nemtode\general\website_mirrors\nematode.unl.edu_2022_09_21\euox26.jpg</t>
  </si>
  <si>
    <t>Z:\nemtode\general\website_mirrors\nematode.unl.edu_2022_09_21\euox29.jpg</t>
  </si>
  <si>
    <t>Z:\nemtode\general\website_mirrors\nematode.unl.edu_2022_09_21\euox31.jpg</t>
  </si>
  <si>
    <t>Z:\nemtode\general\website_mirrors\nematode.unl.edu_2022_09_21\euox33.jpg</t>
  </si>
  <si>
    <t>Z:\nemtode\general\website_mirrors\nematode.unl.edu_2022_09_21\euox37.jpg</t>
  </si>
  <si>
    <t>Z:\nemtode\general\website_mirrors\nematode.unl.edu_2022_09_21\euox39.jpg</t>
  </si>
  <si>
    <t>Z:\nemtode\general\website_mirrors\nematode.unl.edu_2022_09_21\euox41.jpg</t>
  </si>
  <si>
    <t>Z:\nemtode\general\website_mirrors\nematode.unl.edu_2022_09_21\euox43.jpg</t>
  </si>
  <si>
    <t>Z:\nemtode\general\website_mirrors\nematode.unl.edu_2022_09_21\euox6.jpg</t>
  </si>
  <si>
    <t>Z:\nemtode\general\website_mirrors\nematode.unl.edu_2022_09_21\euox8.jpg</t>
  </si>
  <si>
    <t>Z:\nemtode\general\website_mirrors\nematode.unl.edu_2022_09_21\euox19.jpg</t>
  </si>
  <si>
    <t>Z:\nemtode\general\website_mirrors\nematode.unl.edu_2022_09_21\euox2.jpg</t>
  </si>
  <si>
    <t>Z:\nemtode\general\website_mirrors\nematode.unl.edu_2022_09_21\euox13.jpg</t>
  </si>
  <si>
    <t>Z:\nemtode\general\website_mirrors\nematode.unl.edu_2022_09_21\euox22.jpg</t>
  </si>
  <si>
    <t>Z:\nemtode\general\website_mirrors\nematode.unl.edu_2022_09_21\euox36.jpg</t>
  </si>
  <si>
    <t>Z:\nemtode\general\website_mirrors\nematode.unl.edu_2022_09_21\euox21.jpg</t>
  </si>
  <si>
    <t>Z:\nemtode\general\website_mirrors\nematode.unl.edu_2022_09_21\euox16.jpg</t>
  </si>
  <si>
    <t>Z:\nemtode\general\website_mirrors\nematode.unl.edu_2022_09_21\euox5.jpg</t>
  </si>
  <si>
    <t>Z:\nemtode\general\website_mirrors\nematode.unl.edu_2022_09_21\euox10.jpg</t>
  </si>
  <si>
    <t>Z:\nemtode\general\website_mirrors\nematode.unl.edu_2022_09_21\euox15.jpg</t>
  </si>
  <si>
    <t>Z:\nemtode\general\website_mirrors\nematode.unl.edu_2022_09_21\euox20.jpg</t>
  </si>
  <si>
    <t>Z:\nemtode\general\website_mirrors\nematode.unl.edu_2022_09_21\euox24.jpg</t>
  </si>
  <si>
    <t>Z:\nemtode\general\website_mirrors\nematode.unl.edu_2022_09_21\euox28.jpg</t>
  </si>
  <si>
    <t>Z:\nemtode\general\website_mirrors\nematode.unl.edu_2022_09_21\euox30.jpg</t>
  </si>
  <si>
    <t>Z:\nemtode\general\website_mirrors\nematode.unl.edu_2022_09_21\euox32.jpg</t>
  </si>
  <si>
    <t>Z:\nemtode\general\website_mirrors\nematode.unl.edu_2022_09_21\euox35.jpg</t>
  </si>
  <si>
    <t>Z:\nemtode\general\website_mirrors\nematode.unl.edu_2022_09_21\euox38.jpg</t>
  </si>
  <si>
    <t>Z:\nemtode\general\website_mirrors\nematode.unl.edu_2022_09_21\euox4.jpg</t>
  </si>
  <si>
    <t>Z:\nemtode\general\website_mirrors\nematode.unl.edu_2022_09_21\euox40.jpg</t>
  </si>
  <si>
    <t>Z:\nemtode\general\website_mirrors\nematode.unl.edu_2022_09_21\euox42.jpg</t>
  </si>
  <si>
    <t>Z:\nemtode\general\website_mirrors\nematode.unl.edu_2022_09_21\euox44.jpg</t>
  </si>
  <si>
    <t>Z:\nemtode\general\website_mirrors\nematode.unl.edu_2022_09_21\euox7.jpg</t>
  </si>
  <si>
    <t>Z:\nemtode\general\website_mirrors\nematode.unl.edu_2022_09_21\euox14.jpg</t>
  </si>
  <si>
    <t>Z:\nemtode\general\website_mirrors\nematode.unl.edu_2022_09_21\euox27.jpg</t>
  </si>
  <si>
    <t>Z:\nemtode\general\website_mirrors\nematode.unl.edu_2022_09_21\euox3.jpg</t>
  </si>
  <si>
    <t>Z:\nemtode\general\website_mirrors\nematode.unl.edu_2022_09_21\euox34.jpg</t>
  </si>
  <si>
    <t>Z:\nemtode\general\website_mirrors\nematode.unl.edu_2022_09_21\euox9.jpg</t>
  </si>
  <si>
    <t>Z:\nemtode\general\website_mirrors\nematode.unl.edu_2022_09_21\eustri2.jpg</t>
  </si>
  <si>
    <t>Z:\nemtode\general\website_mirrors\nematode.unl.edu_2022_09_21\eucest1.jpg</t>
  </si>
  <si>
    <t>Z:\nemtode\general\website_mirrors\nematode.unl.edu_2022_09_21\eucest3.jpg</t>
  </si>
  <si>
    <t>Z:\nemtode\general\website_mirrors\nematode.unl.edu_2022_09_21\eucest6.jpg</t>
  </si>
  <si>
    <t>Z:\nemtode\general\website_mirrors\nematode.unl.edu_2022_09_21\euspp1.jpg</t>
  </si>
  <si>
    <t>Z:\nemtode\general\website_mirrors\nematode.unl.edu_2022_09_21\eustri1.jpg</t>
  </si>
  <si>
    <t>Z:\nemtode\general\website_mirrors\nematode.unl.edu_2022_09_21\eustri10.jpg</t>
  </si>
  <si>
    <t>Z:\nemtode\general\website_mirrors\nematode.unl.edu_2022_09_21\eustri12.jpg</t>
  </si>
  <si>
    <t>Z:\nemtode\general\website_mirrors\nematode.unl.edu_2022_09_21\eustri13.jpg</t>
  </si>
  <si>
    <t>Z:\nemtode\general\website_mirrors\nematode.unl.edu_2022_09_21\eustri16.jpg</t>
  </si>
  <si>
    <t>Z:\nemtode\general\website_mirrors\nematode.unl.edu_2022_09_21\eustri19.jpg</t>
  </si>
  <si>
    <t>Z:\nemtode\general\website_mirrors\nematode.unl.edu_2022_09_21\eustri21.jpg</t>
  </si>
  <si>
    <t>Z:\nemtode\general\website_mirrors\nematode.unl.edu_2022_09_21\eustri22.jpg</t>
  </si>
  <si>
    <t>Z:\nemtode\general\website_mirrors\nematode.unl.edu_2022_09_21\eustri24.jpg</t>
  </si>
  <si>
    <t>Z:\nemtode\general\website_mirrors\nematode.unl.edu_2022_09_21\eustri25.jpg</t>
  </si>
  <si>
    <t>Z:\nemtode\general\website_mirrors\nematode.unl.edu_2022_09_21\eustri4.jpg</t>
  </si>
  <si>
    <t>Z:\nemtode\general\website_mirrors\nematode.unl.edu_2022_09_21\eustri18.jpg</t>
  </si>
  <si>
    <t>Z:\nemtode\general\website_mirrors\nematode.unl.edu_2022_09_21\eucest5.jpg</t>
  </si>
  <si>
    <t>Z:\nemtode\general\website_mirrors\nematode.unl.edu_2022_09_21\eustri20.jpg</t>
  </si>
  <si>
    <t>Z:\nemtode\general\website_mirrors\nematode.unl.edu_2022_09_21\eustri8.jpg</t>
  </si>
  <si>
    <t>Z:\nemtode\general\website_mirrors\nematode.unl.edu_2022_09_21\eucest4.jpg</t>
  </si>
  <si>
    <t>Z:\nemtode\general\website_mirrors\nematode.unl.edu_2022_09_21\eustri5.jpg</t>
  </si>
  <si>
    <t>Z:\nemtode\general\website_mirrors\nematode.unl.edu_2022_09_21\eucest2.jpg</t>
  </si>
  <si>
    <t>Z:\nemtode\general\website_mirrors\nematode.unl.edu_2022_09_21\eucest7.jpg</t>
  </si>
  <si>
    <t>Z:\nemtode\general\website_mirrors\nematode.unl.edu_2022_09_21\euspp2.jpg</t>
  </si>
  <si>
    <t>Z:\nemtode\general\website_mirrors\nematode.unl.edu_2022_09_21\eustri11.jpg</t>
  </si>
  <si>
    <t>Z:\nemtode\general\website_mirrors\nematode.unl.edu_2022_09_21\eustri15.jpg</t>
  </si>
  <si>
    <t>Z:\nemtode\general\website_mirrors\nematode.unl.edu_2022_09_21\eustri17.jpg</t>
  </si>
  <si>
    <t>Z:\nemtode\general\website_mirrors\nematode.unl.edu_2022_09_21\eustri23.jpg</t>
  </si>
  <si>
    <t>Z:\nemtode\general\website_mirrors\nematode.unl.edu_2022_09_21\eustri26.jpg</t>
  </si>
  <si>
    <t>Z:\nemtode\general\website_mirrors\nematode.unl.edu_2022_09_21\eustri27.jpg</t>
  </si>
  <si>
    <t>Z:\nemtode\general\website_mirrors\nematode.unl.edu_2022_09_21\eustri3.jpg</t>
  </si>
  <si>
    <t>Z:\nemtode\general\website_mirrors\nematode.unl.edu_2022_09_21\eustri6.jpg</t>
  </si>
  <si>
    <t>Z:\nemtode\general\website_mirrors\nematode.unl.edu_2022_09_21\eustri7.jpg</t>
  </si>
  <si>
    <t>Z:\nemtode\general\website_mirrors\nematode.unl.edu_2022_09_21\eustri9.jpg</t>
  </si>
  <si>
    <t>Z:\nemtode\general\website_mirrors\nematode.unl.edu_2022_09_21\eustri14.jpg</t>
  </si>
  <si>
    <t>Z:\nemtode\general\website_mirrors\nematode.unl.edu_2022_09_21\hetacep2.jpg</t>
  </si>
  <si>
    <t>Z:\nemtode\general\website_mirrors\nematode.unl.edu_2022_09_21\hetacep6.jpg</t>
  </si>
  <si>
    <t>Z:\nemtode\general\website_mirrors\nematode.unl.edu_2022_09_21\hetacep7.jpg</t>
  </si>
  <si>
    <t>Z:\nemtode\general\website_mirrors\nematode.unl.edu_2022_09_21\hetacep8.jpg</t>
  </si>
  <si>
    <t>Z:\nemtode\general\website_mirrors\nematode.unl.edu_2022_09_21\hetacep1.jpg</t>
  </si>
  <si>
    <t>Z:\nemtode\general\website_mirrors\nematode.unl.edu_2022_09_21\hetacep5.jpg</t>
  </si>
  <si>
    <t>Z:\nemtode\general\website_mirrors\nematode.unl.edu_2022_09_21\hetacep4.jpg</t>
  </si>
  <si>
    <t>Z:\nemtode\general\website_mirrors\nematode.unl.edu_2022_09_21\hetacep3.jpg</t>
  </si>
  <si>
    <t>Z:\nemtode\general\website_mirrors\nematode.unl.edu_2022_09_21\eucela1.jpg</t>
  </si>
  <si>
    <t>Z:\nemtode\general\website_mirrors\nematode.unl.edu_2022_09_21\eucep2.jpg</t>
  </si>
  <si>
    <t>Z:\nemtode\general\website_mirrors\nematode.unl.edu_2022_09_21\eucep4.jpg</t>
  </si>
  <si>
    <t>Z:\nemtode\general\website_mirrors\nematode.unl.edu_2022_09_21\eucep6.jpg</t>
  </si>
  <si>
    <t>Z:\nemtode\general\website_mirrors\nematode.unl.edu_2022_09_21\eucep1.jpg</t>
  </si>
  <si>
    <t>Z:\nemtode\general\website_mirrors\nematode.unl.edu_2022_09_21\euladraw.jpg</t>
  </si>
  <si>
    <t>Z:\nemtode\general\website_mirrors\nematode.unl.edu_2022_09_21\eucep7.jpg</t>
  </si>
  <si>
    <t>Z:\nemtode\general\website_mirrors\nematode.unl.edu_2022_09_21\eucep5.jpg</t>
  </si>
  <si>
    <t>Z:\nemtode\general\website_mirrors\nematode.unl.edu_2022_09_21\eucela2.jpg</t>
  </si>
  <si>
    <t>Z:\nemtode\general\website_mirrors\nematode.unl.edu_2022_09_21\eucep3.jpg</t>
  </si>
  <si>
    <t>Z:\nemtode\general\website_mirrors\nematode.unl.edu_2022_09_21\eucet1.jpg</t>
  </si>
  <si>
    <t>Z:\nemtode\general\website_mirrors\nematode.unl.edu_2022_09_21\eucet3.jpg</t>
  </si>
  <si>
    <t>Z:\nemtode\general\website_mirrors\nematode.unl.edu_2022_09_21\eula12.jpg</t>
  </si>
  <si>
    <t>Z:\nemtode\general\website_mirrors\nematode.unl.edu_2022_09_21\eula18.jpg</t>
  </si>
  <si>
    <t>Z:\nemtode\general\website_mirrors\nematode.unl.edu_2022_09_21\eula22.jpg</t>
  </si>
  <si>
    <t>Z:\nemtode\general\website_mirrors\nematode.unl.edu_2022_09_21\eula23.jpg</t>
  </si>
  <si>
    <t>Z:\nemtode\general\website_mirrors\nematode.unl.edu_2022_09_21\eula29.jpg</t>
  </si>
  <si>
    <t>Z:\nemtode\general\website_mirrors\nematode.unl.edu_2022_09_21\eula30.jpg</t>
  </si>
  <si>
    <t>Z:\nemtode\general\website_mirrors\nematode.unl.edu_2022_09_21\eula32.jpg</t>
  </si>
  <si>
    <t>Z:\nemtode\general\website_mirrors\nematode.unl.edu_2022_09_21\eula35.jpg</t>
  </si>
  <si>
    <t>Z:\nemtode\general\website_mirrors\nematode.unl.edu_2022_09_21\eula38.jpg</t>
  </si>
  <si>
    <t>Z:\nemtode\general\website_mirrors\nematode.unl.edu_2022_09_21\eula7.jpg</t>
  </si>
  <si>
    <t>Z:\nemtode\general\website_mirrors\nematode.unl.edu_2022_09_21\eula9.jpg</t>
  </si>
  <si>
    <t>Z:\nemtode\general\website_mirrors\nematode.unl.edu_2022_09_21\euter1.jpg</t>
  </si>
  <si>
    <t>Z:\nemtode\general\website_mirrors\nematode.unl.edu_2022_09_21\euter10.jpg</t>
  </si>
  <si>
    <t>Z:\nemtode\general\website_mirrors\nematode.unl.edu_2022_09_21\euter11.jpg</t>
  </si>
  <si>
    <t>Z:\nemtode\general\website_mirrors\nematode.unl.edu_2022_09_21\euter14.jpg</t>
  </si>
  <si>
    <t>Z:\nemtode\general\website_mirrors\nematode.unl.edu_2022_09_21\euter16.jpg</t>
  </si>
  <si>
    <t>Z:\nemtode\general\website_mirrors\nematode.unl.edu_2022_09_21\euter20.jpg</t>
  </si>
  <si>
    <t>Z:\nemtode\general\website_mirrors\nematode.unl.edu_2022_09_21\euter21.jpg</t>
  </si>
  <si>
    <t>Z:\nemtode\general\website_mirrors\nematode.unl.edu_2022_09_21\euter23.jpg</t>
  </si>
  <si>
    <t>Z:\nemtode\general\website_mirrors\nematode.unl.edu_2022_09_21\euter26.jpg</t>
  </si>
  <si>
    <t>Z:\nemtode\general\website_mirrors\nematode.unl.edu_2022_09_21\euter29.jpg</t>
  </si>
  <si>
    <t>Z:\nemtode\general\website_mirrors\nematode.unl.edu_2022_09_21\euter3.jpg</t>
  </si>
  <si>
    <t>Z:\nemtode\general\website_mirrors\nematode.unl.edu_2022_09_21\euter4.jpg</t>
  </si>
  <si>
    <t>Z:\nemtode\general\website_mirrors\nematode.unl.edu_2022_09_21\euter6.jpg</t>
  </si>
  <si>
    <t>Z:\nemtode\general\website_mirrors\nematode.unl.edu_2022_09_21\euter7.jpg</t>
  </si>
  <si>
    <t>Z:\nemtode\general\website_mirrors\nematode.unl.edu_2022_09_21\eucet4.jpg</t>
  </si>
  <si>
    <t>Z:\nemtode\general\website_mirrors\nematode.unl.edu_2022_09_21\euter28.jpg</t>
  </si>
  <si>
    <t>Z:\nemtode\general\website_mirrors\nematode.unl.edu_2022_09_21\eula11.jpg</t>
  </si>
  <si>
    <t>Z:\nemtode\general\website_mirrors\nematode.unl.edu_2022_09_21\eula16.jpg</t>
  </si>
  <si>
    <t>Z:\nemtode\general\website_mirrors\nematode.unl.edu_2022_09_21\eula17.jpg</t>
  </si>
  <si>
    <t>Z:\nemtode\general\website_mirrors\nematode.unl.edu_2022_09_21\eula25.jpg</t>
  </si>
  <si>
    <t>Z:\nemtode\general\website_mirrors\nematode.unl.edu_2022_09_21\eula34.jpg</t>
  </si>
  <si>
    <t>Z:\nemtode\general\website_mirrors\nematode.unl.edu_2022_09_21\euter15.jpg</t>
  </si>
  <si>
    <t>Z:\nemtode\general\website_mirrors\nematode.unl.edu_2022_09_21\euter18.jpg</t>
  </si>
  <si>
    <t>Z:\nemtode\general\website_mirrors\nematode.unl.edu_2022_09_21\eula26.jpg</t>
  </si>
  <si>
    <t>Z:\nemtode\general\website_mirrors\nematode.unl.edu_2022_09_21\eula6.jpg</t>
  </si>
  <si>
    <t>Z:\nemtode\general\website_mirrors\nematode.unl.edu_2022_09_21\euter12.jpg</t>
  </si>
  <si>
    <t>Z:\nemtode\general\website_mirrors\nematode.unl.edu_2022_09_21\euter5.jpg</t>
  </si>
  <si>
    <t>Z:\nemtode\general\website_mirrors\nematode.unl.edu_2022_09_21\euter24.jpg</t>
  </si>
  <si>
    <t>Z:\nemtode\general\website_mirrors\nematode.unl.edu_2022_09_21\eucet2.jpg</t>
  </si>
  <si>
    <t>Z:\nemtode\general\website_mirrors\nematode.unl.edu_2022_09_21\eula10.jpg</t>
  </si>
  <si>
    <t>Z:\nemtode\general\website_mirrors\nematode.unl.edu_2022_09_21\eula13.jpg</t>
  </si>
  <si>
    <t>Z:\nemtode\general\website_mirrors\nematode.unl.edu_2022_09_21\eula15.jpg</t>
  </si>
  <si>
    <t>Z:\nemtode\general\website_mirrors\nematode.unl.edu_2022_09_21\eula19.jpg</t>
  </si>
  <si>
    <t>Z:\nemtode\general\website_mirrors\nematode.unl.edu_2022_09_21\eula20.jpg</t>
  </si>
  <si>
    <t>Z:\nemtode\general\website_mirrors\nematode.unl.edu_2022_09_21\eula24.jpg</t>
  </si>
  <si>
    <t>Z:\nemtode\general\website_mirrors\nematode.unl.edu_2022_09_21\eula28.jpg</t>
  </si>
  <si>
    <t>Z:\nemtode\general\website_mirrors\nematode.unl.edu_2022_09_21\eula31.jpg</t>
  </si>
  <si>
    <t>Z:\nemtode\general\website_mirrors\nematode.unl.edu_2022_09_21\eula33.jpg</t>
  </si>
  <si>
    <t>Z:\nemtode\general\website_mirrors\nematode.unl.edu_2022_09_21\eula37.jpg</t>
  </si>
  <si>
    <t>Z:\nemtode\general\website_mirrors\nematode.unl.edu_2022_09_21\eula4.jpg</t>
  </si>
  <si>
    <t>Z:\nemtode\general\website_mirrors\nematode.unl.edu_2022_09_21\euter13.jpg</t>
  </si>
  <si>
    <t>Z:\nemtode\general\website_mirrors\nematode.unl.edu_2022_09_21\euter2.jpg</t>
  </si>
  <si>
    <t>Z:\nemtode\general\website_mirrors\nematode.unl.edu_2022_09_21\euter22.jpg</t>
  </si>
  <si>
    <t>Z:\nemtode\general\website_mirrors\nematode.unl.edu_2022_09_21\euter25.jpg</t>
  </si>
  <si>
    <t>Z:\nemtode\general\website_mirrors\nematode.unl.edu_2022_09_21\euter27.jpg</t>
  </si>
  <si>
    <t>Z:\nemtode\general\website_mirrors\nematode.unl.edu_2022_09_21\euter30.jpg</t>
  </si>
  <si>
    <t>Z:\nemtode\general\website_mirrors\nematode.unl.edu_2022_09_21\euter8.jpg</t>
  </si>
  <si>
    <t>Z:\nemtode\general\website_mirrors\nematode.unl.edu_2022_09_21\euter9.jpg</t>
  </si>
  <si>
    <t>Z:\nemtode\general\website_mirrors\nematode.unl.edu_2022_09_21\eula21.jpg</t>
  </si>
  <si>
    <t>Z:\nemtode\general\website_mirrors\nematode.unl.edu_2022_09_21\eula27.jpg</t>
  </si>
  <si>
    <t>Z:\nemtode\general\website_mirrors\nematode.unl.edu_2022_09_21\eula36.jpg</t>
  </si>
  <si>
    <t>Z:\nemtode\general\website_mirrors\nematode.unl.edu_2022_09_21\eula5.jpg</t>
  </si>
  <si>
    <t>Z:\nemtode\general\website_mirrors\nematode.unl.edu_2022_09_21\eula8.jpg</t>
  </si>
  <si>
    <t>Z:\nemtode\general\website_mirrors\nematode.unl.edu_2022_09_21\euter17.jpg</t>
  </si>
  <si>
    <t>Z:\nemtode\general\website_mirrors\nematode.unl.edu_2022_09_21\euter19.jpg</t>
  </si>
  <si>
    <t>Z:\nemtode\general\website_mirrors\nematode.unl.edu_2022_09_21\heterob2.jpg</t>
  </si>
  <si>
    <t>Z:\nemtode\general\website_mirrors\nematode.unl.edu_2022_09_21\heterob1.jpg</t>
  </si>
  <si>
    <t>Z:\nemtode\general\website_mirrors\nematode.unl.edu_2022_09_21\heterob4.jpg</t>
  </si>
  <si>
    <t>Z:\nemtode\general\website_mirrors\nematode.unl.edu_2022_09_21\heterob3.jpg</t>
  </si>
  <si>
    <t>Z:\nemtode\general\website_mirrors\nematode.unl.edu_2022_09_21\binaequa4.jpg</t>
  </si>
  <si>
    <t>Z:\nemtode\general\website_mirrors\nematode.unl.edu_2022_09_21\bakin11.jpg</t>
  </si>
  <si>
    <t>Z:\nemtode\general\website_mirrors\nematode.unl.edu_2022_09_21\bakin15.jpg</t>
  </si>
  <si>
    <t>Z:\nemtode\general\website_mirrors\nematode.unl.edu_2022_09_21\bakin2.jpg</t>
  </si>
  <si>
    <t>Z:\nemtode\general\website_mirrors\nematode.unl.edu_2022_09_21\bakin23.jpg</t>
  </si>
  <si>
    <t>Z:\nemtode\general\website_mirrors\nematode.unl.edu_2022_09_21\bakin8.jpg</t>
  </si>
  <si>
    <t>Z:\nemtode\general\website_mirrors\nematode.unl.edu_2022_09_21\binaequa10.jpg</t>
  </si>
  <si>
    <t>Z:\nemtode\general\website_mirrors\nematode.unl.edu_2022_09_21\binasm3.jpg</t>
  </si>
  <si>
    <t>Z:\nemtode\general\website_mirrors\nematode.unl.edu_2022_09_21\bakin17.jpg</t>
  </si>
  <si>
    <t>Z:\nemtode\general\website_mirrors\nematode.unl.edu_2022_09_21\binasm6.jpg</t>
  </si>
  <si>
    <t>Z:\nemtode\general\website_mirrors\nematode.unl.edu_2022_09_21\bakin6.jpg</t>
  </si>
  <si>
    <t>Z:\nemtode\general\website_mirrors\nematode.unl.edu_2022_09_21\bakin1.jpg</t>
  </si>
  <si>
    <t>Z:\nemtode\general\website_mirrors\nematode.unl.edu_2022_09_21\bakin10.jpg</t>
  </si>
  <si>
    <t>Z:\nemtode\general\website_mirrors\nematode.unl.edu_2022_09_21\bakin14.jpg</t>
  </si>
  <si>
    <t>Z:\nemtode\general\website_mirrors\nematode.unl.edu_2022_09_21\bakin22.jpg</t>
  </si>
  <si>
    <t>Z:\nemtode\general\website_mirrors\nematode.unl.edu_2022_09_21\bakin7.jpg</t>
  </si>
  <si>
    <t>Z:\nemtode\general\website_mirrors\nematode.unl.edu_2022_09_21\binaequa1.jpg</t>
  </si>
  <si>
    <t>Z:\nemtode\general\website_mirrors\nematode.unl.edu_2022_09_21\binaequa2.jpg</t>
  </si>
  <si>
    <t>Z:\nemtode\general\website_mirrors\nematode.unl.edu_2022_09_21\binaequa3.jpg</t>
  </si>
  <si>
    <t>Z:\nemtode\general\website_mirrors\nematode.unl.edu_2022_09_21\binaequa8.jpg</t>
  </si>
  <si>
    <t>Z:\nemtode\general\website_mirrors\nematode.unl.edu_2022_09_21\binaequa9.jpg</t>
  </si>
  <si>
    <t>Z:\nemtode\general\website_mirrors\nematode.unl.edu_2022_09_21\binasm1.jpg</t>
  </si>
  <si>
    <t>Z:\nemtode\general\website_mirrors\nematode.unl.edu_2022_09_21\binasm2.jpg</t>
  </si>
  <si>
    <t>Z:\nemtode\general\website_mirrors\nematode.unl.edu_2022_09_21\bakin26.jpg</t>
  </si>
  <si>
    <t>Z:\nemtode\general\website_mirrors\nematode.unl.edu_2022_09_21\bakin12.jpg</t>
  </si>
  <si>
    <t>Z:\nemtode\general\website_mirrors\nematode.unl.edu_2022_09_21\bakin13.jpg</t>
  </si>
  <si>
    <t>Z:\nemtode\general\website_mirrors\nematode.unl.edu_2022_09_21\binaequa7.jpg</t>
  </si>
  <si>
    <t>Z:\nemtode\general\website_mirrors\nematode.unl.edu_2022_09_21\binaequa5.jpg</t>
  </si>
  <si>
    <t>Z:\nemtode\general\website_mirrors\nematode.unl.edu_2022_09_21\binaequa13.jpg</t>
  </si>
  <si>
    <t>Z:\nemtode\general\website_mirrors\nematode.unl.edu_2022_09_21\bakin19.jpg</t>
  </si>
  <si>
    <t>Z:\nemtode\general\website_mirrors\nematode.unl.edu_2022_09_21\bakin20.jpg</t>
  </si>
  <si>
    <t>Z:\nemtode\general\website_mirrors\nematode.unl.edu_2022_09_21\bakin21.jpg</t>
  </si>
  <si>
    <t>Z:\nemtode\general\website_mirrors\nematode.unl.edu_2022_09_21\binaequa14.jpg</t>
  </si>
  <si>
    <t>Z:\nemtode\general\website_mirrors\nematode.unl.edu_2022_09_21\binaequa6.jpg</t>
  </si>
  <si>
    <t>Z:\nemtode\general\website_mirrors\nematode.unl.edu_2022_09_21\bakin16.jpg</t>
  </si>
  <si>
    <t>Z:\nemtode\general\website_mirrors\nematode.unl.edu_2022_09_21\bakin9.jpg</t>
  </si>
  <si>
    <t>Z:\nemtode\general\website_mirrors\nematode.unl.edu_2022_09_21\binaequa11.jpg</t>
  </si>
  <si>
    <t>Z:\nemtode\general\website_mirrors\nematode.unl.edu_2022_09_21\binasm4.jpg</t>
  </si>
  <si>
    <t>Z:\nemtode\general\website_mirrors\nematode.unl.edu_2022_09_21\binasm7.jpg</t>
  </si>
  <si>
    <t>Z:\nemtode\general\website_mirrors\nematode.unl.edu_2022_09_21\bakin18.jpg</t>
  </si>
  <si>
    <t>Z:\nemtode\general\website_mirrors\nematode.unl.edu_2022_09_21\bakin24.jpg</t>
  </si>
  <si>
    <t>Z:\nemtode\general\website_mirrors\nematode.unl.edu_2022_09_21\bakin25.jpg</t>
  </si>
  <si>
    <t>Z:\nemtode\general\website_mirrors\nematode.unl.edu_2022_09_21\bakin3.jpg</t>
  </si>
  <si>
    <t>Z:\nemtode\general\website_mirrors\nematode.unl.edu_2022_09_21\bakin4.jpg</t>
  </si>
  <si>
    <t>Z:\nemtode\general\website_mirrors\nematode.unl.edu_2022_09_21\bakin5.jpg</t>
  </si>
  <si>
    <t>Z:\nemtode\general\website_mirrors\nematode.unl.edu_2022_09_21\binaequa12.jpg</t>
  </si>
  <si>
    <t>Z:\nemtode\general\website_mirrors\nematode.unl.edu_2022_09_21\binaequa15.jpg</t>
  </si>
  <si>
    <t>Z:\nemtode\general\website_mirrors\nematode.unl.edu_2022_09_21\binasm5.jpg</t>
  </si>
  <si>
    <t>Z:\nemtode\general\website_mirrors\nematode.unl.edu_2022_09_21\cricsilver11.jpg</t>
  </si>
  <si>
    <t>Z:\nemtode\general\website_mirrors\nematode.unl.edu_2022_09_21\cricsilver6.jpg</t>
  </si>
  <si>
    <t>Z:\nemtode\general\website_mirrors\nematode.unl.edu_2022_09_21\cricsilver7.jpg</t>
  </si>
  <si>
    <t>Z:\nemtode\general\website_mirrors\nematode.unl.edu_2022_09_21\cricsilver9.jpg</t>
  </si>
  <si>
    <t>Z:\nemtode\general\website_mirrors\nematode.unl.edu_2022_09_21\cricomosno2.jpg</t>
  </si>
  <si>
    <t>Z:\nemtode\general\website_mirrors\nematode.unl.edu_2022_09_21\cricowar3.jpg</t>
  </si>
  <si>
    <t>Z:\nemtode\general\website_mirrors\nematode.unl.edu_2022_09_21\criloup2.jpg</t>
  </si>
  <si>
    <t>Z:\nemtode\general\website_mirrors\nematode.unl.edu_2022_09_21\discrismo2.jpg</t>
  </si>
  <si>
    <t>Z:\nemtode\general\website_mirrors\nematode.unl.edu_2022_09_21\discrismo3.jpg</t>
  </si>
  <si>
    <t>Z:\nemtode\general\website_mirrors\nematode.unl.edu_2022_09_21\cricomosno3.jpg</t>
  </si>
  <si>
    <t>Z:\nemtode\general\website_mirrors\nematode.unl.edu_2022_09_21\cricsilver12.jpg</t>
  </si>
  <si>
    <t>Z:\nemtode\general\website_mirrors\nematode.unl.edu_2022_09_21\discrismo4.jpg</t>
  </si>
  <si>
    <t>Z:\nemtode\general\website_mirrors\nematode.unl.edu_2022_09_21\cricomosno1.jpg</t>
  </si>
  <si>
    <t>Z:\nemtode\general\website_mirrors\nematode.unl.edu_2022_09_21\cricowar1.jpg</t>
  </si>
  <si>
    <t>Z:\nemtode\general\website_mirrors\nematode.unl.edu_2022_09_21\cricowar2.jpg</t>
  </si>
  <si>
    <t>Z:\nemtode\general\website_mirrors\nematode.unl.edu_2022_09_21\cricsilver1.jpg</t>
  </si>
  <si>
    <t>Z:\nemtode\general\website_mirrors\nematode.unl.edu_2022_09_21\cricsilver2.jpg</t>
  </si>
  <si>
    <t>Z:\nemtode\general\website_mirrors\nematode.unl.edu_2022_09_21\cricsilver4.jpg</t>
  </si>
  <si>
    <t>Z:\nemtode\general\website_mirrors\nematode.unl.edu_2022_09_21\cricsilver5.jpg</t>
  </si>
  <si>
    <t>Z:\nemtode\general\website_mirrors\nematode.unl.edu_2022_09_21\criloup1.jpg</t>
  </si>
  <si>
    <t>Z:\nemtode\general\website_mirrors\nematode.unl.edu_2022_09_21\discrismo1.jpg</t>
  </si>
  <si>
    <t>Z:\nemtode\general\website_mirrors\nematode.unl.edu_2022_09_21\cricomosno5.jpg</t>
  </si>
  <si>
    <t>Z:\nemtode\general\website_mirrors\nematode.unl.edu_2022_09_21\cricsilver10.jpg</t>
  </si>
  <si>
    <t>Z:\nemtode\general\website_mirrors\nematode.unl.edu_2022_09_21\cricsilver8.jpg</t>
  </si>
  <si>
    <t>Z:\nemtode\general\website_mirrors\nematode.unl.edu_2022_09_21\cricsilver3.jpg</t>
  </si>
  <si>
    <t>Z:\nemtode\general\website_mirrors\nematode.unl.edu_2022_09_21\cricomosno4.jpg</t>
  </si>
  <si>
    <t>Z:\nemtode\general\website_mirrors\nematode.unl.edu_2022_09_21\cricowar4.jpg</t>
  </si>
  <si>
    <t>Z:\nemtode\general\website_mirrors\nematode.unl.edu_2022_09_21\criloup3.jpg</t>
  </si>
  <si>
    <t>Z:\nemtode\general\website_mirrors\nematode.unl.edu_2022_09_21\discrismo5.jpg</t>
  </si>
  <si>
    <t>Z:\nemtode\general\website_mirrors\nematode.unl.edu_2022_09_21\cripew3.jpg</t>
  </si>
  <si>
    <t>Z:\nemtode\general\website_mirrors\nematode.unl.edu_2022_09_21\discrish3.jpg</t>
  </si>
  <si>
    <t>Z:\nemtode\general\website_mirrors\nematode.unl.edu_2022_09_21\discrish4.jpg</t>
  </si>
  <si>
    <t>Z:\nemtode\general\website_mirrors\nematode.unl.edu_2022_09_21\discrish7.jpg</t>
  </si>
  <si>
    <t>Z:\nemtode\general\website_mirrors\nematode.unl.edu_2022_09_21\cripew1.jpg</t>
  </si>
  <si>
    <t>Z:\nemtode\general\website_mirrors\nematode.unl.edu_2022_09_21\cripew2.jpg</t>
  </si>
  <si>
    <t>Z:\nemtode\general\website_mirrors\nematode.unl.edu_2022_09_21\discrish1.jpg</t>
  </si>
  <si>
    <t>Z:\nemtode\general\website_mirrors\nematode.unl.edu_2022_09_21\discrish2.jpg</t>
  </si>
  <si>
    <t>Z:\nemtode\general\website_mirrors\nematode.unl.edu_2022_09_21\cripew4.jpg</t>
  </si>
  <si>
    <t>Z:\nemtode\general\website_mirrors\nematode.unl.edu_2022_09_21\discrish5.jpg</t>
  </si>
  <si>
    <t>Z:\nemtode\general\website_mirrors\nematode.unl.edu_2022_09_21\discrish6.jpg</t>
  </si>
  <si>
    <t>Z:\nemtode\general\website_mirrors\nematode.unl.edu_2022_09_21\cripavo2.jpg</t>
  </si>
  <si>
    <t>Z:\nemtode\general\website_mirrors\nematode.unl.edu_2022_09_21\cripavo1.jpg</t>
  </si>
  <si>
    <t>Z:\nemtode\general\website_mirrors\nematode.unl.edu_2022_09_21\cripavo4.jpg</t>
  </si>
  <si>
    <t>Z:\nemtode\general\website_mirrors\nematode.unl.edu_2022_09_21\cripavo3.jpg</t>
  </si>
  <si>
    <t>Z:\nemtode\general\website_mirrors\nematode.unl.edu_2022_09_21\crispha11.jpg</t>
  </si>
  <si>
    <t>Z:\nemtode\general\website_mirrors\nematode.unl.edu_2022_09_21\crispha2.jpg</t>
  </si>
  <si>
    <t>Z:\nemtode\general\website_mirrors\nematode.unl.edu_2022_09_21\crispha7.jpg</t>
  </si>
  <si>
    <t>Z:\nemtode\general\website_mirrors\nematode.unl.edu_2022_09_21\crispi2.jpg</t>
  </si>
  <si>
    <t>Z:\nemtode\general\website_mirrors\nematode.unl.edu_2022_09_21\crispha14.jpg</t>
  </si>
  <si>
    <t>Z:\nemtode\general\website_mirrors\nematode.unl.edu_2022_09_21\crispha5.jpg</t>
  </si>
  <si>
    <t>Z:\nemtode\general\website_mirrors\nematode.unl.edu_2022_09_21\crispha9.jpg</t>
  </si>
  <si>
    <t>Z:\nemtode\general\website_mirrors\nematode.unl.edu_2022_09_21\crispha1.jpg</t>
  </si>
  <si>
    <t>Z:\nemtode\general\website_mirrors\nematode.unl.edu_2022_09_21\crispha10.jpg</t>
  </si>
  <si>
    <t>Z:\nemtode\general\website_mirrors\nematode.unl.edu_2022_09_21\crispha6.jpg</t>
  </si>
  <si>
    <t>Z:\nemtode\general\website_mirrors\nematode.unl.edu_2022_09_21\crispi1.jpg</t>
  </si>
  <si>
    <t>Z:\nemtode\general\website_mirrors\nematode.unl.edu_2022_09_21\crispi3.jpg</t>
  </si>
  <si>
    <t>Z:\nemtode\general\website_mirrors\nematode.unl.edu_2022_09_21\crispha12.jpg</t>
  </si>
  <si>
    <t>Z:\nemtode\general\website_mirrors\nematode.unl.edu_2022_09_21\crispha4.jpg</t>
  </si>
  <si>
    <t>Z:\nemtode\general\website_mirrors\nematode.unl.edu_2022_09_21\crispha13.jpg</t>
  </si>
  <si>
    <t>Z:\nemtode\general\website_mirrors\nematode.unl.edu_2022_09_21\crispha3.jpg</t>
  </si>
  <si>
    <t>Z:\nemtode\general\website_mirrors\nematode.unl.edu_2022_09_21\crispha8.jpg</t>
  </si>
  <si>
    <t>Z:\nemtode\general\website_mirrors\nematode.unl.edu_2022_09_21\cricoo2.jpg</t>
  </si>
  <si>
    <t>Z:\nemtode\general\website_mirrors\nematode.unl.edu_2022_09_21\cricoo1.jpg</t>
  </si>
  <si>
    <t>Z:\nemtode\general\website_mirrors\nematode.unl.edu_2022_09_21\cricoo3.jpg</t>
  </si>
  <si>
    <t>Z:\nemtode\general\website_mirrors\nematode.unl.edu_2022_09_21\nothocrif3.jpg</t>
  </si>
  <si>
    <t>Z:\nemtode\general\website_mirrors\nematode.unl.edu_2022_09_21\nothocrif7.jpg</t>
  </si>
  <si>
    <t>Z:\nemtode\general\website_mirrors\nematode.unl.edu_2022_09_21\cricomex2.jpg</t>
  </si>
  <si>
    <t>Z:\nemtode\general\website_mirrors\nematode.unl.edu_2022_09_21\cricomex5.jpg</t>
  </si>
  <si>
    <t>Z:\nemtode\general\website_mirrors\nematode.unl.edu_2022_09_21\cricomt10.jpg</t>
  </si>
  <si>
    <t>Z:\nemtode\general\website_mirrors\nematode.unl.edu_2022_09_21\cricomt14.jpg</t>
  </si>
  <si>
    <t>Z:\nemtode\general\website_mirrors\nematode.unl.edu_2022_09_21\cricomt18.jpg</t>
  </si>
  <si>
    <t>Z:\nemtode\general\website_mirrors\nematode.unl.edu_2022_09_21\cricomt2.jpg</t>
  </si>
  <si>
    <t>Z:\nemtode\general\website_mirrors\nematode.unl.edu_2022_09_21\cricomt6.jpg</t>
  </si>
  <si>
    <t>Z:\nemtode\general\website_mirrors\nematode.unl.edu_2022_09_21\nothocrif8.jpg</t>
  </si>
  <si>
    <t>Z:\nemtode\general\website_mirrors\nematode.unl.edu_2022_09_21\cricomex1.jpg</t>
  </si>
  <si>
    <t>Z:\nemtode\general\website_mirrors\nematode.unl.edu_2022_09_21\cricomex4.jpg</t>
  </si>
  <si>
    <t>Z:\nemtode\general\website_mirrors\nematode.unl.edu_2022_09_21\cricomt1.jpg</t>
  </si>
  <si>
    <t>Z:\nemtode\general\website_mirrors\nematode.unl.edu_2022_09_21\cricomt13.jpg</t>
  </si>
  <si>
    <t>Z:\nemtode\general\website_mirrors\nematode.unl.edu_2022_09_21\cricomt17.jpg</t>
  </si>
  <si>
    <t>Z:\nemtode\general\website_mirrors\nematode.unl.edu_2022_09_21\cricomt5.jpg</t>
  </si>
  <si>
    <t>Z:\nemtode\general\website_mirrors\nematode.unl.edu_2022_09_21\cricomt9.jpg</t>
  </si>
  <si>
    <t>Z:\nemtode\general\website_mirrors\nematode.unl.edu_2022_09_21\nothocrif1.jpg</t>
  </si>
  <si>
    <t>Z:\nemtode\general\website_mirrors\nematode.unl.edu_2022_09_21\nothocrif2.jpg</t>
  </si>
  <si>
    <t>Z:\nemtode\general\website_mirrors\nematode.unl.edu_2022_09_21\nothocrif5.jpg</t>
  </si>
  <si>
    <t>Z:\nemtode\general\website_mirrors\nematode.unl.edu_2022_09_21\nothocrif6.jpg</t>
  </si>
  <si>
    <t>Z:\nemtode\general\website_mirrors\nematode.unl.edu_2022_09_21\cricomex3.jpg</t>
  </si>
  <si>
    <t>Z:\nemtode\general\website_mirrors\nematode.unl.edu_2022_09_21\cricomt12.jpg</t>
  </si>
  <si>
    <t>Z:\nemtode\general\website_mirrors\nematode.unl.edu_2022_09_21\cricomt16.jpg</t>
  </si>
  <si>
    <t>Z:\nemtode\general\website_mirrors\nematode.unl.edu_2022_09_21\cricomt19.jpg</t>
  </si>
  <si>
    <t>Z:\nemtode\general\website_mirrors\nematode.unl.edu_2022_09_21\cricomt4.jpg</t>
  </si>
  <si>
    <t>Z:\nemtode\general\website_mirrors\nematode.unl.edu_2022_09_21\cricomt8.jpg</t>
  </si>
  <si>
    <t>Z:\nemtode\general\website_mirrors\nematode.unl.edu_2022_09_21\cricomex6.jpg</t>
  </si>
  <si>
    <t>Z:\nemtode\general\website_mirrors\nematode.unl.edu_2022_09_21\cricomt11.jpg</t>
  </si>
  <si>
    <t>Z:\nemtode\general\website_mirrors\nematode.unl.edu_2022_09_21\cricomt15.jpg</t>
  </si>
  <si>
    <t>Z:\nemtode\general\website_mirrors\nematode.unl.edu_2022_09_21\cricomt3.jpg</t>
  </si>
  <si>
    <t>Z:\nemtode\general\website_mirrors\nematode.unl.edu_2022_09_21\cricomt7.jpg</t>
  </si>
  <si>
    <t>Z:\nemtode\general\website_mirrors\nematode.unl.edu_2022_09_21\nothocrif4.jpg</t>
  </si>
  <si>
    <t>Z:\nemtode\general\website_mirrors\nematode.unl.edu_2022_09_21\nothocrif9.jpg</t>
  </si>
  <si>
    <t>Z:\nemtode\general\website_mirrors\nematode.unl.edu_2022_09_21\croidan9.jpg</t>
  </si>
  <si>
    <t>Z:\nemtode\general\website_mirrors\nematode.unl.edu_2022_09_21\croidan2.jpg</t>
  </si>
  <si>
    <t>Z:\nemtode\general\website_mirrors\nematode.unl.edu_2022_09_21\croidan4.jpg</t>
  </si>
  <si>
    <t>Z:\nemtode\general\website_mirrors\nematode.unl.edu_2022_09_21\croidan10.jpg</t>
  </si>
  <si>
    <t>Z:\nemtode\general\website_mirrors\nematode.unl.edu_2022_09_21\croidan1.jpg</t>
  </si>
  <si>
    <t>Z:\nemtode\general\website_mirrors\nematode.unl.edu_2022_09_21\croidan8.jpg</t>
  </si>
  <si>
    <t>Z:\nemtode\general\website_mirrors\nematode.unl.edu_2022_09_21\croidan3.jpg</t>
  </si>
  <si>
    <t>Z:\nemtode\general\website_mirrors\nematode.unl.edu_2022_09_21\croidan11.jpg</t>
  </si>
  <si>
    <t>Z:\nemtode\general\website_mirrors\nematode.unl.edu_2022_09_21\croidan7.jpg</t>
  </si>
  <si>
    <t>Z:\nemtode\general\website_mirrors\nematode.unl.edu_2022_09_21\croidan12.jpg</t>
  </si>
  <si>
    <t>Z:\nemtode\general\website_mirrors\nematode.unl.edu_2022_09_21\croidan5.jpg</t>
  </si>
  <si>
    <t>Z:\nemtode\general\website_mirrors\nematode.unl.edu_2022_09_21\croidan6.jpg</t>
  </si>
  <si>
    <t>Z:\nemtode\general\website_mirrors\nematode.unl.edu_2022_09_21\croidinfo3.jpg</t>
  </si>
  <si>
    <t>Z:\nemtode\general\website_mirrors\nematode.unl.edu_2022_09_21\croidinfo4.jpg</t>
  </si>
  <si>
    <t>Z:\nemtode\general\website_mirrors\nematode.unl.edu_2022_09_21\cricostamm3.jpg</t>
  </si>
  <si>
    <t>Z:\nemtode\general\website_mirrors\nematode.unl.edu_2022_09_21\crinfo2.jpg</t>
  </si>
  <si>
    <t>Z:\nemtode\general\website_mirrors\nematode.unl.edu_2022_09_21\croidinfo2.jpg</t>
  </si>
  <si>
    <t>Z:\nemtode\general\website_mirrors\nematode.unl.edu_2022_09_21\crinfo4.jpg</t>
  </si>
  <si>
    <t>Z:\nemtode\general\website_mirrors\nematode.unl.edu_2022_09_21\croidinfo5.jpg</t>
  </si>
  <si>
    <t>Z:\nemtode\general\website_mirrors\nematode.unl.edu_2022_09_21\croidinfo7.jpg</t>
  </si>
  <si>
    <t>Z:\nemtode\general\website_mirrors\nematode.unl.edu_2022_09_21\croidinfo8.jpg</t>
  </si>
  <si>
    <t>Z:\nemtode\general\website_mirrors\nematode.unl.edu_2022_09_21\cricostamm2.jpg</t>
  </si>
  <si>
    <t>Z:\nemtode\general\website_mirrors\nematode.unl.edu_2022_09_21\crinfo1.jpg</t>
  </si>
  <si>
    <t>Z:\nemtode\general\website_mirrors\nematode.unl.edu_2022_09_21\croidinfo1.jpg</t>
  </si>
  <si>
    <t>Z:\nemtode\general\website_mirrors\nematode.unl.edu_2022_09_21\cricostamm1.jpg</t>
  </si>
  <si>
    <t>Z:\nemtode\general\website_mirrors\nematode.unl.edu_2022_09_21\cricostamm4.jpg</t>
  </si>
  <si>
    <t>Z:\nemtode\general\website_mirrors\nematode.unl.edu_2022_09_21\crinfo3.jpg</t>
  </si>
  <si>
    <t>Z:\nemtode\general\website_mirrors\nematode.unl.edu_2022_09_21\croidinfo6.jpg</t>
  </si>
  <si>
    <t>Z:\nemtode\general\website_mirrors\nematode.unl.edu_2022_09_21\cricoide3.jpg</t>
  </si>
  <si>
    <t>Z:\nemtode\general\website_mirrors\nematode.unl.edu_2022_09_21\cricodel1.jpg</t>
  </si>
  <si>
    <t>Z:\nemtode\general\website_mirrors\nematode.unl.edu_2022_09_21\cricoide10.jpg</t>
  </si>
  <si>
    <t>Z:\nemtode\general\website_mirrors\nematode.unl.edu_2022_09_21\cricoide5.jpg</t>
  </si>
  <si>
    <t>Z:\nemtode\general\website_mirrors\nematode.unl.edu_2022_09_21\cricoide6.jpg</t>
  </si>
  <si>
    <t>Z:\nemtode\general\website_mirrors\nematode.unl.edu_2022_09_21\cricoide2.jpg</t>
  </si>
  <si>
    <t>Z:\nemtode\general\website_mirrors\nematode.unl.edu_2022_09_21\cricoide1.jpg</t>
  </si>
  <si>
    <t>Z:\nemtode\general\website_mirrors\nematode.unl.edu_2022_09_21\cricoide12.jpg</t>
  </si>
  <si>
    <t>Z:\nemtode\general\website_mirrors\nematode.unl.edu_2022_09_21\cricodel2.jpg</t>
  </si>
  <si>
    <t>Z:\nemtode\general\website_mirrors\nematode.unl.edu_2022_09_21\cricoide7.jpg</t>
  </si>
  <si>
    <t>Z:\nemtode\general\website_mirrors\nematode.unl.edu_2022_09_21\cricodel3.jpg</t>
  </si>
  <si>
    <t>Z:\nemtode\general\website_mirrors\nematode.unl.edu_2022_09_21\cricoide13.jpg</t>
  </si>
  <si>
    <t>Z:\nemtode\general\website_mirrors\nematode.unl.edu_2022_09_21\cricoide14.jpg</t>
  </si>
  <si>
    <t>Z:\nemtode\general\website_mirrors\nematode.unl.edu_2022_09_21\cricoide4.jpg</t>
  </si>
  <si>
    <t>Z:\nemtode\general\website_mirrors\nematode.unl.edu_2022_09_21\cricoide8.jpg</t>
  </si>
  <si>
    <t>Z:\nemtode\general\website_mirrors\nematode.unl.edu_2022_09_21\cricoide9.jpg</t>
  </si>
  <si>
    <t>Z:\nemtode\general\website_mirrors\nematode.unl.edu_2022_09_21\cricoide11.jpg</t>
  </si>
  <si>
    <t>Z:\nemtode\general\website_mirrors\nematode.unl.edu_2022_09_21\cricomo1.jpg</t>
  </si>
  <si>
    <t>Z:\nemtode\general\website_mirrors\nematode.unl.edu_2022_09_21\cricomo6.jpg</t>
  </si>
  <si>
    <t>Z:\nemtode\general\website_mirrors\nematode.unl.edu_2022_09_21\cricomo5.jpg</t>
  </si>
  <si>
    <t>Z:\nemtode\general\website_mirrors\nematode.unl.edu_2022_09_21\cricomo2.jpg</t>
  </si>
  <si>
    <t>Z:\nemtode\general\website_mirrors\nematode.unl.edu_2022_09_21\cricomo3.jpg</t>
  </si>
  <si>
    <t>Z:\nemtode\general\website_mirrors\nematode.unl.edu_2022_09_21\cricomo4.jpg</t>
  </si>
  <si>
    <t>Z:\nemtode\general\website_mirrors\nematode.unl.edu_2022_09_21\cricomo7.jpg</t>
  </si>
  <si>
    <t>Z:\nemtode\general\website_mirrors\nematode.unl.edu_2022_09_21\cricomo8.jpg</t>
  </si>
  <si>
    <t>Z:\nemtode\general\website_mirrors\nematode.unl.edu_2022_09_21\ogmaf5.jpg</t>
  </si>
  <si>
    <t>Z:\nemtode\general\website_mirrors\nematode.unl.edu_2022_09_21\crosson2.jpg</t>
  </si>
  <si>
    <t>Z:\nemtode\general\website_mirrors\nematode.unl.edu_2022_09_21\crosson6.jpg</t>
  </si>
  <si>
    <t>Z:\nemtode\general\website_mirrors\nematode.unl.edu_2022_09_21\ogmaf2.jpg</t>
  </si>
  <si>
    <t>Z:\nemtode\general\website_mirrors\nematode.unl.edu_2022_09_21\ogmaf3.jpg</t>
  </si>
  <si>
    <t>Z:\nemtode\general\website_mirrors\nematode.unl.edu_2022_09_21\ogmaf9.jpg</t>
  </si>
  <si>
    <t>Z:\nemtode\general\website_mirrors\nematode.unl.edu_2022_09_21\crosson1.jpg</t>
  </si>
  <si>
    <t>Z:\nemtode\general\website_mirrors\nematode.unl.edu_2022_09_21\ogmaf1.jpg</t>
  </si>
  <si>
    <t>Z:\nemtode\general\website_mirrors\nematode.unl.edu_2022_09_21\ogmaf12.jpg</t>
  </si>
  <si>
    <t>Z:\nemtode\general\website_mirrors\nematode.unl.edu_2022_09_21\ogmaf6.jpg</t>
  </si>
  <si>
    <t>Z:\nemtode\general\website_mirrors\nematode.unl.edu_2022_09_21\ogmaf7.jpg</t>
  </si>
  <si>
    <t>Z:\nemtode\general\website_mirrors\nematode.unl.edu_2022_09_21\ogmaf8.jpg</t>
  </si>
  <si>
    <t>Z:\nemtode\general\website_mirrors\nematode.unl.edu_2022_09_21\ogmaflo16.jpg</t>
  </si>
  <si>
    <t>Z:\nemtode\general\website_mirrors\nematode.unl.edu_2022_09_21\ogmaf10.jpg</t>
  </si>
  <si>
    <t>Z:\nemtode\general\website_mirrors\nematode.unl.edu_2022_09_21\crosson10.jpg</t>
  </si>
  <si>
    <t>Z:\nemtode\general\website_mirrors\nematode.unl.edu_2022_09_21\crosson11.jpg</t>
  </si>
  <si>
    <t>Z:\nemtode\general\website_mirrors\nematode.unl.edu_2022_09_21\crosson7.jpg</t>
  </si>
  <si>
    <t>Z:\nemtode\general\website_mirrors\nematode.unl.edu_2022_09_21\crosson8.jpg</t>
  </si>
  <si>
    <t>Z:\nemtode\general\website_mirrors\nematode.unl.edu_2022_09_21\crosson9.jpg</t>
  </si>
  <si>
    <t>Z:\nemtode\general\website_mirrors\nematode.unl.edu_2022_09_21\crosson3.jpg</t>
  </si>
  <si>
    <t>Z:\nemtode\general\website_mirrors\nematode.unl.edu_2022_09_21\crosson5.jpg</t>
  </si>
  <si>
    <t>Z:\nemtode\general\website_mirrors\nematode.unl.edu_2022_09_21\crosson4.jpg</t>
  </si>
  <si>
    <t>Z:\nemtode\general\website_mirrors\nematode.unl.edu_2022_09_21\ogmaf13.jpg</t>
  </si>
  <si>
    <t>Z:\nemtode\general\website_mirrors\nematode.unl.edu_2022_09_21\ogmaf4.jpg</t>
  </si>
  <si>
    <t>Z:\nemtode\general\website_mirrors\nematode.unl.edu_2022_09_21\ogmaf11.jpg</t>
  </si>
  <si>
    <t>Z:\nemtode\general\website_mirrors\nematode.unl.edu_2022_09_21\omenze15.jpg</t>
  </si>
  <si>
    <t>Z:\nemtode\general\website_mirrors\nematode.unl.edu_2022_09_21\omenze16.jpg</t>
  </si>
  <si>
    <t>Z:\nemtode\general\website_mirrors\nematode.unl.edu_2022_09_21\omenze3.jpg</t>
  </si>
  <si>
    <t>Z:\nemtode\general\website_mirrors\nematode.unl.edu_2022_09_21\omenze4.jpg</t>
  </si>
  <si>
    <t>Z:\nemtode\general\website_mirrors\nematode.unl.edu_2022_09_21\omenze5.jpg</t>
  </si>
  <si>
    <t>Z:\nemtode\general\website_mirrors\nematode.unl.edu_2022_09_21\ogmenze4.jpg</t>
  </si>
  <si>
    <t>Z:\nemtode\general\website_mirrors\nematode.unl.edu_2022_09_21\ogmenze5.jpg</t>
  </si>
  <si>
    <t>Z:\nemtode\general\website_mirrors\nematode.unl.edu_2022_09_21\omenze17.jpg</t>
  </si>
  <si>
    <t>Z:\nemtode\general\website_mirrors\nematode.unl.edu_2022_09_21\omenze21.jpg</t>
  </si>
  <si>
    <t>Z:\nemtode\general\website_mirrors\nematode.unl.edu_2022_09_21\omenze28.jpg</t>
  </si>
  <si>
    <t>Z:\nemtode\general\website_mirrors\nematode.unl.edu_2022_09_21\omenze29.jpg</t>
  </si>
  <si>
    <t>Z:\nemtode\general\website_mirrors\nematode.unl.edu_2022_09_21\ogmenze1.jpg</t>
  </si>
  <si>
    <t>Z:\nemtode\general\website_mirrors\nematode.unl.edu_2022_09_21\ogmenze2.jpg</t>
  </si>
  <si>
    <t>Z:\nemtode\general\website_mirrors\nematode.unl.edu_2022_09_21\ogmenze3.jpg</t>
  </si>
  <si>
    <t>Z:\nemtode\general\website_mirrors\nematode.unl.edu_2022_09_21\ogmenze6.jpg</t>
  </si>
  <si>
    <t>Z:\nemtode\general\website_mirrors\nematode.unl.edu_2022_09_21\omenze1.jpg</t>
  </si>
  <si>
    <t>Z:\nemtode\general\website_mirrors\nematode.unl.edu_2022_09_21\omenze13.jpg</t>
  </si>
  <si>
    <t>Z:\nemtode\general\website_mirrors\nematode.unl.edu_2022_09_21\omenze14.jpg</t>
  </si>
  <si>
    <t>Z:\nemtode\general\website_mirrors\nematode.unl.edu_2022_09_21\omenze19.jpg</t>
  </si>
  <si>
    <t>Z:\nemtode\general\website_mirrors\nematode.unl.edu_2022_09_21\omenze2.jpg</t>
  </si>
  <si>
    <t>Z:\nemtode\general\website_mirrors\nematode.unl.edu_2022_09_21\omenze20.jpg</t>
  </si>
  <si>
    <t>Z:\nemtode\general\website_mirrors\nematode.unl.edu_2022_09_21\omenze27.jpg</t>
  </si>
  <si>
    <t>Z:\nemtode\general\website_mirrors\nematode.unl.edu_2022_09_21\omenze6.jpg</t>
  </si>
  <si>
    <t>Z:\nemtode\general\website_mirrors\nematode.unl.edu_2022_09_21\omenze22.jpg</t>
  </si>
  <si>
    <t>Z:\nemtode\general\website_mirrors\nematode.unl.edu_2022_09_21\omenze23.jpg</t>
  </si>
  <si>
    <t>Z:\nemtode\general\website_mirrors\nematode.unl.edu_2022_09_21\omenze24.jpg</t>
  </si>
  <si>
    <t>Z:\nemtode\general\website_mirrors\nematode.unl.edu_2022_09_21\omenze25.jpg</t>
  </si>
  <si>
    <t>Z:\nemtode\general\website_mirrors\nematode.unl.edu_2022_09_21\omenze7.jpg</t>
  </si>
  <si>
    <t>Z:\nemtode\general\website_mirrors\nematode.unl.edu_2022_09_21\ogmenze7.jpg</t>
  </si>
  <si>
    <t>Z:\nemtode\general\website_mirrors\nematode.unl.edu_2022_09_21\omenze11.jpg</t>
  </si>
  <si>
    <t>Z:\nemtode\general\website_mirrors\nematode.unl.edu_2022_09_21\omenze18.jpg</t>
  </si>
  <si>
    <t>Z:\nemtode\general\website_mirrors\nematode.unl.edu_2022_09_21\omenze26.jpg</t>
  </si>
  <si>
    <t>Z:\nemtode\general\website_mirrors\nematode.unl.edu_2022_09_21\omenze30.jpg</t>
  </si>
  <si>
    <t>Z:\nemtode\general\website_mirrors\nematode.unl.edu_2022_09_21\omenze31.jpg</t>
  </si>
  <si>
    <t>Z:\nemtode\general\website_mirrors\nematode.unl.edu_2022_09_21\omenze10.jpg</t>
  </si>
  <si>
    <t>Z:\nemtode\general\website_mirrors\nematode.unl.edu_2022_09_21\omenze8.jpg</t>
  </si>
  <si>
    <t>Z:\nemtode\general\website_mirrors\nematode.unl.edu_2022_09_21\omenze9.jpg</t>
  </si>
  <si>
    <t>Z:\nemtode\general\website_mirrors\nematode.unl.edu_2022_09_21\omenze12.jpg</t>
  </si>
  <si>
    <t>Z:\nemtode\general\website_mirrors\nematode.unl.edu_2022_09_21\ogmaflo15.jpg</t>
  </si>
  <si>
    <t>Z:\nemtode\general\website_mirrors\nematode.unl.edu_2022_09_21\ogmaflo10.jpg</t>
  </si>
  <si>
    <t>Z:\nemtode\general\website_mirrors\nematode.unl.edu_2022_09_21\ogmaflo2.jpg</t>
  </si>
  <si>
    <t>Z:\nemtode\general\website_mirrors\nematode.unl.edu_2022_09_21\ogmaflo6.jpg</t>
  </si>
  <si>
    <t>Z:\nemtode\general\website_mirrors\nematode.unl.edu_2022_09_21\ogmaflo9.jpg</t>
  </si>
  <si>
    <t>Z:\nemtode\general\website_mirrors\nematode.unl.edu_2022_09_21\ogmaflo1.jpg</t>
  </si>
  <si>
    <t>Z:\nemtode\general\website_mirrors\nematode.unl.edu_2022_09_21\ogmaflo8.jpg</t>
  </si>
  <si>
    <t>Z:\nemtode\general\website_mirrors\nematode.unl.edu_2022_09_21\ogmaflo4.jpg</t>
  </si>
  <si>
    <t>Z:\nemtode\general\website_mirrors\nematode.unl.edu_2022_09_21\ogmaflo5.jpg</t>
  </si>
  <si>
    <t>Z:\nemtode\general\website_mirrors\nematode.unl.edu_2022_09_21\ogmaflo12.jpg</t>
  </si>
  <si>
    <t>Z:\nemtode\general\website_mirrors\nematode.unl.edu_2022_09_21\ogmaflo11.jpg</t>
  </si>
  <si>
    <t>Z:\nemtode\general\website_mirrors\nematode.unl.edu_2022_09_21\ogmaflo13.jpg</t>
  </si>
  <si>
    <t>Z:\nemtode\general\website_mirrors\nematode.unl.edu_2022_09_21\ogmaflo14.jpg</t>
  </si>
  <si>
    <t>Z:\nemtode\general\website_mirrors\nematode.unl.edu_2022_09_21\ogmaflo3.jpg</t>
  </si>
  <si>
    <t>Z:\nemtode\general\website_mirrors\nematode.unl.edu_2022_09_21\ogmaflo7.jpg</t>
  </si>
  <si>
    <t>Z:\nemtode\general\website_mirrors\nematode.unl.edu_2022_09_21\diskalsow8.jpg</t>
  </si>
  <si>
    <t>Z:\nemtode\general\website_mirrors\nematode.unl.edu_2022_09_21\diskalsow2.jpg</t>
  </si>
  <si>
    <t>Z:\nemtode\general\website_mirrors\nematode.unl.edu_2022_09_21\diskalsow3.jpg</t>
  </si>
  <si>
    <t>Z:\nemtode\general\website_mirrors\nematode.unl.edu_2022_09_21\diskalsow1.jpg</t>
  </si>
  <si>
    <t>Z:\nemtode\general\website_mirrors\nematode.unl.edu_2022_09_21\diskalsow6.jpg</t>
  </si>
  <si>
    <t>Z:\nemtode\general\website_mirrors\nematode.unl.edu_2022_09_21\diskalsow7.jpg</t>
  </si>
  <si>
    <t>Z:\nemtode\general\website_mirrors\nematode.unl.edu_2022_09_21\discinarcoll.jpg</t>
  </si>
  <si>
    <t>Z:\nemtode\general\website_mirrors\nematode.unl.edu_2022_09_21\discoinacoll.jpg</t>
  </si>
  <si>
    <t>Z:\nemtode\general\website_mirrors\nematode.unl.edu_2022_09_21\diskalsow5.jpg</t>
  </si>
  <si>
    <t>Z:\nemtode\general\website_mirrors\nematode.unl.edu_2022_09_21\diskalsow9.jpg</t>
  </si>
  <si>
    <t>Z:\nemtode\general\website_mirrors\nematode.unl.edu_2022_09_21\diskalsow4.jpg</t>
  </si>
  <si>
    <t>Z:\nemtode\general\website_mirrors\nematode.unl.edu_2022_09_21\crcricroc3.jpg</t>
  </si>
  <si>
    <t>Z:\nemtode\general\website_mirrors\nematode.unl.edu_2022_09_21\crcricroc12.jpg</t>
  </si>
  <si>
    <t>Z:\nemtode\general\website_mirrors\nematode.unl.edu_2022_09_21\crcricroc16.jpg</t>
  </si>
  <si>
    <t>Z:\nemtode\general\website_mirrors\nematode.unl.edu_2022_09_21\crcricroc19.jpg</t>
  </si>
  <si>
    <t>Z:\nemtode\general\website_mirrors\nematode.unl.edu_2022_09_21\crcricroc2.jpg</t>
  </si>
  <si>
    <t>Z:\nemtode\general\website_mirrors\nematode.unl.edu_2022_09_21\crcricroc26.jpg</t>
  </si>
  <si>
    <t>Z:\nemtode\general\website_mirrors\nematode.unl.edu_2022_09_21\crcricroc29.jpg</t>
  </si>
  <si>
    <t>Z:\nemtode\general\website_mirrors\nematode.unl.edu_2022_09_21\crcricroc32.jpg</t>
  </si>
  <si>
    <t>Z:\nemtode\general\website_mirrors\nematode.unl.edu_2022_09_21\discril13.jpg</t>
  </si>
  <si>
    <t>Z:\nemtode\general\website_mirrors\nematode.unl.edu_2022_09_21\discril16.jpg</t>
  </si>
  <si>
    <t>Z:\nemtode\general\website_mirrors\nematode.unl.edu_2022_09_21\discril19.jpg</t>
  </si>
  <si>
    <t>Z:\nemtode\general\website_mirrors\nematode.unl.edu_2022_09_21\discril2.jpg</t>
  </si>
  <si>
    <t>Z:\nemtode\general\website_mirrors\nematode.unl.edu_2022_09_21\discril21.jpg</t>
  </si>
  <si>
    <t>Z:\nemtode\general\website_mirrors\nematode.unl.edu_2022_09_21\discril22.jpg</t>
  </si>
  <si>
    <t>Z:\nemtode\general\website_mirrors\nematode.unl.edu_2022_09_21\discril9.jpg</t>
  </si>
  <si>
    <t>Z:\nemtode\general\website_mirrors\nematode.unl.edu_2022_09_21\crcricols1.jpg</t>
  </si>
  <si>
    <t>Z:\nemtode\general\website_mirrors\nematode.unl.edu_2022_09_21\crcricroc1.jpg</t>
  </si>
  <si>
    <t>Z:\nemtode\general\website_mirrors\nematode.unl.edu_2022_09_21\crcricroc10.jpg</t>
  </si>
  <si>
    <t>Z:\nemtode\general\website_mirrors\nematode.unl.edu_2022_09_21\crcricroc20.jpg</t>
  </si>
  <si>
    <t>Z:\nemtode\general\website_mirrors\nematode.unl.edu_2022_09_21\crcricroc23.jpg</t>
  </si>
  <si>
    <t>Z:\nemtode\general\website_mirrors\nematode.unl.edu_2022_09_21\crcricroc24.jpg</t>
  </si>
  <si>
    <t>Z:\nemtode\general\website_mirrors\nematode.unl.edu_2022_09_21\crcricroc25.jpg</t>
  </si>
  <si>
    <t>Z:\nemtode\general\website_mirrors\nematode.unl.edu_2022_09_21\crcricroc28.jpg</t>
  </si>
  <si>
    <t>Z:\nemtode\general\website_mirrors\nematode.unl.edu_2022_09_21\crcricroc31.jpg</t>
  </si>
  <si>
    <t>Z:\nemtode\general\website_mirrors\nematode.unl.edu_2022_09_21\crcricroc7.jpg</t>
  </si>
  <si>
    <t>Z:\nemtode\general\website_mirrors\nematode.unl.edu_2022_09_21\crcricroc8.jpg</t>
  </si>
  <si>
    <t>Z:\nemtode\general\website_mirrors\nematode.unl.edu_2022_09_21\crcricroc9.jpg</t>
  </si>
  <si>
    <t>Z:\nemtode\general\website_mirrors\nematode.unl.edu_2022_09_21\discril1.jpg</t>
  </si>
  <si>
    <t>Z:\nemtode\general\website_mirrors\nematode.unl.edu_2022_09_21\discril12.jpg</t>
  </si>
  <si>
    <t>Z:\nemtode\general\website_mirrors\nematode.unl.edu_2022_09_21\discril15.jpg</t>
  </si>
  <si>
    <t>Z:\nemtode\general\website_mirrors\nematode.unl.edu_2022_09_21\discril18.jpg</t>
  </si>
  <si>
    <t>Z:\nemtode\general\website_mirrors\nematode.unl.edu_2022_09_21\crcricroc13.jpg</t>
  </si>
  <si>
    <t>Z:\nemtode\general\website_mirrors\nematode.unl.edu_2022_09_21\crcricroc14.jpg</t>
  </si>
  <si>
    <t>Z:\nemtode\general\website_mirrors\nematode.unl.edu_2022_09_21\crcricroc17.jpg</t>
  </si>
  <si>
    <t>Z:\nemtode\general\website_mirrors\nematode.unl.edu_2022_09_21\crcricroc30.jpg</t>
  </si>
  <si>
    <t>Z:\nemtode\general\website_mirrors\nematode.unl.edu_2022_09_21\discril3.jpg</t>
  </si>
  <si>
    <t>Z:\nemtode\general\website_mirrors\nematode.unl.edu_2022_09_21\crcricroc11.jpg</t>
  </si>
  <si>
    <t>Z:\nemtode\general\website_mirrors\nematode.unl.edu_2022_09_21\crcricroc15.jpg</t>
  </si>
  <si>
    <t>Z:\nemtode\general\website_mirrors\nematode.unl.edu_2022_09_21\crcricroc18.jpg</t>
  </si>
  <si>
    <t>Z:\nemtode\general\website_mirrors\nematode.unl.edu_2022_09_21\crcricroc27.jpg</t>
  </si>
  <si>
    <t>Z:\nemtode\general\website_mirrors\nematode.unl.edu_2022_09_21\crcricroc33.jpg</t>
  </si>
  <si>
    <t>Z:\nemtode\general\website_mirrors\nematode.unl.edu_2022_09_21\crcricroc4.jpg</t>
  </si>
  <si>
    <t>Z:\nemtode\general\website_mirrors\nematode.unl.edu_2022_09_21\crcricroc5.jpg</t>
  </si>
  <si>
    <t>Z:\nemtode\general\website_mirrors\nematode.unl.edu_2022_09_21\crcricroc6.jpg</t>
  </si>
  <si>
    <t>Z:\nemtode\general\website_mirrors\nematode.unl.edu_2022_09_21\discril11.jpg</t>
  </si>
  <si>
    <t>Z:\nemtode\general\website_mirrors\nematode.unl.edu_2022_09_21\discril14.jpg</t>
  </si>
  <si>
    <t>Z:\nemtode\general\website_mirrors\nematode.unl.edu_2022_09_21\discril17.jpg</t>
  </si>
  <si>
    <t>Z:\nemtode\general\website_mirrors\nematode.unl.edu_2022_09_21\discril23.jpg</t>
  </si>
  <si>
    <t>Z:\nemtode\general\website_mirrors\nematode.unl.edu_2022_09_21\hemicriche6.jpg</t>
  </si>
  <si>
    <t>Z:\nemtode\general\website_mirrors\nematode.unl.edu_2022_09_21\hemicriche9.jpg</t>
  </si>
  <si>
    <t>Z:\nemtode\general\website_mirrors\nematode.unl.edu_2022_09_21\hemicraf2.jpg</t>
  </si>
  <si>
    <t>Z:\nemtode\general\website_mirrors\nematode.unl.edu_2022_09_21\hemicriche2.jpg</t>
  </si>
  <si>
    <t>Z:\nemtode\general\website_mirrors\nematode.unl.edu_2022_09_21\ogbold2.jpg</t>
  </si>
  <si>
    <t>Z:\nemtode\general\website_mirrors\nematode.unl.edu_2022_09_21\hemicraf1.jpg</t>
  </si>
  <si>
    <t>Z:\nemtode\general\website_mirrors\nematode.unl.edu_2022_09_21\hemicriche1.jpg</t>
  </si>
  <si>
    <t>Z:\nemtode\general\website_mirrors\nematode.unl.edu_2022_09_21\hemicriche4.jpg</t>
  </si>
  <si>
    <t>Z:\nemtode\general\website_mirrors\nematode.unl.edu_2022_09_21\ogbold1.jpg</t>
  </si>
  <si>
    <t>Z:\nemtode\general\website_mirrors\nematode.unl.edu_2022_09_21\hemicraf4.jpg</t>
  </si>
  <si>
    <t>Z:\nemtode\general\website_mirrors\nematode.unl.edu_2022_09_21\hemicriche5.jpg</t>
  </si>
  <si>
    <t>Z:\nemtode\general\website_mirrors\nematode.unl.edu_2022_09_21\hemicriche8.jpg</t>
  </si>
  <si>
    <t>Z:\nemtode\general\website_mirrors\nematode.unl.edu_2022_09_21\ogbold4.jpg</t>
  </si>
  <si>
    <t>Z:\nemtode\general\website_mirrors\nematode.unl.edu_2022_09_21\ogbold5.jpg</t>
  </si>
  <si>
    <t>Z:\nemtode\general\website_mirrors\nematode.unl.edu_2022_09_21\hemicraf3.jpg</t>
  </si>
  <si>
    <t>Z:\nemtode\general\website_mirrors\nematode.unl.edu_2022_09_21\hemicriche3.jpg</t>
  </si>
  <si>
    <t>Z:\nemtode\general\website_mirrors\nematode.unl.edu_2022_09_21\hemicriche7.jpg</t>
  </si>
  <si>
    <t>Z:\nemtode\general\website_mirrors\nematode.unl.edu_2022_09_21\ogbold3.jpg</t>
  </si>
  <si>
    <t>Z:\nemtode\general\website_mirrors\nematode.unl.edu_2022_09_21\ogbold6.jpg</t>
  </si>
  <si>
    <t>Z:\nemtode\general\website_mirrors\nematode.unl.edu_2022_09_21\lobocriche12.jpg</t>
  </si>
  <si>
    <t>Z:\nemtode\general\website_mirrors\nematode.unl.edu_2022_09_21\lobocriche13.jpg</t>
  </si>
  <si>
    <t>Z:\nemtode\general\website_mirrors\nematode.unl.edu_2022_09_21\lobocriche7.jpg</t>
  </si>
  <si>
    <t>Z:\nemtode\general\website_mirrors\nematode.unl.edu_2022_09_21\mesxen2.jpg</t>
  </si>
  <si>
    <t>Z:\nemtode\general\website_mirrors\nematode.unl.edu_2022_09_21\cricos2.jpg</t>
  </si>
  <si>
    <t>Z:\nemtode\general\website_mirrors\nematode.unl.edu_2022_09_21\cricos5.jpg</t>
  </si>
  <si>
    <t>Z:\nemtode\general\website_mirrors\nematode.unl.edu_2022_09_21\lobocriche11.jpg</t>
  </si>
  <si>
    <t>Z:\nemtode\general\website_mirrors\nematode.unl.edu_2022_09_21\lobocriche2.jpg</t>
  </si>
  <si>
    <t>Z:\nemtode\general\website_mirrors\nematode.unl.edu_2022_09_21\lobonine2.jpg</t>
  </si>
  <si>
    <t>Z:\nemtode\general\website_mirrors\nematode.unl.edu_2022_09_21\lobonine6.jpg</t>
  </si>
  <si>
    <t>Z:\nemtode\general\website_mirrors\nematode.unl.edu_2022_09_21\lobosauk2.jpg</t>
  </si>
  <si>
    <t>Z:\nemtode\general\website_mirrors\nematode.unl.edu_2022_09_21\lobosauk3.jpg</t>
  </si>
  <si>
    <t>Z:\nemtode\general\website_mirrors\nematode.unl.edu_2022_09_21\mesocriche17.jpg</t>
  </si>
  <si>
    <t>Z:\nemtode\general\website_mirrors\nematode.unl.edu_2022_09_21\mesocriche18.jpg</t>
  </si>
  <si>
    <t>Z:\nemtode\general\website_mirrors\nematode.unl.edu_2022_09_21\neolob3.jpg</t>
  </si>
  <si>
    <t>Z:\nemtode\general\website_mirrors\nematode.unl.edu_2022_09_21\cricos1.jpg</t>
  </si>
  <si>
    <t>Z:\nemtode\general\website_mirrors\nematode.unl.edu_2022_09_21\lobocriche1.jpg</t>
  </si>
  <si>
    <t>Z:\nemtode\general\website_mirrors\nematode.unl.edu_2022_09_21\lobocriche10.jpg</t>
  </si>
  <si>
    <t>Z:\nemtode\general\website_mirrors\nematode.unl.edu_2022_09_21\lobocriche8.jpg</t>
  </si>
  <si>
    <t>Z:\nemtode\general\website_mirrors\nematode.unl.edu_2022_09_21\lobonine1.jpg</t>
  </si>
  <si>
    <t>Z:\nemtode\general\website_mirrors\nematode.unl.edu_2022_09_21\lobonine5.jpg</t>
  </si>
  <si>
    <t>Z:\nemtode\general\website_mirrors\nematode.unl.edu_2022_09_21\lobonine8.jpg</t>
  </si>
  <si>
    <t>Z:\nemtode\general\website_mirrors\nematode.unl.edu_2022_09_21\lobosauk1.jpg</t>
  </si>
  <si>
    <t>Z:\nemtode\general\website_mirrors\nematode.unl.edu_2022_09_21\mesocriche16.jpg</t>
  </si>
  <si>
    <t>Z:\nemtode\general\website_mirrors\nematode.unl.edu_2022_09_21\mesocriche21.jpg</t>
  </si>
  <si>
    <t>Z:\nemtode\general\website_mirrors\nematode.unl.edu_2022_09_21\mesxen1.jpg</t>
  </si>
  <si>
    <t>Z:\nemtode\general\website_mirrors\nematode.unl.edu_2022_09_21\neolob1.jpg</t>
  </si>
  <si>
    <t>Z:\nemtode\general\website_mirrors\nematode.unl.edu_2022_09_21\neolob6.jpg</t>
  </si>
  <si>
    <t>Z:\nemtode\general\website_mirrors\nematode.unl.edu_2022_09_21\cricos4.jpg</t>
  </si>
  <si>
    <t>Z:\nemtode\general\website_mirrors\nematode.unl.edu_2022_09_21\cricos7.jpg</t>
  </si>
  <si>
    <t>Z:\nemtode\general\website_mirrors\nematode.unl.edu_2022_09_21\cricos8.jpg</t>
  </si>
  <si>
    <t>Z:\nemtode\general\website_mirrors\nematode.unl.edu_2022_09_21\lobocriche14.jpg</t>
  </si>
  <si>
    <t>Z:\nemtode\general\website_mirrors\nematode.unl.edu_2022_09_21\lobocriche9.jpg</t>
  </si>
  <si>
    <t>Z:\nemtode\general\website_mirrors\nematode.unl.edu_2022_09_21\lobonine4.jpg</t>
  </si>
  <si>
    <t>Z:\nemtode\general\website_mirrors\nematode.unl.edu_2022_09_21\neolob2.jpg</t>
  </si>
  <si>
    <t>Z:\nemtode\general\website_mirrors\nematode.unl.edu_2022_09_21\lobocriche15.jpg</t>
  </si>
  <si>
    <t>Z:\nemtode\general\website_mirrors\nematode.unl.edu_2022_09_21\lobocriche3.jpg</t>
  </si>
  <si>
    <t>Z:\nemtode\general\website_mirrors\nematode.unl.edu_2022_09_21\lobocriche4.jpg</t>
  </si>
  <si>
    <t>Z:\nemtode\general\website_mirrors\nematode.unl.edu_2022_09_21\neolob5.jpg</t>
  </si>
  <si>
    <t>Z:\nemtode\general\website_mirrors\nematode.unl.edu_2022_09_21\cricos3.jpg</t>
  </si>
  <si>
    <t>Z:\nemtode\general\website_mirrors\nematode.unl.edu_2022_09_21\cricos6.jpg</t>
  </si>
  <si>
    <t>Z:\nemtode\general\website_mirrors\nematode.unl.edu_2022_09_21\lobocriche5.jpg</t>
  </si>
  <si>
    <t>Z:\nemtode\general\website_mirrors\nematode.unl.edu_2022_09_21\lobonine3.jpg</t>
  </si>
  <si>
    <t>Z:\nemtode\general\website_mirrors\nematode.unl.edu_2022_09_21\lobonine7.jpg</t>
  </si>
  <si>
    <t>Z:\nemtode\general\website_mirrors\nematode.unl.edu_2022_09_21\lobosauk4.jpg</t>
  </si>
  <si>
    <t>Z:\nemtode\general\website_mirrors\nematode.unl.edu_2022_09_21\lobosauk5.jpg</t>
  </si>
  <si>
    <t>Z:\nemtode\general\website_mirrors\nematode.unl.edu_2022_09_21\mesocriche19.jpg</t>
  </si>
  <si>
    <t>Z:\nemtode\general\website_mirrors\nematode.unl.edu_2022_09_21\mesocriche20.jpg</t>
  </si>
  <si>
    <t>Z:\nemtode\general\website_mirrors\nematode.unl.edu_2022_09_21\mesxen3.jpg</t>
  </si>
  <si>
    <t>Z:\nemtode\general\website_mirrors\nematode.unl.edu_2022_09_21\mesxen4.jpg</t>
  </si>
  <si>
    <t>Z:\nemtode\general\website_mirrors\nematode.unl.edu_2022_09_21\neolob4.jpg</t>
  </si>
  <si>
    <t>Z:\nemtode\general\website_mirrors\nematode.unl.edu_2022_09_21\lobocriche6.jpg</t>
  </si>
  <si>
    <t>Z:\nemtode\general\website_mirrors\nematode.unl.edu_2022_09_21\mesinc4.jpg</t>
  </si>
  <si>
    <t>Z:\nemtode\general\website_mirrors\nematode.unl.edu_2022_09_21\mesinc1.jpg</t>
  </si>
  <si>
    <t>Z:\nemtode\general\website_mirrors\nematode.unl.edu_2022_09_21\mesinc2.jpg</t>
  </si>
  <si>
    <t>Z:\nemtode\general\website_mirrors\nematode.unl.edu_2022_09_21\mesinc3.jpg</t>
  </si>
  <si>
    <t>Z:\nemtode\general\website_mirrors\nematode.unl.edu_2022_09_21\mesinc5.jpg</t>
  </si>
  <si>
    <t>Z:\nemtode\general\website_mirrors\nematode.unl.edu_2022_09_21\mesinc6.jpg</t>
  </si>
  <si>
    <t>Z:\nemtode\general\website_mirrors\nematode.unl.edu_2022_09_21\mesinc7.jpg</t>
  </si>
  <si>
    <t>Z:\nemtode\general\website_mirrors\nematode.unl.edu_2022_09_21\lobocrith-cuticle.jpg</t>
  </si>
  <si>
    <t>Z:\nemtode\general\website_mirrors\nematode.unl.edu_2022_09_21\cric11.jpg</t>
  </si>
  <si>
    <t>Z:\nemtode\general\website_mirrors\nematode.unl.edu_2022_09_21\cric13.jpg</t>
  </si>
  <si>
    <t>Z:\nemtode\general\website_mirrors\nematode.unl.edu_2022_09_21\cric16.jpg</t>
  </si>
  <si>
    <t>Z:\nemtode\general\website_mirrors\nematode.unl.edu_2022_09_21\cric2.jpg</t>
  </si>
  <si>
    <t>Z:\nemtode\general\website_mirrors\nematode.unl.edu_2022_09_21\cric5.jpg</t>
  </si>
  <si>
    <t>Z:\nemtode\general\website_mirrors\nematode.unl.edu_2022_09_21\cric7.jpg</t>
  </si>
  <si>
    <t>Z:\nemtode\general\website_mirrors\nematode.unl.edu_2022_09_21\crisp2.jpg</t>
  </si>
  <si>
    <t>Z:\nemtode\general\website_mirrors\nematode.unl.edu_2022_09_21\crisp5.jpg</t>
  </si>
  <si>
    <t>Z:\nemtode\general\website_mirrors\nematode.unl.edu_2022_09_21\lobocrip3.jpg</t>
  </si>
  <si>
    <t>Z:\nemtode\general\website_mirrors\nematode.unl.edu_2022_09_21\cric14.jpg</t>
  </si>
  <si>
    <t>Z:\nemtode\general\website_mirrors\nematode.unl.edu_2022_09_21\cric8.jpg</t>
  </si>
  <si>
    <t>Z:\nemtode\general\website_mirrors\nematode.unl.edu_2022_09_21\cric9.jpg</t>
  </si>
  <si>
    <t>Z:\nemtode\general\website_mirrors\nematode.unl.edu_2022_09_21\cric1.jpg</t>
  </si>
  <si>
    <t>Z:\nemtode\general\website_mirrors\nematode.unl.edu_2022_09_21\cric10.jpg</t>
  </si>
  <si>
    <t>Z:\nemtode\general\website_mirrors\nematode.unl.edu_2022_09_21\cric15.jpg</t>
  </si>
  <si>
    <t>Z:\nemtode\general\website_mirrors\nematode.unl.edu_2022_09_21\cric4.jpg</t>
  </si>
  <si>
    <t>Z:\nemtode\general\website_mirrors\nematode.unl.edu_2022_09_21\crisp1.jpg</t>
  </si>
  <si>
    <t>Z:\nemtode\general\website_mirrors\nematode.unl.edu_2022_09_21\lobocrip1.jpg</t>
  </si>
  <si>
    <t>Z:\nemtode\general\website_mirrors\nematode.unl.edu_2022_09_21\lobocrip2.jpg</t>
  </si>
  <si>
    <t>Z:\nemtode\general\website_mirrors\nematode.unl.edu_2022_09_21\lobocrip6.jpg</t>
  </si>
  <si>
    <t>Z:\nemtode\general\website_mirrors\nematode.unl.edu_2022_09_21\lobocrith-bursa.jpg</t>
  </si>
  <si>
    <t>Z:\nemtode\general\website_mirrors\nematode.unl.edu_2022_09_21\crisp4.jpg</t>
  </si>
  <si>
    <t>Z:\nemtode\general\website_mirrors\nematode.unl.edu_2022_09_21\lobocrip4.jpg</t>
  </si>
  <si>
    <t>Z:\nemtode\general\website_mirrors\nematode.unl.edu_2022_09_21\cric12.jpg</t>
  </si>
  <si>
    <t>Z:\nemtode\general\website_mirrors\nematode.unl.edu_2022_09_21\cric17.jpg</t>
  </si>
  <si>
    <t>Z:\nemtode\general\website_mirrors\nematode.unl.edu_2022_09_21\cric3.jpg</t>
  </si>
  <si>
    <t>Z:\nemtode\general\website_mirrors\nematode.unl.edu_2022_09_21\cric6.jpg</t>
  </si>
  <si>
    <t>Z:\nemtode\general\website_mirrors\nematode.unl.edu_2022_09_21\crisp3.jpg</t>
  </si>
  <si>
    <t>Z:\nemtode\general\website_mirrors\nematode.unl.edu_2022_09_21\lobocrip5.jpg</t>
  </si>
  <si>
    <t>Z:\nemtode\general\website_mirrors\nematode.unl.edu_2022_09_21\macrosh1.jpg</t>
  </si>
  <si>
    <t>Z:\nemtode\general\website_mirrors\nematode.unl.edu_2022_09_21\macrosh10.jpg</t>
  </si>
  <si>
    <t>Z:\nemtode\general\website_mirrors\nematode.unl.edu_2022_09_21\macrosh2.jpg</t>
  </si>
  <si>
    <t>Z:\nemtode\general\website_mirrors\nematode.unl.edu_2022_09_21\macrosh6.jpg</t>
  </si>
  <si>
    <t>Z:\nemtode\general\website_mirrors\nematode.unl.edu_2022_09_21\macrosh5.jpg</t>
  </si>
  <si>
    <t>Z:\nemtode\general\website_mirrors\nematode.unl.edu_2022_09_21\macrosh12.jpg</t>
  </si>
  <si>
    <t>Z:\nemtode\general\website_mirrors\nematode.unl.edu_2022_09_21\macrosh11.jpg</t>
  </si>
  <si>
    <t>Z:\nemtode\general\website_mirrors\nematode.unl.edu_2022_09_21\macrosh13.jpg</t>
  </si>
  <si>
    <t>Z:\nemtode\general\website_mirrors\nematode.unl.edu_2022_09_21\macrosh3.jpg</t>
  </si>
  <si>
    <t>Z:\nemtode\general\website_mirrors\nematode.unl.edu_2022_09_21\macrosh4.jpg</t>
  </si>
  <si>
    <t>Z:\nemtode\general\website_mirrors\nematode.unl.edu_2022_09_21\macrosh7.jpg</t>
  </si>
  <si>
    <t>Z:\nemtode\general\website_mirrors\nematode.unl.edu_2022_09_21\macrosh8.jpg</t>
  </si>
  <si>
    <t>Z:\nemtode\general\website_mirrors\nematode.unl.edu_2022_09_21\macrosh9.jpg</t>
  </si>
  <si>
    <t>Z:\nemtode\general\website_mirrors\nematode.unl.edu_2022_09_21\macrop2.jpg</t>
  </si>
  <si>
    <t>Z:\nemtode\general\website_mirrors\nematode.unl.edu_2022_09_21\macrop5.jpg</t>
  </si>
  <si>
    <t>Z:\nemtode\general\website_mirrors\nematode.unl.edu_2022_09_21\macrop1.jpg</t>
  </si>
  <si>
    <t>Z:\nemtode\general\website_mirrors\nematode.unl.edu_2022_09_21\macrop4.jpg</t>
  </si>
  <si>
    <t>Z:\nemtode\general\website_mirrors\nematode.unl.edu_2022_09_21\macrop6.jpg</t>
  </si>
  <si>
    <t>Z:\nemtode\general\website_mirrors\nematode.unl.edu_2022_09_21\macrop3.jpg</t>
  </si>
  <si>
    <t>Z:\nemtode\general\website_mirrors\nematode.unl.edu_2022_09_21\crcricopex8.jpg</t>
  </si>
  <si>
    <t>Z:\nemtode\general\website_mirrors\nematode.unl.edu_2022_09_21\meschluc2.jpg</t>
  </si>
  <si>
    <t>Z:\nemtode\general\website_mirrors\nematode.unl.edu_2022_09_21\mesoboc4.jpg</t>
  </si>
  <si>
    <t>Z:\nemtode\general\website_mirrors\nematode.unl.edu_2022_09_21\mesogbend10.jpg</t>
  </si>
  <si>
    <t>Z:\nemtode\general\website_mirrors\nematode.unl.edu_2022_09_21\mesoxmon5.jpg</t>
  </si>
  <si>
    <t>Z:\nemtode\general\website_mirrors\nematode.unl.edu_2022_09_21\criconms10.jpg</t>
  </si>
  <si>
    <t>Z:\nemtode\general\website_mirrors\nematode.unl.edu_2022_09_21\criconms13.jpg</t>
  </si>
  <si>
    <t>Z:\nemtode\general\website_mirrors\nematode.unl.edu_2022_09_21\criconms2.jpg</t>
  </si>
  <si>
    <t>Z:\nemtode\general\website_mirrors\nematode.unl.edu_2022_09_21\criconms5.jpg</t>
  </si>
  <si>
    <t>Z:\nemtode\general\website_mirrors\nematode.unl.edu_2022_09_21\macwilliam3.jpg</t>
  </si>
  <si>
    <t>Z:\nemtode\general\website_mirrors\nematode.unl.edu_2022_09_21\mecki11.jpg</t>
  </si>
  <si>
    <t>Z:\nemtode\general\website_mirrors\nematode.unl.edu_2022_09_21\mecki15.jpg</t>
  </si>
  <si>
    <t>Z:\nemtode\general\website_mirrors\nematode.unl.edu_2022_09_21\mecki2.jpg</t>
  </si>
  <si>
    <t>Z:\nemtode\general\website_mirrors\nematode.unl.edu_2022_09_21\mecki6.jpg</t>
  </si>
  <si>
    <t>Z:\nemtode\general\website_mirrors\nematode.unl.edu_2022_09_21\meschluc6.jpg</t>
  </si>
  <si>
    <t>Z:\nemtode\general\website_mirrors\nematode.unl.edu_2022_09_21\meschluck3.jpg</t>
  </si>
  <si>
    <t>Z:\nemtode\general\website_mirrors\nematode.unl.edu_2022_09_21\mesoaps11.jpg</t>
  </si>
  <si>
    <t>Z:\nemtode\general\website_mirrors\nematode.unl.edu_2022_09_21\mesoaps2.jpg</t>
  </si>
  <si>
    <t>Z:\nemtode\general\website_mirrors\nematode.unl.edu_2022_09_21\mesoaps7.jpg</t>
  </si>
  <si>
    <t>Z:\nemtode\general\website_mirrors\nematode.unl.edu_2022_09_21\mesoc2.jpg</t>
  </si>
  <si>
    <t>Z:\nemtode\general\website_mirrors\nematode.unl.edu_2022_09_21\mesocumd3.jpg</t>
  </si>
  <si>
    <t>Z:\nemtode\general\website_mirrors\nematode.unl.edu_2022_09_21\mesodoos2.jpg</t>
  </si>
  <si>
    <t>Z:\nemtode\general\website_mirrors\nematode.unl.edu_2022_09_21\mesoflor2.jpg</t>
  </si>
  <si>
    <t>Z:\nemtode\general\website_mirrors\nematode.unl.edu_2022_09_21\mesogbend16.jpg</t>
  </si>
  <si>
    <t>Z:\nemtode\general\website_mirrors\nematode.unl.edu_2022_09_21\mesogbend2.jpg</t>
  </si>
  <si>
    <t>Z:\nemtode\general\website_mirrors\nematode.unl.edu_2022_09_21\mesogbend3.jpg</t>
  </si>
  <si>
    <t>Z:\nemtode\general\website_mirrors\nematode.unl.edu_2022_09_21\mesogbend8.jpg</t>
  </si>
  <si>
    <t>Z:\nemtode\general\website_mirrors\nematode.unl.edu_2022_09_21\mesogbend9.jpg</t>
  </si>
  <si>
    <t>Z:\nemtode\general\website_mirrors\nematode.unl.edu_2022_09_21\mesoroth11.jpg</t>
  </si>
  <si>
    <t>Z:\nemtode\general\website_mirrors\nematode.unl.edu_2022_09_21\mesoroth16.jpg</t>
  </si>
  <si>
    <t>Z:\nemtode\general\website_mirrors\nematode.unl.edu_2022_09_21\mesoroth19.jpg</t>
  </si>
  <si>
    <t>Z:\nemtode\general\website_mirrors\nematode.unl.edu_2022_09_21\mesoroth2.jpg</t>
  </si>
  <si>
    <t>Z:\nemtode\general\website_mirrors\nematode.unl.edu_2022_09_21\mesoroth21.jpg</t>
  </si>
  <si>
    <t>Z:\nemtode\general\website_mirrors\nematode.unl.edu_2022_09_21\mesoroth24.jpg</t>
  </si>
  <si>
    <t>Z:\nemtode\general\website_mirrors\nematode.unl.edu_2022_09_21\mesoroth7.jpg</t>
  </si>
  <si>
    <t>Z:\nemtode\general\website_mirrors\nematode.unl.edu_2022_09_21\mesoxmon2.jpg</t>
  </si>
  <si>
    <t>Z:\nemtode\general\website_mirrors\nematode.unl.edu_2022_09_21\mespring2.jpg</t>
  </si>
  <si>
    <t>Z:\nemtode\general\website_mirrors\nematode.unl.edu_2022_09_21\mexen2.jpg</t>
  </si>
  <si>
    <t>Z:\nemtode\general\website_mirrors\nematode.unl.edu_2022_09_21\mexenom2.jpg</t>
  </si>
  <si>
    <t>Z:\nemtode\general\website_mirrors\nematode.unl.edu_2022_09_21\mexenov2.jpg</t>
  </si>
  <si>
    <t>Z:\nemtode\general\website_mirrors\nematode.unl.edu_2022_09_21\mxenmile13.jpg</t>
  </si>
  <si>
    <t>Z:\nemtode\general\website_mirrors\nematode.unl.edu_2022_09_21\mecki4.jpg</t>
  </si>
  <si>
    <t>Z:\nemtode\general\website_mirrors\nematode.unl.edu_2022_09_21\mecki5.jpg</t>
  </si>
  <si>
    <t>Z:\nemtode\general\website_mirrors\nematode.unl.edu_2022_09_21\mesogbend4.jpg</t>
  </si>
  <si>
    <t>Z:\nemtode\general\website_mirrors\nematode.unl.edu_2022_09_21\meschluck6.jpg</t>
  </si>
  <si>
    <t>Z:\nemtode\general\website_mirrors\nematode.unl.edu_2022_09_21\criconms8.jpg</t>
  </si>
  <si>
    <t>Z:\nemtode\general\website_mirrors\nematode.unl.edu_2022_09_21\mecki8.jpg</t>
  </si>
  <si>
    <t>Z:\nemtode\general\website_mirrors\nematode.unl.edu_2022_09_21\mesoboc7.jpg</t>
  </si>
  <si>
    <t>Z:\nemtode\general\website_mirrors\nematode.unl.edu_2022_09_21\mesoboc8.jpg</t>
  </si>
  <si>
    <t>Z:\nemtode\general\website_mirrors\nematode.unl.edu_2022_09_21\mesoroth14.jpg</t>
  </si>
  <si>
    <t>Z:\nemtode\general\website_mirrors\nematode.unl.edu_2022_09_21\crcricopex1.jpg</t>
  </si>
  <si>
    <t>Z:\nemtode\general\website_mirrors\nematode.unl.edu_2022_09_21\crcricopex2.jpg</t>
  </si>
  <si>
    <t>Z:\nemtode\general\website_mirrors\nematode.unl.edu_2022_09_21\crcricopex5.jpg</t>
  </si>
  <si>
    <t>Z:\nemtode\general\website_mirrors\nematode.unl.edu_2022_09_21\crcricopex6.jpg</t>
  </si>
  <si>
    <t>Z:\nemtode\general\website_mirrors\nematode.unl.edu_2022_09_21\crcricopex7.jpg</t>
  </si>
  <si>
    <t>Z:\nemtode\general\website_mirrors\nematode.unl.edu_2022_09_21\crcricopin1.jpg</t>
  </si>
  <si>
    <t>Z:\nemtode\general\website_mirrors\nematode.unl.edu_2022_09_21\criconms1.jpg</t>
  </si>
  <si>
    <t>Z:\nemtode\general\website_mirrors\nematode.unl.edu_2022_09_21\criconms12.jpg</t>
  </si>
  <si>
    <t>Z:\nemtode\general\website_mirrors\nematode.unl.edu_2022_09_21\criconms4.jpg</t>
  </si>
  <si>
    <t>Z:\nemtode\general\website_mirrors\nematode.unl.edu_2022_09_21\criconms9.jpg</t>
  </si>
  <si>
    <t>Z:\nemtode\general\website_mirrors\nematode.unl.edu_2022_09_21\macwilliam1.jpg</t>
  </si>
  <si>
    <t>Z:\nemtode\general\website_mirrors\nematode.unl.edu_2022_09_21\macwilliam2.jpg</t>
  </si>
  <si>
    <t>Z:\nemtode\general\website_mirrors\nematode.unl.edu_2022_09_21\mecki1.jpg</t>
  </si>
  <si>
    <t>Z:\nemtode\general\website_mirrors\nematode.unl.edu_2022_09_21\mecki10.jpg</t>
  </si>
  <si>
    <t>Z:\nemtode\general\website_mirrors\nematode.unl.edu_2022_09_21\mecki13.jpg</t>
  </si>
  <si>
    <t>Z:\nemtode\general\website_mirrors\nematode.unl.edu_2022_09_21\mecki14.jpg</t>
  </si>
  <si>
    <t>Z:\nemtode\general\website_mirrors\nematode.unl.edu_2022_09_21\mecki17.jpg</t>
  </si>
  <si>
    <t>Z:\nemtode\general\website_mirrors\nematode.unl.edu_2022_09_21\meschluc1.jpg</t>
  </si>
  <si>
    <t>Z:\nemtode\general\website_mirrors\nematode.unl.edu_2022_09_21\meschluc5.jpg</t>
  </si>
  <si>
    <t>Z:\nemtode\general\website_mirrors\nematode.unl.edu_2022_09_21\meschluck2.jpg</t>
  </si>
  <si>
    <t>Z:\nemtode\general\website_mirrors\nematode.unl.edu_2022_09_21\meschluck5.jpg</t>
  </si>
  <si>
    <t>Z:\nemtode\general\website_mirrors\nematode.unl.edu_2022_09_21\mesoaps1.jpg</t>
  </si>
  <si>
    <t>Z:\nemtode\general\website_mirrors\nematode.unl.edu_2022_09_21\mesoaps10.jpg</t>
  </si>
  <si>
    <t>Z:\nemtode\general\website_mirrors\nematode.unl.edu_2022_09_21\mesoaps13.jpg</t>
  </si>
  <si>
    <t>Z:\nemtode\general\website_mirrors\nematode.unl.edu_2022_09_21\mesoaps5.jpg</t>
  </si>
  <si>
    <t>Z:\nemtode\general\website_mirrors\nematode.unl.edu_2022_09_21\mesoaps6.jpg</t>
  </si>
  <si>
    <t>Z:\nemtode\general\website_mirrors\nematode.unl.edu_2022_09_21\mesoboc1.jpg</t>
  </si>
  <si>
    <t>Z:\nemtode\general\website_mirrors\nematode.unl.edu_2022_09_21\mesoboc2.jpg</t>
  </si>
  <si>
    <t>Z:\nemtode\general\website_mirrors\nematode.unl.edu_2022_09_21\mesoboc5.jpg</t>
  </si>
  <si>
    <t>Z:\nemtode\general\website_mirrors\nematode.unl.edu_2022_09_21\mesoboc6.jpg</t>
  </si>
  <si>
    <t>Z:\nemtode\general\website_mirrors\nematode.unl.edu_2022_09_21\mesoc1.jpg</t>
  </si>
  <si>
    <t>Z:\nemtode\general\website_mirrors\nematode.unl.edu_2022_09_21\mesocriche1.jpg</t>
  </si>
  <si>
    <t>Z:\nemtode\general\website_mirrors\nematode.unl.edu_2022_09_21\mesocumd1.jpg</t>
  </si>
  <si>
    <t>Z:\nemtode\general\website_mirrors\nematode.unl.edu_2022_09_21\mesocumd2.jpg</t>
  </si>
  <si>
    <t>Z:\nemtode\general\website_mirrors\nematode.unl.edu_2022_09_21\mesocumd6.jpg</t>
  </si>
  <si>
    <t>Z:\nemtode\general\website_mirrors\nematode.unl.edu_2022_09_21\mesocumd7.jpg</t>
  </si>
  <si>
    <t>Z:\nemtode\general\website_mirrors\nematode.unl.edu_2022_09_21\mesodoos1.jpg</t>
  </si>
  <si>
    <t>Z:\nemtode\general\website_mirrors\nematode.unl.edu_2022_09_21\mesoflor1.jpg</t>
  </si>
  <si>
    <t>Z:\nemtode\general\website_mirrors\nematode.unl.edu_2022_09_21\mesogbend1.jpg</t>
  </si>
  <si>
    <t>Z:\nemtode\general\website_mirrors\nematode.unl.edu_2022_09_21\mesogbend14.jpg</t>
  </si>
  <si>
    <t>Z:\nemtode\general\website_mirrors\nematode.unl.edu_2022_09_21\mesogbend15.jpg</t>
  </si>
  <si>
    <t>Z:\nemtode\general\website_mirrors\nematode.unl.edu_2022_09_21\mesogbend20.jpg</t>
  </si>
  <si>
    <t>Z:\nemtode\general\website_mirrors\nematode.unl.edu_2022_09_21\mesogbend7.jpg</t>
  </si>
  <si>
    <t>Z:\nemtode\general\website_mirrors\nematode.unl.edu_2022_09_21\mesoroth1.jpg</t>
  </si>
  <si>
    <t>Z:\nemtode\general\website_mirrors\nematode.unl.edu_2022_09_21\mesoroth10.jpg</t>
  </si>
  <si>
    <t>Z:\nemtode\general\website_mirrors\nematode.unl.edu_2022_09_21\mesoroth15.jpg</t>
  </si>
  <si>
    <t>Z:\nemtode\general\website_mirrors\nematode.unl.edu_2022_09_21\mesoroth20.jpg</t>
  </si>
  <si>
    <t>Z:\nemtode\general\website_mirrors\nematode.unl.edu_2022_09_21\mesoroth6.jpg</t>
  </si>
  <si>
    <t>Z:\nemtode\general\website_mirrors\nematode.unl.edu_2022_09_21\mesoroth9.jpg</t>
  </si>
  <si>
    <t>Z:\nemtode\general\website_mirrors\nematode.unl.edu_2022_09_21\mesoxmon1.jpg</t>
  </si>
  <si>
    <t>Z:\nemtode\general\website_mirrors\nematode.unl.edu_2022_09_21\mesoxmon4.jpg</t>
  </si>
  <si>
    <t>Z:\nemtode\general\website_mirrors\nematode.unl.edu_2022_09_21\mespring1.jpg</t>
  </si>
  <si>
    <t>Z:\nemtode\general\website_mirrors\nematode.unl.edu_2022_09_21\mexen1.jpg</t>
  </si>
  <si>
    <t>Z:\nemtode\general\website_mirrors\nematode.unl.edu_2022_09_21\mexenom1.jpg</t>
  </si>
  <si>
    <t>Z:\nemtode\general\website_mirrors\nematode.unl.edu_2022_09_21\mexenov1.jpg</t>
  </si>
  <si>
    <t>Z:\nemtode\general\website_mirrors\nematode.unl.edu_2022_09_21\mxenmile11.jpg</t>
  </si>
  <si>
    <t>Z:\nemtode\general\website_mirrors\nematode.unl.edu_2022_09_21\mxenmile12.jpg</t>
  </si>
  <si>
    <t>Z:\nemtode\general\website_mirrors\nematode.unl.edu_2022_09_21\mxenmile15.jpg</t>
  </si>
  <si>
    <t>Z:\nemtode\general\website_mirrors\nematode.unl.edu_2022_09_21\criconms3.jpg</t>
  </si>
  <si>
    <t>Z:\nemtode\general\website_mirrors\nematode.unl.edu_2022_09_21\crcricopex3.jpg</t>
  </si>
  <si>
    <t>Z:\nemtode\general\website_mirrors\nematode.unl.edu_2022_09_21\crcricopin2.jpg</t>
  </si>
  <si>
    <t>Z:\nemtode\general\website_mirrors\nematode.unl.edu_2022_09_21\criconms15.jpg</t>
  </si>
  <si>
    <t>Z:\nemtode\general\website_mirrors\nematode.unl.edu_2022_09_21\criconms16.jpg</t>
  </si>
  <si>
    <t>Z:\nemtode\general\website_mirrors\nematode.unl.edu_2022_09_21\meschluc8.jpg</t>
  </si>
  <si>
    <t>Z:\nemtode\general\website_mirrors\nematode.unl.edu_2022_09_21\mesoflor4.jpg</t>
  </si>
  <si>
    <t>Z:\nemtode\general\website_mirrors\nematode.unl.edu_2022_09_21\mesogbend5.jpg</t>
  </si>
  <si>
    <t>Z:\nemtode\general\website_mirrors\nematode.unl.edu_2022_09_21\mesoroth26.jpg</t>
  </si>
  <si>
    <t>Z:\nemtode\general\website_mirrors\nematode.unl.edu_2022_09_21\macwilliam4.jpg</t>
  </si>
  <si>
    <t>Z:\nemtode\general\website_mirrors\nematode.unl.edu_2022_09_21\mesogbend21.jpg</t>
  </si>
  <si>
    <t>Z:\nemtode\general\website_mirrors\nematode.unl.edu_2022_09_21\mesoroth5.jpg</t>
  </si>
  <si>
    <t>Z:\nemtode\general\website_mirrors\nematode.unl.edu_2022_09_21\crcricopex4.jpg</t>
  </si>
  <si>
    <t>Z:\nemtode\general\website_mirrors\nematode.unl.edu_2022_09_21\mesoboc3.jpg</t>
  </si>
  <si>
    <t>Z:\nemtode\general\website_mirrors\nematode.unl.edu_2022_09_21\mesocumd5.jpg</t>
  </si>
  <si>
    <t>Z:\nemtode\general\website_mirrors\nematode.unl.edu_2022_09_21\mesoxmon6.jpg</t>
  </si>
  <si>
    <t>Z:\nemtode\general\website_mirrors\nematode.unl.edu_2022_09_21\mexenov3.jpg</t>
  </si>
  <si>
    <t>Z:\nemtode\general\website_mirrors\nematode.unl.edu_2022_09_21\criconms6.jpg</t>
  </si>
  <si>
    <t>Z:\nemtode\general\website_mirrors\nematode.unl.edu_2022_09_21\mesogbend17.jpg</t>
  </si>
  <si>
    <t>Z:\nemtode\general\website_mirrors\nematode.unl.edu_2022_09_21\criconms11.jpg</t>
  </si>
  <si>
    <t>Z:\nemtode\general\website_mirrors\nematode.unl.edu_2022_09_21\criconms14.jpg</t>
  </si>
  <si>
    <t>Z:\nemtode\general\website_mirrors\nematode.unl.edu_2022_09_21\criconms7.jpg</t>
  </si>
  <si>
    <t>Z:\nemtode\general\website_mirrors\nematode.unl.edu_2022_09_21\mecki12.jpg</t>
  </si>
  <si>
    <t>Z:\nemtode\general\website_mirrors\nematode.unl.edu_2022_09_21\mecki16.jpg</t>
  </si>
  <si>
    <t>Z:\nemtode\general\website_mirrors\nematode.unl.edu_2022_09_21\mecki3.jpg</t>
  </si>
  <si>
    <t>Z:\nemtode\general\website_mirrors\nematode.unl.edu_2022_09_21\mecki9.jpg</t>
  </si>
  <si>
    <t>Z:\nemtode\general\website_mirrors\nematode.unl.edu_2022_09_21\meschluc3.jpg</t>
  </si>
  <si>
    <t>Z:\nemtode\general\website_mirrors\nematode.unl.edu_2022_09_21\meschluc4.jpg</t>
  </si>
  <si>
    <t>Z:\nemtode\general\website_mirrors\nematode.unl.edu_2022_09_21\meschluc7.jpg</t>
  </si>
  <si>
    <t>Z:\nemtode\general\website_mirrors\nematode.unl.edu_2022_09_21\meschluc9.jpg</t>
  </si>
  <si>
    <t>Z:\nemtode\general\website_mirrors\nematode.unl.edu_2022_09_21\meschluck4.jpg</t>
  </si>
  <si>
    <t>Z:\nemtode\general\website_mirrors\nematode.unl.edu_2022_09_21\mesoaps12.jpg</t>
  </si>
  <si>
    <t>Z:\nemtode\general\website_mirrors\nematode.unl.edu_2022_09_21\mesoaps3.jpg</t>
  </si>
  <si>
    <t>Z:\nemtode\general\website_mirrors\nematode.unl.edu_2022_09_21\mesoaps4.jpg</t>
  </si>
  <si>
    <t>Z:\nemtode\general\website_mirrors\nematode.unl.edu_2022_09_21\mesoaps8.jpg</t>
  </si>
  <si>
    <t>Z:\nemtode\general\website_mirrors\nematode.unl.edu_2022_09_21\mesoaps9.jpg</t>
  </si>
  <si>
    <t>Z:\nemtode\general\website_mirrors\nematode.unl.edu_2022_09_21\mesocumd4.jpg</t>
  </si>
  <si>
    <t>Z:\nemtode\general\website_mirrors\nematode.unl.edu_2022_09_21\mesoflor3.jpg</t>
  </si>
  <si>
    <t>Z:\nemtode\general\website_mirrors\nematode.unl.edu_2022_09_21\mesogbend11.jpg</t>
  </si>
  <si>
    <t>Z:\nemtode\general\website_mirrors\nematode.unl.edu_2022_09_21\mesogbend12.jpg</t>
  </si>
  <si>
    <t>Z:\nemtode\general\website_mirrors\nematode.unl.edu_2022_09_21\mesogbend13.jpg</t>
  </si>
  <si>
    <t>Z:\nemtode\general\website_mirrors\nematode.unl.edu_2022_09_21\mesogbend18.jpg</t>
  </si>
  <si>
    <t>Z:\nemtode\general\website_mirrors\nematode.unl.edu_2022_09_21\mesogbend6.jpg</t>
  </si>
  <si>
    <t>Z:\nemtode\general\website_mirrors\nematode.unl.edu_2022_09_21\mesoroth12.jpg</t>
  </si>
  <si>
    <t>Z:\nemtode\general\website_mirrors\nematode.unl.edu_2022_09_21\mesoroth22.jpg</t>
  </si>
  <si>
    <t>Z:\nemtode\general\website_mirrors\nematode.unl.edu_2022_09_21\mesoroth25.jpg</t>
  </si>
  <si>
    <t>Z:\nemtode\general\website_mirrors\nematode.unl.edu_2022_09_21\mesoroth3.jpg</t>
  </si>
  <si>
    <t>Z:\nemtode\general\website_mirrors\nematode.unl.edu_2022_09_21\mesoroth8.jpg</t>
  </si>
  <si>
    <t>Z:\nemtode\general\website_mirrors\nematode.unl.edu_2022_09_21\mesoxmon3.jpg</t>
  </si>
  <si>
    <t>Z:\nemtode\general\website_mirrors\nematode.unl.edu_2022_09_21\mespring3.jpg</t>
  </si>
  <si>
    <t>Z:\nemtode\general\website_mirrors\nematode.unl.edu_2022_09_21\mexen3.jpg</t>
  </si>
  <si>
    <t>Z:\nemtode\general\website_mirrors\nematode.unl.edu_2022_09_21\mexenom3.jpg</t>
  </si>
  <si>
    <t>Z:\nemtode\general\website_mirrors\nematode.unl.edu_2022_09_21\mxenmile10.jpg</t>
  </si>
  <si>
    <t>Z:\nemtode\general\website_mirrors\nematode.unl.edu_2022_09_21\mxenmile14.jpg</t>
  </si>
  <si>
    <t>Z:\nemtode\general\website_mirrors\nematode.unl.edu_2022_09_21\macwilliam6.jpg</t>
  </si>
  <si>
    <t>Z:\nemtode\general\website_mirrors\nematode.unl.edu_2022_09_21\mecki7.jpg</t>
  </si>
  <si>
    <t>Z:\nemtode\general\website_mirrors\nematode.unl.edu_2022_09_21\mesogbend19.jpg</t>
  </si>
  <si>
    <t>Z:\nemtode\general\website_mirrors\nematode.unl.edu_2022_09_21\mesoroth13.jpg</t>
  </si>
  <si>
    <t>Z:\nemtode\general\website_mirrors\nematode.unl.edu_2022_09_21\mesoroth17.jpg</t>
  </si>
  <si>
    <t>Z:\nemtode\general\website_mirrors\nematode.unl.edu_2022_09_21\mesoroth18.jpg</t>
  </si>
  <si>
    <t>Z:\nemtode\general\website_mirrors\nematode.unl.edu_2022_09_21\mesoroth23.jpg</t>
  </si>
  <si>
    <t>Z:\nemtode\general\website_mirrors\nematode.unl.edu_2022_09_21\mesoroth4.jpg</t>
  </si>
  <si>
    <t>Z:\nemtode\general\website_mirrors\nematode.unl.edu_2022_09_21\crcricops1.jpg</t>
  </si>
  <si>
    <t>Z:\nemtode\general\website_mirrors\nematode.unl.edu_2022_09_21\crcricops3.jpg</t>
  </si>
  <si>
    <t>Z:\nemtode\general\website_mirrors\nematode.unl.edu_2022_09_21\crcricops2.jpg</t>
  </si>
  <si>
    <t>Z:\nemtode\general\website_mirrors\nematode.unl.edu_2022_09_21\crcricops4.jpg</t>
  </si>
  <si>
    <t>Z:\nemtode\general\website_mirrors\nematode.unl.edu_2022_09_21\cricone12.jpg</t>
  </si>
  <si>
    <t>Z:\nemtode\general\website_mirrors\nematode.unl.edu_2022_09_21\macurv77.jpg</t>
  </si>
  <si>
    <t>Z:\nemtode\general\website_mirrors\nematode.unl.edu_2022_09_21\mecreek117.jpg</t>
  </si>
  <si>
    <t>Z:\nemtode\general\website_mirrors\nematode.unl.edu_2022_09_21\mecreek5.jpg</t>
  </si>
  <si>
    <t>Z:\nemtode\general\website_mirrors\nematode.unl.edu_2022_09_21\mecurbe31.jpg</t>
  </si>
  <si>
    <t>Z:\nemtode\general\website_mirrors\nematode.unl.edu_2022_09_21\mescu15.jpg</t>
  </si>
  <si>
    <t>Z:\nemtode\general\website_mirrors\nematode.unl.edu_2022_09_21\mescu17.jpg</t>
  </si>
  <si>
    <t>Z:\nemtode\general\website_mirrors\nematode.unl.edu_2022_09_21\mescu19.jpg</t>
  </si>
  <si>
    <t>Z:\nemtode\general\website_mirrors\nematode.unl.edu_2022_09_21\mescu21.jpg</t>
  </si>
  <si>
    <t>Z:\nemtode\general\website_mirrors\nematode.unl.edu_2022_09_21\mescub1.jpg</t>
  </si>
  <si>
    <t>Z:\nemtode\general\website_mirrors\nematode.unl.edu_2022_09_21\mescumt2.jpg</t>
  </si>
  <si>
    <t>Z:\nemtode\general\website_mirrors\nematode.unl.edu_2022_09_21\mesocwy2.jpg</t>
  </si>
  <si>
    <t>Z:\nemtode\general\website_mirrors\nematode.unl.edu_2022_09_21\macurk13.jpg</t>
  </si>
  <si>
    <t>Z:\nemtode\general\website_mirrors\nematode.unl.edu_2022_09_21\crickalsow24.jpg</t>
  </si>
  <si>
    <t>Z:\nemtode\general\website_mirrors\nematode.unl.edu_2022_09_21\cricone16.jpg</t>
  </si>
  <si>
    <t>Z:\nemtode\general\website_mirrors\nematode.unl.edu_2022_09_21\cricone19.jpg</t>
  </si>
  <si>
    <t>Z:\nemtode\general\website_mirrors\nematode.unl.edu_2022_09_21\cricone21.jpg</t>
  </si>
  <si>
    <t>Z:\nemtode\general\website_mirrors\nematode.unl.edu_2022_09_21\cricone24.jpg</t>
  </si>
  <si>
    <t>Z:\nemtode\general\website_mirrors\nematode.unl.edu_2022_09_21\cricone3.jpg</t>
  </si>
  <si>
    <t>Z:\nemtode\general\website_mirrors\nematode.unl.edu_2022_09_21\cricone7.jpg</t>
  </si>
  <si>
    <t>Z:\nemtode\general\website_mirrors\nematode.unl.edu_2022_09_21\macarena2.jpg</t>
  </si>
  <si>
    <t>Z:\nemtode\general\website_mirrors\nematode.unl.edu_2022_09_21\macbeal12.jpg</t>
  </si>
  <si>
    <t>Z:\nemtode\general\website_mirrors\nematode.unl.edu_2022_09_21\macbeal15.jpg</t>
  </si>
  <si>
    <t>Z:\nemtode\general\website_mirrors\nematode.unl.edu_2022_09_21\macbeal18.jpg</t>
  </si>
  <si>
    <t>Z:\nemtode\general\website_mirrors\nematode.unl.edu_2022_09_21\macbeal22.jpg</t>
  </si>
  <si>
    <t>Z:\nemtode\general\website_mirrors\nematode.unl.edu_2022_09_21\macbeal27.jpg</t>
  </si>
  <si>
    <t>Z:\nemtode\general\website_mirrors\nematode.unl.edu_2022_09_21\macbeal30.jpg</t>
  </si>
  <si>
    <t>Z:\nemtode\general\website_mirrors\nematode.unl.edu_2022_09_21\macbeal8.jpg</t>
  </si>
  <si>
    <t>Z:\nemtode\general\website_mirrors\nematode.unl.edu_2022_09_21\macurk1.jpg</t>
  </si>
  <si>
    <t>Z:\nemtode\general\website_mirrors\nematode.unl.edu_2022_09_21\macurk16.jpg</t>
  </si>
  <si>
    <t>Z:\nemtode\general\website_mirrors\nematode.unl.edu_2022_09_21\macurk5.jpg</t>
  </si>
  <si>
    <t>Z:\nemtode\general\website_mirrors\nematode.unl.edu_2022_09_21\macurk9.jpg</t>
  </si>
  <si>
    <t>Z:\nemtode\general\website_mirrors\nematode.unl.edu_2022_09_21\macurv102.jpg</t>
  </si>
  <si>
    <t>Z:\nemtode\general\website_mirrors\nematode.unl.edu_2022_09_21\macurv11.jpg</t>
  </si>
  <si>
    <t>Z:\nemtode\general\website_mirrors\nematode.unl.edu_2022_09_21\macurv18.jpg</t>
  </si>
  <si>
    <t>Z:\nemtode\general\website_mirrors\nematode.unl.edu_2022_09_21\macurv20.jpg</t>
  </si>
  <si>
    <t>Z:\nemtode\general\website_mirrors\nematode.unl.edu_2022_09_21\macurv23.jpg</t>
  </si>
  <si>
    <t>Z:\nemtode\general\website_mirrors\nematode.unl.edu_2022_09_21\macurv26.jpg</t>
  </si>
  <si>
    <t>Z:\nemtode\general\website_mirrors\nematode.unl.edu_2022_09_21\macurv29.jpg</t>
  </si>
  <si>
    <t>Z:\nemtode\general\website_mirrors\nematode.unl.edu_2022_09_21\macurv34.jpg</t>
  </si>
  <si>
    <t>Z:\nemtode\general\website_mirrors\nematode.unl.edu_2022_09_21\macurv38.jpg</t>
  </si>
  <si>
    <t>Z:\nemtode\general\website_mirrors\nematode.unl.edu_2022_09_21\macurv42.jpg</t>
  </si>
  <si>
    <t>Z:\nemtode\general\website_mirrors\nematode.unl.edu_2022_09_21\macurv45.jpg</t>
  </si>
  <si>
    <t>Z:\nemtode\general\website_mirrors\nematode.unl.edu_2022_09_21\macurv49.jpg</t>
  </si>
  <si>
    <t>Z:\nemtode\general\website_mirrors\nematode.unl.edu_2022_09_21\macurv53.jpg</t>
  </si>
  <si>
    <t>Z:\nemtode\general\website_mirrors\nematode.unl.edu_2022_09_21\macurv56.jpg</t>
  </si>
  <si>
    <t>Z:\nemtode\general\website_mirrors\nematode.unl.edu_2022_09_21\macurv59.jpg</t>
  </si>
  <si>
    <t>Z:\nemtode\general\website_mirrors\nematode.unl.edu_2022_09_21\macurv62.jpg</t>
  </si>
  <si>
    <t>Z:\nemtode\general\website_mirrors\nematode.unl.edu_2022_09_21\macurv65.jpg</t>
  </si>
  <si>
    <t>Z:\nemtode\general\website_mirrors\nematode.unl.edu_2022_09_21\macurv71.jpg</t>
  </si>
  <si>
    <t>Z:\nemtode\general\website_mirrors\nematode.unl.edu_2022_09_21\macurv74.jpg</t>
  </si>
  <si>
    <t>Z:\nemtode\general\website_mirrors\nematode.unl.edu_2022_09_21\macurv76.jpg</t>
  </si>
  <si>
    <t>Z:\nemtode\general\website_mirrors\nematode.unl.edu_2022_09_21\macurv82.jpg</t>
  </si>
  <si>
    <t>Z:\nemtode\general\website_mirrors\nematode.unl.edu_2022_09_21\macurv86.jpg</t>
  </si>
  <si>
    <t>Z:\nemtode\general\website_mirrors\nematode.unl.edu_2022_09_21\macurv90.jpg</t>
  </si>
  <si>
    <t>Z:\nemtode\general\website_mirrors\nematode.unl.edu_2022_09_21\macurv93.jpg</t>
  </si>
  <si>
    <t>Z:\nemtode\general\website_mirrors\nematode.unl.edu_2022_09_21\macurv96.jpg</t>
  </si>
  <si>
    <t>Z:\nemtode\general\website_mirrors\nematode.unl.edu_2022_09_21\macurv99.jpg</t>
  </si>
  <si>
    <t>Z:\nemtode\general\website_mirrors\nematode.unl.edu_2022_09_21\macwil3.jpg</t>
  </si>
  <si>
    <t>Z:\nemtode\general\website_mirrors\nematode.unl.edu_2022_09_21\mecauro2.jpg</t>
  </si>
  <si>
    <t>Z:\nemtode\general\website_mirrors\nematode.unl.edu_2022_09_21\mecauro6.jpg</t>
  </si>
  <si>
    <t>Z:\nemtode\general\website_mirrors\nematode.unl.edu_2022_09_21\mecki18.jpg</t>
  </si>
  <si>
    <t>Z:\nemtode\general\website_mirrors\nematode.unl.edu_2022_09_21\mecki25.jpg</t>
  </si>
  <si>
    <t>Z:\nemtode\general\website_mirrors\nematode.unl.edu_2022_09_21\mecki27.jpg</t>
  </si>
  <si>
    <t>Z:\nemtode\general\website_mirrors\nematode.unl.edu_2022_09_21\mecreek1.jpg</t>
  </si>
  <si>
    <t>Z:\nemtode\general\website_mirrors\nematode.unl.edu_2022_09_21\mecreek11.jpg</t>
  </si>
  <si>
    <t>Z:\nemtode\general\website_mirrors\nematode.unl.edu_2022_09_21\mecreek12.jpg</t>
  </si>
  <si>
    <t>Z:\nemtode\general\website_mirrors\nematode.unl.edu_2022_09_21\mecreek131.jpg</t>
  </si>
  <si>
    <t>Z:\nemtode\general\website_mirrors\nematode.unl.edu_2022_09_21\mecreek134.jpg</t>
  </si>
  <si>
    <t>Z:\nemtode\general\website_mirrors\nematode.unl.edu_2022_09_21\mecreek137.jpg</t>
  </si>
  <si>
    <t>Z:\nemtode\general\website_mirrors\nematode.unl.edu_2022_09_21\mecreek140.jpg</t>
  </si>
  <si>
    <t>Z:\nemtode\general\website_mirrors\nematode.unl.edu_2022_09_21\mecreek143.jpg</t>
  </si>
  <si>
    <t>Z:\nemtode\general\website_mirrors\nematode.unl.edu_2022_09_21\mecreek146.jpg</t>
  </si>
  <si>
    <t>Z:\nemtode\general\website_mirrors\nematode.unl.edu_2022_09_21\mecreek15.jpg</t>
  </si>
  <si>
    <t>Z:\nemtode\general\website_mirrors\nematode.unl.edu_2022_09_21\mecreek150.jpg</t>
  </si>
  <si>
    <t>Z:\nemtode\general\website_mirrors\nematode.unl.edu_2022_09_21\mecreek153.jpg</t>
  </si>
  <si>
    <t>Z:\nemtode\general\website_mirrors\nematode.unl.edu_2022_09_21\mecreek20.jpg</t>
  </si>
  <si>
    <t>Z:\nemtode\general\website_mirrors\nematode.unl.edu_2022_09_21\mecreek21.jpg</t>
  </si>
  <si>
    <t>Z:\nemtode\general\website_mirrors\nematode.unl.edu_2022_09_21\mecreek25.jpg</t>
  </si>
  <si>
    <t>Z:\nemtode\general\website_mirrors\nematode.unl.edu_2022_09_21\mecreek28.jpg</t>
  </si>
  <si>
    <t>Z:\nemtode\general\website_mirrors\nematode.unl.edu_2022_09_21\mecreek32.jpg</t>
  </si>
  <si>
    <t>Z:\nemtode\general\website_mirrors\nematode.unl.edu_2022_09_21\mecreek35.jpg</t>
  </si>
  <si>
    <t>Z:\nemtode\general\website_mirrors\nematode.unl.edu_2022_09_21\mecreek38.jpg</t>
  </si>
  <si>
    <t>Z:\nemtode\general\website_mirrors\nematode.unl.edu_2022_09_21\mecreek40.jpg</t>
  </si>
  <si>
    <t>Z:\nemtode\general\website_mirrors\nematode.unl.edu_2022_09_21\mecreek43.jpg</t>
  </si>
  <si>
    <t>Z:\nemtode\general\website_mirrors\nematode.unl.edu_2022_09_21\mecreek46.jpg</t>
  </si>
  <si>
    <t>Z:\nemtode\general\website_mirrors\nematode.unl.edu_2022_09_21\mecreek53.jpg</t>
  </si>
  <si>
    <t>Z:\nemtode\general\website_mirrors\nematode.unl.edu_2022_09_21\mecreek56.jpg</t>
  </si>
  <si>
    <t>Z:\nemtode\general\website_mirrors\nematode.unl.edu_2022_09_21\mecreek59.jpg</t>
  </si>
  <si>
    <t>Z:\nemtode\general\website_mirrors\nematode.unl.edu_2022_09_21\mecreek6.jpg</t>
  </si>
  <si>
    <t>Z:\nemtode\general\website_mirrors\nematode.unl.edu_2022_09_21\mecreek62.jpg</t>
  </si>
  <si>
    <t>Z:\nemtode\general\website_mirrors\nematode.unl.edu_2022_09_21\mecreek63.jpg</t>
  </si>
  <si>
    <t>Z:\nemtode\general\website_mirrors\nematode.unl.edu_2022_09_21\mecreek70.jpg</t>
  </si>
  <si>
    <t>Z:\nemtode\general\website_mirrors\nematode.unl.edu_2022_09_21\mecreek73.jpg</t>
  </si>
  <si>
    <t>Z:\nemtode\general\website_mirrors\nematode.unl.edu_2022_09_21\mecreek78.jpg</t>
  </si>
  <si>
    <t>Z:\nemtode\general\website_mirrors\nematode.unl.edu_2022_09_21\mecreek82.jpg</t>
  </si>
  <si>
    <t>Z:\nemtode\general\website_mirrors\nematode.unl.edu_2022_09_21\mecreek86.jpg</t>
  </si>
  <si>
    <t>Z:\nemtode\general\website_mirrors\nematode.unl.edu_2022_09_21\mecreek90.jpg</t>
  </si>
  <si>
    <t>Z:\nemtode\general\website_mirrors\nematode.unl.edu_2022_09_21\mecrei2.jpg</t>
  </si>
  <si>
    <t>Z:\nemtode\general\website_mirrors\nematode.unl.edu_2022_09_21\mecrei5.jpg</t>
  </si>
  <si>
    <t>Z:\nemtode\general\website_mirrors\nematode.unl.edu_2022_09_21\mecroth13.jpg</t>
  </si>
  <si>
    <t>Z:\nemtode\general\website_mirrors\nematode.unl.edu_2022_09_21\mecroth17.jpg</t>
  </si>
  <si>
    <t>Z:\nemtode\general\website_mirrors\nematode.unl.edu_2022_09_21\mecroth2.jpg</t>
  </si>
  <si>
    <t>Z:\nemtode\general\website_mirrors\nematode.unl.edu_2022_09_21\mecroth3.jpg</t>
  </si>
  <si>
    <t>Z:\nemtode\general\website_mirrors\nematode.unl.edu_2022_09_21\mecroth8.jpg</t>
  </si>
  <si>
    <t>Z:\nemtode\general\website_mirrors\nematode.unl.edu_2022_09_21\mecudoo12.jpg</t>
  </si>
  <si>
    <t>Z:\nemtode\general\website_mirrors\nematode.unl.edu_2022_09_21\mecudoo17.jpg</t>
  </si>
  <si>
    <t>Z:\nemtode\general\website_mirrors\nematode.unl.edu_2022_09_21\mecudoo2.jpg</t>
  </si>
  <si>
    <t>Z:\nemtode\general\website_mirrors\nematode.unl.edu_2022_09_21\mecudoo20.jpg</t>
  </si>
  <si>
    <t>Z:\nemtode\general\website_mirrors\nematode.unl.edu_2022_09_21\mecudoo23.jpg</t>
  </si>
  <si>
    <t>Z:\nemtode\general\website_mirrors\nematode.unl.edu_2022_09_21\mecudoo6.jpg</t>
  </si>
  <si>
    <t>Z:\nemtode\general\website_mirrors\nematode.unl.edu_2022_09_21\mecurbe10.jpg</t>
  </si>
  <si>
    <t>Z:\nemtode\general\website_mirrors\nematode.unl.edu_2022_09_21\mecurbe13.jpg</t>
  </si>
  <si>
    <t>Z:\nemtode\general\website_mirrors\nematode.unl.edu_2022_09_21\mecurbe19.jpg</t>
  </si>
  <si>
    <t>Z:\nemtode\general\website_mirrors\nematode.unl.edu_2022_09_21\mecurbe2.jpg</t>
  </si>
  <si>
    <t>Z:\nemtode\general\website_mirrors\nematode.unl.edu_2022_09_21\mecurbe20.jpg</t>
  </si>
  <si>
    <t>Z:\nemtode\general\website_mirrors\nematode.unl.edu_2022_09_21\mecurbe25.jpg</t>
  </si>
  <si>
    <t>Z:\nemtode\general\website_mirrors\nematode.unl.edu_2022_09_21\mecurbe26.jpg</t>
  </si>
  <si>
    <t>Z:\nemtode\general\website_mirrors\nematode.unl.edu_2022_09_21\mecurbe4.jpg</t>
  </si>
  <si>
    <t>Z:\nemtode\general\website_mirrors\nematode.unl.edu_2022_09_21\mecurvas14.jpg</t>
  </si>
  <si>
    <t>Z:\nemtode\general\website_mirrors\nematode.unl.edu_2022_09_21\mecurvas18.jpg</t>
  </si>
  <si>
    <t>Z:\nemtode\general\website_mirrors\nematode.unl.edu_2022_09_21\mecurvas2.jpg</t>
  </si>
  <si>
    <t>Z:\nemtode\general\website_mirrors\nematode.unl.edu_2022_09_21\mecurvas6.jpg</t>
  </si>
  <si>
    <t>Z:\nemtode\general\website_mirrors\nematode.unl.edu_2022_09_21\mecurvas9.jpg</t>
  </si>
  <si>
    <t>Z:\nemtode\general\website_mirrors\nematode.unl.edu_2022_09_21\mesavo11.jpg</t>
  </si>
  <si>
    <t>Z:\nemtode\general\website_mirrors\nematode.unl.edu_2022_09_21\mesavo14.jpg</t>
  </si>
  <si>
    <t>Z:\nemtode\general\website_mirrors\nematode.unl.edu_2022_09_21\mesavo17.jpg</t>
  </si>
  <si>
    <t>Z:\nemtode\general\website_mirrors\nematode.unl.edu_2022_09_21\mesavo2.jpg</t>
  </si>
  <si>
    <t>Z:\nemtode\general\website_mirrors\nematode.unl.edu_2022_09_21\mesavo20.jpg</t>
  </si>
  <si>
    <t>Z:\nemtode\general\website_mirrors\nematode.unl.edu_2022_09_21\mesavo27.jpg</t>
  </si>
  <si>
    <t>Z:\nemtode\general\website_mirrors\nematode.unl.edu_2022_09_21\mesavo7.jpg</t>
  </si>
  <si>
    <t>Z:\nemtode\general\website_mirrors\nematode.unl.edu_2022_09_21\mescu10.jpg</t>
  </si>
  <si>
    <t>Z:\nemtode\general\website_mirrors\nematode.unl.edu_2022_09_21\mescu23.jpg</t>
  </si>
  <si>
    <t>Z:\nemtode\general\website_mirrors\nematode.unl.edu_2022_09_21\mescu5.jpg</t>
  </si>
  <si>
    <t>Z:\nemtode\general\website_mirrors\nematode.unl.edu_2022_09_21\mescu6.jpg</t>
  </si>
  <si>
    <t>Z:\nemtode\general\website_mirrors\nematode.unl.edu_2022_09_21\mescu8.jpg</t>
  </si>
  <si>
    <t>Z:\nemtode\general\website_mirrors\nematode.unl.edu_2022_09_21\mescu9.jpg</t>
  </si>
  <si>
    <t>Z:\nemtode\general\website_mirrors\nematode.unl.edu_2022_09_21\mesobok2.jpg</t>
  </si>
  <si>
    <t>Z:\nemtode\general\website_mirrors\nematode.unl.edu_2022_09_21\mesobok5.jpg</t>
  </si>
  <si>
    <t>Z:\nemtode\general\website_mirrors\nematode.unl.edu_2022_09_21\mesobok8.jpg</t>
  </si>
  <si>
    <t>Z:\nemtode\general\website_mirrors\nematode.unl.edu_2022_09_21\mesocsod2.jpg</t>
  </si>
  <si>
    <t>Z:\nemtode\general\website_mirrors\nematode.unl.edu_2022_09_21\mesocur11.jpg</t>
  </si>
  <si>
    <t>Z:\nemtode\general\website_mirrors\nematode.unl.edu_2022_09_21\mesocur14.jpg</t>
  </si>
  <si>
    <t>Z:\nemtode\general\website_mirrors\nematode.unl.edu_2022_09_21\mesocur2.jpg</t>
  </si>
  <si>
    <t>Z:\nemtode\general\website_mirrors\nematode.unl.edu_2022_09_21\mesocur5.jpg</t>
  </si>
  <si>
    <t>Z:\nemtode\general\website_mirrors\nematode.unl.edu_2022_09_21\mesocur7.jpg</t>
  </si>
  <si>
    <t>Z:\nemtode\general\website_mirrors\nematode.unl.edu_2022_09_21\mesru2.jpg</t>
  </si>
  <si>
    <t>Z:\nemtode\general\website_mirrors\nematode.unl.edu_2022_09_21\mecreek67.jpg</t>
  </si>
  <si>
    <t>Z:\nemtode\general\website_mirrors\nematode.unl.edu_2022_09_21\mecauro7.jpg</t>
  </si>
  <si>
    <t>Z:\nemtode\general\website_mirrors\nematode.unl.edu_2022_09_21\mecurbe23.jpg</t>
  </si>
  <si>
    <t>Z:\nemtode\general\website_mirrors\nematode.unl.edu_2022_09_21\mecreek3.jpg</t>
  </si>
  <si>
    <t>Z:\nemtode\general\website_mirrors\nematode.unl.edu_2022_09_21\mecroth15.jpg</t>
  </si>
  <si>
    <t>Z:\nemtode\general\website_mirrors\nematode.unl.edu_2022_09_21\crickalsow21.jpg</t>
  </si>
  <si>
    <t>Z:\nemtode\general\website_mirrors\nematode.unl.edu_2022_09_21\crickalsow22.jpg</t>
  </si>
  <si>
    <t>Z:\nemtode\general\website_mirrors\nematode.unl.edu_2022_09_21\cricone1.jpg</t>
  </si>
  <si>
    <t>Z:\nemtode\general\website_mirrors\nematode.unl.edu_2022_09_21\cricone10.jpg</t>
  </si>
  <si>
    <t>Z:\nemtode\general\website_mirrors\nematode.unl.edu_2022_09_21\cricone15.jpg</t>
  </si>
  <si>
    <t>Z:\nemtode\general\website_mirrors\nematode.unl.edu_2022_09_21\cricone18.jpg</t>
  </si>
  <si>
    <t>Z:\nemtode\general\website_mirrors\nematode.unl.edu_2022_09_21\cricone2.jpg</t>
  </si>
  <si>
    <t>Z:\nemtode\general\website_mirrors\nematode.unl.edu_2022_09_21\cricone23.jpg</t>
  </si>
  <si>
    <t>Z:\nemtode\general\website_mirrors\nematode.unl.edu_2022_09_21\cricone5.jpg</t>
  </si>
  <si>
    <t>Z:\nemtode\general\website_mirrors\nematode.unl.edu_2022_09_21\cricone6.jpg</t>
  </si>
  <si>
    <t>Z:\nemtode\general\website_mirrors\nematode.unl.edu_2022_09_21\macarena1.jpg</t>
  </si>
  <si>
    <t>Z:\nemtode\general\website_mirrors\nematode.unl.edu_2022_09_21\macarena4.jpg</t>
  </si>
  <si>
    <t>Z:\nemtode\general\website_mirrors\nematode.unl.edu_2022_09_21\macbeal1.jpg</t>
  </si>
  <si>
    <t>Z:\nemtode\general\website_mirrors\nematode.unl.edu_2022_09_21\macbeal11.jpg</t>
  </si>
  <si>
    <t>Z:\nemtode\general\website_mirrors\nematode.unl.edu_2022_09_21\macbeal14.jpg</t>
  </si>
  <si>
    <t>Z:\nemtode\general\website_mirrors\nematode.unl.edu_2022_09_21\macbeal2.jpg</t>
  </si>
  <si>
    <t>Z:\nemtode\general\website_mirrors\nematode.unl.edu_2022_09_21\macbeal20.jpg</t>
  </si>
  <si>
    <t>Z:\nemtode\general\website_mirrors\nematode.unl.edu_2022_09_21\macbeal21.jpg</t>
  </si>
  <si>
    <t>Z:\nemtode\general\website_mirrors\nematode.unl.edu_2022_09_21\macbeal25.jpg</t>
  </si>
  <si>
    <t>Z:\nemtode\general\website_mirrors\nematode.unl.edu_2022_09_21\macbeal26.jpg</t>
  </si>
  <si>
    <t>Z:\nemtode\general\website_mirrors\nematode.unl.edu_2022_09_21\macbeal29.jpg</t>
  </si>
  <si>
    <t>Z:\nemtode\general\website_mirrors\nematode.unl.edu_2022_09_21\macbeal4.jpg</t>
  </si>
  <si>
    <t>Z:\nemtode\general\website_mirrors\nematode.unl.edu_2022_09_21\macbeal5.jpg</t>
  </si>
  <si>
    <t>Z:\nemtode\general\website_mirrors\nematode.unl.edu_2022_09_21\macbeal7.jpg</t>
  </si>
  <si>
    <t>Z:\nemtode\general\website_mirrors\nematode.unl.edu_2022_09_21\macbeal9.jpg</t>
  </si>
  <si>
    <t>Z:\nemtode\general\website_mirrors\nematode.unl.edu_2022_09_21\macurk15.jpg</t>
  </si>
  <si>
    <t>Z:\nemtode\general\website_mirrors\nematode.unl.edu_2022_09_21\macurk19.jpg</t>
  </si>
  <si>
    <t>Z:\nemtode\general\website_mirrors\nematode.unl.edu_2022_09_21\macurk20.jpg</t>
  </si>
  <si>
    <t>Z:\nemtode\general\website_mirrors\nematode.unl.edu_2022_09_21\macurk21.jpg</t>
  </si>
  <si>
    <t>Z:\nemtode\general\website_mirrors\nematode.unl.edu_2022_09_21\macurk23.jpg</t>
  </si>
  <si>
    <t>Z:\nemtode\general\website_mirrors\nematode.unl.edu_2022_09_21\macurk4.jpg</t>
  </si>
  <si>
    <t>Z:\nemtode\general\website_mirrors\nematode.unl.edu_2022_09_21\macurv101.jpg</t>
  </si>
  <si>
    <t>Z:\nemtode\general\website_mirrors\nematode.unl.edu_2022_09_21\macurv13.jpg</t>
  </si>
  <si>
    <t>Z:\nemtode\general\website_mirrors\nematode.unl.edu_2022_09_21\macurv16.jpg</t>
  </si>
  <si>
    <t>Z:\nemtode\general\website_mirrors\nematode.unl.edu_2022_09_21\macurv17.jpg</t>
  </si>
  <si>
    <t>Z:\nemtode\general\website_mirrors\nematode.unl.edu_2022_09_21\macurv22.jpg</t>
  </si>
  <si>
    <t>Z:\nemtode\general\website_mirrors\nematode.unl.edu_2022_09_21\macurv25.jpg</t>
  </si>
  <si>
    <t>Z:\nemtode\general\website_mirrors\nematode.unl.edu_2022_09_21\macurv28.jpg</t>
  </si>
  <si>
    <t>Z:\nemtode\general\website_mirrors\nematode.unl.edu_2022_09_21\macurv32.jpg</t>
  </si>
  <si>
    <t>Z:\nemtode\general\website_mirrors\nematode.unl.edu_2022_09_21\macurv33.jpg</t>
  </si>
  <si>
    <t>Z:\nemtode\general\website_mirrors\nematode.unl.edu_2022_09_21\macurv36.jpg</t>
  </si>
  <si>
    <t>Z:\nemtode\general\website_mirrors\nematode.unl.edu_2022_09_21\macurv37.jpg</t>
  </si>
  <si>
    <t>Z:\nemtode\general\website_mirrors\nematode.unl.edu_2022_09_21\macurv48.jpg</t>
  </si>
  <si>
    <t>Z:\nemtode\general\website_mirrors\nematode.unl.edu_2022_09_21\macurv51.jpg</t>
  </si>
  <si>
    <t>Z:\nemtode\general\website_mirrors\nematode.unl.edu_2022_09_21\macurv52.jpg</t>
  </si>
  <si>
    <t>Z:\nemtode\general\website_mirrors\nematode.unl.edu_2022_09_21\macurv55.jpg</t>
  </si>
  <si>
    <t>Z:\nemtode\general\website_mirrors\nematode.unl.edu_2022_09_21\macurv58.jpg</t>
  </si>
  <si>
    <t>Z:\nemtode\general\website_mirrors\nematode.unl.edu_2022_09_21\macurv61.jpg</t>
  </si>
  <si>
    <t>Z:\nemtode\general\website_mirrors\nematode.unl.edu_2022_09_21\macurv64.jpg</t>
  </si>
  <si>
    <t>Z:\nemtode\general\website_mirrors\nematode.unl.edu_2022_09_21\macurv70.jpg</t>
  </si>
  <si>
    <t>Z:\nemtode\general\website_mirrors\nematode.unl.edu_2022_09_21\macurv73.jpg</t>
  </si>
  <si>
    <t>Z:\nemtode\general\website_mirrors\nematode.unl.edu_2022_09_21\macurv80.jpg</t>
  </si>
  <si>
    <t>Z:\nemtode\general\website_mirrors\nematode.unl.edu_2022_09_21\macurv81.jpg</t>
  </si>
  <si>
    <t>Z:\nemtode\general\website_mirrors\nematode.unl.edu_2022_09_21\macurv85.jpg</t>
  </si>
  <si>
    <t>Z:\nemtode\general\website_mirrors\nematode.unl.edu_2022_09_21\macurv89.jpg</t>
  </si>
  <si>
    <t>Z:\nemtode\general\website_mirrors\nematode.unl.edu_2022_09_21\macurv92.jpg</t>
  </si>
  <si>
    <t>Z:\nemtode\general\website_mirrors\nematode.unl.edu_2022_09_21\macurv95.jpg</t>
  </si>
  <si>
    <t>Z:\nemtode\general\website_mirrors\nematode.unl.edu_2022_09_21\macurv98.jpg</t>
  </si>
  <si>
    <t>Z:\nemtode\general\website_mirrors\nematode.unl.edu_2022_09_21\macwil1.jpg</t>
  </si>
  <si>
    <t>Z:\nemtode\general\website_mirrors\nematode.unl.edu_2022_09_21\macwil2.jpg</t>
  </si>
  <si>
    <t>Z:\nemtode\general\website_mirrors\nematode.unl.edu_2022_09_21\mecauro1.jpg</t>
  </si>
  <si>
    <t>Z:\nemtode\general\website_mirrors\nematode.unl.edu_2022_09_21\mecauro4.jpg</t>
  </si>
  <si>
    <t>Z:\nemtode\general\website_mirrors\nematode.unl.edu_2022_09_21\mecauro5.jpg</t>
  </si>
  <si>
    <t>Z:\nemtode\general\website_mirrors\nematode.unl.edu_2022_09_21\mecki20.jpg</t>
  </si>
  <si>
    <t>Z:\nemtode\general\website_mirrors\nematode.unl.edu_2022_09_21\mecki23.jpg</t>
  </si>
  <si>
    <t>Z:\nemtode\general\website_mirrors\nematode.unl.edu_2022_09_21\mecki24.jpg</t>
  </si>
  <si>
    <t>Z:\nemtode\general\website_mirrors\nematode.unl.edu_2022_09_21\mecreek10.jpg</t>
  </si>
  <si>
    <t>Z:\nemtode\general\website_mirrors\nematode.unl.edu_2022_09_21\mecreek116.jpg</t>
  </si>
  <si>
    <t>Z:\nemtode\general\website_mirrors\nematode.unl.edu_2022_09_21\mecreek130.jpg</t>
  </si>
  <si>
    <t>Z:\nemtode\general\website_mirrors\nematode.unl.edu_2022_09_21\mecreek133.jpg</t>
  </si>
  <si>
    <t>Z:\nemtode\general\website_mirrors\nematode.unl.edu_2022_09_21\mecreek136.jpg</t>
  </si>
  <si>
    <t>Z:\nemtode\general\website_mirrors\nematode.unl.edu_2022_09_21\mecreek139.jpg</t>
  </si>
  <si>
    <t>Z:\nemtode\general\website_mirrors\nematode.unl.edu_2022_09_21\mecreek14.jpg</t>
  </si>
  <si>
    <t>Z:\nemtode\general\website_mirrors\nematode.unl.edu_2022_09_21\mecreek142.jpg</t>
  </si>
  <si>
    <t>Z:\nemtode\general\website_mirrors\nematode.unl.edu_2022_09_21\mecreek149.jpg</t>
  </si>
  <si>
    <t>Z:\nemtode\general\website_mirrors\nematode.unl.edu_2022_09_21\mecreek152.jpg</t>
  </si>
  <si>
    <t>Z:\nemtode\general\website_mirrors\nematode.unl.edu_2022_09_21\mecreek16.jpg</t>
  </si>
  <si>
    <t>Z:\nemtode\general\website_mirrors\nematode.unl.edu_2022_09_21\mecreek19.jpg</t>
  </si>
  <si>
    <t>Z:\nemtode\general\website_mirrors\nematode.unl.edu_2022_09_21\mecreek22.jpg</t>
  </si>
  <si>
    <t>Z:\nemtode\general\website_mirrors\nematode.unl.edu_2022_09_21\mecreek24.jpg</t>
  </si>
  <si>
    <t>Z:\nemtode\general\website_mirrors\nematode.unl.edu_2022_09_21\mecreek27.jpg</t>
  </si>
  <si>
    <t>Z:\nemtode\general\website_mirrors\nematode.unl.edu_2022_09_21\mecreek31.jpg</t>
  </si>
  <si>
    <t>Z:\nemtode\general\website_mirrors\nematode.unl.edu_2022_09_21\mecreek34.jpg</t>
  </si>
  <si>
    <t>Z:\nemtode\general\website_mirrors\nematode.unl.edu_2022_09_21\mecreek37.jpg</t>
  </si>
  <si>
    <t>Z:\nemtode\general\website_mirrors\nematode.unl.edu_2022_09_21\mecreek39.jpg</t>
  </si>
  <si>
    <t>Z:\nemtode\general\website_mirrors\nematode.unl.edu_2022_09_21\mecreek4.jpg</t>
  </si>
  <si>
    <t>Z:\nemtode\general\website_mirrors\nematode.unl.edu_2022_09_21\mecreek42.jpg</t>
  </si>
  <si>
    <t>Z:\nemtode\general\website_mirrors\nematode.unl.edu_2022_09_21\mecreek45.jpg</t>
  </si>
  <si>
    <t>Z:\nemtode\general\website_mirrors\nematode.unl.edu_2022_09_21\mecreek52.jpg</t>
  </si>
  <si>
    <t>Z:\nemtode\general\website_mirrors\nematode.unl.edu_2022_09_21\mecreek55.jpg</t>
  </si>
  <si>
    <t>Z:\nemtode\general\website_mirrors\nematode.unl.edu_2022_09_21\mecreek58.jpg</t>
  </si>
  <si>
    <t>Z:\nemtode\general\website_mirrors\nematode.unl.edu_2022_09_21\mecreek61.jpg</t>
  </si>
  <si>
    <t>Z:\nemtode\general\website_mirrors\nematode.unl.edu_2022_09_21\mecreek65.jpg</t>
  </si>
  <si>
    <t>Z:\nemtode\general\website_mirrors\nematode.unl.edu_2022_09_21\mecreek66.jpg</t>
  </si>
  <si>
    <t>Z:\nemtode\general\website_mirrors\nematode.unl.edu_2022_09_21\mecreek69.jpg</t>
  </si>
  <si>
    <t>Z:\nemtode\general\website_mirrors\nematode.unl.edu_2022_09_21\mecreek72.jpg</t>
  </si>
  <si>
    <t>Z:\nemtode\general\website_mirrors\nematode.unl.edu_2022_09_21\mecreek77.jpg</t>
  </si>
  <si>
    <t>Z:\nemtode\general\website_mirrors\nematode.unl.edu_2022_09_21\mecreek81.jpg</t>
  </si>
  <si>
    <t>Z:\nemtode\general\website_mirrors\nematode.unl.edu_2022_09_21\mecreek84.jpg</t>
  </si>
  <si>
    <t>Z:\nemtode\general\website_mirrors\nematode.unl.edu_2022_09_21\mecreek85.jpg</t>
  </si>
  <si>
    <t>Z:\nemtode\general\website_mirrors\nematode.unl.edu_2022_09_21\mecreek89.jpg</t>
  </si>
  <si>
    <t>Z:\nemtode\general\website_mirrors\nematode.unl.edu_2022_09_21\mecrei1.jpg</t>
  </si>
  <si>
    <t>Z:\nemtode\general\website_mirrors\nematode.unl.edu_2022_09_21\mecrei4.jpg</t>
  </si>
  <si>
    <t>Z:\nemtode\general\website_mirrors\nematode.unl.edu_2022_09_21\mecroth1.jpg</t>
  </si>
  <si>
    <t>Z:\nemtode\general\website_mirrors\nematode.unl.edu_2022_09_21\mecroth12.jpg</t>
  </si>
  <si>
    <t>Z:\nemtode\general\website_mirrors\nematode.unl.edu_2022_09_21\mecroth4.jpg</t>
  </si>
  <si>
    <t>Z:\nemtode\general\website_mirrors\nematode.unl.edu_2022_09_21\mecroth7.jpg</t>
  </si>
  <si>
    <t>Z:\nemtode\general\website_mirrors\nematode.unl.edu_2022_09_21\mecudoo1.jpg</t>
  </si>
  <si>
    <t>Z:\nemtode\general\website_mirrors\nematode.unl.edu_2022_09_21\mecudoo11.jpg</t>
  </si>
  <si>
    <t>Z:\nemtode\general\website_mirrors\nematode.unl.edu_2022_09_21\mecudoo15.jpg</t>
  </si>
  <si>
    <t>Z:\nemtode\general\website_mirrors\nematode.unl.edu_2022_09_21\mecudoo16.jpg</t>
  </si>
  <si>
    <t>Z:\nemtode\general\website_mirrors\nematode.unl.edu_2022_09_21\mecudoo19.jpg</t>
  </si>
  <si>
    <t>Z:\nemtode\general\website_mirrors\nematode.unl.edu_2022_09_21\mecudoo22.jpg</t>
  </si>
  <si>
    <t>Z:\nemtode\general\website_mirrors\nematode.unl.edu_2022_09_21\mecudoo5.jpg</t>
  </si>
  <si>
    <t>Z:\nemtode\general\website_mirrors\nematode.unl.edu_2022_09_21\mecurbe1.jpg</t>
  </si>
  <si>
    <t>Z:\nemtode\general\website_mirrors\nematode.unl.edu_2022_09_21\mecurbe12.jpg</t>
  </si>
  <si>
    <t>Z:\nemtode\general\website_mirrors\nematode.unl.edu_2022_09_21\mecurbe14.jpg</t>
  </si>
  <si>
    <t>Z:\nemtode\general\website_mirrors\nematode.unl.edu_2022_09_21\mecurbe18.jpg</t>
  </si>
  <si>
    <t>Z:\nemtode\general\website_mirrors\nematode.unl.edu_2022_09_21\mecurbe24.jpg</t>
  </si>
  <si>
    <t>Z:\nemtode\general\website_mirrors\nematode.unl.edu_2022_09_21\mecurbe30.jpg</t>
  </si>
  <si>
    <t>Z:\nemtode\general\website_mirrors\nematode.unl.edu_2022_09_21\mecurbe9.jpg</t>
  </si>
  <si>
    <t>Z:\nemtode\general\website_mirrors\nematode.unl.edu_2022_09_21\mecurvas1.jpg</t>
  </si>
  <si>
    <t>Z:\nemtode\general\website_mirrors\nematode.unl.edu_2022_09_21\mecurvas10.jpg</t>
  </si>
  <si>
    <t>Z:\nemtode\general\website_mirrors\nematode.unl.edu_2022_09_21\mecurvas13.jpg</t>
  </si>
  <si>
    <t>Z:\nemtode\general\website_mirrors\nematode.unl.edu_2022_09_21\mecurvas16.jpg</t>
  </si>
  <si>
    <t>Z:\nemtode\general\website_mirrors\nematode.unl.edu_2022_09_21\mecurvas17.jpg</t>
  </si>
  <si>
    <t>Z:\nemtode\general\website_mirrors\nematode.unl.edu_2022_09_21\mecurvas5.jpg</t>
  </si>
  <si>
    <t>Z:\nemtode\general\website_mirrors\nematode.unl.edu_2022_09_21\mecurvas8.jpg</t>
  </si>
  <si>
    <t>Z:\nemtode\general\website_mirrors\nematode.unl.edu_2022_09_21\mesavo1.jpg</t>
  </si>
  <si>
    <t>Z:\nemtode\general\website_mirrors\nematode.unl.edu_2022_09_21\mesavo10.jpg</t>
  </si>
  <si>
    <t>Z:\nemtode\general\website_mirrors\nematode.unl.edu_2022_09_21\mesavo13.jpg</t>
  </si>
  <si>
    <t>Z:\nemtode\general\website_mirrors\nematode.unl.edu_2022_09_21\mesavo6.jpg</t>
  </si>
  <si>
    <t>Z:\nemtode\general\website_mirrors\nematode.unl.edu_2022_09_21\mescu13.jpg</t>
  </si>
  <si>
    <t>Z:\nemtode\general\website_mirrors\nematode.unl.edu_2022_09_21\mescu14.jpg</t>
  </si>
  <si>
    <t>Z:\nemtode\general\website_mirrors\nematode.unl.edu_2022_09_21\mescu2.jpg</t>
  </si>
  <si>
    <t>Z:\nemtode\general\website_mirrors\nematode.unl.edu_2022_09_21\mescu25.jpg</t>
  </si>
  <si>
    <t>Z:\nemtode\general\website_mirrors\nematode.unl.edu_2022_09_21\mescu3.jpg</t>
  </si>
  <si>
    <t>Z:\nemtode\general\website_mirrors\nematode.unl.edu_2022_09_21\mescu7.jpg</t>
  </si>
  <si>
    <t>Z:\nemtode\general\website_mirrors\nematode.unl.edu_2022_09_21\mescumt1.jpg</t>
  </si>
  <si>
    <t>Z:\nemtode\general\website_mirrors\nematode.unl.edu_2022_09_21\mescumt4.jpg</t>
  </si>
  <si>
    <t>Z:\nemtode\general\website_mirrors\nematode.unl.edu_2022_09_21\mesobok1.jpg</t>
  </si>
  <si>
    <t>Z:\nemtode\general\website_mirrors\nematode.unl.edu_2022_09_21\mesobok4.jpg</t>
  </si>
  <si>
    <t>Z:\nemtode\general\website_mirrors\nematode.unl.edu_2022_09_21\mesobok7.jpg</t>
  </si>
  <si>
    <t>Z:\nemtode\general\website_mirrors\nematode.unl.edu_2022_09_21\mesocsod1.jpg</t>
  </si>
  <si>
    <t>Z:\nemtode\general\website_mirrors\nematode.unl.edu_2022_09_21\mesocur1.jpg</t>
  </si>
  <si>
    <t>Z:\nemtode\general\website_mirrors\nematode.unl.edu_2022_09_21\mesocur10.jpg</t>
  </si>
  <si>
    <t>Z:\nemtode\general\website_mirrors\nematode.unl.edu_2022_09_21\mesocur13.jpg</t>
  </si>
  <si>
    <t>Z:\nemtode\general\website_mirrors\nematode.unl.edu_2022_09_21\mesocur4.jpg</t>
  </si>
  <si>
    <t>Z:\nemtode\general\website_mirrors\nematode.unl.edu_2022_09_21\mesocwy1.jpg</t>
  </si>
  <si>
    <t>Z:\nemtode\general\website_mirrors\nematode.unl.edu_2022_09_21\crickalsow23.jpg</t>
  </si>
  <si>
    <t>Z:\nemtode\general\website_mirrors\nematode.unl.edu_2022_09_21\macurk7.jpg</t>
  </si>
  <si>
    <t>Z:\nemtode\general\website_mirrors\nematode.unl.edu_2022_09_21\macurv44.jpg</t>
  </si>
  <si>
    <t>Z:\nemtode\general\website_mirrors\nematode.unl.edu_2022_09_21\mecreek30.jpg</t>
  </si>
  <si>
    <t>Z:\nemtode\general\website_mirrors\nematode.unl.edu_2022_09_21\mecroth19.jpg</t>
  </si>
  <si>
    <t>Z:\nemtode\general\website_mirrors\nematode.unl.edu_2022_09_21\mecudoo4.jpg</t>
  </si>
  <si>
    <t>Z:\nemtode\general\website_mirrors\nematode.unl.edu_2022_09_21\mecudoo7.jpg</t>
  </si>
  <si>
    <t>Z:\nemtode\general\website_mirrors\nematode.unl.edu_2022_09_21\mecurbe22.jpg</t>
  </si>
  <si>
    <t>Z:\nemtode\general\website_mirrors\nematode.unl.edu_2022_09_21\mecurbe5.jpg</t>
  </si>
  <si>
    <t>Z:\nemtode\general\website_mirrors\nematode.unl.edu_2022_09_21\macurv31.jpg</t>
  </si>
  <si>
    <t>Z:\nemtode\general\website_mirrors\nematode.unl.edu_2022_09_21\macurk12.jpg</t>
  </si>
  <si>
    <t>Z:\nemtode\general\website_mirrors\nematode.unl.edu_2022_09_21\mesocur8.jpg</t>
  </si>
  <si>
    <t>Z:\nemtode\general\website_mirrors\nematode.unl.edu_2022_09_21\macurk3.jpg</t>
  </si>
  <si>
    <t>Z:\nemtode\general\website_mirrors\nematode.unl.edu_2022_09_21\mecroth10.jpg</t>
  </si>
  <si>
    <t>Z:\nemtode\general\website_mirrors\nematode.unl.edu_2022_09_21\cricone9.jpg</t>
  </si>
  <si>
    <t>Z:\nemtode\general\website_mirrors\nematode.unl.edu_2022_09_21\cricone14.jpg</t>
  </si>
  <si>
    <t>Z:\nemtode\general\website_mirrors\nematode.unl.edu_2022_09_21\macurv66.jpg</t>
  </si>
  <si>
    <t>Z:\nemtode\general\website_mirrors\nematode.unl.edu_2022_09_21\macurv78.jpg</t>
  </si>
  <si>
    <t>Z:\nemtode\general\website_mirrors\nematode.unl.edu_2022_09_21\macurv94.jpg</t>
  </si>
  <si>
    <t>Z:\nemtode\general\website_mirrors\nematode.unl.edu_2022_09_21\mecreek118.jpg</t>
  </si>
  <si>
    <t>Z:\nemtode\general\website_mirrors\nematode.unl.edu_2022_09_21\mecreek18.jpg</t>
  </si>
  <si>
    <t>Z:\nemtode\general\website_mirrors\nematode.unl.edu_2022_09_21\mecreek33.jpg</t>
  </si>
  <si>
    <t>Z:\nemtode\general\website_mirrors\nematode.unl.edu_2022_09_21\mecurvas12.jpg</t>
  </si>
  <si>
    <t>Z:\nemtode\general\website_mirrors\nematode.unl.edu_2022_09_21\mescu16.jpg</t>
  </si>
  <si>
    <t>Z:\nemtode\general\website_mirrors\nematode.unl.edu_2022_09_21\mescu18.jpg</t>
  </si>
  <si>
    <t>Z:\nemtode\general\website_mirrors\nematode.unl.edu_2022_09_21\mescu20.jpg</t>
  </si>
  <si>
    <t>Z:\nemtode\general\website_mirrors\nematode.unl.edu_2022_09_21\mescu22.jpg</t>
  </si>
  <si>
    <t>Z:\nemtode\general\website_mirrors\nematode.unl.edu_2022_09_21\mescub2.jpg</t>
  </si>
  <si>
    <t>Z:\nemtode\general\website_mirrors\nematode.unl.edu_2022_09_21\macurk18.jpg</t>
  </si>
  <si>
    <t>Z:\nemtode\general\website_mirrors\nematode.unl.edu_2022_09_21\cricone11.jpg</t>
  </si>
  <si>
    <t>Z:\nemtode\general\website_mirrors\nematode.unl.edu_2022_09_21\cricone13.jpg</t>
  </si>
  <si>
    <t>Z:\nemtode\general\website_mirrors\nematode.unl.edu_2022_09_21\mecreek7.jpg</t>
  </si>
  <si>
    <t>Z:\nemtode\general\website_mirrors\nematode.unl.edu_2022_09_21\mecrei6.jpg</t>
  </si>
  <si>
    <t>Z:\nemtode\general\website_mirrors\nematode.unl.edu_2022_09_21\mecurbe15.jpg</t>
  </si>
  <si>
    <t>Z:\nemtode\general\website_mirrors\nematode.unl.edu_2022_09_21\cricone17.jpg</t>
  </si>
  <si>
    <t>Z:\nemtode\general\website_mirrors\nematode.unl.edu_2022_09_21\cricone20.jpg</t>
  </si>
  <si>
    <t>Z:\nemtode\general\website_mirrors\nematode.unl.edu_2022_09_21\cricone22.jpg</t>
  </si>
  <si>
    <t>Z:\nemtode\general\website_mirrors\nematode.unl.edu_2022_09_21\cricone25.jpg</t>
  </si>
  <si>
    <t>Z:\nemtode\general\website_mirrors\nematode.unl.edu_2022_09_21\cricone4.jpg</t>
  </si>
  <si>
    <t>Z:\nemtode\general\website_mirrors\nematode.unl.edu_2022_09_21\cricone8.jpg</t>
  </si>
  <si>
    <t>Z:\nemtode\general\website_mirrors\nematode.unl.edu_2022_09_21\macarena3.jpg</t>
  </si>
  <si>
    <t>Z:\nemtode\general\website_mirrors\nematode.unl.edu_2022_09_21\macbeal10.jpg</t>
  </si>
  <si>
    <t>Z:\nemtode\general\website_mirrors\nematode.unl.edu_2022_09_21\macbeal13.jpg</t>
  </si>
  <si>
    <t>Z:\nemtode\general\website_mirrors\nematode.unl.edu_2022_09_21\macbeal16.jpg</t>
  </si>
  <si>
    <t>Z:\nemtode\general\website_mirrors\nematode.unl.edu_2022_09_21\macbeal17.jpg</t>
  </si>
  <si>
    <t>Z:\nemtode\general\website_mirrors\nematode.unl.edu_2022_09_21\macbeal19.jpg</t>
  </si>
  <si>
    <t>Z:\nemtode\general\website_mirrors\nematode.unl.edu_2022_09_21\macbeal23.jpg</t>
  </si>
  <si>
    <t>Z:\nemtode\general\website_mirrors\nematode.unl.edu_2022_09_21\macbeal24.jpg</t>
  </si>
  <si>
    <t>Z:\nemtode\general\website_mirrors\nematode.unl.edu_2022_09_21\macbeal28.jpg</t>
  </si>
  <si>
    <t>Z:\nemtode\general\website_mirrors\nematode.unl.edu_2022_09_21\macbeal31.jpg</t>
  </si>
  <si>
    <t>Z:\nemtode\general\website_mirrors\nematode.unl.edu_2022_09_21\macbeal6.jpg</t>
  </si>
  <si>
    <t>Z:\nemtode\general\website_mirrors\nematode.unl.edu_2022_09_21\macurk17.jpg</t>
  </si>
  <si>
    <t>Z:\nemtode\general\website_mirrors\nematode.unl.edu_2022_09_21\macurk2.jpg</t>
  </si>
  <si>
    <t>Z:\nemtode\general\website_mirrors\nematode.unl.edu_2022_09_21\macurk22.jpg</t>
  </si>
  <si>
    <t>Z:\nemtode\general\website_mirrors\nematode.unl.edu_2022_09_21\macurk6.jpg</t>
  </si>
  <si>
    <t>Z:\nemtode\general\website_mirrors\nematode.unl.edu_2022_09_21\macurk8.jpg</t>
  </si>
  <si>
    <t>Z:\nemtode\general\website_mirrors\nematode.unl.edu_2022_09_21\macurv10.jpg</t>
  </si>
  <si>
    <t>Z:\nemtode\general\website_mirrors\nematode.unl.edu_2022_09_21\macurv100.jpg</t>
  </si>
  <si>
    <t>Z:\nemtode\general\website_mirrors\nematode.unl.edu_2022_09_21\macurv103.jpg</t>
  </si>
  <si>
    <t>Z:\nemtode\general\website_mirrors\nematode.unl.edu_2022_09_21\macurv12.jpg</t>
  </si>
  <si>
    <t>Z:\nemtode\general\website_mirrors\nematode.unl.edu_2022_09_21\macurv14.jpg</t>
  </si>
  <si>
    <t>Z:\nemtode\general\website_mirrors\nematode.unl.edu_2022_09_21\macurv15.jpg</t>
  </si>
  <si>
    <t>Z:\nemtode\general\website_mirrors\nematode.unl.edu_2022_09_21\macurv19.jpg</t>
  </si>
  <si>
    <t>Z:\nemtode\general\website_mirrors\nematode.unl.edu_2022_09_21\macurv21.jpg</t>
  </si>
  <si>
    <t>Z:\nemtode\general\website_mirrors\nematode.unl.edu_2022_09_21\macurv24.jpg</t>
  </si>
  <si>
    <t>Z:\nemtode\general\website_mirrors\nematode.unl.edu_2022_09_21\macurv27.jpg</t>
  </si>
  <si>
    <t>Z:\nemtode\general\website_mirrors\nematode.unl.edu_2022_09_21\macurv30.jpg</t>
  </si>
  <si>
    <t>Z:\nemtode\general\website_mirrors\nematode.unl.edu_2022_09_21\macurv35.jpg</t>
  </si>
  <si>
    <t>Z:\nemtode\general\website_mirrors\nematode.unl.edu_2022_09_21\macurv39.jpg</t>
  </si>
  <si>
    <t>Z:\nemtode\general\website_mirrors\nematode.unl.edu_2022_09_21\macurv40.jpg</t>
  </si>
  <si>
    <t>Z:\nemtode\general\website_mirrors\nematode.unl.edu_2022_09_21\macurv43.jpg</t>
  </si>
  <si>
    <t>Z:\nemtode\general\website_mirrors\nematode.unl.edu_2022_09_21\macurv46.jpg</t>
  </si>
  <si>
    <t>Z:\nemtode\general\website_mirrors\nematode.unl.edu_2022_09_21\macurv50.jpg</t>
  </si>
  <si>
    <t>Z:\nemtode\general\website_mirrors\nematode.unl.edu_2022_09_21\macurv54.jpg</t>
  </si>
  <si>
    <t>Z:\nemtode\general\website_mirrors\nematode.unl.edu_2022_09_21\macurv60.jpg</t>
  </si>
  <si>
    <t>Z:\nemtode\general\website_mirrors\nematode.unl.edu_2022_09_21\macurv63.jpg</t>
  </si>
  <si>
    <t>Z:\nemtode\general\website_mirrors\nematode.unl.edu_2022_09_21\macurv67.jpg</t>
  </si>
  <si>
    <t>Z:\nemtode\general\website_mirrors\nematode.unl.edu_2022_09_21\macurv68.jpg</t>
  </si>
  <si>
    <t>Z:\nemtode\general\website_mirrors\nematode.unl.edu_2022_09_21\macurv72.jpg</t>
  </si>
  <si>
    <t>Z:\nemtode\general\website_mirrors\nematode.unl.edu_2022_09_21\macurv75.jpg</t>
  </si>
  <si>
    <t>Z:\nemtode\general\website_mirrors\nematode.unl.edu_2022_09_21\macurv79.jpg</t>
  </si>
  <si>
    <t>Z:\nemtode\general\website_mirrors\nematode.unl.edu_2022_09_21\macurv83.jpg</t>
  </si>
  <si>
    <t>Z:\nemtode\general\website_mirrors\nematode.unl.edu_2022_09_21\macurv84.jpg</t>
  </si>
  <si>
    <t>Z:\nemtode\general\website_mirrors\nematode.unl.edu_2022_09_21\macurv87.jpg</t>
  </si>
  <si>
    <t>Z:\nemtode\general\website_mirrors\nematode.unl.edu_2022_09_21\macurv88.jpg</t>
  </si>
  <si>
    <t>Z:\nemtode\general\website_mirrors\nematode.unl.edu_2022_09_21\macurv91.jpg</t>
  </si>
  <si>
    <t>Z:\nemtode\general\website_mirrors\nematode.unl.edu_2022_09_21\macurv97.jpg</t>
  </si>
  <si>
    <t>Z:\nemtode\general\website_mirrors\nematode.unl.edu_2022_09_21\mecauro3.jpg</t>
  </si>
  <si>
    <t>Z:\nemtode\general\website_mirrors\nematode.unl.edu_2022_09_21\mecauro8.jpg</t>
  </si>
  <si>
    <t>Z:\nemtode\general\website_mirrors\nematode.unl.edu_2022_09_21\mecauro9.jpg</t>
  </si>
  <si>
    <t>Z:\nemtode\general\website_mirrors\nematode.unl.edu_2022_09_21\mecki19.jpg</t>
  </si>
  <si>
    <t>Z:\nemtode\general\website_mirrors\nematode.unl.edu_2022_09_21\mecki21.jpg</t>
  </si>
  <si>
    <t>Z:\nemtode\general\website_mirrors\nematode.unl.edu_2022_09_21\mecki22.jpg</t>
  </si>
  <si>
    <t>Z:\nemtode\general\website_mirrors\nematode.unl.edu_2022_09_21\mecki26.jpg</t>
  </si>
  <si>
    <t>Z:\nemtode\general\website_mirrors\nematode.unl.edu_2022_09_21\mecki28.jpg</t>
  </si>
  <si>
    <t>Z:\nemtode\general\website_mirrors\nematode.unl.edu_2022_09_21\mecreek13.jpg</t>
  </si>
  <si>
    <t>Z:\nemtode\general\website_mirrors\nematode.unl.edu_2022_09_21\mecreek132.jpg</t>
  </si>
  <si>
    <t>Z:\nemtode\general\website_mirrors\nematode.unl.edu_2022_09_21\mecreek135.jpg</t>
  </si>
  <si>
    <t>Z:\nemtode\general\website_mirrors\nematode.unl.edu_2022_09_21\mecreek138.jpg</t>
  </si>
  <si>
    <t>Z:\nemtode\general\website_mirrors\nematode.unl.edu_2022_09_21\mecreek141.jpg</t>
  </si>
  <si>
    <t>Z:\nemtode\general\website_mirrors\nematode.unl.edu_2022_09_21\mecreek144.jpg</t>
  </si>
  <si>
    <t>Z:\nemtode\general\website_mirrors\nematode.unl.edu_2022_09_21\mecreek145.jpg</t>
  </si>
  <si>
    <t>Z:\nemtode\general\website_mirrors\nematode.unl.edu_2022_09_21\mecreek147.jpg</t>
  </si>
  <si>
    <t>Z:\nemtode\general\website_mirrors\nematode.unl.edu_2022_09_21\mecreek151.jpg</t>
  </si>
  <si>
    <t>Z:\nemtode\general\website_mirrors\nematode.unl.edu_2022_09_21\mecreek17.jpg</t>
  </si>
  <si>
    <t>Z:\nemtode\general\website_mirrors\nematode.unl.edu_2022_09_21\mecreek2.jpg</t>
  </si>
  <si>
    <t>Z:\nemtode\general\website_mirrors\nematode.unl.edu_2022_09_21\mecreek23.jpg</t>
  </si>
  <si>
    <t>Z:\nemtode\general\website_mirrors\nematode.unl.edu_2022_09_21\mecreek26.jpg</t>
  </si>
  <si>
    <t>Z:\nemtode\general\website_mirrors\nematode.unl.edu_2022_09_21\mecreek29.jpg</t>
  </si>
  <si>
    <t>Z:\nemtode\general\website_mirrors\nematode.unl.edu_2022_09_21\mecreek36.jpg</t>
  </si>
  <si>
    <t>Z:\nemtode\general\website_mirrors\nematode.unl.edu_2022_09_21\mecreek41.jpg</t>
  </si>
  <si>
    <t>Z:\nemtode\general\website_mirrors\nematode.unl.edu_2022_09_21\mecreek44.jpg</t>
  </si>
  <si>
    <t>Z:\nemtode\general\website_mirrors\nematode.unl.edu_2022_09_21\mecreek47.jpg</t>
  </si>
  <si>
    <t>Z:\nemtode\general\website_mirrors\nematode.unl.edu_2022_09_21\mecreek54.jpg</t>
  </si>
  <si>
    <t>Z:\nemtode\general\website_mirrors\nematode.unl.edu_2022_09_21\mecreek57.jpg</t>
  </si>
  <si>
    <t>Z:\nemtode\general\website_mirrors\nematode.unl.edu_2022_09_21\mecreek60.jpg</t>
  </si>
  <si>
    <t>Z:\nemtode\general\website_mirrors\nematode.unl.edu_2022_09_21\mecreek64.jpg</t>
  </si>
  <si>
    <t>Z:\nemtode\general\website_mirrors\nematode.unl.edu_2022_09_21\mecreek68.jpg</t>
  </si>
  <si>
    <t>Z:\nemtode\general\website_mirrors\nematode.unl.edu_2022_09_21\mecreek71.jpg</t>
  </si>
  <si>
    <t>Z:\nemtode\general\website_mirrors\nematode.unl.edu_2022_09_21\mecreek74.jpg</t>
  </si>
  <si>
    <t>Z:\nemtode\general\website_mirrors\nematode.unl.edu_2022_09_21\mecreek79.jpg</t>
  </si>
  <si>
    <t>Z:\nemtode\general\website_mirrors\nematode.unl.edu_2022_09_21\mecreek8.jpg</t>
  </si>
  <si>
    <t>Z:\nemtode\general\website_mirrors\nematode.unl.edu_2022_09_21\mecreek83.jpg</t>
  </si>
  <si>
    <t>Z:\nemtode\general\website_mirrors\nematode.unl.edu_2022_09_21\mecreek87.jpg</t>
  </si>
  <si>
    <t>Z:\nemtode\general\website_mirrors\nematode.unl.edu_2022_09_21\mecreek88.jpg</t>
  </si>
  <si>
    <t>Z:\nemtode\general\website_mirrors\nematode.unl.edu_2022_09_21\mecreek9.jpg</t>
  </si>
  <si>
    <t>Z:\nemtode\general\website_mirrors\nematode.unl.edu_2022_09_21\mecreek91.jpg</t>
  </si>
  <si>
    <t>Z:\nemtode\general\website_mirrors\nematode.unl.edu_2022_09_21\mecrei3.jpg</t>
  </si>
  <si>
    <t>Z:\nemtode\general\website_mirrors\nematode.unl.edu_2022_09_21\mecroth14.jpg</t>
  </si>
  <si>
    <t>Z:\nemtode\general\website_mirrors\nematode.unl.edu_2022_09_21\mecroth18.jpg</t>
  </si>
  <si>
    <t>Z:\nemtode\general\website_mirrors\nematode.unl.edu_2022_09_21\mecroth5.jpg</t>
  </si>
  <si>
    <t>Z:\nemtode\general\website_mirrors\nematode.unl.edu_2022_09_21\mecroth9.jpg</t>
  </si>
  <si>
    <t>Z:\nemtode\general\website_mirrors\nematode.unl.edu_2022_09_21\mecudoo13.jpg</t>
  </si>
  <si>
    <t>Z:\nemtode\general\website_mirrors\nematode.unl.edu_2022_09_21\mecudoo14.jpg</t>
  </si>
  <si>
    <t>Z:\nemtode\general\website_mirrors\nematode.unl.edu_2022_09_21\mecudoo18.jpg</t>
  </si>
  <si>
    <t>Z:\nemtode\general\website_mirrors\nematode.unl.edu_2022_09_21\mecudoo21.jpg</t>
  </si>
  <si>
    <t>Z:\nemtode\general\website_mirrors\nematode.unl.edu_2022_09_21\mecudoo3.jpg</t>
  </si>
  <si>
    <t>Z:\nemtode\general\website_mirrors\nematode.unl.edu_2022_09_21\mecudoo8.jpg</t>
  </si>
  <si>
    <t>Z:\nemtode\general\website_mirrors\nematode.unl.edu_2022_09_21\mecurbe11.jpg</t>
  </si>
  <si>
    <t>Z:\nemtode\general\website_mirrors\nematode.unl.edu_2022_09_21\mecurbe16.jpg</t>
  </si>
  <si>
    <t>Z:\nemtode\general\website_mirrors\nematode.unl.edu_2022_09_21\mecurbe21.jpg</t>
  </si>
  <si>
    <t>Z:\nemtode\general\website_mirrors\nematode.unl.edu_2022_09_21\mecurbe27.jpg</t>
  </si>
  <si>
    <t>Z:\nemtode\general\website_mirrors\nematode.unl.edu_2022_09_21\mecurbe28.jpg</t>
  </si>
  <si>
    <t>Z:\nemtode\general\website_mirrors\nematode.unl.edu_2022_09_21\mecurbe29.jpg</t>
  </si>
  <si>
    <t>Z:\nemtode\general\website_mirrors\nematode.unl.edu_2022_09_21\mecurbe3.jpg</t>
  </si>
  <si>
    <t>Z:\nemtode\general\website_mirrors\nematode.unl.edu_2022_09_21\mecurbe6.jpg</t>
  </si>
  <si>
    <t>Z:\nemtode\general\website_mirrors\nematode.unl.edu_2022_09_21\mecurvas11.jpg</t>
  </si>
  <si>
    <t>Z:\nemtode\general\website_mirrors\nematode.unl.edu_2022_09_21\mecurvas15.jpg</t>
  </si>
  <si>
    <t>Z:\nemtode\general\website_mirrors\nematode.unl.edu_2022_09_21\mecurvas19.jpg</t>
  </si>
  <si>
    <t>Z:\nemtode\general\website_mirrors\nematode.unl.edu_2022_09_21\mecurvas3.jpg</t>
  </si>
  <si>
    <t>Z:\nemtode\general\website_mirrors\nematode.unl.edu_2022_09_21\mecurvas7.jpg</t>
  </si>
  <si>
    <t>Z:\nemtode\general\website_mirrors\nematode.unl.edu_2022_09_21\mesavo12.jpg</t>
  </si>
  <si>
    <t>Z:\nemtode\general\website_mirrors\nematode.unl.edu_2022_09_21\mesavo15.jpg</t>
  </si>
  <si>
    <t>Z:\nemtode\general\website_mirrors\nematode.unl.edu_2022_09_21\mesavo18.jpg</t>
  </si>
  <si>
    <t>Z:\nemtode\general\website_mirrors\nematode.unl.edu_2022_09_21\mesavo21.jpg</t>
  </si>
  <si>
    <t>Z:\nemtode\general\website_mirrors\nematode.unl.edu_2022_09_21\mesavo4.jpg</t>
  </si>
  <si>
    <t>Z:\nemtode\general\website_mirrors\nematode.unl.edu_2022_09_21\mesavo5.jpg</t>
  </si>
  <si>
    <t>Z:\nemtode\general\website_mirrors\nematode.unl.edu_2022_09_21\mesavo8.jpg</t>
  </si>
  <si>
    <t>Z:\nemtode\general\website_mirrors\nematode.unl.edu_2022_09_21\mesavo9.jpg</t>
  </si>
  <si>
    <t>Z:\nemtode\general\website_mirrors\nematode.unl.edu_2022_09_21\mescu11.jpg</t>
  </si>
  <si>
    <t>Z:\nemtode\general\website_mirrors\nematode.unl.edu_2022_09_21\mescu24.jpg</t>
  </si>
  <si>
    <t>Z:\nemtode\general\website_mirrors\nematode.unl.edu_2022_09_21\mescu4.jpg</t>
  </si>
  <si>
    <t>Z:\nemtode\general\website_mirrors\nematode.unl.edu_2022_09_21\mescumt3.jpg</t>
  </si>
  <si>
    <t>Z:\nemtode\general\website_mirrors\nematode.unl.edu_2022_09_21\mesobok3.jpg</t>
  </si>
  <si>
    <t>Z:\nemtode\general\website_mirrors\nematode.unl.edu_2022_09_21\mesobok6.jpg</t>
  </si>
  <si>
    <t>Z:\nemtode\general\website_mirrors\nematode.unl.edu_2022_09_21\mesobok9.jpg</t>
  </si>
  <si>
    <t>Z:\nemtode\general\website_mirrors\nematode.unl.edu_2022_09_21\mesocsod3.jpg</t>
  </si>
  <si>
    <t>Z:\nemtode\general\website_mirrors\nematode.unl.edu_2022_09_21\mesocur12.jpg</t>
  </si>
  <si>
    <t>Z:\nemtode\general\website_mirrors\nematode.unl.edu_2022_09_21\mesocur15.jpg</t>
  </si>
  <si>
    <t>Z:\nemtode\general\website_mirrors\nematode.unl.edu_2022_09_21\mesocur3.jpg</t>
  </si>
  <si>
    <t>Z:\nemtode\general\website_mirrors\nematode.unl.edu_2022_09_21\mesocur6.jpg</t>
  </si>
  <si>
    <t>Z:\nemtode\general\website_mirrors\nematode.unl.edu_2022_09_21\mesocur9.jpg</t>
  </si>
  <si>
    <t>Z:\nemtode\general\website_mirrors\nematode.unl.edu_2022_09_21\mesocwy3.jpg</t>
  </si>
  <si>
    <t>Z:\nemtode\general\website_mirrors\nematode.unl.edu_2022_09_21\mesru3.jpg</t>
  </si>
  <si>
    <t>Z:\nemtode\general\website_mirrors\nematode.unl.edu_2022_09_21\macbeal3.jpg</t>
  </si>
  <si>
    <t>Z:\nemtode\general\website_mirrors\nematode.unl.edu_2022_09_21\macurk10.jpg</t>
  </si>
  <si>
    <t>Z:\nemtode\general\website_mirrors\nematode.unl.edu_2022_09_21\macurk11.jpg</t>
  </si>
  <si>
    <t>Z:\nemtode\general\website_mirrors\nematode.unl.edu_2022_09_21\macurk14.jpg</t>
  </si>
  <si>
    <t>Z:\nemtode\general\website_mirrors\nematode.unl.edu_2022_09_21\macurk24.jpg</t>
  </si>
  <si>
    <t>Z:\nemtode\general\website_mirrors\nematode.unl.edu_2022_09_21\macurv41.jpg</t>
  </si>
  <si>
    <t>Z:\nemtode\general\website_mirrors\nematode.unl.edu_2022_09_21\macurv47.jpg</t>
  </si>
  <si>
    <t>Z:\nemtode\general\website_mirrors\nematode.unl.edu_2022_09_21\macurv57.jpg</t>
  </si>
  <si>
    <t>Z:\nemtode\general\website_mirrors\nematode.unl.edu_2022_09_21\macurv69.jpg</t>
  </si>
  <si>
    <t>Z:\nemtode\general\website_mirrors\nematode.unl.edu_2022_09_21\mecreek148.jpg</t>
  </si>
  <si>
    <t>Z:\nemtode\general\website_mirrors\nematode.unl.edu_2022_09_21\mecreek80.jpg</t>
  </si>
  <si>
    <t>Z:\nemtode\general\website_mirrors\nematode.unl.edu_2022_09_21\mecrei7.jpg</t>
  </si>
  <si>
    <t>Z:\nemtode\general\website_mirrors\nematode.unl.edu_2022_09_21\mecroth11.jpg</t>
  </si>
  <si>
    <t>Z:\nemtode\general\website_mirrors\nematode.unl.edu_2022_09_21\mecroth16.jpg</t>
  </si>
  <si>
    <t>Z:\nemtode\general\website_mirrors\nematode.unl.edu_2022_09_21\mecroth6.jpg</t>
  </si>
  <si>
    <t>Z:\nemtode\general\website_mirrors\nematode.unl.edu_2022_09_21\mecudoo10.jpg</t>
  </si>
  <si>
    <t>Z:\nemtode\general\website_mirrors\nematode.unl.edu_2022_09_21\mecudoo9.jpg</t>
  </si>
  <si>
    <t>Z:\nemtode\general\website_mirrors\nematode.unl.edu_2022_09_21\mecurbe17.jpg</t>
  </si>
  <si>
    <t>Z:\nemtode\general\website_mirrors\nematode.unl.edu_2022_09_21\mecurbe7.jpg</t>
  </si>
  <si>
    <t>Z:\nemtode\general\website_mirrors\nematode.unl.edu_2022_09_21\mecurbe8.jpg</t>
  </si>
  <si>
    <t>Z:\nemtode\general\website_mirrors\nematode.unl.edu_2022_09_21\mecurvas4.jpg</t>
  </si>
  <si>
    <t>Z:\nemtode\general\website_mirrors\nematode.unl.edu_2022_09_21\mesavo16.jpg</t>
  </si>
  <si>
    <t>Z:\nemtode\general\website_mirrors\nematode.unl.edu_2022_09_21\mesocsod4.jpg</t>
  </si>
  <si>
    <t>Z:\nemtode\general\website_mirrors\nematode.unl.edu_2022_09_21\mesavo26.jpg</t>
  </si>
  <si>
    <t>Z:\nemtode\general\website_mirrors\nematode.unl.edu_2022_09_21\mesavo3.jpg</t>
  </si>
  <si>
    <t>Z:\nemtode\general\website_mirrors\nematode.unl.edu_2022_09_21\mesavo25.jpg</t>
  </si>
  <si>
    <t>Z:\nemtode\general\website_mirrors\nematode.unl.edu_2022_09_21\mesavo28.jpg</t>
  </si>
  <si>
    <t>Z:\nemtode\general\website_mirrors\nematode.unl.edu_2022_09_21\mesavo29.jpg</t>
  </si>
  <si>
    <t>Z:\nemtode\general\website_mirrors\nematode.unl.edu_2022_09_21\mesodisc1.jpg</t>
  </si>
  <si>
    <t>Z:\nemtode\general\website_mirrors\nematode.unl.edu_2022_09_21\mesodisc10.jpg</t>
  </si>
  <si>
    <t>Z:\nemtode\general\website_mirrors\nematode.unl.edu_2022_09_21\mesodisc28.jpg</t>
  </si>
  <si>
    <t>Z:\nemtode\general\website_mirrors\nematode.unl.edu_2022_09_21\mesodisc3.jpg</t>
  </si>
  <si>
    <t>Z:\nemtode\general\website_mirrors\nematode.unl.edu_2022_09_21\mesodisc34.jpg</t>
  </si>
  <si>
    <t>Z:\nemtode\general\website_mirrors\nematode.unl.edu_2022_09_21\mesodisc5.jpg</t>
  </si>
  <si>
    <t>Z:\nemtode\general\website_mirrors\nematode.unl.edu_2022_09_21\mesodisc33.jpg</t>
  </si>
  <si>
    <t>Z:\nemtode\general\website_mirrors\nematode.unl.edu_2022_09_21\cdiscuspara11.jpg</t>
  </si>
  <si>
    <t>Z:\nemtode\general\website_mirrors\nematode.unl.edu_2022_09_21\cdiscuspara14.jpg</t>
  </si>
  <si>
    <t>Z:\nemtode\general\website_mirrors\nematode.unl.edu_2022_09_21\cdiscuspara15.jpg</t>
  </si>
  <si>
    <t>Z:\nemtode\general\website_mirrors\nematode.unl.edu_2022_09_21\cdiscuspara2.jpg</t>
  </si>
  <si>
    <t>Z:\nemtode\general\website_mirrors\nematode.unl.edu_2022_09_21\cdiscuspara3.jpg</t>
  </si>
  <si>
    <t>Z:\nemtode\general\website_mirrors\nematode.unl.edu_2022_09_21\cdiscuspara7.jpg</t>
  </si>
  <si>
    <t>Z:\nemtode\general\website_mirrors\nematode.unl.edu_2022_09_21\cdiscuspara8.jpg</t>
  </si>
  <si>
    <t>Z:\nemtode\general\website_mirrors\nematode.unl.edu_2022_09_21\medisdo2.jpg</t>
  </si>
  <si>
    <t>Z:\nemtode\general\website_mirrors\nematode.unl.edu_2022_09_21\mesodisc12.jpg</t>
  </si>
  <si>
    <t>Z:\nemtode\general\website_mirrors\nematode.unl.edu_2022_09_21\mesodisc14.jpg</t>
  </si>
  <si>
    <t>Z:\nemtode\general\website_mirrors\nematode.unl.edu_2022_09_21\mesodisc15.jpg</t>
  </si>
  <si>
    <t>Z:\nemtode\general\website_mirrors\nematode.unl.edu_2022_09_21\mesodisc16.jpg</t>
  </si>
  <si>
    <t>Z:\nemtode\general\website_mirrors\nematode.unl.edu_2022_09_21\mesodisc21.jpg</t>
  </si>
  <si>
    <t>Z:\nemtode\general\website_mirrors\nematode.unl.edu_2022_09_21\mesodisc24.jpg</t>
  </si>
  <si>
    <t>Z:\nemtode\general\website_mirrors\nematode.unl.edu_2022_09_21\mesodisc25.jpg</t>
  </si>
  <si>
    <t>Z:\nemtode\general\website_mirrors\nematode.unl.edu_2022_09_21\mesodisc31.jpg</t>
  </si>
  <si>
    <t>Z:\nemtode\general\website_mirrors\nematode.unl.edu_2022_09_21\mesodisc37.jpg</t>
  </si>
  <si>
    <t>Z:\nemtode\general\website_mirrors\nematode.unl.edu_2022_09_21\mesodisc29.jpg</t>
  </si>
  <si>
    <t>Z:\nemtode\general\website_mirrors\nematode.unl.edu_2022_09_21\cdiscuspara1.jpg</t>
  </si>
  <si>
    <t>Z:\nemtode\general\website_mirrors\nematode.unl.edu_2022_09_21\cdiscuspara10.jpg</t>
  </si>
  <si>
    <t>Z:\nemtode\general\website_mirrors\nematode.unl.edu_2022_09_21\cdiscuspara13.jpg</t>
  </si>
  <si>
    <t>Z:\nemtode\general\website_mirrors\nematode.unl.edu_2022_09_21\cdiscuspara6.jpg</t>
  </si>
  <si>
    <t>Z:\nemtode\general\website_mirrors\nematode.unl.edu_2022_09_21\medisdo1.jpg</t>
  </si>
  <si>
    <t>Z:\nemtode\general\website_mirrors\nematode.unl.edu_2022_09_21\mesodisc13.jpg</t>
  </si>
  <si>
    <t>Z:\nemtode\general\website_mirrors\nematode.unl.edu_2022_09_21\mesodisc20.jpg</t>
  </si>
  <si>
    <t>Z:\nemtode\general\website_mirrors\nematode.unl.edu_2022_09_21\mesodisc23.jpg</t>
  </si>
  <si>
    <t>Z:\nemtode\general\website_mirrors\nematode.unl.edu_2022_09_21\mesodisc27.jpg</t>
  </si>
  <si>
    <t>Z:\nemtode\general\website_mirrors\nematode.unl.edu_2022_09_21\mesodisc36.jpg</t>
  </si>
  <si>
    <t>Z:\nemtode\general\website_mirrors\nematode.unl.edu_2022_09_21\mesodisc9.jpg</t>
  </si>
  <si>
    <t>Z:\nemtode\general\website_mirrors\nematode.unl.edu_2022_09_21\medisdo4.jpg</t>
  </si>
  <si>
    <t>Z:\nemtode\general\website_mirrors\nematode.unl.edu_2022_09_21\mesodisc38.jpg</t>
  </si>
  <si>
    <t>Z:\nemtode\general\website_mirrors\nematode.unl.edu_2022_09_21\mesodisc7.jpg</t>
  </si>
  <si>
    <t>Z:\nemtode\general\website_mirrors\nematode.unl.edu_2022_09_21\mesodisc11.jpg</t>
  </si>
  <si>
    <t>Z:\nemtode\general\website_mirrors\nematode.unl.edu_2022_09_21\mesodisc17.jpg</t>
  </si>
  <si>
    <t>Z:\nemtode\general\website_mirrors\nematode.unl.edu_2022_09_21\mesodisc2.jpg</t>
  </si>
  <si>
    <t>Z:\nemtode\general\website_mirrors\nematode.unl.edu_2022_09_21\mesodisc30.jpg</t>
  </si>
  <si>
    <t>Z:\nemtode\general\website_mirrors\nematode.unl.edu_2022_09_21\mesodisc6.jpg</t>
  </si>
  <si>
    <t>Z:\nemtode\general\website_mirrors\nematode.unl.edu_2022_09_21\cdiscuspara12.jpg</t>
  </si>
  <si>
    <t>Z:\nemtode\general\website_mirrors\nematode.unl.edu_2022_09_21\cdiscuspara16.jpg</t>
  </si>
  <si>
    <t>Z:\nemtode\general\website_mirrors\nematode.unl.edu_2022_09_21\medisdo3.jpg</t>
  </si>
  <si>
    <t>Z:\nemtode\general\website_mirrors\nematode.unl.edu_2022_09_21\mesodisc18.jpg</t>
  </si>
  <si>
    <t>Z:\nemtode\general\website_mirrors\nematode.unl.edu_2022_09_21\mesodisc19.jpg</t>
  </si>
  <si>
    <t>Z:\nemtode\general\website_mirrors\nematode.unl.edu_2022_09_21\mesodisc22.jpg</t>
  </si>
  <si>
    <t>Z:\nemtode\general\website_mirrors\nematode.unl.edu_2022_09_21\mesodisc26.jpg</t>
  </si>
  <si>
    <t>Z:\nemtode\general\website_mirrors\nematode.unl.edu_2022_09_21\mesodisc32.jpg</t>
  </si>
  <si>
    <t>Z:\nemtode\general\website_mirrors\nematode.unl.edu_2022_09_21\mesodisc35.jpg</t>
  </si>
  <si>
    <t>Z:\nemtode\general\website_mirrors\nematode.unl.edu_2022_09_21\mesodisc39.jpg</t>
  </si>
  <si>
    <t>Z:\nemtode\general\website_mirrors\nematode.unl.edu_2022_09_21\cdiscuspara5.jpg</t>
  </si>
  <si>
    <t>Z:\nemtode\general\website_mirrors\nematode.unl.edu_2022_09_21\cdiscuspara9.jpg</t>
  </si>
  <si>
    <t>Z:\nemtode\general\website_mirrors\nematode.unl.edu_2022_09_21\mesodisc4.jpg</t>
  </si>
  <si>
    <t>Z:\nemtode\general\website_mirrors\nematode.unl.edu_2022_09_21\cdiscuspara4.jpg</t>
  </si>
  <si>
    <t>Z:\nemtode\general\website_mirrors\nematode.unl.edu_2022_09_21\discinarty3.jpg</t>
  </si>
  <si>
    <t>Z:\nemtode\general\website_mirrors\nematode.unl.edu_2022_09_21\mesocrin60.jpg</t>
  </si>
  <si>
    <t>Z:\nemtode\general\website_mirrors\nematode.unl.edu_2022_09_21\crickalsow11.jpg</t>
  </si>
  <si>
    <t>Z:\nemtode\general\website_mirrors\nematode.unl.edu_2022_09_21\crickalsow16.jpg</t>
  </si>
  <si>
    <t>Z:\nemtode\general\website_mirrors\nematode.unl.edu_2022_09_21\crickalsow26.jpg</t>
  </si>
  <si>
    <t>Z:\nemtode\general\website_mirrors\nematode.unl.edu_2022_09_21\crickalsow3.jpg</t>
  </si>
  <si>
    <t>Z:\nemtode\general\website_mirrors\nematode.unl.edu_2022_09_21\crickalsow7.jpg</t>
  </si>
  <si>
    <t>Z:\nemtode\general\website_mirrors\nematode.unl.edu_2022_09_21\discoina2.jpg</t>
  </si>
  <si>
    <t>Z:\nemtode\general\website_mirrors\nematode.unl.edu_2022_09_21\discoina3.jpg</t>
  </si>
  <si>
    <t>Z:\nemtode\general\website_mirrors\nematode.unl.edu_2022_09_21\mackals3.jpg</t>
  </si>
  <si>
    <t>Z:\nemtode\general\website_mirrors\nematode.unl.edu_2022_09_21\macurv2.jpg</t>
  </si>
  <si>
    <t>Z:\nemtode\general\website_mirrors\nematode.unl.edu_2022_09_21\macurv4.jpg</t>
  </si>
  <si>
    <t>Z:\nemtode\general\website_mirrors\nematode.unl.edu_2022_09_21\macurv7.jpg</t>
  </si>
  <si>
    <t>Z:\nemtode\general\website_mirrors\nematode.unl.edu_2022_09_21\mesocrin12.jpg</t>
  </si>
  <si>
    <t>Z:\nemtode\general\website_mirrors\nematode.unl.edu_2022_09_21\mesocrin13.jpg</t>
  </si>
  <si>
    <t>Z:\nemtode\general\website_mirrors\nematode.unl.edu_2022_09_21\mesocrin18.jpg</t>
  </si>
  <si>
    <t>Z:\nemtode\general\website_mirrors\nematode.unl.edu_2022_09_21\mesocrin21.jpg</t>
  </si>
  <si>
    <t>Z:\nemtode\general\website_mirrors\nematode.unl.edu_2022_09_21\mesocrin25.jpg</t>
  </si>
  <si>
    <t>Z:\nemtode\general\website_mirrors\nematode.unl.edu_2022_09_21\mesocrin3.jpg</t>
  </si>
  <si>
    <t>Z:\nemtode\general\website_mirrors\nematode.unl.edu_2022_09_21\mesocrin34.jpg</t>
  </si>
  <si>
    <t>Z:\nemtode\general\website_mirrors\nematode.unl.edu_2022_09_21\mesocrin37.jpg</t>
  </si>
  <si>
    <t>Z:\nemtode\general\website_mirrors\nematode.unl.edu_2022_09_21\mesocrin38.jpg</t>
  </si>
  <si>
    <t>Z:\nemtode\general\website_mirrors\nematode.unl.edu_2022_09_21\mesocrin41.jpg</t>
  </si>
  <si>
    <t>Z:\nemtode\general\website_mirrors\nematode.unl.edu_2022_09_21\mesocrin45.jpg</t>
  </si>
  <si>
    <t>Z:\nemtode\general\website_mirrors\nematode.unl.edu_2022_09_21\mesocrin5.jpg</t>
  </si>
  <si>
    <t>Z:\nemtode\general\website_mirrors\nematode.unl.edu_2022_09_21\mesocrin50.jpg</t>
  </si>
  <si>
    <t>Z:\nemtode\general\website_mirrors\nematode.unl.edu_2022_09_21\mesocrin54.jpg</t>
  </si>
  <si>
    <t>Z:\nemtode\general\website_mirrors\nematode.unl.edu_2022_09_21\mesocrin56.jpg</t>
  </si>
  <si>
    <t>Z:\nemtode\general\website_mirrors\nematode.unl.edu_2022_09_21\mesocrin6.jpg</t>
  </si>
  <si>
    <t>Z:\nemtode\general\website_mirrors\nematode.unl.edu_2022_09_21\mesocrin62.jpg</t>
  </si>
  <si>
    <t>Z:\nemtode\general\website_mirrors\nematode.unl.edu_2022_09_21\mesocrin65.jpg</t>
  </si>
  <si>
    <t>Z:\nemtode\general\website_mirrors\nematode.unl.edu_2022_09_21\mesocrin69.jpg</t>
  </si>
  <si>
    <t>Z:\nemtode\general\website_mirrors\nematode.unl.edu_2022_09_21\mesocrin73.jpg</t>
  </si>
  <si>
    <t>Z:\nemtode\general\website_mirrors\nematode.unl.edu_2022_09_21\mesocrin77.jpg</t>
  </si>
  <si>
    <t>Z:\nemtode\general\website_mirrors\nematode.unl.edu_2022_09_21\mesocrin81.jpg</t>
  </si>
  <si>
    <t>Z:\nemtode\general\website_mirrors\nematode.unl.edu_2022_09_21\mesocrin86.jpg</t>
  </si>
  <si>
    <t>Z:\nemtode\general\website_mirrors\nematode.unl.edu_2022_09_21\mesocrin89.jpg</t>
  </si>
  <si>
    <t>Z:\nemtode\general\website_mirrors\nematode.unl.edu_2022_09_21\mesocrin9.jpg</t>
  </si>
  <si>
    <t>Z:\nemtode\general\website_mirrors\nematode.unl.edu_2022_09_21\mesocrin92.jpg</t>
  </si>
  <si>
    <t>Z:\nemtode\general\website_mirrors\nematode.unl.edu_2022_09_21\discinarty8.jpg</t>
  </si>
  <si>
    <t>Z:\nemtode\general\website_mirrors\nematode.unl.edu_2022_09_21\crickalsow1.jpg</t>
  </si>
  <si>
    <t>Z:\nemtode\general\website_mirrors\nematode.unl.edu_2022_09_21\crickalsow10.jpg</t>
  </si>
  <si>
    <t>Z:\nemtode\general\website_mirrors\nematode.unl.edu_2022_09_21\crickalsow14.jpg</t>
  </si>
  <si>
    <t>Z:\nemtode\general\website_mirrors\nematode.unl.edu_2022_09_21\crickalsow15.jpg</t>
  </si>
  <si>
    <t>Z:\nemtode\general\website_mirrors\nematode.unl.edu_2022_09_21\crickalsow19.jpg</t>
  </si>
  <si>
    <t>Z:\nemtode\general\website_mirrors\nematode.unl.edu_2022_09_21\crickalsow2.jpg</t>
  </si>
  <si>
    <t>Z:\nemtode\general\website_mirrors\nematode.unl.edu_2022_09_21\crickalsow25.jpg</t>
  </si>
  <si>
    <t>Z:\nemtode\general\website_mirrors\nematode.unl.edu_2022_09_21\crickalsow6.jpg</t>
  </si>
  <si>
    <t>Z:\nemtode\general\website_mirrors\nematode.unl.edu_2022_09_21\crickalsow9.jpg</t>
  </si>
  <si>
    <t>Z:\nemtode\general\website_mirrors\nematode.unl.edu_2022_09_21\discinarty1.jpg</t>
  </si>
  <si>
    <t>Z:\nemtode\general\website_mirrors\nematode.unl.edu_2022_09_21\discinarty2.jpg</t>
  </si>
  <si>
    <t>Z:\nemtode\general\website_mirrors\nematode.unl.edu_2022_09_21\discoina1.jpg</t>
  </si>
  <si>
    <t>Z:\nemtode\general\website_mirrors\nematode.unl.edu_2022_09_21\mackals1.jpg</t>
  </si>
  <si>
    <t>Z:\nemtode\general\website_mirrors\nematode.unl.edu_2022_09_21\mackals2.jpg</t>
  </si>
  <si>
    <t>Z:\nemtode\general\website_mirrors\nematode.unl.edu_2022_09_21\macurv1.jpg</t>
  </si>
  <si>
    <t>Z:\nemtode\general\website_mirrors\nematode.unl.edu_2022_09_21\macurv6.jpg</t>
  </si>
  <si>
    <t>Z:\nemtode\general\website_mirrors\nematode.unl.edu_2022_09_21\macurv9.jpg</t>
  </si>
  <si>
    <t>Z:\nemtode\general\website_mirrors\nematode.unl.edu_2022_09_21\meinacreek1.jpg</t>
  </si>
  <si>
    <t>Z:\nemtode\general\website_mirrors\nematode.unl.edu_2022_09_21\mesocrin1.jpg</t>
  </si>
  <si>
    <t>Z:\nemtode\general\website_mirrors\nematode.unl.edu_2022_09_21\mesocrin11.jpg</t>
  </si>
  <si>
    <t>Z:\nemtode\general\website_mirrors\nematode.unl.edu_2022_09_21\mesocrin14.jpg</t>
  </si>
  <si>
    <t>Z:\nemtode\general\website_mirrors\nematode.unl.edu_2022_09_21\mesocrin17.jpg</t>
  </si>
  <si>
    <t>Z:\nemtode\general\website_mirrors\nematode.unl.edu_2022_09_21\mesocrin2.jpg</t>
  </si>
  <si>
    <t>Z:\nemtode\general\website_mirrors\nematode.unl.edu_2022_09_21\mesocrin20.jpg</t>
  </si>
  <si>
    <t>Z:\nemtode\general\website_mirrors\nematode.unl.edu_2022_09_21\mesocrin24.jpg</t>
  </si>
  <si>
    <t>Z:\nemtode\general\website_mirrors\nematode.unl.edu_2022_09_21\mesocrin32.jpg</t>
  </si>
  <si>
    <t>Z:\nemtode\general\website_mirrors\nematode.unl.edu_2022_09_21\mesocrin33.jpg</t>
  </si>
  <si>
    <t>Z:\nemtode\general\website_mirrors\nematode.unl.edu_2022_09_21\mesocrin36.jpg</t>
  </si>
  <si>
    <t>Z:\nemtode\general\website_mirrors\nematode.unl.edu_2022_09_21\mesocrin40.jpg</t>
  </si>
  <si>
    <t>Z:\nemtode\general\website_mirrors\nematode.unl.edu_2022_09_21\mesocrin44.jpg</t>
  </si>
  <si>
    <t>Z:\nemtode\general\website_mirrors\nematode.unl.edu_2022_09_21\mesocrin48.jpg</t>
  </si>
  <si>
    <t>Z:\nemtode\general\website_mirrors\nematode.unl.edu_2022_09_21\mesocrin49.jpg</t>
  </si>
  <si>
    <t>Z:\nemtode\general\website_mirrors\nematode.unl.edu_2022_09_21\mesocrin53.jpg</t>
  </si>
  <si>
    <t>Z:\nemtode\general\website_mirrors\nematode.unl.edu_2022_09_21\mesocrin58.jpg</t>
  </si>
  <si>
    <t>Z:\nemtode\general\website_mirrors\nematode.unl.edu_2022_09_21\mesocrin59.jpg</t>
  </si>
  <si>
    <t>Z:\nemtode\general\website_mirrors\nematode.unl.edu_2022_09_21\mesocrin64.jpg</t>
  </si>
  <si>
    <t>Z:\nemtode\general\website_mirrors\nematode.unl.edu_2022_09_21\mesocrin67.jpg</t>
  </si>
  <si>
    <t>Z:\nemtode\general\website_mirrors\nematode.unl.edu_2022_09_21\mesocrin68.jpg</t>
  </si>
  <si>
    <t>Z:\nemtode\general\website_mirrors\nematode.unl.edu_2022_09_21\mesocrin72.jpg</t>
  </si>
  <si>
    <t>Z:\nemtode\general\website_mirrors\nematode.unl.edu_2022_09_21\mesocrin75.jpg</t>
  </si>
  <si>
    <t>Z:\nemtode\general\website_mirrors\nematode.unl.edu_2022_09_21\mesocrin76.jpg</t>
  </si>
  <si>
    <t>Z:\nemtode\general\website_mirrors\nematode.unl.edu_2022_09_21\mesocrin79.jpg</t>
  </si>
  <si>
    <t>Z:\nemtode\general\website_mirrors\nematode.unl.edu_2022_09_21\mesocrin80.jpg</t>
  </si>
  <si>
    <t>Z:\nemtode\general\website_mirrors\nematode.unl.edu_2022_09_21\mesocrin83.jpg</t>
  </si>
  <si>
    <t>Z:\nemtode\general\website_mirrors\nematode.unl.edu_2022_09_21\mesocrin84.jpg</t>
  </si>
  <si>
    <t>Z:\nemtode\general\website_mirrors\nematode.unl.edu_2022_09_21\mesocrin85.jpg</t>
  </si>
  <si>
    <t>Z:\nemtode\general\website_mirrors\nematode.unl.edu_2022_09_21\mesocrin88.jpg</t>
  </si>
  <si>
    <t>Z:\nemtode\general\website_mirrors\nematode.unl.edu_2022_09_21\mesocrin91.jpg</t>
  </si>
  <si>
    <t>Z:\nemtode\general\website_mirrors\nematode.unl.edu_2022_09_21\discoina4.jpg</t>
  </si>
  <si>
    <t>Z:\nemtode\general\website_mirrors\nematode.unl.edu_2022_09_21\discoina5.jpg</t>
  </si>
  <si>
    <t>Z:\nemtode\general\website_mirrors\nematode.unl.edu_2022_09_21\crickalsow20.jpg</t>
  </si>
  <si>
    <t>Z:\nemtode\general\website_mirrors\nematode.unl.edu_2022_09_21\discinarty4.jpg</t>
  </si>
  <si>
    <t>Z:\nemtode\general\website_mirrors\nematode.unl.edu_2022_09_21\crickalsow12.jpg</t>
  </si>
  <si>
    <t>Z:\nemtode\general\website_mirrors\nematode.unl.edu_2022_09_21\discinarty6.jpg</t>
  </si>
  <si>
    <t>Z:\nemtode\general\website_mirrors\nematode.unl.edu_2022_09_21\mesocrin61.jpg</t>
  </si>
  <si>
    <t>Z:\nemtode\general\website_mirrors\nematode.unl.edu_2022_09_21\discinarty5.jpg</t>
  </si>
  <si>
    <t>Z:\nemtode\general\website_mirrors\nematode.unl.edu_2022_09_21\crickalsow13.jpg</t>
  </si>
  <si>
    <t>Z:\nemtode\general\website_mirrors\nematode.unl.edu_2022_09_21\crickalsow27.jpg</t>
  </si>
  <si>
    <t>Z:\nemtode\general\website_mirrors\nematode.unl.edu_2022_09_21\crickalsow4.jpg</t>
  </si>
  <si>
    <t>Z:\nemtode\general\website_mirrors\nematode.unl.edu_2022_09_21\crickalsow8.jpg</t>
  </si>
  <si>
    <t>Z:\nemtode\general\website_mirrors\nematode.unl.edu_2022_09_21\mackals4.jpg</t>
  </si>
  <si>
    <t>Z:\nemtode\general\website_mirrors\nematode.unl.edu_2022_09_21\macurv3.jpg</t>
  </si>
  <si>
    <t>Z:\nemtode\general\website_mirrors\nematode.unl.edu_2022_09_21\macurv5.jpg</t>
  </si>
  <si>
    <t>Z:\nemtode\general\website_mirrors\nematode.unl.edu_2022_09_21\macurv8.jpg</t>
  </si>
  <si>
    <t>Z:\nemtode\general\website_mirrors\nematode.unl.edu_2022_09_21\meinacreek2.jpg</t>
  </si>
  <si>
    <t>Z:\nemtode\general\website_mirrors\nematode.unl.edu_2022_09_21\mesocrin10.jpg</t>
  </si>
  <si>
    <t>Z:\nemtode\general\website_mirrors\nematode.unl.edu_2022_09_21\mesocrin15.jpg</t>
  </si>
  <si>
    <t>Z:\nemtode\general\website_mirrors\nematode.unl.edu_2022_09_21\mesocrin16.jpg</t>
  </si>
  <si>
    <t>Z:\nemtode\general\website_mirrors\nematode.unl.edu_2022_09_21\mesocrin19.jpg</t>
  </si>
  <si>
    <t>Z:\nemtode\general\website_mirrors\nematode.unl.edu_2022_09_21\mesocrin22.jpg</t>
  </si>
  <si>
    <t>Z:\nemtode\general\website_mirrors\nematode.unl.edu_2022_09_21\mesocrin26.jpg</t>
  </si>
  <si>
    <t>Z:\nemtode\general\website_mirrors\nematode.unl.edu_2022_09_21\mesocrin35.jpg</t>
  </si>
  <si>
    <t>Z:\nemtode\general\website_mirrors\nematode.unl.edu_2022_09_21\mesocrin39.jpg</t>
  </si>
  <si>
    <t>Z:\nemtode\general\website_mirrors\nematode.unl.edu_2022_09_21\mesocrin4.jpg</t>
  </si>
  <si>
    <t>Z:\nemtode\general\website_mirrors\nematode.unl.edu_2022_09_21\mesocrin42.jpg</t>
  </si>
  <si>
    <t>Z:\nemtode\general\website_mirrors\nematode.unl.edu_2022_09_21\mesocrin46.jpg</t>
  </si>
  <si>
    <t>Z:\nemtode\general\website_mirrors\nematode.unl.edu_2022_09_21\mesocrin51.jpg</t>
  </si>
  <si>
    <t>Z:\nemtode\general\website_mirrors\nematode.unl.edu_2022_09_21\mesocrin52.jpg</t>
  </si>
  <si>
    <t>Z:\nemtode\general\website_mirrors\nematode.unl.edu_2022_09_21\mesocrin55.jpg</t>
  </si>
  <si>
    <t>Z:\nemtode\general\website_mirrors\nematode.unl.edu_2022_09_21\mesocrin57.jpg</t>
  </si>
  <si>
    <t>Z:\nemtode\general\website_mirrors\nematode.unl.edu_2022_09_21\mesocrin63.jpg</t>
  </si>
  <si>
    <t>Z:\nemtode\general\website_mirrors\nematode.unl.edu_2022_09_21\mesocrin66.jpg</t>
  </si>
  <si>
    <t>Z:\nemtode\general\website_mirrors\nematode.unl.edu_2022_09_21\mesocrin7.jpg</t>
  </si>
  <si>
    <t>Z:\nemtode\general\website_mirrors\nematode.unl.edu_2022_09_21\mesocrin74.jpg</t>
  </si>
  <si>
    <t>Z:\nemtode\general\website_mirrors\nematode.unl.edu_2022_09_21\mesocrin78.jpg</t>
  </si>
  <si>
    <t>Z:\nemtode\general\website_mirrors\nematode.unl.edu_2022_09_21\mesocrin82.jpg</t>
  </si>
  <si>
    <t>Z:\nemtode\general\website_mirrors\nematode.unl.edu_2022_09_21\mesocrin87.jpg</t>
  </si>
  <si>
    <t>Z:\nemtode\general\website_mirrors\nematode.unl.edu_2022_09_21\mesocrin90.jpg</t>
  </si>
  <si>
    <t>Z:\nemtode\general\website_mirrors\nematode.unl.edu_2022_09_21\mesocrin93.jpg</t>
  </si>
  <si>
    <t>Z:\nemtode\general\website_mirrors\nematode.unl.edu_2022_09_21\crickalsow18.jpg</t>
  </si>
  <si>
    <t>Z:\nemtode\general\website_mirrors\nematode.unl.edu_2022_09_21\crickalsow17.jpg</t>
  </si>
  <si>
    <t>Z:\nemtode\general\website_mirrors\nematode.unl.edu_2022_09_21\discinarty7.jpg</t>
  </si>
  <si>
    <t>Z:\nemtode\general\website_mirrors\nematode.unl.edu_2022_09_21\discoina6.jpg</t>
  </si>
  <si>
    <t>Z:\nemtode\general\website_mirrors\nematode.unl.edu_2022_09_21\discoina7.jpg</t>
  </si>
  <si>
    <t>Z:\nemtode\general\website_mirrors\nematode.unl.edu_2022_09_21\mesocrin23.jpg</t>
  </si>
  <si>
    <t>Z:\nemtode\general\website_mirrors\nematode.unl.edu_2022_09_21\mesocrin43.jpg</t>
  </si>
  <si>
    <t>Z:\nemtode\general\website_mirrors\nematode.unl.edu_2022_09_21\mesocrin47.jpg</t>
  </si>
  <si>
    <t>Z:\nemtode\general\website_mirrors\nematode.unl.edu_2022_09_21\mesocrin70.jpg</t>
  </si>
  <si>
    <t>Z:\nemtode\general\website_mirrors\nematode.unl.edu_2022_09_21\mesocrin71.jpg</t>
  </si>
  <si>
    <t>Z:\nemtode\general\website_mirrors\nematode.unl.edu_2022_09_21\mesocrin8.jpg</t>
  </si>
  <si>
    <t>Z:\nemtode\general\website_mirrors\nematode.unl.edu_2022_09_21\meckroth19.jpg</t>
  </si>
  <si>
    <t>Z:\nemtode\general\website_mirrors\nematode.unl.edu_2022_09_21\meckroth14.jpg</t>
  </si>
  <si>
    <t>Z:\nemtode\general\website_mirrors\nematode.unl.edu_2022_09_21\meckroth13.jpg</t>
  </si>
  <si>
    <t>Z:\nemtode\general\website_mirrors\nematode.unl.edu_2022_09_21\meckroth11.jpg</t>
  </si>
  <si>
    <t>Z:\nemtode\general\website_mirrors\nematode.unl.edu_2022_09_21\meckroth16.jpg</t>
  </si>
  <si>
    <t>Z:\nemtode\general\website_mirrors\nematode.unl.edu_2022_09_21\meckroth2.jpg</t>
  </si>
  <si>
    <t>Z:\nemtode\general\website_mirrors\nematode.unl.edu_2022_09_21\meckroth20.jpg</t>
  </si>
  <si>
    <t>Z:\nemtode\general\website_mirrors\nematode.unl.edu_2022_09_21\meckroth25.jpg</t>
  </si>
  <si>
    <t>Z:\nemtode\general\website_mirrors\nematode.unl.edu_2022_09_21\meckroth7.jpg</t>
  </si>
  <si>
    <t>Z:\nemtode\general\website_mirrors\nematode.unl.edu_2022_09_21\meckroth18.jpg</t>
  </si>
  <si>
    <t>Z:\nemtode\general\website_mirrors\nematode.unl.edu_2022_09_21\meckroth1.jpg</t>
  </si>
  <si>
    <t>Z:\nemtode\general\website_mirrors\nematode.unl.edu_2022_09_21\meckroth10.jpg</t>
  </si>
  <si>
    <t>Z:\nemtode\general\website_mirrors\nematode.unl.edu_2022_09_21\meckroth15.jpg</t>
  </si>
  <si>
    <t>Z:\nemtode\general\website_mirrors\nematode.unl.edu_2022_09_21\meckroth21.jpg</t>
  </si>
  <si>
    <t>Z:\nemtode\general\website_mirrors\nematode.unl.edu_2022_09_21\meckroth24.jpg</t>
  </si>
  <si>
    <t>Z:\nemtode\general\website_mirrors\nematode.unl.edu_2022_09_21\meckroth27.jpg</t>
  </si>
  <si>
    <t>Z:\nemtode\general\website_mirrors\nematode.unl.edu_2022_09_21\meckroth3.jpg</t>
  </si>
  <si>
    <t>Z:\nemtode\general\website_mirrors\nematode.unl.edu_2022_09_21\meckroth9.jpg</t>
  </si>
  <si>
    <t>Z:\nemtode\general\website_mirrors\nematode.unl.edu_2022_09_21\meckroth23.jpg</t>
  </si>
  <si>
    <t>Z:\nemtode\general\website_mirrors\nematode.unl.edu_2022_09_21\meckroth5.jpg</t>
  </si>
  <si>
    <t>Z:\nemtode\general\website_mirrors\nematode.unl.edu_2022_09_21\meckroth12.jpg</t>
  </si>
  <si>
    <t>Z:\nemtode\general\website_mirrors\nematode.unl.edu_2022_09_21\meckroth17.jpg</t>
  </si>
  <si>
    <t>Z:\nemtode\general\website_mirrors\nematode.unl.edu_2022_09_21\meckroth22.jpg</t>
  </si>
  <si>
    <t>Z:\nemtode\general\website_mirrors\nematode.unl.edu_2022_09_21\meckroth26.jpg</t>
  </si>
  <si>
    <t>Z:\nemtode\general\website_mirrors\nematode.unl.edu_2022_09_21\meckroth4.jpg</t>
  </si>
  <si>
    <t>Z:\nemtode\general\website_mirrors\nematode.unl.edu_2022_09_21\meckroth6.jpg</t>
  </si>
  <si>
    <t>Z:\nemtode\general\website_mirrors\nematode.unl.edu_2022_09_21\meckroth8.jpg</t>
  </si>
  <si>
    <t>Z:\nemtode\general\website_mirrors\nematode.unl.edu_2022_09_21\mesono14.jpg</t>
  </si>
  <si>
    <t>Z:\nemtode\general\website_mirrors\nematode.unl.edu_2022_09_21\mesono11.jpg</t>
  </si>
  <si>
    <t>Z:\nemtode\general\website_mirrors\nematode.unl.edu_2022_09_21\mesono16.jpg</t>
  </si>
  <si>
    <t>Z:\nemtode\general\website_mirrors\nematode.unl.edu_2022_09_21\mesono2.jpg</t>
  </si>
  <si>
    <t>Z:\nemtode\general\website_mirrors\nematode.unl.edu_2022_09_21\mesono21.jpg</t>
  </si>
  <si>
    <t>Z:\nemtode\general\website_mirrors\nematode.unl.edu_2022_09_21\mesono6.jpg</t>
  </si>
  <si>
    <t>Z:\nemtode\general\website_mirrors\nematode.unl.edu_2022_09_21\mesono1.jpg</t>
  </si>
  <si>
    <t>Z:\nemtode\general\website_mirrors\nematode.unl.edu_2022_09_21\mesono10.jpg</t>
  </si>
  <si>
    <t>Z:\nemtode\general\website_mirrors\nematode.unl.edu_2022_09_21\mesono15.jpg</t>
  </si>
  <si>
    <t>Z:\nemtode\general\website_mirrors\nematode.unl.edu_2022_09_21\mesono19.jpg</t>
  </si>
  <si>
    <t>Z:\nemtode\general\website_mirrors\nematode.unl.edu_2022_09_21\mesono20.jpg</t>
  </si>
  <si>
    <t>Z:\nemtode\general\website_mirrors\nematode.unl.edu_2022_09_21\mesono25.jpg</t>
  </si>
  <si>
    <t>Z:\nemtode\general\website_mirrors\nematode.unl.edu_2022_09_21\mesono5.jpg</t>
  </si>
  <si>
    <t>Z:\nemtode\general\website_mirrors\nematode.unl.edu_2022_09_21\mesono9.jpg</t>
  </si>
  <si>
    <t>Z:\nemtode\general\website_mirrors\nematode.unl.edu_2022_09_21\mesono12.jpg</t>
  </si>
  <si>
    <t>Z:\nemtode\general\website_mirrors\nematode.unl.edu_2022_09_21\mesono17.jpg</t>
  </si>
  <si>
    <t>Z:\nemtode\general\website_mirrors\nematode.unl.edu_2022_09_21\mesono22.jpg</t>
  </si>
  <si>
    <t>Z:\nemtode\general\website_mirrors\nematode.unl.edu_2022_09_21\mesono23.jpg</t>
  </si>
  <si>
    <t>Z:\nemtode\general\website_mirrors\nematode.unl.edu_2022_09_21\mesono24.jpg</t>
  </si>
  <si>
    <t>Z:\nemtode\general\website_mirrors\nematode.unl.edu_2022_09_21\mesono3.jpg</t>
  </si>
  <si>
    <t>Z:\nemtode\general\website_mirrors\nematode.unl.edu_2022_09_21\mesono4.jpg</t>
  </si>
  <si>
    <t>Z:\nemtode\general\website_mirrors\nematode.unl.edu_2022_09_21\mesono7.jpg</t>
  </si>
  <si>
    <t>Z:\nemtode\general\website_mirrors\nematode.unl.edu_2022_09_21\mesono13.jpg</t>
  </si>
  <si>
    <t>Z:\nemtode\general\website_mirrors\nematode.unl.edu_2022_09_21\mesono18.jpg</t>
  </si>
  <si>
    <t>Z:\nemtode\general\website_mirrors\nematode.unl.edu_2022_09_21\mesono8.jpg</t>
  </si>
  <si>
    <t>Z:\nemtode\general\website_mirrors\nematode.unl.edu_2022_09_21\mesohaig10.jpg</t>
  </si>
  <si>
    <t>Z:\nemtode\general\website_mirrors\nematode.unl.edu_2022_09_21\mesorna13.jpg</t>
  </si>
  <si>
    <t>Z:\nemtode\general\website_mirrors\nematode.unl.edu_2022_09_21\mesorna15.jpg</t>
  </si>
  <si>
    <t>Z:\nemtode\general\website_mirrors\nematode.unl.edu_2022_09_21\mesorna17.jpg</t>
  </si>
  <si>
    <t>Z:\nemtode\general\website_mirrors\nematode.unl.edu_2022_09_21\mesorna19.jpg</t>
  </si>
  <si>
    <t>Z:\nemtode\general\website_mirrors\nematode.unl.edu_2022_09_21\mesorna22.jpg</t>
  </si>
  <si>
    <t>Z:\nemtode\general\website_mirrors\nematode.unl.edu_2022_09_21\mesornate10.jpg</t>
  </si>
  <si>
    <t>Z:\nemtode\general\website_mirrors\nematode.unl.edu_2022_09_21\mornams5.jpg</t>
  </si>
  <si>
    <t>Z:\nemtode\general\website_mirrors\nematode.unl.edu_2022_09_21\mesohaig12.jpg</t>
  </si>
  <si>
    <t>Z:\nemtode\general\website_mirrors\nematode.unl.edu_2022_09_21\mesohaig17.jpg</t>
  </si>
  <si>
    <t>Z:\nemtode\general\website_mirrors\nematode.unl.edu_2022_09_21\mesohaig2.jpg</t>
  </si>
  <si>
    <t>Z:\nemtode\general\website_mirrors\nematode.unl.edu_2022_09_21\mesohaig21.jpg</t>
  </si>
  <si>
    <t>Z:\nemtode\general\website_mirrors\nematode.unl.edu_2022_09_21\mesohaig26.jpg</t>
  </si>
  <si>
    <t>Z:\nemtode\general\website_mirrors\nematode.unl.edu_2022_09_21\mesohaig27.jpg</t>
  </si>
  <si>
    <t>Z:\nemtode\general\website_mirrors\nematode.unl.edu_2022_09_21\mesohaig6.jpg</t>
  </si>
  <si>
    <t>Z:\nemtode\general\website_mirrors\nematode.unl.edu_2022_09_21\mesorna11.jpg</t>
  </si>
  <si>
    <t>Z:\nemtode\general\website_mirrors\nematode.unl.edu_2022_09_21\mesorna18.jpg</t>
  </si>
  <si>
    <t>Z:\nemtode\general\website_mirrors\nematode.unl.edu_2022_09_21\mesorna2.jpg</t>
  </si>
  <si>
    <t>Z:\nemtode\general\website_mirrors\nematode.unl.edu_2022_09_21\mesorna21.jpg</t>
  </si>
  <si>
    <t>Z:\nemtode\general\website_mirrors\nematode.unl.edu_2022_09_21\mesorna5.jpg</t>
  </si>
  <si>
    <t>Z:\nemtode\general\website_mirrors\nematode.unl.edu_2022_09_21\mesorna7.jpg</t>
  </si>
  <si>
    <t>Z:\nemtode\general\website_mirrors\nematode.unl.edu_2022_09_21\mesornate1.jpg</t>
  </si>
  <si>
    <t>Z:\nemtode\general\website_mirrors\nematode.unl.edu_2022_09_21\mesornate12.jpg</t>
  </si>
  <si>
    <t>Z:\nemtode\general\website_mirrors\nematode.unl.edu_2022_09_21\mesornate4.jpg</t>
  </si>
  <si>
    <t>Z:\nemtode\general\website_mirrors\nematode.unl.edu_2022_09_21\mesornate8.jpg</t>
  </si>
  <si>
    <t>Z:\nemtode\general\website_mirrors\nematode.unl.edu_2022_09_21\mesorpe12.jpg</t>
  </si>
  <si>
    <t>Z:\nemtode\general\website_mirrors\nematode.unl.edu_2022_09_21\mesorpe16.jpg</t>
  </si>
  <si>
    <t>Z:\nemtode\general\website_mirrors\nematode.unl.edu_2022_09_21\mesorpe2.jpg</t>
  </si>
  <si>
    <t>Z:\nemtode\general\website_mirrors\nematode.unl.edu_2022_09_21\mesorpe5.jpg</t>
  </si>
  <si>
    <t>Z:\nemtode\general\website_mirrors\nematode.unl.edu_2022_09_21\mesorpe8.jpg</t>
  </si>
  <si>
    <t>Z:\nemtode\general\website_mirrors\nematode.unl.edu_2022_09_21\mornams11.jpg</t>
  </si>
  <si>
    <t>Z:\nemtode\general\website_mirrors\nematode.unl.edu_2022_09_21\mornams2.jpg</t>
  </si>
  <si>
    <t>Z:\nemtode\general\website_mirrors\nematode.unl.edu_2022_09_21\mornams6.jpg</t>
  </si>
  <si>
    <t>Z:\nemtode\general\website_mirrors\nematode.unl.edu_2022_09_21\mornams9.jpg</t>
  </si>
  <si>
    <t>Z:\nemtode\general\website_mirrors\nematode.unl.edu_2022_09_21\mesohaig14.jpg</t>
  </si>
  <si>
    <t>Z:\nemtode\general\website_mirrors\nematode.unl.edu_2022_09_21\mesorna16.jpg</t>
  </si>
  <si>
    <t>Z:\nemtode\general\website_mirrors\nematode.unl.edu_2022_09_21\mesohaig1.jpg</t>
  </si>
  <si>
    <t>Z:\nemtode\general\website_mirrors\nematode.unl.edu_2022_09_21\mesohaig11.jpg</t>
  </si>
  <si>
    <t>Z:\nemtode\general\website_mirrors\nematode.unl.edu_2022_09_21\mesohaig16.jpg</t>
  </si>
  <si>
    <t>Z:\nemtode\general\website_mirrors\nematode.unl.edu_2022_09_21\mesohaig18.jpg</t>
  </si>
  <si>
    <t>Z:\nemtode\general\website_mirrors\nematode.unl.edu_2022_09_21\mesohaig20.jpg</t>
  </si>
  <si>
    <t>Z:\nemtode\general\website_mirrors\nematode.unl.edu_2022_09_21\mesohaig22.jpg</t>
  </si>
  <si>
    <t>Z:\nemtode\general\website_mirrors\nematode.unl.edu_2022_09_21\mesohaig25.jpg</t>
  </si>
  <si>
    <t>Z:\nemtode\general\website_mirrors\nematode.unl.edu_2022_09_21\mesohaig28.jpg</t>
  </si>
  <si>
    <t>Z:\nemtode\general\website_mirrors\nematode.unl.edu_2022_09_21\mesohaig5.jpg</t>
  </si>
  <si>
    <t>Z:\nemtode\general\website_mirrors\nematode.unl.edu_2022_09_21\mesohaig8.jpg</t>
  </si>
  <si>
    <t>Z:\nemtode\general\website_mirrors\nematode.unl.edu_2022_09_21\mesorna1.jpg</t>
  </si>
  <si>
    <t>Z:\nemtode\general\website_mirrors\nematode.unl.edu_2022_09_21\mesorna10.jpg</t>
  </si>
  <si>
    <t>Z:\nemtode\general\website_mirrors\nematode.unl.edu_2022_09_21\mesorna4.jpg</t>
  </si>
  <si>
    <t>Z:\nemtode\general\website_mirrors\nematode.unl.edu_2022_09_21\mesorna6.jpg</t>
  </si>
  <si>
    <t>Z:\nemtode\general\website_mirrors\nematode.unl.edu_2022_09_21\mesornate11.jpg</t>
  </si>
  <si>
    <t>Z:\nemtode\general\website_mirrors\nematode.unl.edu_2022_09_21\mesornate3.jpg</t>
  </si>
  <si>
    <t>Z:\nemtode\general\website_mirrors\nematode.unl.edu_2022_09_21\mesornate6.jpg</t>
  </si>
  <si>
    <t>Z:\nemtode\general\website_mirrors\nematode.unl.edu_2022_09_21\mesornate7.jpg</t>
  </si>
  <si>
    <t>Z:\nemtode\general\website_mirrors\nematode.unl.edu_2022_09_21\mesorpe1.jpg</t>
  </si>
  <si>
    <t>Z:\nemtode\general\website_mirrors\nematode.unl.edu_2022_09_21\mesorpe15.jpg</t>
  </si>
  <si>
    <t>Z:\nemtode\general\website_mirrors\nematode.unl.edu_2022_09_21\mesorpe4.jpg</t>
  </si>
  <si>
    <t>Z:\nemtode\general\website_mirrors\nematode.unl.edu_2022_09_21\mesorpe7.jpg</t>
  </si>
  <si>
    <t>Z:\nemtode\general\website_mirrors\nematode.unl.edu_2022_09_21\mornams1.jpg</t>
  </si>
  <si>
    <t>Z:\nemtode\general\website_mirrors\nematode.unl.edu_2022_09_21\mornams8.jpg</t>
  </si>
  <si>
    <t>Z:\nemtode\general\website_mirrors\nematode.unl.edu_2022_09_21\mesorna20.jpg</t>
  </si>
  <si>
    <t>Z:\nemtode\general\website_mirrors\nematode.unl.edu_2022_09_21\mesorna23.jpg</t>
  </si>
  <si>
    <t>Z:\nemtode\general\website_mirrors\nematode.unl.edu_2022_09_21\mesorna24.jpg</t>
  </si>
  <si>
    <t>Z:\nemtode\general\website_mirrors\nematode.unl.edu_2022_09_21\mesorpe18.jpg</t>
  </si>
  <si>
    <t>Z:\nemtode\general\website_mirrors\nematode.unl.edu_2022_09_21\mesorpe19.jpg</t>
  </si>
  <si>
    <t>Z:\nemtode\general\website_mirrors\nematode.unl.edu_2022_09_21\mesohaig9.jpg</t>
  </si>
  <si>
    <t>Z:\nemtode\general\website_mirrors\nematode.unl.edu_2022_09_21\mesorpe11.jpg</t>
  </si>
  <si>
    <t>Z:\nemtode\general\website_mirrors\nematode.unl.edu_2022_09_21\mesorna14.jpg</t>
  </si>
  <si>
    <t>Z:\nemtode\general\website_mirrors\nematode.unl.edu_2022_09_21\mesohaig13.jpg</t>
  </si>
  <si>
    <t>Z:\nemtode\general\website_mirrors\nematode.unl.edu_2022_09_21\mesohaig15.jpg</t>
  </si>
  <si>
    <t>Z:\nemtode\general\website_mirrors\nematode.unl.edu_2022_09_21\mesohaig19.jpg</t>
  </si>
  <si>
    <t>Z:\nemtode\general\website_mirrors\nematode.unl.edu_2022_09_21\mesohaig23.jpg</t>
  </si>
  <si>
    <t>Z:\nemtode\general\website_mirrors\nematode.unl.edu_2022_09_21\mesohaig24.jpg</t>
  </si>
  <si>
    <t>Z:\nemtode\general\website_mirrors\nematode.unl.edu_2022_09_21\mesohaig29.jpg</t>
  </si>
  <si>
    <t>Z:\nemtode\general\website_mirrors\nematode.unl.edu_2022_09_21\mesohaig3.jpg</t>
  </si>
  <si>
    <t>Z:\nemtode\general\website_mirrors\nematode.unl.edu_2022_09_21\mesohaig7.jpg</t>
  </si>
  <si>
    <t>Z:\nemtode\general\website_mirrors\nematode.unl.edu_2022_09_21\mesorna12.jpg</t>
  </si>
  <si>
    <t>Z:\nemtode\general\website_mirrors\nematode.unl.edu_2022_09_21\mesorna3.jpg</t>
  </si>
  <si>
    <t>Z:\nemtode\general\website_mirrors\nematode.unl.edu_2022_09_21\mesorna8.jpg</t>
  </si>
  <si>
    <t>Z:\nemtode\general\website_mirrors\nematode.unl.edu_2022_09_21\mesornate13.jpg</t>
  </si>
  <si>
    <t>Z:\nemtode\general\website_mirrors\nematode.unl.edu_2022_09_21\mesornate2.jpg</t>
  </si>
  <si>
    <t>Z:\nemtode\general\website_mirrors\nematode.unl.edu_2022_09_21\mesornate5.jpg</t>
  </si>
  <si>
    <t>Z:\nemtode\general\website_mirrors\nematode.unl.edu_2022_09_21\mesornate9.jpg</t>
  </si>
  <si>
    <t>Z:\nemtode\general\website_mirrors\nematode.unl.edu_2022_09_21\mesorpe13.jpg</t>
  </si>
  <si>
    <t>Z:\nemtode\general\website_mirrors\nematode.unl.edu_2022_09_21\mesorpe17.jpg</t>
  </si>
  <si>
    <t>Z:\nemtode\general\website_mirrors\nematode.unl.edu_2022_09_21\mesorpe3.jpg</t>
  </si>
  <si>
    <t>Z:\nemtode\general\website_mirrors\nematode.unl.edu_2022_09_21\mesorpe6.jpg</t>
  </si>
  <si>
    <t>Z:\nemtode\general\website_mirrors\nematode.unl.edu_2022_09_21\mesorpe9.jpg</t>
  </si>
  <si>
    <t>Z:\nemtode\general\website_mirrors\nematode.unl.edu_2022_09_21\mornams10.jpg</t>
  </si>
  <si>
    <t>Z:\nemtode\general\website_mirrors\nematode.unl.edu_2022_09_21\mornams12.jpg</t>
  </si>
  <si>
    <t>Z:\nemtode\general\website_mirrors\nematode.unl.edu_2022_09_21\mornams3.jpg</t>
  </si>
  <si>
    <t>Z:\nemtode\general\website_mirrors\nematode.unl.edu_2022_09_21\mornams7.jpg</t>
  </si>
  <si>
    <t>Z:\nemtode\general\website_mirrors\nematode.unl.edu_2022_09_21\mesohaig4.jpg</t>
  </si>
  <si>
    <t>Z:\nemtode\general\website_mirrors\nematode.unl.edu_2022_09_21\mesorpe10.jpg</t>
  </si>
  <si>
    <t>Z:\nemtode\general\website_mirrors\nematode.unl.edu_2022_09_21\mesorpe14.jpg</t>
  </si>
  <si>
    <t>Z:\nemtode\general\website_mirrors\nematode.unl.edu_2022_09_21\mornams4.jpg</t>
  </si>
  <si>
    <t>Z:\nemtode\general\website_mirrors\nematode.unl.edu_2022_09_21\mesorna9.jpg</t>
  </si>
  <si>
    <t>Z:\nemtode\general\website_mirrors\nematode.unl.edu_2022_09_21\mesopsibb2.jpg</t>
  </si>
  <si>
    <t>Z:\nemtode\general\website_mirrors\nematode.unl.edu_2022_09_21\mesopsibb4.jpg</t>
  </si>
  <si>
    <t>Z:\nemtode\general\website_mirrors\nematode.unl.edu_2022_09_21\mesopsibb1.jpg</t>
  </si>
  <si>
    <t>Z:\nemtode\general\website_mirrors\nematode.unl.edu_2022_09_21\mesopsibb3.jpg</t>
  </si>
  <si>
    <t>Z:\nemtode\general\website_mirrors\nematode.unl.edu_2022_09_21\mesopsibb6.jpg</t>
  </si>
  <si>
    <t>Z:\nemtode\general\website_mirrors\nematode.unl.edu_2022_09_21\mesopsibb8.jpg</t>
  </si>
  <si>
    <t>Z:\nemtode\general\website_mirrors\nematode.unl.edu_2022_09_21\mesopsibb5.jpg</t>
  </si>
  <si>
    <t>Z:\nemtode\general\website_mirrors\nematode.unl.edu_2022_09_21\mesopsibb7.jpg</t>
  </si>
  <si>
    <t>Z:\nemtode\general\website_mirrors\nematode.unl.edu_2022_09_21\cricout7.jpg</t>
  </si>
  <si>
    <t>Z:\nemtode\general\website_mirrors\nematode.unl.edu_2022_09_21\cricov2.jpg</t>
  </si>
  <si>
    <t>Z:\nemtode\general\website_mirrors\nematode.unl.edu_2022_09_21\mesowak2.jpg</t>
  </si>
  <si>
    <t>Z:\nemtode\general\website_mirrors\nematode.unl.edu_2022_09_21\cdisc2.jpg</t>
  </si>
  <si>
    <t>Z:\nemtode\general\website_mirrors\nematode.unl.edu_2022_09_21\cdisc4.jpg</t>
  </si>
  <si>
    <t>Z:\nemtode\general\website_mirrors\nematode.unl.edu_2022_09_21\cricome3.jpg</t>
  </si>
  <si>
    <t>Z:\nemtode\general\website_mirrors\nematode.unl.edu_2022_09_21\merus1.jpg</t>
  </si>
  <si>
    <t>Z:\nemtode\general\website_mirrors\nematode.unl.edu_2022_09_21\merus10.jpg</t>
  </si>
  <si>
    <t>Z:\nemtode\general\website_mirrors\nematode.unl.edu_2022_09_21\merus13.jpg</t>
  </si>
  <si>
    <t>Z:\nemtode\general\website_mirrors\nematode.unl.edu_2022_09_21\merus16.jpg</t>
  </si>
  <si>
    <t>Z:\nemtode\general\website_mirrors\nematode.unl.edu_2022_09_21\merus2.jpg</t>
  </si>
  <si>
    <t>Z:\nemtode\general\website_mirrors\nematode.unl.edu_2022_09_21\merus20.jpg</t>
  </si>
  <si>
    <t>Z:\nemtode\general\website_mirrors\nematode.unl.edu_2022_09_21\merus23.jpg</t>
  </si>
  <si>
    <t>Z:\nemtode\general\website_mirrors\nematode.unl.edu_2022_09_21\merus25.jpg</t>
  </si>
  <si>
    <t>Z:\nemtode\general\website_mirrors\nematode.unl.edu_2022_09_21\merus26.jpg</t>
  </si>
  <si>
    <t>Z:\nemtode\general\website_mirrors\nematode.unl.edu_2022_09_21\merus3.jpg</t>
  </si>
  <si>
    <t>Z:\nemtode\general\website_mirrors\nematode.unl.edu_2022_09_21\merus5.jpg</t>
  </si>
  <si>
    <t>Z:\nemtode\general\website_mirrors\nematode.unl.edu_2022_09_21\merushim2.jpg</t>
  </si>
  <si>
    <t>Z:\nemtode\general\website_mirrors\nematode.unl.edu_2022_09_21\merushim5.jpg</t>
  </si>
  <si>
    <t>Z:\nemtode\general\website_mirrors\nematode.unl.edu_2022_09_21\meruwp2.jpg</t>
  </si>
  <si>
    <t>Z:\nemtode\general\website_mirrors\nematode.unl.edu_2022_09_21\mesavo23.jpg</t>
  </si>
  <si>
    <t>Z:\nemtode\general\website_mirrors\nematode.unl.edu_2022_09_21\mesorune2.jpg</t>
  </si>
  <si>
    <t>Z:\nemtode\general\website_mirrors\nematode.unl.edu_2022_09_21\mesowak5.jpg</t>
  </si>
  <si>
    <t>Z:\nemtode\general\website_mirrors\nematode.unl.edu_2022_09_21\mesru1.jpg</t>
  </si>
  <si>
    <t>Z:\nemtode\general\website_mirrors\nematode.unl.edu_2022_09_21\mesru5.jpg</t>
  </si>
  <si>
    <t>Z:\nemtode\general\website_mirrors\nematode.unl.edu_2022_09_21\mesruk2.jpg</t>
  </si>
  <si>
    <t>Z:\nemtode\general\website_mirrors\nematode.unl.edu_2022_09_21\mesruk7.jpg</t>
  </si>
  <si>
    <t>Z:\nemtode\general\website_mirrors\nematode.unl.edu_2022_09_21\merus6.jpg</t>
  </si>
  <si>
    <t>Z:\nemtode\general\website_mirrors\nematode.unl.edu_2022_09_21\cdisc1.jpg</t>
  </si>
  <si>
    <t>Z:\nemtode\general\website_mirrors\nematode.unl.edu_2022_09_21\cricome1.jpg</t>
  </si>
  <si>
    <t>Z:\nemtode\general\website_mirrors\nematode.unl.edu_2022_09_21\cricome2.jpg</t>
  </si>
  <si>
    <t>Z:\nemtode\general\website_mirrors\nematode.unl.edu_2022_09_21\cricout10.jpg</t>
  </si>
  <si>
    <t>Z:\nemtode\general\website_mirrors\nematode.unl.edu_2022_09_21\cricout11.jpg</t>
  </si>
  <si>
    <t>Z:\nemtode\general\website_mirrors\nematode.unl.edu_2022_09_21\cricout8.jpg</t>
  </si>
  <si>
    <t>Z:\nemtode\general\website_mirrors\nematode.unl.edu_2022_09_21\cricov1.jpg</t>
  </si>
  <si>
    <t>Z:\nemtode\general\website_mirrors\nematode.unl.edu_2022_09_21\merus15.jpg</t>
  </si>
  <si>
    <t>Z:\nemtode\general\website_mirrors\nematode.unl.edu_2022_09_21\merus18.jpg</t>
  </si>
  <si>
    <t>Z:\nemtode\general\website_mirrors\nematode.unl.edu_2022_09_21\merus19.jpg</t>
  </si>
  <si>
    <t>Z:\nemtode\general\website_mirrors\nematode.unl.edu_2022_09_21\merus22.jpg</t>
  </si>
  <si>
    <t>Z:\nemtode\general\website_mirrors\nematode.unl.edu_2022_09_21\merus9.jpg</t>
  </si>
  <si>
    <t>Z:\nemtode\general\website_mirrors\nematode.unl.edu_2022_09_21\merushim1.jpg</t>
  </si>
  <si>
    <t>Z:\nemtode\general\website_mirrors\nematode.unl.edu_2022_09_21\merushim4.jpg</t>
  </si>
  <si>
    <t>Z:\nemtode\general\website_mirrors\nematode.unl.edu_2022_09_21\merushim8.jpg</t>
  </si>
  <si>
    <t>Z:\nemtode\general\website_mirrors\nematode.unl.edu_2022_09_21\meruwp1.jpg</t>
  </si>
  <si>
    <t>Z:\nemtode\general\website_mirrors\nematode.unl.edu_2022_09_21\mesavo19.jpg</t>
  </si>
  <si>
    <t>Z:\nemtode\general\website_mirrors\nematode.unl.edu_2022_09_21\mesavo22.jpg</t>
  </si>
  <si>
    <t>Z:\nemtode\general\website_mirrors\nematode.unl.edu_2022_09_21\mesorune1.jpg</t>
  </si>
  <si>
    <t>Z:\nemtode\general\website_mirrors\nematode.unl.edu_2022_09_21\mesowak1.jpg</t>
  </si>
  <si>
    <t>Z:\nemtode\general\website_mirrors\nematode.unl.edu_2022_09_21\mesru4.jpg</t>
  </si>
  <si>
    <t>Z:\nemtode\general\website_mirrors\nematode.unl.edu_2022_09_21\mesruk1.jpg</t>
  </si>
  <si>
    <t>Z:\nemtode\general\website_mirrors\nematode.unl.edu_2022_09_21\mesruk6.jpg</t>
  </si>
  <si>
    <t>Z:\nemtode\general\website_mirrors\nematode.unl.edu_2022_09_21\cricout9.jpg</t>
  </si>
  <si>
    <t>Z:\nemtode\general\website_mirrors\nematode.unl.edu_2022_09_21\cricov4.jpg</t>
  </si>
  <si>
    <t>Z:\nemtode\general\website_mirrors\nematode.unl.edu_2022_09_21\merushim7.jpg</t>
  </si>
  <si>
    <t>Z:\nemtode\general\website_mirrors\nematode.unl.edu_2022_09_21\meruwp4.jpg</t>
  </si>
  <si>
    <t>Z:\nemtode\general\website_mirrors\nematode.unl.edu_2022_09_21\mesowak6.jpg</t>
  </si>
  <si>
    <t>Z:\nemtode\general\website_mirrors\nematode.unl.edu_2022_09_21\mesruk4.jpg</t>
  </si>
  <si>
    <t>Z:\nemtode\general\website_mirrors\nematode.unl.edu_2022_09_21\mesowak3.jpg</t>
  </si>
  <si>
    <t>Z:\nemtode\general\website_mirrors\nematode.unl.edu_2022_09_21\cdisc3.jpg</t>
  </si>
  <si>
    <t>Z:\nemtode\general\website_mirrors\nematode.unl.edu_2022_09_21\cricome4.jpg</t>
  </si>
  <si>
    <t>Z:\nemtode\general\website_mirrors\nematode.unl.edu_2022_09_21\cricout6.jpg</t>
  </si>
  <si>
    <t>Z:\nemtode\general\website_mirrors\nematode.unl.edu_2022_09_21\cricov3.jpg</t>
  </si>
  <si>
    <t>Z:\nemtode\general\website_mirrors\nematode.unl.edu_2022_09_21\merus11.jpg</t>
  </si>
  <si>
    <t>Z:\nemtode\general\website_mirrors\nematode.unl.edu_2022_09_21\merus14.jpg</t>
  </si>
  <si>
    <t>Z:\nemtode\general\website_mirrors\nematode.unl.edu_2022_09_21\merus17.jpg</t>
  </si>
  <si>
    <t>Z:\nemtode\general\website_mirrors\nematode.unl.edu_2022_09_21\merus21.jpg</t>
  </si>
  <si>
    <t>Z:\nemtode\general\website_mirrors\nematode.unl.edu_2022_09_21\merus27.jpg</t>
  </si>
  <si>
    <t>Z:\nemtode\general\website_mirrors\nematode.unl.edu_2022_09_21\merus4.jpg</t>
  </si>
  <si>
    <t>Z:\nemtode\general\website_mirrors\nematode.unl.edu_2022_09_21\merus7.jpg</t>
  </si>
  <si>
    <t>Z:\nemtode\general\website_mirrors\nematode.unl.edu_2022_09_21\merushim3.jpg</t>
  </si>
  <si>
    <t>Z:\nemtode\general\website_mirrors\nematode.unl.edu_2022_09_21\merushim6.jpg</t>
  </si>
  <si>
    <t>Z:\nemtode\general\website_mirrors\nematode.unl.edu_2022_09_21\meruwp3.jpg</t>
  </si>
  <si>
    <t>Z:\nemtode\general\website_mirrors\nematode.unl.edu_2022_09_21\mesavo24.jpg</t>
  </si>
  <si>
    <t>Z:\nemtode\general\website_mirrors\nematode.unl.edu_2022_09_21\mesowak4.jpg</t>
  </si>
  <si>
    <t>Z:\nemtode\general\website_mirrors\nematode.unl.edu_2022_09_21\mesru6.jpg</t>
  </si>
  <si>
    <t>Z:\nemtode\general\website_mirrors\nematode.unl.edu_2022_09_21\mesruk3.jpg</t>
  </si>
  <si>
    <t>Z:\nemtode\general\website_mirrors\nematode.unl.edu_2022_09_21\mesruk8.jpg</t>
  </si>
  <si>
    <t>Z:\nemtode\general\website_mirrors\nematode.unl.edu_2022_09_21\merus12.jpg</t>
  </si>
  <si>
    <t>Z:\nemtode\general\website_mirrors\nematode.unl.edu_2022_09_21\merus24.jpg</t>
  </si>
  <si>
    <t>Z:\nemtode\general\website_mirrors\nematode.unl.edu_2022_09_21\merus8.jpg</t>
  </si>
  <si>
    <t>Z:\nemtode\general\website_mirrors\nematode.unl.edu_2022_09_21\mesruk5.jpg</t>
  </si>
  <si>
    <t>Z:\nemtode\general\website_mirrors\nematode.unl.edu_2022_09_21\macwilliam5.jpg</t>
  </si>
  <si>
    <t>Z:\nemtode\general\website_mirrors\nematode.unl.edu_2022_09_21\mesph2.jpg</t>
  </si>
  <si>
    <t>Z:\nemtode\general\website_mirrors\nematode.unl.edu_2022_09_21\mesph5.jpg</t>
  </si>
  <si>
    <t>Z:\nemtode\general\website_mirrors\nematode.unl.edu_2022_09_21\mesph3.jpg</t>
  </si>
  <si>
    <t>Z:\nemtode\general\website_mirrors\nematode.unl.edu_2022_09_21\mesph6.jpg</t>
  </si>
  <si>
    <t>Z:\nemtode\general\website_mirrors\nematode.unl.edu_2022_09_21\mesph7.jpg</t>
  </si>
  <si>
    <t>Z:\nemtode\general\website_mirrors\nematode.unl.edu_2022_09_21\mesph1.jpg</t>
  </si>
  <si>
    <t>Z:\nemtode\general\website_mirrors\nematode.unl.edu_2022_09_21\mesph4.jpg</t>
  </si>
  <si>
    <t>Z:\nemtode\general\website_mirrors\nematode.unl.edu_2022_09_21\mesph8.jpg</t>
  </si>
  <si>
    <t>Z:\nemtode\general\website_mirrors\nematode.unl.edu_2022_09_21\mesphaero10.jpg</t>
  </si>
  <si>
    <t>Z:\nemtode\general\website_mirrors\nematode.unl.edu_2022_09_21\mesphaero2.jpg</t>
  </si>
  <si>
    <t>Z:\nemtode\general\website_mirrors\nematode.unl.edu_2022_09_21\mesphaero6.jpg</t>
  </si>
  <si>
    <t>Z:\nemtode\general\website_mirrors\nematode.unl.edu_2022_09_21\mesphaero1.jpg</t>
  </si>
  <si>
    <t>Z:\nemtode\general\website_mirrors\nematode.unl.edu_2022_09_21\mesphaero12.jpg</t>
  </si>
  <si>
    <t>Z:\nemtode\general\website_mirrors\nematode.unl.edu_2022_09_21\mesphaero13.jpg</t>
  </si>
  <si>
    <t>Z:\nemtode\general\website_mirrors\nematode.unl.edu_2022_09_21\mesphaero17.jpg</t>
  </si>
  <si>
    <t>Z:\nemtode\general\website_mirrors\nematode.unl.edu_2022_09_21\mesphaero5.jpg</t>
  </si>
  <si>
    <t>Z:\nemtode\general\website_mirrors\nematode.unl.edu_2022_09_21\mesphaero9.jpg</t>
  </si>
  <si>
    <t>Z:\nemtode\general\website_mirrors\nematode.unl.edu_2022_09_21\mesphaero4.jpg</t>
  </si>
  <si>
    <t>Z:\nemtode\general\website_mirrors\nematode.unl.edu_2022_09_21\mesphaero8.jpg</t>
  </si>
  <si>
    <t>Z:\nemtode\general\website_mirrors\nematode.unl.edu_2022_09_21\mesphaero14.jpg</t>
  </si>
  <si>
    <t>Z:\nemtode\general\website_mirrors\nematode.unl.edu_2022_09_21\mesphaero11.jpg</t>
  </si>
  <si>
    <t>Z:\nemtode\general\website_mirrors\nematode.unl.edu_2022_09_21\mesphaero15.jpg</t>
  </si>
  <si>
    <t>Z:\nemtode\general\website_mirrors\nematode.unl.edu_2022_09_21\mesphaero16.jpg</t>
  </si>
  <si>
    <t>Z:\nemtode\general\website_mirrors\nematode.unl.edu_2022_09_21\mesphaero3.jpg</t>
  </si>
  <si>
    <t>Z:\nemtode\general\website_mirrors\nematode.unl.edu_2022_09_21\mesphaero7.jpg</t>
  </si>
  <si>
    <t>Z:\nemtode\general\website_mirrors\nematode.unl.edu_2022_09_21\mxenmile2.jpg</t>
  </si>
  <si>
    <t>Z:\nemtode\general\website_mirrors\nematode.unl.edu_2022_09_21\macroplax3.jpg</t>
  </si>
  <si>
    <t>Z:\nemtode\general\website_mirrors\nematode.unl.edu_2022_09_21\mesocriche5.jpg</t>
  </si>
  <si>
    <t>Z:\nemtode\general\website_mirrors\nematode.unl.edu_2022_09_21\mesoxedrw.jpg</t>
  </si>
  <si>
    <t>Z:\nemtode\general\website_mirrors\nematode.unl.edu_2022_09_21\mexark22.jpg</t>
  </si>
  <si>
    <t>Z:\nemtode\general\website_mirrors\nematode.unl.edu_2022_09_21\mexark7.jpg</t>
  </si>
  <si>
    <t>Z:\nemtode\general\website_mirrors\nematode.unl.edu_2022_09_21\mexega11.jpg</t>
  </si>
  <si>
    <t>Z:\nemtode\general\website_mirrors\nematode.unl.edu_2022_09_21\mexega12.jpg</t>
  </si>
  <si>
    <t>Z:\nemtode\general\website_mirrors\nematode.unl.edu_2022_09_21\mexega5.jpg</t>
  </si>
  <si>
    <t>Z:\nemtode\general\website_mirrors\nematode.unl.edu_2022_09_21\mexega7.jpg</t>
  </si>
  <si>
    <t>Z:\nemtode\general\website_mirrors\nematode.unl.edu_2022_09_21\mexegsm29.jpg</t>
  </si>
  <si>
    <t>Z:\nemtode\general\website_mirrors\nematode.unl.edu_2022_09_21\mexegsm3.jpg</t>
  </si>
  <si>
    <t>Z:\nemtode\general\website_mirrors\nematode.unl.edu_2022_09_21\mexenhi2.jpg</t>
  </si>
  <si>
    <t>Z:\nemtode\general\website_mirrors\nematode.unl.edu_2022_09_21\crixen2.jpg</t>
  </si>
  <si>
    <t>Z:\nemtode\general\website_mirrors\nematode.unl.edu_2022_09_21\crixen4.jpg</t>
  </si>
  <si>
    <t>Z:\nemtode\general\website_mirrors\nematode.unl.edu_2022_09_21\macroplax10.jpg</t>
  </si>
  <si>
    <t>Z:\nemtode\general\website_mirrors\nematode.unl.edu_2022_09_21\macroplax14.jpg</t>
  </si>
  <si>
    <t>Z:\nemtode\general\website_mirrors\nematode.unl.edu_2022_09_21\macroplax21.jpg</t>
  </si>
  <si>
    <t>Z:\nemtode\general\website_mirrors\nematode.unl.edu_2022_09_21\macroplax22.jpg</t>
  </si>
  <si>
    <t>Z:\nemtode\general\website_mirrors\nematode.unl.edu_2022_09_21\macroplax6.jpg</t>
  </si>
  <si>
    <t>Z:\nemtode\general\website_mirrors\nematode.unl.edu_2022_09_21\macroplax8.jpg</t>
  </si>
  <si>
    <t>Z:\nemtode\general\website_mirrors\nematode.unl.edu_2022_09_21\mesculo4.jpg</t>
  </si>
  <si>
    <t>Z:\nemtode\general\website_mirrors\nematode.unl.edu_2022_09_21\mesocriche12.jpg</t>
  </si>
  <si>
    <t>Z:\nemtode\general\website_mirrors\nematode.unl.edu_2022_09_21\mesocriche13.jpg</t>
  </si>
  <si>
    <t>Z:\nemtode\general\website_mirrors\nematode.unl.edu_2022_09_21\mesocriche2.jpg</t>
  </si>
  <si>
    <t>Z:\nemtode\general\website_mirrors\nematode.unl.edu_2022_09_21\mesocriche6.jpg</t>
  </si>
  <si>
    <t>Z:\nemtode\general\website_mirrors\nematode.unl.edu_2022_09_21\mesoxege5.jpg</t>
  </si>
  <si>
    <t>Z:\nemtode\general\website_mirrors\nematode.unl.edu_2022_09_21\mesoxege9.jpg</t>
  </si>
  <si>
    <t>Z:\nemtode\general\website_mirrors\nematode.unl.edu_2022_09_21\mesxens11.jpg</t>
  </si>
  <si>
    <t>Z:\nemtode\general\website_mirrors\nematode.unl.edu_2022_09_21\mesxens16.jpg</t>
  </si>
  <si>
    <t>Z:\nemtode\general\website_mirrors\nematode.unl.edu_2022_09_21\mesxens20.jpg</t>
  </si>
  <si>
    <t>Z:\nemtode\general\website_mirrors\nematode.unl.edu_2022_09_21\mesxens21.jpg</t>
  </si>
  <si>
    <t>Z:\nemtode\general\website_mirrors\nematode.unl.edu_2022_09_21\mesxens25.jpg</t>
  </si>
  <si>
    <t>Z:\nemtode\general\website_mirrors\nematode.unl.edu_2022_09_21\mesxens26.jpg</t>
  </si>
  <si>
    <t>Z:\nemtode\general\website_mirrors\nematode.unl.edu_2022_09_21\mesxens27.jpg</t>
  </si>
  <si>
    <t>Z:\nemtode\general\website_mirrors\nematode.unl.edu_2022_09_21\mesxens30.jpg</t>
  </si>
  <si>
    <t>Z:\nemtode\general\website_mirrors\nematode.unl.edu_2022_09_21\mesxens4.jpg</t>
  </si>
  <si>
    <t>Z:\nemtode\general\website_mirrors\nematode.unl.edu_2022_09_21\mesxens48.jpg</t>
  </si>
  <si>
    <t>Z:\nemtode\general\website_mirrors\nematode.unl.edu_2022_09_21\mesxens5.jpg</t>
  </si>
  <si>
    <t>Z:\nemtode\general\website_mirrors\nematode.unl.edu_2022_09_21\mesxens51.jpg</t>
  </si>
  <si>
    <t>Z:\nemtode\general\website_mirrors\nematode.unl.edu_2022_09_21\mesxens52.jpg</t>
  </si>
  <si>
    <t>Z:\nemtode\general\website_mirrors\nematode.unl.edu_2022_09_21\mesxens7.jpg</t>
  </si>
  <si>
    <t>Z:\nemtode\general\website_mirrors\nematode.unl.edu_2022_09_21\mexark12.jpg</t>
  </si>
  <si>
    <t>Z:\nemtode\general\website_mirrors\nematode.unl.edu_2022_09_21\mexark16.jpg</t>
  </si>
  <si>
    <t>Z:\nemtode\general\website_mirrors\nematode.unl.edu_2022_09_21\mexark19.jpg</t>
  </si>
  <si>
    <t>Z:\nemtode\general\website_mirrors\nematode.unl.edu_2022_09_21\mexark2.jpg</t>
  </si>
  <si>
    <t>Z:\nemtode\general\website_mirrors\nematode.unl.edu_2022_09_21\mexark5.jpg</t>
  </si>
  <si>
    <t>Z:\nemtode\general\website_mirrors\nematode.unl.edu_2022_09_21\mexark9.jpg</t>
  </si>
  <si>
    <t>Z:\nemtode\general\website_mirrors\nematode.unl.edu_2022_09_21\mexega16.jpg</t>
  </si>
  <si>
    <t>Z:\nemtode\general\website_mirrors\nematode.unl.edu_2022_09_21\mexega18.jpg</t>
  </si>
  <si>
    <t>Z:\nemtode\general\website_mirrors\nematode.unl.edu_2022_09_21\mexega2.jpg</t>
  </si>
  <si>
    <t>Z:\nemtode\general\website_mirrors\nematode.unl.edu_2022_09_21\mexega22.jpg</t>
  </si>
  <si>
    <t>Z:\nemtode\general\website_mirrors\nematode.unl.edu_2022_09_21\mexega25.jpg</t>
  </si>
  <si>
    <t>Z:\nemtode\general\website_mirrors\nematode.unl.edu_2022_09_21\mexegreen2.jpg</t>
  </si>
  <si>
    <t>Z:\nemtode\general\website_mirrors\nematode.unl.edu_2022_09_21\mexegsm16.jpg</t>
  </si>
  <si>
    <t>Z:\nemtode\general\website_mirrors\nematode.unl.edu_2022_09_21\mexegsm22.jpg</t>
  </si>
  <si>
    <t>Z:\nemtode\general\website_mirrors\nematode.unl.edu_2022_09_21\mexegsm23.jpg</t>
  </si>
  <si>
    <t>Z:\nemtode\general\website_mirrors\nematode.unl.edu_2022_09_21\mexegsm27.jpg</t>
  </si>
  <si>
    <t>Z:\nemtode\general\website_mirrors\nematode.unl.edu_2022_09_21\mexegsm6.jpg</t>
  </si>
  <si>
    <t>Z:\nemtode\general\website_mirrors\nematode.unl.edu_2022_09_21\mexenob13.jpg</t>
  </si>
  <si>
    <t>Z:\nemtode\general\website_mirrors\nematode.unl.edu_2022_09_21\mexenob6.jpg</t>
  </si>
  <si>
    <t>Z:\nemtode\general\website_mirrors\nematode.unl.edu_2022_09_21\mexenob9.jpg</t>
  </si>
  <si>
    <t>Z:\nemtode\general\website_mirrors\nematode.unl.edu_2022_09_21\mexenova2.jpg</t>
  </si>
  <si>
    <t>Z:\nemtode\general\website_mirrors\nematode.unl.edu_2022_09_21\mexenova5.jpg</t>
  </si>
  <si>
    <t>Z:\nemtode\general\website_mirrors\nematode.unl.edu_2022_09_21\mexeplaxgw2.jpg</t>
  </si>
  <si>
    <t>Z:\nemtode\general\website_mirrors\nematode.unl.edu_2022_09_21\mxenmile3.jpg</t>
  </si>
  <si>
    <t>Z:\nemtode\general\website_mirrors\nematode.unl.edu_2022_09_21\mxenmile5.jpg</t>
  </si>
  <si>
    <t>Z:\nemtode\general\website_mirrors\nematode.unl.edu_2022_09_21\mxenmile9.jpg</t>
  </si>
  <si>
    <t>Z:\nemtode\general\website_mirrors\nematode.unl.edu_2022_09_21\mesoxege10.jpg</t>
  </si>
  <si>
    <t>Z:\nemtode\general\website_mirrors\nematode.unl.edu_2022_09_21\mexeplaxgw7.jpg</t>
  </si>
  <si>
    <t>Z:\nemtode\general\website_mirrors\nematode.unl.edu_2022_09_21\mexegsm14.jpg</t>
  </si>
  <si>
    <t>Z:\nemtode\general\website_mirrors\nematode.unl.edu_2022_09_21\macroplax16.jpg</t>
  </si>
  <si>
    <t>Z:\nemtode\general\website_mirrors\nematode.unl.edu_2022_09_21\mesxens1.jpg</t>
  </si>
  <si>
    <t>Z:\nemtode\general\website_mirrors\nematode.unl.edu_2022_09_21\mesxens9.jpg</t>
  </si>
  <si>
    <t>Z:\nemtode\general\website_mirrors\nematode.unl.edu_2022_09_21\mexega8.jpg</t>
  </si>
  <si>
    <t>Z:\nemtode\general\website_mirrors\nematode.unl.edu_2022_09_21\mexegsm17.jpg</t>
  </si>
  <si>
    <t>Z:\nemtode\general\website_mirrors\nematode.unl.edu_2022_09_21\mexegsm24.jpg</t>
  </si>
  <si>
    <t>Z:\nemtode\general\website_mirrors\nematode.unl.edu_2022_09_21\crixen1.jpg</t>
  </si>
  <si>
    <t>Z:\nemtode\general\website_mirrors\nematode.unl.edu_2022_09_21\macroplax1.jpg</t>
  </si>
  <si>
    <t>Z:\nemtode\general\website_mirrors\nematode.unl.edu_2022_09_21\macroplax12.jpg</t>
  </si>
  <si>
    <t>Z:\nemtode\general\website_mirrors\nematode.unl.edu_2022_09_21\macroplax13.jpg</t>
  </si>
  <si>
    <t>Z:\nemtode\general\website_mirrors\nematode.unl.edu_2022_09_21\macroplax19.jpg</t>
  </si>
  <si>
    <t>Z:\nemtode\general\website_mirrors\nematode.unl.edu_2022_09_21\macroplax2.jpg</t>
  </si>
  <si>
    <t>Z:\nemtode\general\website_mirrors\nematode.unl.edu_2022_09_21\macroplax20.jpg</t>
  </si>
  <si>
    <t>Z:\nemtode\general\website_mirrors\nematode.unl.edu_2022_09_21\macroplax24.jpg</t>
  </si>
  <si>
    <t>Z:\nemtode\general\website_mirrors\nematode.unl.edu_2022_09_21\macroplax5.jpg</t>
  </si>
  <si>
    <t>Z:\nemtode\general\website_mirrors\nematode.unl.edu_2022_09_21\macroplax9.jpg</t>
  </si>
  <si>
    <t>Z:\nemtode\general\website_mirrors\nematode.unl.edu_2022_09_21\mesculo1.jpg</t>
  </si>
  <si>
    <t>Z:\nemtode\general\website_mirrors\nematode.unl.edu_2022_09_21\mesculo3.jpg</t>
  </si>
  <si>
    <t>Z:\nemtode\general\website_mirrors\nematode.unl.edu_2022_09_21\mesocriche11.jpg</t>
  </si>
  <si>
    <t>Z:\nemtode\general\website_mirrors\nematode.unl.edu_2022_09_21\mesocriche4.jpg</t>
  </si>
  <si>
    <t>Z:\nemtode\general\website_mirrors\nematode.unl.edu_2022_09_21\mesocriche8.jpg</t>
  </si>
  <si>
    <t>Z:\nemtode\general\website_mirrors\nematode.unl.edu_2022_09_21\mesoxege14.jpg</t>
  </si>
  <si>
    <t>Z:\nemtode\general\website_mirrors\nematode.unl.edu_2022_09_21\mesoxege15.jpg</t>
  </si>
  <si>
    <t>Z:\nemtode\general\website_mirrors\nematode.unl.edu_2022_09_21\mesoxege16.jpg</t>
  </si>
  <si>
    <t>Z:\nemtode\general\website_mirrors\nematode.unl.edu_2022_09_21\mesoxege17.jpg</t>
  </si>
  <si>
    <t>Z:\nemtode\general\website_mirrors\nematode.unl.edu_2022_09_21\mesoxege4.jpg</t>
  </si>
  <si>
    <t>Z:\nemtode\general\website_mirrors\nematode.unl.edu_2022_09_21\mesoxege8.jpg</t>
  </si>
  <si>
    <t>Z:\nemtode\general\website_mirrors\nematode.unl.edu_2022_09_21\mesxens10.jpg</t>
  </si>
  <si>
    <t>Z:\nemtode\general\website_mirrors\nematode.unl.edu_2022_09_21\mesxens14.jpg</t>
  </si>
  <si>
    <t>Z:\nemtode\general\website_mirrors\nematode.unl.edu_2022_09_21\mesxens15.jpg</t>
  </si>
  <si>
    <t>Z:\nemtode\general\website_mirrors\nematode.unl.edu_2022_09_21\mesxens19.jpg</t>
  </si>
  <si>
    <t>Z:\nemtode\general\website_mirrors\nematode.unl.edu_2022_09_21\mesxens24.jpg</t>
  </si>
  <si>
    <t>Z:\nemtode\general\website_mirrors\nematode.unl.edu_2022_09_21\mesxens29.jpg</t>
  </si>
  <si>
    <t>Z:\nemtode\general\website_mirrors\nematode.unl.edu_2022_09_21\mesxens3.jpg</t>
  </si>
  <si>
    <t>Z:\nemtode\general\website_mirrors\nematode.unl.edu_2022_09_21\mesxens32.jpg</t>
  </si>
  <si>
    <t>Z:\nemtode\general\website_mirrors\nematode.unl.edu_2022_09_21\mesxens33.jpg</t>
  </si>
  <si>
    <t>Z:\nemtode\general\website_mirrors\nematode.unl.edu_2022_09_21\mesxens47.jpg</t>
  </si>
  <si>
    <t>Z:\nemtode\general\website_mirrors\nematode.unl.edu_2022_09_21\mesxens54.jpg</t>
  </si>
  <si>
    <t>Z:\nemtode\general\website_mirrors\nematode.unl.edu_2022_09_21\mesxens6.jpg</t>
  </si>
  <si>
    <t>Z:\nemtode\general\website_mirrors\nematode.unl.edu_2022_09_21\mexark1.jpg</t>
  </si>
  <si>
    <t>Z:\nemtode\general\website_mirrors\nematode.unl.edu_2022_09_21\mexark15.jpg</t>
  </si>
  <si>
    <t>Z:\nemtode\general\website_mirrors\nematode.unl.edu_2022_09_21\mexark18.jpg</t>
  </si>
  <si>
    <t>Z:\nemtode\general\website_mirrors\nematode.unl.edu_2022_09_21\mexark4.jpg</t>
  </si>
  <si>
    <t>Z:\nemtode\general\website_mirrors\nematode.unl.edu_2022_09_21\mexega1.jpg</t>
  </si>
  <si>
    <t>Z:\nemtode\general\website_mirrors\nematode.unl.edu_2022_09_21\mexega10.jpg</t>
  </si>
  <si>
    <t>Z:\nemtode\general\website_mirrors\nematode.unl.edu_2022_09_21\mexega13.jpg</t>
  </si>
  <si>
    <t>Z:\nemtode\general\website_mirrors\nematode.unl.edu_2022_09_21\mexega15.jpg</t>
  </si>
  <si>
    <t>Z:\nemtode\general\website_mirrors\nematode.unl.edu_2022_09_21\mexega21.jpg</t>
  </si>
  <si>
    <t>Z:\nemtode\general\website_mirrors\nematode.unl.edu_2022_09_21\mexega24.jpg</t>
  </si>
  <si>
    <t>Z:\nemtode\general\website_mirrors\nematode.unl.edu_2022_09_21\mexegreen1.jpg</t>
  </si>
  <si>
    <t>Z:\nemtode\general\website_mirrors\nematode.unl.edu_2022_09_21\mexegsm1.jpg</t>
  </si>
  <si>
    <t>Z:\nemtode\general\website_mirrors\nematode.unl.edu_2022_09_21\mexegsm13.jpg</t>
  </si>
  <si>
    <t>Z:\nemtode\general\website_mirrors\nematode.unl.edu_2022_09_21\mexegsm15.jpg</t>
  </si>
  <si>
    <t>Z:\nemtode\general\website_mirrors\nematode.unl.edu_2022_09_21\mexegsm2.jpg</t>
  </si>
  <si>
    <t>Z:\nemtode\general\website_mirrors\nematode.unl.edu_2022_09_21\mexegsm21.jpg</t>
  </si>
  <si>
    <t>Z:\nemtode\general\website_mirrors\nematode.unl.edu_2022_09_21\mexegsm26.jpg</t>
  </si>
  <si>
    <t>Z:\nemtode\general\website_mirrors\nematode.unl.edu_2022_09_21\mexegsm9.jpg</t>
  </si>
  <si>
    <t>Z:\nemtode\general\website_mirrors\nematode.unl.edu_2022_09_21\mexenhi1.jpg</t>
  </si>
  <si>
    <t>Z:\nemtode\general\website_mirrors\nematode.unl.edu_2022_09_21\mexenob1.jpg</t>
  </si>
  <si>
    <t>Z:\nemtode\general\website_mirrors\nematode.unl.edu_2022_09_21\mexenob12.jpg</t>
  </si>
  <si>
    <t>Z:\nemtode\general\website_mirrors\nematode.unl.edu_2022_09_21\mexenob5.jpg</t>
  </si>
  <si>
    <t>Z:\nemtode\general\website_mirrors\nematode.unl.edu_2022_09_21\mexenob8.jpg</t>
  </si>
  <si>
    <t>Z:\nemtode\general\website_mirrors\nematode.unl.edu_2022_09_21\mexenova1.jpg</t>
  </si>
  <si>
    <t>Z:\nemtode\general\website_mirrors\nematode.unl.edu_2022_09_21\mexenova4.jpg</t>
  </si>
  <si>
    <t>Z:\nemtode\general\website_mirrors\nematode.unl.edu_2022_09_21\mexeplaxgw1.jpg</t>
  </si>
  <si>
    <t>Z:\nemtode\general\website_mirrors\nematode.unl.edu_2022_09_21\mexeplaxgw5.jpg</t>
  </si>
  <si>
    <t>Z:\nemtode\general\website_mirrors\nematode.unl.edu_2022_09_21\mexeplaxgw6.jpg</t>
  </si>
  <si>
    <t>Z:\nemtode\general\website_mirrors\nematode.unl.edu_2022_09_21\mxenmile1.jpg</t>
  </si>
  <si>
    <t>Z:\nemtode\general\website_mirrors\nematode.unl.edu_2022_09_21\mxenmile4.jpg</t>
  </si>
  <si>
    <t>Z:\nemtode\general\website_mirrors\nematode.unl.edu_2022_09_21\mxenmile8.jpg</t>
  </si>
  <si>
    <t>Z:\nemtode\general\website_mirrors\nematode.unl.edu_2022_09_21\mesxens23.jpg</t>
  </si>
  <si>
    <t>Z:\nemtode\general\website_mirrors\nematode.unl.edu_2022_09_21\mexega23.jpg</t>
  </si>
  <si>
    <t>Z:\nemtode\general\website_mirrors\nematode.unl.edu_2022_09_21\macroplax25.jpg</t>
  </si>
  <si>
    <t>Z:\nemtode\general\website_mirrors\nematode.unl.edu_2022_09_21\mesocriche10.jpg</t>
  </si>
  <si>
    <t>Z:\nemtode\general\website_mirrors\nematode.unl.edu_2022_09_21\mesocriche14.jpg</t>
  </si>
  <si>
    <t>Z:\nemtode\general\website_mirrors\nematode.unl.edu_2022_09_21\mesoxege18.jpg</t>
  </si>
  <si>
    <t>Z:\nemtode\general\website_mirrors\nematode.unl.edu_2022_09_21\mesoxege7.jpg</t>
  </si>
  <si>
    <t>Z:\nemtode\general\website_mirrors\nematode.unl.edu_2022_09_21\mesxens18.jpg</t>
  </si>
  <si>
    <t>Z:\nemtode\general\website_mirrors\nematode.unl.edu_2022_09_21\mesxens22.jpg</t>
  </si>
  <si>
    <t>Z:\nemtode\general\website_mirrors\nematode.unl.edu_2022_09_21\mesxens28.jpg</t>
  </si>
  <si>
    <t>Z:\nemtode\general\website_mirrors\nematode.unl.edu_2022_09_21\mesxens50.jpg</t>
  </si>
  <si>
    <t>Z:\nemtode\general\website_mirrors\nematode.unl.edu_2022_09_21\mexark21.jpg</t>
  </si>
  <si>
    <t>Z:\nemtode\general\website_mirrors\nematode.unl.edu_2022_09_21\mexega4.jpg</t>
  </si>
  <si>
    <t>Z:\nemtode\general\website_mirrors\nematode.unl.edu_2022_09_21\mexegsm5.jpg</t>
  </si>
  <si>
    <t>Z:\nemtode\general\website_mirrors\nematode.unl.edu_2022_09_21\mexenob11.jpg</t>
  </si>
  <si>
    <t>Z:\nemtode\general\website_mirrors\nematode.unl.edu_2022_09_21\mexenob16.jpg</t>
  </si>
  <si>
    <t>Z:\nemtode\general\website_mirrors\nematode.unl.edu_2022_09_21\mexenova7.jpg</t>
  </si>
  <si>
    <t>Z:\nemtode\general\website_mirrors\nematode.unl.edu_2022_09_21\mexenob15.jpg</t>
  </si>
  <si>
    <t>Z:\nemtode\general\website_mirrors\nematode.unl.edu_2022_09_21\mexenob2.jpg</t>
  </si>
  <si>
    <t>Z:\nemtode\general\website_mirrors\nematode.unl.edu_2022_09_21\mexenob3.jpg</t>
  </si>
  <si>
    <t>Z:\nemtode\general\website_mirrors\nematode.unl.edu_2022_09_21\mesoxege11.jpg</t>
  </si>
  <si>
    <t>Z:\nemtode\general\website_mirrors\nematode.unl.edu_2022_09_21\mexeplaxgw4.jpg</t>
  </si>
  <si>
    <t>Z:\nemtode\general\website_mirrors\nematode.unl.edu_2022_09_21\macroplax15.jpg</t>
  </si>
  <si>
    <t>Z:\nemtode\general\website_mirrors\nematode.unl.edu_2022_09_21\mexark8.jpg</t>
  </si>
  <si>
    <t>Z:\nemtode\general\website_mirrors\nematode.unl.edu_2022_09_21\mexegreen4.jpg</t>
  </si>
  <si>
    <t>Z:\nemtode\general\website_mirrors\nematode.unl.edu_2022_09_21\mexegsm20.jpg</t>
  </si>
  <si>
    <t>Z:\nemtode\general\website_mirrors\nematode.unl.edu_2022_09_21\macroplax4.jpg</t>
  </si>
  <si>
    <t>Z:\nemtode\general\website_mirrors\nematode.unl.edu_2022_09_21\mexega6.jpg</t>
  </si>
  <si>
    <t>Z:\nemtode\general\website_mirrors\nematode.unl.edu_2022_09_21\mexenhi3.jpg</t>
  </si>
  <si>
    <t>Z:\nemtode\general\website_mirrors\nematode.unl.edu_2022_09_21\mexark10.jpg</t>
  </si>
  <si>
    <t>Z:\nemtode\general\website_mirrors\nematode.unl.edu_2022_09_21\mexega3.jpg</t>
  </si>
  <si>
    <t>Z:\nemtode\general\website_mirrors\nematode.unl.edu_2022_09_21\crixen3.jpg</t>
  </si>
  <si>
    <t>Z:\nemtode\general\website_mirrors\nematode.unl.edu_2022_09_21\macroplax11.jpg</t>
  </si>
  <si>
    <t>Z:\nemtode\general\website_mirrors\nematode.unl.edu_2022_09_21\macroplax23.jpg</t>
  </si>
  <si>
    <t>Z:\nemtode\general\website_mirrors\nematode.unl.edu_2022_09_21\macroplax7.jpg</t>
  </si>
  <si>
    <t>Z:\nemtode\general\website_mirrors\nematode.unl.edu_2022_09_21\mesculo5.jpg</t>
  </si>
  <si>
    <t>Z:\nemtode\general\website_mirrors\nematode.unl.edu_2022_09_21\mesocriche15.jpg</t>
  </si>
  <si>
    <t>Z:\nemtode\general\website_mirrors\nematode.unl.edu_2022_09_21\mesocriche3.jpg</t>
  </si>
  <si>
    <t>Z:\nemtode\general\website_mirrors\nematode.unl.edu_2022_09_21\mesocriche7.jpg</t>
  </si>
  <si>
    <t>Z:\nemtode\general\website_mirrors\nematode.unl.edu_2022_09_21\mesocriche9.jpg</t>
  </si>
  <si>
    <t>Z:\nemtode\general\website_mirrors\nematode.unl.edu_2022_09_21\mesoxege12.jpg</t>
  </si>
  <si>
    <t>Z:\nemtode\general\website_mirrors\nematode.unl.edu_2022_09_21\mesoxege6.jpg</t>
  </si>
  <si>
    <t>Z:\nemtode\general\website_mirrors\nematode.unl.edu_2022_09_21\mesxens12.jpg</t>
  </si>
  <si>
    <t>Z:\nemtode\general\website_mirrors\nematode.unl.edu_2022_09_21\mesxens13.jpg</t>
  </si>
  <si>
    <t>Z:\nemtode\general\website_mirrors\nematode.unl.edu_2022_09_21\mesxens17.jpg</t>
  </si>
  <si>
    <t>Z:\nemtode\general\website_mirrors\nematode.unl.edu_2022_09_21\mesxens2.jpg</t>
  </si>
  <si>
    <t>Z:\nemtode\general\website_mirrors\nematode.unl.edu_2022_09_21\mesxens31.jpg</t>
  </si>
  <si>
    <t>Z:\nemtode\general\website_mirrors\nematode.unl.edu_2022_09_21\mesxens49.jpg</t>
  </si>
  <si>
    <t>Z:\nemtode\general\website_mirrors\nematode.unl.edu_2022_09_21\mesxens53.jpg</t>
  </si>
  <si>
    <t>Z:\nemtode\general\website_mirrors\nematode.unl.edu_2022_09_21\mesxens8.jpg</t>
  </si>
  <si>
    <t>Z:\nemtode\general\website_mirrors\nematode.unl.edu_2022_09_21\mexark11.jpg</t>
  </si>
  <si>
    <t>Z:\nemtode\general\website_mirrors\nematode.unl.edu_2022_09_21\mexark14.jpg</t>
  </si>
  <si>
    <t>Z:\nemtode\general\website_mirrors\nematode.unl.edu_2022_09_21\mexark17.jpg</t>
  </si>
  <si>
    <t>Z:\nemtode\general\website_mirrors\nematode.unl.edu_2022_09_21\mexark20.jpg</t>
  </si>
  <si>
    <t>Z:\nemtode\general\website_mirrors\nematode.unl.edu_2022_09_21\mexark3.jpg</t>
  </si>
  <si>
    <t>Z:\nemtode\general\website_mirrors\nematode.unl.edu_2022_09_21\mexark6.jpg</t>
  </si>
  <si>
    <t>Z:\nemtode\general\website_mirrors\nematode.unl.edu_2022_09_21\mexega14.jpg</t>
  </si>
  <si>
    <t>Z:\nemtode\general\website_mirrors\nematode.unl.edu_2022_09_21\mexega17.jpg</t>
  </si>
  <si>
    <t>Z:\nemtode\general\website_mirrors\nematode.unl.edu_2022_09_21\mexega19.jpg</t>
  </si>
  <si>
    <t>Z:\nemtode\general\website_mirrors\nematode.unl.edu_2022_09_21\mexega26.jpg</t>
  </si>
  <si>
    <t>Z:\nemtode\general\website_mirrors\nematode.unl.edu_2022_09_21\mexega9.jpg</t>
  </si>
  <si>
    <t>Z:\nemtode\general\website_mirrors\nematode.unl.edu_2022_09_21\mexegreen3.jpg</t>
  </si>
  <si>
    <t>Z:\nemtode\general\website_mirrors\nematode.unl.edu_2022_09_21\mexegsm10.jpg</t>
  </si>
  <si>
    <t>Z:\nemtode\general\website_mirrors\nematode.unl.edu_2022_09_21\mexegsm18.jpg</t>
  </si>
  <si>
    <t>Z:\nemtode\general\website_mirrors\nematode.unl.edu_2022_09_21\mexegsm25.jpg</t>
  </si>
  <si>
    <t>Z:\nemtode\general\website_mirrors\nematode.unl.edu_2022_09_21\mexegsm28.jpg</t>
  </si>
  <si>
    <t>Z:\nemtode\general\website_mirrors\nematode.unl.edu_2022_09_21\mexegsm4.jpg</t>
  </si>
  <si>
    <t>Z:\nemtode\general\website_mirrors\nematode.unl.edu_2022_09_21\mexegsm7.jpg</t>
  </si>
  <si>
    <t>Z:\nemtode\general\website_mirrors\nematode.unl.edu_2022_09_21\mexenob10.jpg</t>
  </si>
  <si>
    <t>Z:\nemtode\general\website_mirrors\nematode.unl.edu_2022_09_21\mexenob14.jpg</t>
  </si>
  <si>
    <t>Z:\nemtode\general\website_mirrors\nematode.unl.edu_2022_09_21\mexenob4.jpg</t>
  </si>
  <si>
    <t>Z:\nemtode\general\website_mirrors\nematode.unl.edu_2022_09_21\mexenob7.jpg</t>
  </si>
  <si>
    <t>Z:\nemtode\general\website_mirrors\nematode.unl.edu_2022_09_21\mexenova3.jpg</t>
  </si>
  <si>
    <t>Z:\nemtode\general\website_mirrors\nematode.unl.edu_2022_09_21\mexenova6.jpg</t>
  </si>
  <si>
    <t>Z:\nemtode\general\website_mirrors\nematode.unl.edu_2022_09_21\mexeplaxgw3.jpg</t>
  </si>
  <si>
    <t>Z:\nemtode\general\website_mirrors\nematode.unl.edu_2022_09_21\mxenmile6.jpg</t>
  </si>
  <si>
    <t>Z:\nemtode\general\website_mirrors\nematode.unl.edu_2022_09_21\macroplax17.jpg</t>
  </si>
  <si>
    <t>Z:\nemtode\general\website_mirrors\nematode.unl.edu_2022_09_21\macroplax18.jpg</t>
  </si>
  <si>
    <t>Z:\nemtode\general\website_mirrors\nematode.unl.edu_2022_09_21\mesculo2.jpg</t>
  </si>
  <si>
    <t>Z:\nemtode\general\website_mirrors\nematode.unl.edu_2022_09_21\mesoxege13.jpg</t>
  </si>
  <si>
    <t>Z:\nemtode\general\website_mirrors\nematode.unl.edu_2022_09_21\mexark13.jpg</t>
  </si>
  <si>
    <t>Z:\nemtode\general\website_mirrors\nematode.unl.edu_2022_09_21\mexegsm11.jpg</t>
  </si>
  <si>
    <t>Z:\nemtode\general\website_mirrors\nematode.unl.edu_2022_09_21\mexegsm12.jpg</t>
  </si>
  <si>
    <t>Z:\nemtode\general\website_mirrors\nematode.unl.edu_2022_09_21\mexegsm19.jpg</t>
  </si>
  <si>
    <t>Z:\nemtode\general\website_mirrors\nematode.unl.edu_2022_09_21\mexegsm8.jpg</t>
  </si>
  <si>
    <t>Z:\nemtode\general\website_mirrors\nematode.unl.edu_2022_09_21\mexeplaxgw8.jpg</t>
  </si>
  <si>
    <t>Z:\nemtode\general\website_mirrors\nematode.unl.edu_2022_09_21\mxenmile7.jpg</t>
  </si>
  <si>
    <t>Z:\nemtode\general\website_mirrors\nematode.unl.edu_2022_09_21\ogserne2.jpg</t>
  </si>
  <si>
    <t>Z:\nemtode\general\website_mirrors\nematode.unl.edu_2022_09_21\cricomo11.jpg</t>
  </si>
  <si>
    <t>Z:\nemtode\general\website_mirrors\nematode.unl.edu_2022_09_21\cricomo10.jpg</t>
  </si>
  <si>
    <t>Z:\nemtode\general\website_mirrors\nematode.unl.edu_2022_09_21\cricomo9.jpg</t>
  </si>
  <si>
    <t>Z:\nemtode\general\website_mirrors\nematode.unl.edu_2022_09_21\ogserne1.jpg</t>
  </si>
  <si>
    <t>Z:\nemtode\general\website_mirrors\nematode.unl.edu_2022_09_21\ogserne4.jpg</t>
  </si>
  <si>
    <t>Z:\nemtode\general\website_mirrors\nematode.unl.edu_2022_09_21\cricomo12.jpg</t>
  </si>
  <si>
    <t>Z:\nemtode\general\website_mirrors\nematode.unl.edu_2022_09_21\ogserne3.jpg</t>
  </si>
  <si>
    <t>Z:\nemtode\general\website_mirrors\nematode.unl.edu_2022_09_21\cricomo13.jpg</t>
  </si>
  <si>
    <t>Z:\nemtode\general\website_mirrors\nematode.unl.edu_2022_09_21\ogbutt4.jpg</t>
  </si>
  <si>
    <t>Z:\nemtode\general\website_mirrors\nematode.unl.edu_2022_09_21\ogoa15.jpg</t>
  </si>
  <si>
    <t>Z:\nemtode\general\website_mirrors\nematode.unl.edu_2022_09_21\crcricobrv17.jpg</t>
  </si>
  <si>
    <t>Z:\nemtode\general\website_mirrors\nematode.unl.edu_2022_09_21\crcricobrv2.jpg</t>
  </si>
  <si>
    <t>Z:\nemtode\general\website_mirrors\nematode.unl.edu_2022_09_21\crcricobrv3.jpg</t>
  </si>
  <si>
    <t>Z:\nemtode\general\website_mirrors\nematode.unl.edu_2022_09_21\crcricobrv4.jpg</t>
  </si>
  <si>
    <t>Z:\nemtode\general\website_mirrors\nematode.unl.edu_2022_09_21\crcricobrv8.jpg</t>
  </si>
  <si>
    <t>Z:\nemtode\general\website_mirrors\nematode.unl.edu_2022_09_21\crcricols6.jpg</t>
  </si>
  <si>
    <t>Z:\nemtode\general\website_mirrors\nematode.unl.edu_2022_09_21\crcricols7.jpg</t>
  </si>
  <si>
    <t>Z:\nemtode\general\website_mirrors\nematode.unl.edu_2022_09_21\ogbutt2.jpg</t>
  </si>
  <si>
    <t>Z:\nemtode\general\website_mirrors\nematode.unl.edu_2022_09_21\ogmala2.jpg</t>
  </si>
  <si>
    <t>Z:\nemtode\general\website_mirrors\nematode.unl.edu_2022_09_21\ogmas2.jpg</t>
  </si>
  <si>
    <t>Z:\nemtode\general\website_mirrors\nematode.unl.edu_2022_09_21\ogmasad2.jpg</t>
  </si>
  <si>
    <t>Z:\nemtode\general\website_mirrors\nematode.unl.edu_2022_09_21\ogoa12.jpg</t>
  </si>
  <si>
    <t>Z:\nemtode\general\website_mirrors\nematode.unl.edu_2022_09_21\ogoa5.jpg</t>
  </si>
  <si>
    <t>Z:\nemtode\general\website_mirrors\nematode.unl.edu_2022_09_21\ogoa8.jpg</t>
  </si>
  <si>
    <t>Z:\nemtode\general\website_mirrors\nematode.unl.edu_2022_09_21\ogsa2.jpg</t>
  </si>
  <si>
    <t>Z:\nemtode\general\website_mirrors\nematode.unl.edu_2022_09_21\ogspin3.jpg</t>
  </si>
  <si>
    <t>Z:\nemtode\general\website_mirrors\nematode.unl.edu_2022_09_21\ogspin4.jpg</t>
  </si>
  <si>
    <t>Z:\nemtode\general\website_mirrors\nematode.unl.edu_2022_09_21\ogspin5.jpg</t>
  </si>
  <si>
    <t>Z:\nemtode\general\website_mirrors\nematode.unl.edu_2022_09_21\ogspin7.jpg</t>
  </si>
  <si>
    <t>Z:\nemtode\general\website_mirrors\nematode.unl.edu_2022_09_21\ogoa4.jpg</t>
  </si>
  <si>
    <t>Z:\nemtode\general\website_mirrors\nematode.unl.edu_2022_09_21\crcricobrv22.jpg</t>
  </si>
  <si>
    <t>Z:\nemtode\general\website_mirrors\nematode.unl.edu_2022_09_21\ogmala5.jpg</t>
  </si>
  <si>
    <t>Z:\nemtode\general\website_mirrors\nematode.unl.edu_2022_09_21\bakers5.jpg</t>
  </si>
  <si>
    <t>Z:\nemtode\general\website_mirrors\nematode.unl.edu_2022_09_21\bakers1.jpg</t>
  </si>
  <si>
    <t>Z:\nemtode\general\website_mirrors\nematode.unl.edu_2022_09_21\crcricobrv10.jpg</t>
  </si>
  <si>
    <t>Z:\nemtode\general\website_mirrors\nematode.unl.edu_2022_09_21\crcricobrv13.jpg</t>
  </si>
  <si>
    <t>Z:\nemtode\general\website_mirrors\nematode.unl.edu_2022_09_21\crcricobrv14.jpg</t>
  </si>
  <si>
    <t>Z:\nemtode\general\website_mirrors\nematode.unl.edu_2022_09_21\crcricobrv15.jpg</t>
  </si>
  <si>
    <t>Z:\nemtode\general\website_mirrors\nematode.unl.edu_2022_09_21\crcricobrv16.jpg</t>
  </si>
  <si>
    <t>Z:\nemtode\general\website_mirrors\nematode.unl.edu_2022_09_21\crcricobrv20.jpg</t>
  </si>
  <si>
    <t>Z:\nemtode\general\website_mirrors\nematode.unl.edu_2022_09_21\crcricobrv21.jpg</t>
  </si>
  <si>
    <t>Z:\nemtode\general\website_mirrors\nematode.unl.edu_2022_09_21\crcricobrv9.jpg</t>
  </si>
  <si>
    <t>Z:\nemtode\general\website_mirrors\nematode.unl.edu_2022_09_21\crcricols10.jpg</t>
  </si>
  <si>
    <t>Z:\nemtode\general\website_mirrors\nematode.unl.edu_2022_09_21\crcricols9.jpg</t>
  </si>
  <si>
    <t>Z:\nemtode\general\website_mirrors\nematode.unl.edu_2022_09_21\crosp1.jpg</t>
  </si>
  <si>
    <t>Z:\nemtode\general\website_mirrors\nematode.unl.edu_2022_09_21\crosscruces1.jpg</t>
  </si>
  <si>
    <t>Z:\nemtode\general\website_mirrors\nematode.unl.edu_2022_09_21\ogbutt1.jpg</t>
  </si>
  <si>
    <t>Z:\nemtode\general\website_mirrors\nematode.unl.edu_2022_09_21\ogmala1.jpg</t>
  </si>
  <si>
    <t>Z:\nemtode\general\website_mirrors\nematode.unl.edu_2022_09_21\ogmas1.jpg</t>
  </si>
  <si>
    <t>Z:\nemtode\general\website_mirrors\nematode.unl.edu_2022_09_21\ogmasad1.jpg</t>
  </si>
  <si>
    <t>Z:\nemtode\general\website_mirrors\nematode.unl.edu_2022_09_21\ogmasad4.jpg</t>
  </si>
  <si>
    <t>Z:\nemtode\general\website_mirrors\nematode.unl.edu_2022_09_21\ogoa1.jpg</t>
  </si>
  <si>
    <t>Z:\nemtode\general\website_mirrors\nematode.unl.edu_2022_09_21\ogoa11.jpg</t>
  </si>
  <si>
    <t>Z:\nemtode\general\website_mirrors\nematode.unl.edu_2022_09_21\ogoa14.jpg</t>
  </si>
  <si>
    <t>Z:\nemtode\general\website_mirrors\nematode.unl.edu_2022_09_21\ogoa3.jpg</t>
  </si>
  <si>
    <t>Z:\nemtode\general\website_mirrors\nematode.unl.edu_2022_09_21\ogsa1.jpg</t>
  </si>
  <si>
    <t>Z:\nemtode\general\website_mirrors\nematode.unl.edu_2022_09_21\ogspin1.jpg</t>
  </si>
  <si>
    <t>Z:\nemtode\general\website_mirrors\nematode.unl.edu_2022_09_21\ogspin2.jpg</t>
  </si>
  <si>
    <t>Z:\nemtode\general\website_mirrors\nematode.unl.edu_2022_09_21\crcricobrv18.jpg</t>
  </si>
  <si>
    <t>Z:\nemtode\general\website_mirrors\nematode.unl.edu_2022_09_21\crcricobrv23.jpg</t>
  </si>
  <si>
    <t>Z:\nemtode\general\website_mirrors\nematode.unl.edu_2022_09_21\crcricobrv5.jpg</t>
  </si>
  <si>
    <t>Z:\nemtode\general\website_mirrors\nematode.unl.edu_2022_09_21\crcricobrv6.jpg</t>
  </si>
  <si>
    <t>Z:\nemtode\general\website_mirrors\nematode.unl.edu_2022_09_21\ogoa10.jpg</t>
  </si>
  <si>
    <t>Z:\nemtode\general\website_mirrors\nematode.unl.edu_2022_09_21\ogoa2.jpg</t>
  </si>
  <si>
    <t>Z:\nemtode\general\website_mirrors\nematode.unl.edu_2022_09_21\ogoa6.jpg</t>
  </si>
  <si>
    <t>Z:\nemtode\general\website_mirrors\nematode.unl.edu_2022_09_21\ogsa5.jpg</t>
  </si>
  <si>
    <t>Z:\nemtode\general\website_mirrors\nematode.unl.edu_2022_09_21\ogsa6.jpg</t>
  </si>
  <si>
    <t>Z:\nemtode\general\website_mirrors\nematode.unl.edu_2022_09_21\bakers2.jpg</t>
  </si>
  <si>
    <t>Z:\nemtode\general\website_mirrors\nematode.unl.edu_2022_09_21\bakers4.jpg</t>
  </si>
  <si>
    <t>Z:\nemtode\general\website_mirrors\nematode.unl.edu_2022_09_21\ogoa13.jpg</t>
  </si>
  <si>
    <t>Z:\nemtode\general\website_mirrors\nematode.unl.edu_2022_09_21\ogmala4.jpg</t>
  </si>
  <si>
    <t>Z:\nemtode\general\website_mirrors\nematode.unl.edu_2022_09_21\ogmala6.jpg</t>
  </si>
  <si>
    <t>Z:\nemtode\general\website_mirrors\nematode.unl.edu_2022_09_21\ogmala7.jpg</t>
  </si>
  <si>
    <t>Z:\nemtode\general\website_mirrors\nematode.unl.edu_2022_09_21\bakers3.jpg</t>
  </si>
  <si>
    <t>Z:\nemtode\general\website_mirrors\nematode.unl.edu_2022_09_21\crcricobrv1.jpg</t>
  </si>
  <si>
    <t>Z:\nemtode\general\website_mirrors\nematode.unl.edu_2022_09_21\crcricobrv11.jpg</t>
  </si>
  <si>
    <t>Z:\nemtode\general\website_mirrors\nematode.unl.edu_2022_09_21\crcricobrv19.jpg</t>
  </si>
  <si>
    <t>Z:\nemtode\general\website_mirrors\nematode.unl.edu_2022_09_21\crcricobrv7.jpg</t>
  </si>
  <si>
    <t>Z:\nemtode\general\website_mirrors\nematode.unl.edu_2022_09_21\crcricols5.jpg</t>
  </si>
  <si>
    <t>Z:\nemtode\general\website_mirrors\nematode.unl.edu_2022_09_21\ogbutt3.jpg</t>
  </si>
  <si>
    <t>Z:\nemtode\general\website_mirrors\nematode.unl.edu_2022_09_21\ogmala3.jpg</t>
  </si>
  <si>
    <t>Z:\nemtode\general\website_mirrors\nematode.unl.edu_2022_09_21\ogmas3.jpg</t>
  </si>
  <si>
    <t>Z:\nemtode\general\website_mirrors\nematode.unl.edu_2022_09_21\ogmasad3.jpg</t>
  </si>
  <si>
    <t>Z:\nemtode\general\website_mirrors\nematode.unl.edu_2022_09_21\ogoa16.jpg</t>
  </si>
  <si>
    <t>Z:\nemtode\general\website_mirrors\nematode.unl.edu_2022_09_21\ogoa7.jpg</t>
  </si>
  <si>
    <t>Z:\nemtode\general\website_mirrors\nematode.unl.edu_2022_09_21\ogoa9.jpg</t>
  </si>
  <si>
    <t>Z:\nemtode\general\website_mirrors\nematode.unl.edu_2022_09_21\ogsa3.jpg</t>
  </si>
  <si>
    <t>Z:\nemtode\general\website_mirrors\nematode.unl.edu_2022_09_21\ogsa4.jpg</t>
  </si>
  <si>
    <t>Z:\nemtode\general\website_mirrors\nematode.unl.edu_2022_09_21\ogspin6.jpg</t>
  </si>
  <si>
    <t>Z:\nemtode\general\website_mirrors\nematode.unl.edu_2022_09_21\crcricobrv12.jpg</t>
  </si>
  <si>
    <t>Z:\nemtode\general\website_mirrors\nematode.unl.edu_2022_09_21\ogdec20.jpg</t>
  </si>
  <si>
    <t>Z:\nemtode\general\website_mirrors\nematode.unl.edu_2022_09_21\odeca1.jpg</t>
  </si>
  <si>
    <t>Z:\nemtode\general\website_mirrors\nematode.unl.edu_2022_09_21\ogde1.jpg</t>
  </si>
  <si>
    <t>Z:\nemtode\general\website_mirrors\nematode.unl.edu_2022_09_21\ogde7.jpg</t>
  </si>
  <si>
    <t>Z:\nemtode\general\website_mirrors\nematode.unl.edu_2022_09_21\ogde9.jpg</t>
  </si>
  <si>
    <t>Z:\nemtode\general\website_mirrors\nematode.unl.edu_2022_09_21\ogdebier2.jpg</t>
  </si>
  <si>
    <t>Z:\nemtode\general\website_mirrors\nematode.unl.edu_2022_09_21\ogdec11.jpg</t>
  </si>
  <si>
    <t>Z:\nemtode\general\website_mirrors\nematode.unl.edu_2022_09_21\ogdec13.jpg</t>
  </si>
  <si>
    <t>Z:\nemtode\general\website_mirrors\nematode.unl.edu_2022_09_21\ogdec2.jpg</t>
  </si>
  <si>
    <t>Z:\nemtode\general\website_mirrors\nematode.unl.edu_2022_09_21\ogdec26.jpg</t>
  </si>
  <si>
    <t>Z:\nemtode\general\website_mirrors\nematode.unl.edu_2022_09_21\ogdec27.jpg</t>
  </si>
  <si>
    <t>Z:\nemtode\general\website_mirrors\nematode.unl.edu_2022_09_21\ogdec31.jpg</t>
  </si>
  <si>
    <t>Z:\nemtode\general\website_mirrors\nematode.unl.edu_2022_09_21\ogdec4.jpg</t>
  </si>
  <si>
    <t>Z:\nemtode\general\website_mirrors\nematode.unl.edu_2022_09_21\ogdec6.jpg</t>
  </si>
  <si>
    <t>Z:\nemtode\general\website_mirrors\nematode.unl.edu_2022_09_21\ogmadeth2.jpg</t>
  </si>
  <si>
    <t>Z:\nemtode\general\website_mirrors\nematode.unl.edu_2022_09_21\ogde6.jpg</t>
  </si>
  <si>
    <t>Z:\nemtode\general\website_mirrors\nematode.unl.edu_2022_09_21\ogde8.jpg</t>
  </si>
  <si>
    <t>Z:\nemtode\general\website_mirrors\nematode.unl.edu_2022_09_21\ogdebier1.jpg</t>
  </si>
  <si>
    <t>Z:\nemtode\general\website_mirrors\nematode.unl.edu_2022_09_21\ogdebier4.jpg</t>
  </si>
  <si>
    <t>Z:\nemtode\general\website_mirrors\nematode.unl.edu_2022_09_21\ogdec1.jpg</t>
  </si>
  <si>
    <t>Z:\nemtode\general\website_mirrors\nematode.unl.edu_2022_09_21\ogdec10.jpg</t>
  </si>
  <si>
    <t>Z:\nemtode\general\website_mirrors\nematode.unl.edu_2022_09_21\ogdec18.jpg</t>
  </si>
  <si>
    <t>Z:\nemtode\general\website_mirrors\nematode.unl.edu_2022_09_21\ogdec23.jpg</t>
  </si>
  <si>
    <t>Z:\nemtode\general\website_mirrors\nematode.unl.edu_2022_09_21\ogdec25.jpg</t>
  </si>
  <si>
    <t>Z:\nemtode\general\website_mirrors\nematode.unl.edu_2022_09_21\ogdec29.jpg</t>
  </si>
  <si>
    <t>Z:\nemtode\general\website_mirrors\nematode.unl.edu_2022_09_21\ogdec30.jpg</t>
  </si>
  <si>
    <t>Z:\nemtode\general\website_mirrors\nematode.unl.edu_2022_09_21\ogdec34.jpg</t>
  </si>
  <si>
    <t>Z:\nemtode\general\website_mirrors\nematode.unl.edu_2022_09_21\ogmadeth1.jpg</t>
  </si>
  <si>
    <t>Z:\nemtode\general\website_mirrors\nematode.unl.edu_2022_09_21\ogmadeth4.jpg</t>
  </si>
  <si>
    <t>Z:\nemtode\general\website_mirrors\nematode.unl.edu_2022_09_21\odeca2.jpg</t>
  </si>
  <si>
    <t>Z:\nemtode\general\website_mirrors\nematode.unl.edu_2022_09_21\ogde3.jpg</t>
  </si>
  <si>
    <t>Z:\nemtode\general\website_mirrors\nematode.unl.edu_2022_09_21\ogde4.jpg</t>
  </si>
  <si>
    <t>Z:\nemtode\general\website_mirrors\nematode.unl.edu_2022_09_21\ogdebier5.jpg</t>
  </si>
  <si>
    <t>Z:\nemtode\general\website_mirrors\nematode.unl.edu_2022_09_21\ogdec19.jpg</t>
  </si>
  <si>
    <t>Z:\nemtode\general\website_mirrors\nematode.unl.edu_2022_09_21\ogdec24.jpg</t>
  </si>
  <si>
    <t>Z:\nemtode\general\website_mirrors\nematode.unl.edu_2022_09_21\ogdec7.jpg</t>
  </si>
  <si>
    <t>Z:\nemtode\general\website_mirrors\nematode.unl.edu_2022_09_21\ogdec8.jpg</t>
  </si>
  <si>
    <t>Z:\nemtode\general\website_mirrors\nematode.unl.edu_2022_09_21\ogdec22.jpg</t>
  </si>
  <si>
    <t>Z:\nemtode\general\website_mirrors\nematode.unl.edu_2022_09_21\odeca3.jpg</t>
  </si>
  <si>
    <t>Z:\nemtode\general\website_mirrors\nematode.unl.edu_2022_09_21\odeca4.jpg</t>
  </si>
  <si>
    <t>Z:\nemtode\general\website_mirrors\nematode.unl.edu_2022_09_21\odecomp.jpg</t>
  </si>
  <si>
    <t>Z:\nemtode\general\website_mirrors\nematode.unl.edu_2022_09_21\ogde10.jpg</t>
  </si>
  <si>
    <t>Z:\nemtode\general\website_mirrors\nematode.unl.edu_2022_09_21\ogde2.jpg</t>
  </si>
  <si>
    <t>Z:\nemtode\general\website_mirrors\nematode.unl.edu_2022_09_21\ogdebier3.jpg</t>
  </si>
  <si>
    <t>Z:\nemtode\general\website_mirrors\nematode.unl.edu_2022_09_21\ogdebier6.jpg</t>
  </si>
  <si>
    <t>Z:\nemtode\general\website_mirrors\nematode.unl.edu_2022_09_21\ogdec12.jpg</t>
  </si>
  <si>
    <t>Z:\nemtode\general\website_mirrors\nematode.unl.edu_2022_09_21\ogdec21.jpg</t>
  </si>
  <si>
    <t>Z:\nemtode\general\website_mirrors\nematode.unl.edu_2022_09_21\ogdec28.jpg</t>
  </si>
  <si>
    <t>Z:\nemtode\general\website_mirrors\nematode.unl.edu_2022_09_21\ogdec3.jpg</t>
  </si>
  <si>
    <t>Z:\nemtode\general\website_mirrors\nematode.unl.edu_2022_09_21\ogdec32.jpg</t>
  </si>
  <si>
    <t>Z:\nemtode\general\website_mirrors\nematode.unl.edu_2022_09_21\ogdec33.jpg</t>
  </si>
  <si>
    <t>Z:\nemtode\general\website_mirrors\nematode.unl.edu_2022_09_21\ogdec9.jpg</t>
  </si>
  <si>
    <t>Z:\nemtode\general\website_mirrors\nematode.unl.edu_2022_09_21\ogmadeth3.jpg</t>
  </si>
  <si>
    <t>Z:\nemtode\general\website_mirrors\nematode.unl.edu_2022_09_21\ogdec5.jpg</t>
  </si>
  <si>
    <t>Z:\nemtode\general\website_mirrors\nematode.unl.edu_2022_09_21\ogmoc14.jpg</t>
  </si>
  <si>
    <t>Z:\nemtode\general\website_mirrors\nematode.unl.edu_2022_09_21\ogmoc7.jpg</t>
  </si>
  <si>
    <t>Z:\nemtode\general\website_mirrors\nematode.unl.edu_2022_09_21\ooctan3.jpg</t>
  </si>
  <si>
    <t>Z:\nemtode\general\website_mirrors\nematode.unl.edu_2022_09_21\ogmoc9.jpg</t>
  </si>
  <si>
    <t>Z:\nemtode\general\website_mirrors\nematode.unl.edu_2022_09_21\ogmoc15.jpg</t>
  </si>
  <si>
    <t>Z:\nemtode\general\website_mirrors\nematode.unl.edu_2022_09_21\ogmoc8.jpg</t>
  </si>
  <si>
    <t>Z:\nemtode\general\website_mirrors\nematode.unl.edu_2022_09_21\ooctan2.jpg</t>
  </si>
  <si>
    <t>Z:\nemtode\general\website_mirrors\nematode.unl.edu_2022_09_21\ogmoc1.jpg</t>
  </si>
  <si>
    <t>Z:\nemtode\general\website_mirrors\nematode.unl.edu_2022_09_21\ogmoc12.jpg</t>
  </si>
  <si>
    <t>Z:\nemtode\general\website_mirrors\nematode.unl.edu_2022_09_21\ogmoc13.jpg</t>
  </si>
  <si>
    <t>Z:\nemtode\general\website_mirrors\nematode.unl.edu_2022_09_21\ogmoc2.jpg</t>
  </si>
  <si>
    <t>Z:\nemtode\general\website_mirrors\nematode.unl.edu_2022_09_21\ogmoc4.jpg</t>
  </si>
  <si>
    <t>Z:\nemtode\general\website_mirrors\nematode.unl.edu_2022_09_21\ogmoc6.jpg</t>
  </si>
  <si>
    <t>Z:\nemtode\general\website_mirrors\nematode.unl.edu_2022_09_21\ooctan1.jpg</t>
  </si>
  <si>
    <t>Z:\nemtode\general\website_mirrors\nematode.unl.edu_2022_09_21\ogmoc5.jpg</t>
  </si>
  <si>
    <t>Z:\nemtode\general\website_mirrors\nematode.unl.edu_2022_09_21\ogmoc3.jpg</t>
  </si>
  <si>
    <t>Z:\nemtode\general\website_mirrors\nematode.unl.edu_2022_09_21\ogmoc10.jpg</t>
  </si>
  <si>
    <t>Z:\nemtode\general\website_mirrors\nematode.unl.edu_2022_09_21\ogmoc11.jpg</t>
  </si>
  <si>
    <t>Z:\nemtode\general\website_mirrors\nematode.unl.edu_2022_09_21\ooctan4.jpg</t>
  </si>
  <si>
    <t>Z:\nemtode\general\website_mirrors\nematode.unl.edu_2022_09_21\ogsey5.jpg</t>
  </si>
  <si>
    <t>Z:\nemtode\general\website_mirrors\nematode.unl.edu_2022_09_21\ogsey7.jpg</t>
  </si>
  <si>
    <t>Z:\nemtode\general\website_mirrors\nematode.unl.edu_2022_09_21\ogsey3.jpg</t>
  </si>
  <si>
    <t>Z:\nemtode\general\website_mirrors\nematode.unl.edu_2022_09_21\ogsey1.jpg</t>
  </si>
  <si>
    <t>Z:\nemtode\general\website_mirrors\nematode.unl.edu_2022_09_21\ogsey2.jpg</t>
  </si>
  <si>
    <t>Z:\nemtode\general\website_mirrors\nematode.unl.edu_2022_09_21\ogsey6.jpg</t>
  </si>
  <si>
    <t>Z:\nemtode\general\website_mirrors\nematode.unl.edu_2022_09_21\ogsey4.jpg</t>
  </si>
  <si>
    <t>Z:\nemtode\general\website_mirrors\nematode.unl.edu_2022_09_21\xemactim6.jpg</t>
  </si>
  <si>
    <t>Z:\nemtode\general\website_mirrors\nematode.unl.edu_2022_09_21\xemactim7.jpg</t>
  </si>
  <si>
    <t>Z:\nemtode\general\website_mirrors\nematode.unl.edu_2022_09_21\xemads12.jpg</t>
  </si>
  <si>
    <t>Z:\nemtode\general\website_mirrors\nematode.unl.edu_2022_09_21\xemads6.jpg</t>
  </si>
  <si>
    <t>Z:\nemtode\general\website_mirrors\nematode.unl.edu_2022_09_21\xemads7.jpg</t>
  </si>
  <si>
    <t>Z:\nemtode\general\website_mirrors\nematode.unl.edu_2022_09_21\xemads9.jpg</t>
  </si>
  <si>
    <t>Z:\nemtode\general\website_mirrors\nematode.unl.edu_2022_09_21\xemagsmo2.jpg</t>
  </si>
  <si>
    <t>Z:\nemtode\general\website_mirrors\nematode.unl.edu_2022_09_21\xemagsmo5.jpg</t>
  </si>
  <si>
    <t>Z:\nemtode\general\website_mirrors\nematode.unl.edu_2022_09_21\xemagsmo6.jpg</t>
  </si>
  <si>
    <t>Z:\nemtode\general\website_mirrors\nematode.unl.edu_2022_09_21\xenocrimds12.jpg</t>
  </si>
  <si>
    <t>Z:\nemtode\general\website_mirrors\nematode.unl.edu_2022_09_21\xenoloup2.jpg</t>
  </si>
  <si>
    <t>Z:\nemtode\general\website_mirrors\nematode.unl.edu_2022_09_21\xemactim12.jpg</t>
  </si>
  <si>
    <t>Z:\nemtode\general\website_mirrors\nematode.unl.edu_2022_09_21\xemactim16.jpg</t>
  </si>
  <si>
    <t>Z:\nemtode\general\website_mirrors\nematode.unl.edu_2022_09_21\xemactim3.jpg</t>
  </si>
  <si>
    <t>Z:\nemtode\general\website_mirrors\nematode.unl.edu_2022_09_21\xemactim9.jpg</t>
  </si>
  <si>
    <t>Z:\nemtode\general\website_mirrors\nematode.unl.edu_2022_09_21\xemads2.jpg</t>
  </si>
  <si>
    <t>Z:\nemtode\general\website_mirrors\nematode.unl.edu_2022_09_21\xemafax2.jpg</t>
  </si>
  <si>
    <t>Z:\nemtode\general\website_mirrors\nematode.unl.edu_2022_09_21\xemafax5.jpg</t>
  </si>
  <si>
    <t>Z:\nemtode\general\website_mirrors\nematode.unl.edu_2022_09_21\xenocrimac10.jpg</t>
  </si>
  <si>
    <t>Z:\nemtode\general\website_mirrors\nematode.unl.edu_2022_09_21\xenocrimac2.jpg</t>
  </si>
  <si>
    <t>Z:\nemtode\general\website_mirrors\nematode.unl.edu_2022_09_21\xenocrimac5.jpg</t>
  </si>
  <si>
    <t>Z:\nemtode\general\website_mirrors\nematode.unl.edu_2022_09_21\xenocrimac8.jpg</t>
  </si>
  <si>
    <t>Z:\nemtode\general\website_mirrors\nematode.unl.edu_2022_09_21\xenocrimds5.jpg</t>
  </si>
  <si>
    <t>Z:\nemtode\general\website_mirrors\nematode.unl.edu_2022_09_21\xenocrimn2.jpg</t>
  </si>
  <si>
    <t>Z:\nemtode\general\website_mirrors\nematode.unl.edu_2022_09_21\xenocrimn6.jpg</t>
  </si>
  <si>
    <t>Z:\nemtode\general\website_mirrors\nematode.unl.edu_2022_09_21\xenolou2.jpg</t>
  </si>
  <si>
    <t>Z:\nemtode\general\website_mirrors\nematode.unl.edu_2022_09_21\xenomavo2.jpg</t>
  </si>
  <si>
    <t>Z:\nemtode\general\website_mirrors\nematode.unl.edu_2022_09_21\xenomavo4.jpg</t>
  </si>
  <si>
    <t>Z:\nemtode\general\website_mirrors\nematode.unl.edu_2022_09_21\xenomex11.jpg</t>
  </si>
  <si>
    <t>Z:\nemtode\general\website_mirrors\nematode.unl.edu_2022_09_21\xenomex15.jpg</t>
  </si>
  <si>
    <t>Z:\nemtode\general\website_mirrors\nematode.unl.edu_2022_09_21\xenomex17.jpg</t>
  </si>
  <si>
    <t>Z:\nemtode\general\website_mirrors\nematode.unl.edu_2022_09_21\xenomex2.jpg</t>
  </si>
  <si>
    <t>Z:\nemtode\general\website_mirrors\nematode.unl.edu_2022_09_21\xenomex5.jpg</t>
  </si>
  <si>
    <t>Z:\nemtode\general\website_mirrors\nematode.unl.edu_2022_09_21\xenomex8.jpg</t>
  </si>
  <si>
    <t>Z:\nemtode\general\website_mirrors\nematode.unl.edu_2022_09_21\xenomiche2.jpg</t>
  </si>
  <si>
    <t>Z:\nemtode\general\website_mirrors\nematode.unl.edu_2022_09_21\xenoss1.jpg</t>
  </si>
  <si>
    <t>Z:\nemtode\general\website_mirrors\nematode.unl.edu_2022_09_21\xenoss4.jpg</t>
  </si>
  <si>
    <t>Z:\nemtode\general\website_mirrors\nematode.unl.edu_2022_09_21\xenoss8.jpg</t>
  </si>
  <si>
    <t>Z:\nemtode\general\website_mirrors\nematode.unl.edu_2022_09_21\xmacrodorf2.jpg</t>
  </si>
  <si>
    <t>Z:\nemtode\general\website_mirrors\nematode.unl.edu_2022_09_21\xenocrimds4.jpg</t>
  </si>
  <si>
    <t>Z:\nemtode\general\website_mirrors\nematode.unl.edu_2022_09_21\xemafax7.jpg</t>
  </si>
  <si>
    <t>Z:\nemtode\general\website_mirrors\nematode.unl.edu_2022_09_21\xemactim15.jpg</t>
  </si>
  <si>
    <t>Z:\nemtode\general\website_mirrors\nematode.unl.edu_2022_09_21\xemactim1.jpg</t>
  </si>
  <si>
    <t>Z:\nemtode\general\website_mirrors\nematode.unl.edu_2022_09_21\xemactim10.jpg</t>
  </si>
  <si>
    <t>Z:\nemtode\general\website_mirrors\nematode.unl.edu_2022_09_21\xemactim11.jpg</t>
  </si>
  <si>
    <t>Z:\nemtode\general\website_mirrors\nematode.unl.edu_2022_09_21\xemactim2.jpg</t>
  </si>
  <si>
    <t>Z:\nemtode\general\website_mirrors\nematode.unl.edu_2022_09_21\xemactim8.jpg</t>
  </si>
  <si>
    <t>Z:\nemtode\general\website_mirrors\nematode.unl.edu_2022_09_21\xemads1.jpg</t>
  </si>
  <si>
    <t>Z:\nemtode\general\website_mirrors\nematode.unl.edu_2022_09_21\xemads11.jpg</t>
  </si>
  <si>
    <t>Z:\nemtode\general\website_mirrors\nematode.unl.edu_2022_09_21\xemads4.jpg</t>
  </si>
  <si>
    <t>Z:\nemtode\general\website_mirrors\nematode.unl.edu_2022_09_21\xemads5.jpg</t>
  </si>
  <si>
    <t>Z:\nemtode\general\website_mirrors\nematode.unl.edu_2022_09_21\xemads8.jpg</t>
  </si>
  <si>
    <t>Z:\nemtode\general\website_mirrors\nematode.unl.edu_2022_09_21\xemafax1.jpg</t>
  </si>
  <si>
    <t>Z:\nemtode\general\website_mirrors\nematode.unl.edu_2022_09_21\xemafax4.jpg</t>
  </si>
  <si>
    <t>Z:\nemtode\general\website_mirrors\nematode.unl.edu_2022_09_21\xemagsmo1.jpg</t>
  </si>
  <si>
    <t>Z:\nemtode\general\website_mirrors\nematode.unl.edu_2022_09_21\xemagsmo4.jpg</t>
  </si>
  <si>
    <t>Z:\nemtode\general\website_mirrors\nematode.unl.edu_2022_09_21\xenocrimac1.jpg</t>
  </si>
  <si>
    <t>Z:\nemtode\general\website_mirrors\nematode.unl.edu_2022_09_21\xenocrimac4.jpg</t>
  </si>
  <si>
    <t>Z:\nemtode\general\website_mirrors\nematode.unl.edu_2022_09_21\xenocrimac7.jpg</t>
  </si>
  <si>
    <t>Z:\nemtode\general\website_mirrors\nematode.unl.edu_2022_09_21\xenocrimds1.jpg</t>
  </si>
  <si>
    <t>Z:\nemtode\general\website_mirrors\nematode.unl.edu_2022_09_21\xenocrimds10.jpg</t>
  </si>
  <si>
    <t>Z:\nemtode\general\website_mirrors\nematode.unl.edu_2022_09_21\xenocrimds11.jpg</t>
  </si>
  <si>
    <t>Z:\nemtode\general\website_mirrors\nematode.unl.edu_2022_09_21\xenocrimds3.jpg</t>
  </si>
  <si>
    <t>Z:\nemtode\general\website_mirrors\nematode.unl.edu_2022_09_21\xenocrimds7.jpg</t>
  </si>
  <si>
    <t>Z:\nemtode\general\website_mirrors\nematode.unl.edu_2022_09_21\xenocrimds8.jpg</t>
  </si>
  <si>
    <t>Z:\nemtode\general\website_mirrors\nematode.unl.edu_2022_09_21\xenocrimn1.jpg</t>
  </si>
  <si>
    <t>Z:\nemtode\general\website_mirrors\nematode.unl.edu_2022_09_21\xenocrimn5.jpg</t>
  </si>
  <si>
    <t>Z:\nemtode\general\website_mirrors\nematode.unl.edu_2022_09_21\xenocrimn9.jpg</t>
  </si>
  <si>
    <t>Z:\nemtode\general\website_mirrors\nematode.unl.edu_2022_09_21\xenolou1.jpg</t>
  </si>
  <si>
    <t>Z:\nemtode\general\website_mirrors\nematode.unl.edu_2022_09_21\xenoloup1.jpg</t>
  </si>
  <si>
    <t>Z:\nemtode\general\website_mirrors\nematode.unl.edu_2022_09_21\xenoloup4.jpg</t>
  </si>
  <si>
    <t>Z:\nemtode\general\website_mirrors\nematode.unl.edu_2022_09_21\xenoloup5.jpg</t>
  </si>
  <si>
    <t>Z:\nemtode\general\website_mirrors\nematode.unl.edu_2022_09_21\xenoloup6.jpg</t>
  </si>
  <si>
    <t>Z:\nemtode\general\website_mirrors\nematode.unl.edu_2022_09_21\xenoloup7.jpg</t>
  </si>
  <si>
    <t>Z:\nemtode\general\website_mirrors\nematode.unl.edu_2022_09_21\xenoloup8.jpg</t>
  </si>
  <si>
    <t>Z:\nemtode\general\website_mirrors\nematode.unl.edu_2022_09_21\xenomavo1.jpg</t>
  </si>
  <si>
    <t>Z:\nemtode\general\website_mirrors\nematode.unl.edu_2022_09_21\xenomex1.jpg</t>
  </si>
  <si>
    <t>Z:\nemtode\general\website_mirrors\nematode.unl.edu_2022_09_21\xenomex10.jpg</t>
  </si>
  <si>
    <t>Z:\nemtode\general\website_mirrors\nematode.unl.edu_2022_09_21\xenomex14.jpg</t>
  </si>
  <si>
    <t>Z:\nemtode\general\website_mirrors\nematode.unl.edu_2022_09_21\xenomex4.jpg</t>
  </si>
  <si>
    <t>Z:\nemtode\general\website_mirrors\nematode.unl.edu_2022_09_21\xenomex7.jpg</t>
  </si>
  <si>
    <t>Z:\nemtode\general\website_mirrors\nematode.unl.edu_2022_09_21\xenomiche1.jpg</t>
  </si>
  <si>
    <t>Z:\nemtode\general\website_mirrors\nematode.unl.edu_2022_09_21\xenomols1.jpg</t>
  </si>
  <si>
    <t>Z:\nemtode\general\website_mirrors\nematode.unl.edu_2022_09_21\xenomols2.jpg</t>
  </si>
  <si>
    <t>Z:\nemtode\general\website_mirrors\nematode.unl.edu_2022_09_21\xenomols3.jpg</t>
  </si>
  <si>
    <t>Z:\nemtode\general\website_mirrors\nematode.unl.edu_2022_09_21\xenoss3.jpg</t>
  </si>
  <si>
    <t>Z:\nemtode\general\website_mirrors\nematode.unl.edu_2022_09_21\xenoss6.jpg</t>
  </si>
  <si>
    <t>Z:\nemtode\general\website_mirrors\nematode.unl.edu_2022_09_21\xenoss7.jpg</t>
  </si>
  <si>
    <t>Z:\nemtode\general\website_mirrors\nematode.unl.edu_2022_09_21\xmacrodorf1.jpg</t>
  </si>
  <si>
    <t>Z:\nemtode\general\website_mirrors\nematode.unl.edu_2022_09_21\xenocrimds9.jpg</t>
  </si>
  <si>
    <t>Z:\nemtode\general\website_mirrors\nematode.unl.edu_2022_09_21\xenocrimac11.jpg</t>
  </si>
  <si>
    <t>Z:\nemtode\general\website_mirrors\nematode.unl.edu_2022_09_21\xenocrimds14.jpg</t>
  </si>
  <si>
    <t>Z:\nemtode\general\website_mirrors\nematode.unl.edu_2022_09_21\xenomiche4.jpg</t>
  </si>
  <si>
    <t>Z:\nemtode\general\website_mirrors\nematode.unl.edu_2022_09_21\xemactim13.jpg</t>
  </si>
  <si>
    <t>Z:\nemtode\general\website_mirrors\nematode.unl.edu_2022_09_21\xenocrimn3.jpg</t>
  </si>
  <si>
    <t>Z:\nemtode\general\website_mirrors\nematode.unl.edu_2022_09_21\xmacrodorf4.jpg</t>
  </si>
  <si>
    <t>Z:\nemtode\general\website_mirrors\nematode.unl.edu_2022_09_21\xemads13.jpg</t>
  </si>
  <si>
    <t>Z:\nemtode\general\website_mirrors\nematode.unl.edu_2022_09_21\xemagsmo7.jpg</t>
  </si>
  <si>
    <t>Z:\nemtode\general\website_mirrors\nematode.unl.edu_2022_09_21\xemagsmo8.jpg</t>
  </si>
  <si>
    <t>Z:\nemtode\general\website_mirrors\nematode.unl.edu_2022_09_21\xenocrimds13.jpg</t>
  </si>
  <si>
    <t>Z:\nemtode\general\website_mirrors\nematode.unl.edu_2022_09_21\xenocrimds2.jpg</t>
  </si>
  <si>
    <t>Z:\nemtode\general\website_mirrors\nematode.unl.edu_2022_09_21\xenoloup3.jpg</t>
  </si>
  <si>
    <t>Z:\nemtode\general\website_mirrors\nematode.unl.edu_2022_09_21\xenolou3.jpg</t>
  </si>
  <si>
    <t>Z:\nemtode\general\website_mirrors\nematode.unl.edu_2022_09_21\xenomex12.jpg</t>
  </si>
  <si>
    <t>Z:\nemtode\general\website_mirrors\nematode.unl.edu_2022_09_21\xenocrimn7.jpg</t>
  </si>
  <si>
    <t>Z:\nemtode\general\website_mirrors\nematode.unl.edu_2022_09_21\xemactim14.jpg</t>
  </si>
  <si>
    <t>Z:\nemtode\general\website_mirrors\nematode.unl.edu_2022_09_21\xemactim4.jpg</t>
  </si>
  <si>
    <t>Z:\nemtode\general\website_mirrors\nematode.unl.edu_2022_09_21\xemactim5.jpg</t>
  </si>
  <si>
    <t>Z:\nemtode\general\website_mirrors\nematode.unl.edu_2022_09_21\xemads10.jpg</t>
  </si>
  <si>
    <t>Z:\nemtode\general\website_mirrors\nematode.unl.edu_2022_09_21\xemads3.jpg</t>
  </si>
  <si>
    <t>Z:\nemtode\general\website_mirrors\nematode.unl.edu_2022_09_21\xemafax3.jpg</t>
  </si>
  <si>
    <t>Z:\nemtode\general\website_mirrors\nematode.unl.edu_2022_09_21\xemafax6.jpg</t>
  </si>
  <si>
    <t>Z:\nemtode\general\website_mirrors\nematode.unl.edu_2022_09_21\xemagsmo3.jpg</t>
  </si>
  <si>
    <t>Z:\nemtode\general\website_mirrors\nematode.unl.edu_2022_09_21\xenocrimac12.jpg</t>
  </si>
  <si>
    <t>Z:\nemtode\general\website_mirrors\nematode.unl.edu_2022_09_21\xenocrimac6.jpg</t>
  </si>
  <si>
    <t>Z:\nemtode\general\website_mirrors\nematode.unl.edu_2022_09_21\xenocrimac9.jpg</t>
  </si>
  <si>
    <t>Z:\nemtode\general\website_mirrors\nematode.unl.edu_2022_09_21\xenocrimds6.jpg</t>
  </si>
  <si>
    <t>Z:\nemtode\general\website_mirrors\nematode.unl.edu_2022_09_21\xenocrimn4.jpg</t>
  </si>
  <si>
    <t>Z:\nemtode\general\website_mirrors\nematode.unl.edu_2022_09_21\xenocrimn8.jpg</t>
  </si>
  <si>
    <t>Z:\nemtode\general\website_mirrors\nematode.unl.edu_2022_09_21\xenolou4.jpg</t>
  </si>
  <si>
    <t>Z:\nemtode\general\website_mirrors\nematode.unl.edu_2022_09_21\xenomavo3.jpg</t>
  </si>
  <si>
    <t>Z:\nemtode\general\website_mirrors\nematode.unl.edu_2022_09_21\xenomex13.jpg</t>
  </si>
  <si>
    <t>Z:\nemtode\general\website_mirrors\nematode.unl.edu_2022_09_21\xenomex16.jpg</t>
  </si>
  <si>
    <t>Z:\nemtode\general\website_mirrors\nematode.unl.edu_2022_09_21\xenomex6.jpg</t>
  </si>
  <si>
    <t>Z:\nemtode\general\website_mirrors\nematode.unl.edu_2022_09_21\xenomex9.jpg</t>
  </si>
  <si>
    <t>Z:\nemtode\general\website_mirrors\nematode.unl.edu_2022_09_21\xenomiche3.jpg</t>
  </si>
  <si>
    <t>Z:\nemtode\general\website_mirrors\nematode.unl.edu_2022_09_21\xenoss2.jpg</t>
  </si>
  <si>
    <t>Z:\nemtode\general\website_mirrors\nematode.unl.edu_2022_09_21\xenoss5.jpg</t>
  </si>
  <si>
    <t>Z:\nemtode\general\website_mirrors\nematode.unl.edu_2022_09_21\xenoss9.jpg</t>
  </si>
  <si>
    <t>Z:\nemtode\general\website_mirrors\nematode.unl.edu_2022_09_21\xmacrodorf3.jpg</t>
  </si>
  <si>
    <t>Z:\nemtode\general\website_mirrors\nematode.unl.edu_2022_09_21\xenocrimac3.jpg</t>
  </si>
  <si>
    <t>Z:\nemtode\general\website_mirrors\nematode.unl.edu_2022_09_21\xenocrimacoll.jpg</t>
  </si>
  <si>
    <t>Z:\nemtode\general\website_mirrors\nematode.unl.edu_2022_09_21\acrost1.jpg</t>
  </si>
  <si>
    <t>Z:\nemtode\general\website_mirrors\nematode.unl.edu_2022_09_21\acrost2.jpg</t>
  </si>
  <si>
    <t>Z:\nemtode\general\website_mirrors\nematode.unl.edu_2022_09_21\acrost4.jpg</t>
  </si>
  <si>
    <t>Z:\nemtode\general\website_mirrors\nematode.unl.edu_2022_09_21\acrost3.jpg</t>
  </si>
  <si>
    <t>Z:\nemtode\general\website_mirrors\nematode.unl.edu_2022_09_21\acrost5.jpg</t>
  </si>
  <si>
    <t>Z:\nemtode\general\website_mirrors\nematode.unl.edu_2022_09_21\diplog5.jpg</t>
  </si>
  <si>
    <t>Z:\nemtode\general\website_mirrors\nematode.unl.edu_2022_09_21\diplog2.jpg</t>
  </si>
  <si>
    <t>Z:\nemtode\general\website_mirrors\nematode.unl.edu_2022_09_21\diplog8.jpg</t>
  </si>
  <si>
    <t>Z:\nemtode\general\website_mirrors\nematode.unl.edu_2022_09_21\dipriana1.jpg</t>
  </si>
  <si>
    <t>Z:\nemtode\general\website_mirrors\nematode.unl.edu_2022_09_21\dipriana2.jpg</t>
  </si>
  <si>
    <t>Z:\nemtode\general\website_mirrors\nematode.unl.edu_2022_09_21\diplerit1.jpg</t>
  </si>
  <si>
    <t>Z:\nemtode\general\website_mirrors\nematode.unl.edu_2022_09_21\diplerit3.jpg</t>
  </si>
  <si>
    <t>Z:\nemtode\general\website_mirrors\nematode.unl.edu_2022_09_21\diplog1.jpg</t>
  </si>
  <si>
    <t>Z:\nemtode\general\website_mirrors\nematode.unl.edu_2022_09_21\diplog4.jpg</t>
  </si>
  <si>
    <t>Z:\nemtode\general\website_mirrors\nematode.unl.edu_2022_09_21\diplog3.jpg</t>
  </si>
  <si>
    <t>Z:\nemtode\general\website_mirrors\nematode.unl.edu_2022_09_21\diplog7.jpg</t>
  </si>
  <si>
    <t>Z:\nemtode\general\website_mirrors\nematode.unl.edu_2022_09_21\diplerit2.jpg</t>
  </si>
  <si>
    <t>Z:\nemtode\general\website_mirrors\nematode.unl.edu_2022_09_21\diplog6.jpg</t>
  </si>
  <si>
    <t>Z:\nemtode\general\website_mirrors\nematode.unl.edu_2022_09_21\diplerit4.jpg</t>
  </si>
  <si>
    <t>Z:\nemtode\general\website_mirrors\nematode.unl.edu_2022_09_21\fictsp1.jpg</t>
  </si>
  <si>
    <t>Z:\nemtode\general\website_mirrors\nematode.unl.edu_2022_09_21\fictsp4.jpg</t>
  </si>
  <si>
    <t>Z:\nemtode\general\website_mirrors\nematode.unl.edu_2022_09_21\fictsp5.jpg</t>
  </si>
  <si>
    <t>Z:\nemtode\general\website_mirrors\nematode.unl.edu_2022_09_21\fictsp2.jpg</t>
  </si>
  <si>
    <t>Z:\nemtode\general\website_mirrors\nematode.unl.edu_2022_09_21\fictsp3.jpg</t>
  </si>
  <si>
    <t>Z:\nemtode\general\website_mirrors\nematode.unl.edu_2022_09_21\pristi44.jpg</t>
  </si>
  <si>
    <t>Z:\nemtode\general\website_mirrors\nematode.unl.edu_2022_09_21\pristi1.jpg</t>
  </si>
  <si>
    <t>Z:\nemtode\general\website_mirrors\nematode.unl.edu_2022_09_21\pristi10.jpg</t>
  </si>
  <si>
    <t>Z:\nemtode\general\website_mirrors\nematode.unl.edu_2022_09_21\pristi13.jpg</t>
  </si>
  <si>
    <t>Z:\nemtode\general\website_mirrors\nematode.unl.edu_2022_09_21\pristi14.jpg</t>
  </si>
  <si>
    <t>Z:\nemtode\general\website_mirrors\nematode.unl.edu_2022_09_21\pristi17.jpg</t>
  </si>
  <si>
    <t>Z:\nemtode\general\website_mirrors\nematode.unl.edu_2022_09_21\pristi19.jpg</t>
  </si>
  <si>
    <t>Z:\nemtode\general\website_mirrors\nematode.unl.edu_2022_09_21\pristi2.jpg</t>
  </si>
  <si>
    <t>Z:\nemtode\general\website_mirrors\nematode.unl.edu_2022_09_21\pristi20.jpg</t>
  </si>
  <si>
    <t>Z:\nemtode\general\website_mirrors\nematode.unl.edu_2022_09_21\pristi21.jpg</t>
  </si>
  <si>
    <t>Z:\nemtode\general\website_mirrors\nematode.unl.edu_2022_09_21\pristi22.jpg</t>
  </si>
  <si>
    <t>Z:\nemtode\general\website_mirrors\nematode.unl.edu_2022_09_21\pristi27.jpg</t>
  </si>
  <si>
    <t>Z:\nemtode\general\website_mirrors\nematode.unl.edu_2022_09_21\pristi29.jpg</t>
  </si>
  <si>
    <t>Z:\nemtode\general\website_mirrors\nematode.unl.edu_2022_09_21\pristi30.jpg</t>
  </si>
  <si>
    <t>Z:\nemtode\general\website_mirrors\nematode.unl.edu_2022_09_21\pristi32.jpg</t>
  </si>
  <si>
    <t>Z:\nemtode\general\website_mirrors\nematode.unl.edu_2022_09_21\pristi38.jpg</t>
  </si>
  <si>
    <t>Z:\nemtode\general\website_mirrors\nematode.unl.edu_2022_09_21\pristi39.jpg</t>
  </si>
  <si>
    <t>Z:\nemtode\general\website_mirrors\nematode.unl.edu_2022_09_21\pristi4.jpg</t>
  </si>
  <si>
    <t>Z:\nemtode\general\website_mirrors\nematode.unl.edu_2022_09_21\pristi41.jpg</t>
  </si>
  <si>
    <t>Z:\nemtode\general\website_mirrors\nematode.unl.edu_2022_09_21\pristi46.jpg</t>
  </si>
  <si>
    <t>Z:\nemtode\general\website_mirrors\nematode.unl.edu_2022_09_21\pristi51.jpg</t>
  </si>
  <si>
    <t>Z:\nemtode\general\website_mirrors\nematode.unl.edu_2022_09_21\pristi7.jpg</t>
  </si>
  <si>
    <t>Z:\nemtode\general\website_mirrors\nematode.unl.edu_2022_09_21\pristi9.jpg</t>
  </si>
  <si>
    <t>Z:\nemtode\general\website_mirrors\nematode.unl.edu_2022_09_21\pristi31.jpg</t>
  </si>
  <si>
    <t>Z:\nemtode\general\website_mirrors\nematode.unl.edu_2022_09_21\pristi47.jpg</t>
  </si>
  <si>
    <t>Z:\nemtode\general\website_mirrors\nematode.unl.edu_2022_09_21\pristi12.jpg</t>
  </si>
  <si>
    <t>Z:\nemtode\general\website_mirrors\nematode.unl.edu_2022_09_21\pristi16.jpg</t>
  </si>
  <si>
    <t>Z:\nemtode\general\website_mirrors\nematode.unl.edu_2022_09_21\pristi23.jpg</t>
  </si>
  <si>
    <t>Z:\nemtode\general\website_mirrors\nematode.unl.edu_2022_09_21\pristi26.jpg</t>
  </si>
  <si>
    <t>Z:\nemtode\general\website_mirrors\nematode.unl.edu_2022_09_21\pristi3.jpg</t>
  </si>
  <si>
    <t>Z:\nemtode\general\website_mirrors\nematode.unl.edu_2022_09_21\pristi35.jpg</t>
  </si>
  <si>
    <t>Z:\nemtode\general\website_mirrors\nematode.unl.edu_2022_09_21\pristi36.jpg</t>
  </si>
  <si>
    <t>Z:\nemtode\general\website_mirrors\nematode.unl.edu_2022_09_21\pristi43.jpg</t>
  </si>
  <si>
    <t>Z:\nemtode\general\website_mirrors\nematode.unl.edu_2022_09_21\pristi50.jpg</t>
  </si>
  <si>
    <t>Z:\nemtode\general\website_mirrors\nematode.unl.edu_2022_09_21\pristi6.jpg</t>
  </si>
  <si>
    <t>Z:\nemtode\general\website_mirrors\nematode.unl.edu_2022_09_21\pristi15.jpg</t>
  </si>
  <si>
    <t>Z:\nemtode\general\website_mirrors\nematode.unl.edu_2022_09_21\pristi49.jpg</t>
  </si>
  <si>
    <t>Z:\nemtode\general\website_mirrors\nematode.unl.edu_2022_09_21\pristi33.jpg</t>
  </si>
  <si>
    <t>Z:\nemtode\general\website_mirrors\nematode.unl.edu_2022_09_21\pristi48.jpg</t>
  </si>
  <si>
    <t>Z:\nemtode\general\website_mirrors\nematode.unl.edu_2022_09_21\pristi25.jpg</t>
  </si>
  <si>
    <t>Z:\nemtode\general\website_mirrors\nematode.unl.edu_2022_09_21\pristi11.jpg</t>
  </si>
  <si>
    <t>Z:\nemtode\general\website_mirrors\nematode.unl.edu_2022_09_21\pristi18.jpg</t>
  </si>
  <si>
    <t>Z:\nemtode\general\website_mirrors\nematode.unl.edu_2022_09_21\pristi24.jpg</t>
  </si>
  <si>
    <t>Z:\nemtode\general\website_mirrors\nematode.unl.edu_2022_09_21\pristi28.jpg</t>
  </si>
  <si>
    <t>Z:\nemtode\general\website_mirrors\nematode.unl.edu_2022_09_21\pristi34.jpg</t>
  </si>
  <si>
    <t>Z:\nemtode\general\website_mirrors\nematode.unl.edu_2022_09_21\pristi37.jpg</t>
  </si>
  <si>
    <t>Z:\nemtode\general\website_mirrors\nematode.unl.edu_2022_09_21\pristi40.jpg</t>
  </si>
  <si>
    <t>Z:\nemtode\general\website_mirrors\nematode.unl.edu_2022_09_21\pristi42.jpg</t>
  </si>
  <si>
    <t>Z:\nemtode\general\website_mirrors\nematode.unl.edu_2022_09_21\pristi45.jpg</t>
  </si>
  <si>
    <t>Z:\nemtode\general\website_mirrors\nematode.unl.edu_2022_09_21\pristi5.jpg</t>
  </si>
  <si>
    <t>Z:\nemtode\general\website_mirrors\nematode.unl.edu_2022_09_21\pristi8.jpg</t>
  </si>
  <si>
    <t>Z:\nemtode\general\website_mirrors\nematode.unl.edu_2022_09_21\pristpac7.jpg</t>
  </si>
  <si>
    <t>Z:\nemtode\general\website_mirrors\nematode.unl.edu_2022_09_21\pristpac4.jpg</t>
  </si>
  <si>
    <t>Z:\nemtode\general\website_mirrors\nematode.unl.edu_2022_09_21\pristpac10.jpg</t>
  </si>
  <si>
    <t>Z:\nemtode\general\website_mirrors\nematode.unl.edu_2022_09_21\pristpac11.jpg</t>
  </si>
  <si>
    <t>Z:\nemtode\general\website_mirrors\nematode.unl.edu_2022_09_21\pristpac5.jpg</t>
  </si>
  <si>
    <t>Z:\nemtode\general\website_mirrors\nematode.unl.edu_2022_09_21\pristpac2.jpg</t>
  </si>
  <si>
    <t>Z:\nemtode\general\website_mirrors\nematode.unl.edu_2022_09_21\pristpac9.jpg</t>
  </si>
  <si>
    <t>Z:\nemtode\general\website_mirrors\nematode.unl.edu_2022_09_21\pristpac1.jpg</t>
  </si>
  <si>
    <t>Z:\nemtode\general\website_mirrors\nematode.unl.edu_2022_09_21\pristpac15.jpg</t>
  </si>
  <si>
    <t>Z:\nemtode\general\website_mirrors\nematode.unl.edu_2022_09_21\pristpac6.jpg</t>
  </si>
  <si>
    <t>Z:\nemtode\general\website_mirrors\nematode.unl.edu_2022_09_21\pristpac8.jpg</t>
  </si>
  <si>
    <t>Z:\nemtode\general\website_mirrors\nematode.unl.edu_2022_09_21\pristpac12.jpg</t>
  </si>
  <si>
    <t>Z:\nemtode\general\website_mirrors\nematode.unl.edu_2022_09_21\pristpac13.jpg</t>
  </si>
  <si>
    <t>Z:\nemtode\general\website_mirrors\nematode.unl.edu_2022_09_21\pristpac3.jpg</t>
  </si>
  <si>
    <t>Z:\nemtode\general\website_mirrors\nematode.unl.edu_2022_09_21\pseudip1.jpg</t>
  </si>
  <si>
    <t>Z:\nemtode\general\website_mirrors\nematode.unl.edu_2022_09_21\pseudip3.jpg</t>
  </si>
  <si>
    <t>Z:\nemtode\general\website_mirrors\nematode.unl.edu_2022_09_21\pseudip2.jpg</t>
  </si>
  <si>
    <t>Z:\nemtode\general\website_mirrors\nematode.unl.edu_2022_09_21\pseudip4.jpg</t>
  </si>
  <si>
    <t>Z:\nemtode\general\website_mirrors\nematode.unl.edu_2022_09_21\tylop13.jpg</t>
  </si>
  <si>
    <t>Z:\nemtode\general\website_mirrors\nematode.unl.edu_2022_09_21\tylop16.jpg</t>
  </si>
  <si>
    <t>Z:\nemtode\general\website_mirrors\nematode.unl.edu_2022_09_21\tylop17.jpg</t>
  </si>
  <si>
    <t>Z:\nemtode\general\website_mirrors\nematode.unl.edu_2022_09_21\tylop2.jpg</t>
  </si>
  <si>
    <t>Z:\nemtode\general\website_mirrors\nematode.unl.edu_2022_09_21\tylop21.jpg</t>
  </si>
  <si>
    <t>Z:\nemtode\general\website_mirrors\nematode.unl.edu_2022_09_21\tylop25.jpg</t>
  </si>
  <si>
    <t>Z:\nemtode\general\website_mirrors\nematode.unl.edu_2022_09_21\tylop5.jpg</t>
  </si>
  <si>
    <t>Z:\nemtode\general\website_mirrors\nematode.unl.edu_2022_09_21\tylop6.jpg</t>
  </si>
  <si>
    <t>Z:\nemtode\general\website_mirrors\nematode.unl.edu_2022_09_21\tylop8.jpg</t>
  </si>
  <si>
    <t>Z:\nemtode\general\website_mirrors\nematode.unl.edu_2022_09_21\tylop12.jpg</t>
  </si>
  <si>
    <t>Z:\nemtode\general\website_mirrors\nematode.unl.edu_2022_09_21\tylop20.jpg</t>
  </si>
  <si>
    <t>Z:\nemtode\general\website_mirrors\nematode.unl.edu_2022_09_21\tylop4.jpg</t>
  </si>
  <si>
    <t>Z:\nemtode\general\website_mirrors\nematode.unl.edu_2022_09_21\tylop18.jpg</t>
  </si>
  <si>
    <t>Z:\nemtode\general\website_mirrors\nematode.unl.edu_2022_09_21\tylop24.jpg</t>
  </si>
  <si>
    <t>Z:\nemtode\general\website_mirrors\nematode.unl.edu_2022_09_21\tylop26.jpg</t>
  </si>
  <si>
    <t>Z:\nemtode\general\website_mirrors\nematode.unl.edu_2022_09_21\tylop27.jpg</t>
  </si>
  <si>
    <t>Z:\nemtode\general\website_mirrors\nematode.unl.edu_2022_09_21\tylop9.jpg</t>
  </si>
  <si>
    <t>Z:\nemtode\general\website_mirrors\nematode.unl.edu_2022_09_21\tylop11.jpg</t>
  </si>
  <si>
    <t>Z:\nemtode\general\website_mirrors\nematode.unl.edu_2022_09_21\tylop1.jpg</t>
  </si>
  <si>
    <t>Z:\nemtode\general\website_mirrors\nematode.unl.edu_2022_09_21\tylop14.jpg</t>
  </si>
  <si>
    <t>Z:\nemtode\general\website_mirrors\nematode.unl.edu_2022_09_21\tylop15.jpg</t>
  </si>
  <si>
    <t>Z:\nemtode\general\website_mirrors\nematode.unl.edu_2022_09_21\tylop22.jpg</t>
  </si>
  <si>
    <t>Z:\nemtode\general\website_mirrors\nematode.unl.edu_2022_09_21\tylop29.jpg</t>
  </si>
  <si>
    <t>Z:\nemtode\general\website_mirrors\nematode.unl.edu_2022_09_21\tylop7.jpg</t>
  </si>
  <si>
    <t>Z:\nemtode\general\website_mirrors\nematode.unl.edu_2022_09_21\tylop28.jpg</t>
  </si>
  <si>
    <t>Z:\nemtode\general\website_mirrors\nematode.unl.edu_2022_09_21\tylop19.jpg</t>
  </si>
  <si>
    <t>Z:\nemtode\general\website_mirrors\nematode.unl.edu_2022_09_21\tylop3.jpg</t>
  </si>
  <si>
    <t>Z:\nemtode\general\website_mirrors\nematode.unl.edu_2022_09_21\tylop30.jpg</t>
  </si>
  <si>
    <t>Z:\nemtode\general\website_mirrors\nematode.unl.edu_2022_09_21\tylop31.jpg</t>
  </si>
  <si>
    <t>Z:\nemtode\general\website_mirrors\nematode.unl.edu_2022_09_21\tylop10.jpg</t>
  </si>
  <si>
    <t>Z:\nemtode\general\website_mirrors\nematode.unl.edu_2022_09_21\tylop23.jpg</t>
  </si>
  <si>
    <t>Z:\nemtode\general\website_mirrors\nematode.unl.edu_2022_09_21\blong3.jpg</t>
  </si>
  <si>
    <t>Z:\nemtode\general\website_mirrors\nematode.unl.edu_2022_09_21\belons1.jpg</t>
  </si>
  <si>
    <t>Z:\nemtode\general\website_mirrors\nematode.unl.edu_2022_09_21\blong1.jpg</t>
  </si>
  <si>
    <t>Z:\nemtode\general\website_mirrors\nematode.unl.edu_2022_09_21\belons2.jpg</t>
  </si>
  <si>
    <t>Z:\nemtode\general\website_mirrors\nematode.unl.edu_2022_09_21\dolichet1.jpg</t>
  </si>
  <si>
    <t>Z:\nemtode\general\website_mirrors\nematode.unl.edu_2022_09_21\geoce2.jpg</t>
  </si>
  <si>
    <t>Z:\nemtode\general\website_mirrors\nematode.unl.edu_2022_09_21\geoce4.jpg</t>
  </si>
  <si>
    <t>Z:\nemtode\general\website_mirrors\nematode.unl.edu_2022_09_21\geoce1.jpg</t>
  </si>
  <si>
    <t>Z:\nemtode\general\website_mirrors\nematode.unl.edu_2022_09_21\geoce3.jpg</t>
  </si>
  <si>
    <t>Z:\nemtode\general\website_mirrors\nematode.unl.edu_2022_09_21\geoce5.jpg</t>
  </si>
  <si>
    <t>Z:\nemtode\general\website_mirrors\nematode.unl.edu_2022_09_21\garctic1.jpg</t>
  </si>
  <si>
    <t>Z:\nemtode\general\website_mirrors\nematode.unl.edu_2022_09_21\garctic2.jpg</t>
  </si>
  <si>
    <t>Z:\nemtode\general\website_mirrors\nematode.unl.edu_2022_09_21\garctic3.jpg</t>
  </si>
  <si>
    <t>Z:\nemtode\general\website_mirrors\nematode.unl.edu_2022_09_21\glongus1.jpg</t>
  </si>
  <si>
    <t>Z:\nemtode\general\website_mirrors\nematode.unl.edu_2022_09_21\glongus2.jpg</t>
  </si>
  <si>
    <t>Z:\nemtode\general\website_mirrors\nematode.unl.edu_2022_09_21\geocenten2.jpg</t>
  </si>
  <si>
    <t>Z:\nemtode\general\website_mirrors\nematode.unl.edu_2022_09_21\geoten2.jpg</t>
  </si>
  <si>
    <t>Z:\nemtode\general\website_mirrors\nematode.unl.edu_2022_09_21\geoten5.jpg</t>
  </si>
  <si>
    <t>Z:\nemtode\general\website_mirrors\nematode.unl.edu_2022_09_21\geocenten1.jpg</t>
  </si>
  <si>
    <t>Z:\nemtode\general\website_mirrors\nematode.unl.edu_2022_09_21\geoten1.jpg</t>
  </si>
  <si>
    <t>Z:\nemtode\general\website_mirrors\nematode.unl.edu_2022_09_21\geoten4.jpg</t>
  </si>
  <si>
    <t>Z:\nemtode\general\website_mirrors\nematode.unl.edu_2022_09_21\geoten7.jpg</t>
  </si>
  <si>
    <t>Z:\nemtode\general\website_mirrors\nematode.unl.edu_2022_09_21\geoten8.jpg</t>
  </si>
  <si>
    <t>Z:\nemtode\general\website_mirrors\nematode.unl.edu_2022_09_21\geoten6.jpg</t>
  </si>
  <si>
    <t>Z:\nemtode\general\website_mirrors\nematode.unl.edu_2022_09_21\geocenten3.jpg</t>
  </si>
  <si>
    <t>Z:\nemtode\general\website_mirrors\nematode.unl.edu_2022_09_21\geoten3.jpg</t>
  </si>
  <si>
    <t>Z:\nemtode\general\website_mirrors\nematode.unl.edu_2022_09_21\merbus3.jpg</t>
  </si>
  <si>
    <t>Z:\nemtode\general\website_mirrors\nematode.unl.edu_2022_09_21\merbus1.jpg</t>
  </si>
  <si>
    <t>Z:\nemtode\general\website_mirrors\nematode.unl.edu_2022_09_21\merbus2.jpg</t>
  </si>
  <si>
    <t>Z:\nemtode\general\website_mirrors\nematode.unl.edu_2022_09_21\maffin3.jpg</t>
  </si>
  <si>
    <t>Z:\nemtode\general\website_mirrors\nematode.unl.edu_2022_09_21\meralp2.jpg</t>
  </si>
  <si>
    <t>Z:\nemtode\general\website_mirrors\nematode.unl.edu_2022_09_21\meralp5.jpg</t>
  </si>
  <si>
    <t>Z:\nemtode\general\website_mirrors\nematode.unl.edu_2022_09_21\maffin4.jpg</t>
  </si>
  <si>
    <t>Z:\nemtode\general\website_mirrors\nematode.unl.edu_2022_09_21\meralp1.jpg</t>
  </si>
  <si>
    <t>Z:\nemtode\general\website_mirrors\nematode.unl.edu_2022_09_21\meralp4.jpg</t>
  </si>
  <si>
    <t>Z:\nemtode\general\website_mirrors\nematode.unl.edu_2022_09_21\maffin2.jpg</t>
  </si>
  <si>
    <t>Z:\nemtode\general\website_mirrors\nematode.unl.edu_2022_09_21\meralp8.jpg</t>
  </si>
  <si>
    <t>Z:\nemtode\general\website_mirrors\nematode.unl.edu_2022_09_21\maffin1.jpg</t>
  </si>
  <si>
    <t>Z:\nemtode\general\website_mirrors\nematode.unl.edu_2022_09_21\meralp3.jpg</t>
  </si>
  <si>
    <t>Z:\nemtode\general\website_mirrors\nematode.unl.edu_2022_09_21\meralp7.jpg</t>
  </si>
  <si>
    <t>Z:\nemtode\general\website_mirrors\nematode.unl.edu_2022_09_21\meralp9.jpg</t>
  </si>
  <si>
    <t>Z:\nemtode\general\website_mirrors\nematode.unl.edu_2022_09_21\meralp6.jpg</t>
  </si>
  <si>
    <t>Z:\nemtode\general\website_mirrors\nematode.unl.edu_2022_09_21\malpin1.jpg</t>
  </si>
  <si>
    <t>Z:\nemtode\general\website_mirrors\nematode.unl.edu_2022_09_21\monic3.jpg</t>
  </si>
  <si>
    <t>Z:\nemtode\general\website_mirrors\nematode.unl.edu_2022_09_21\monic2.jpg</t>
  </si>
  <si>
    <t>Z:\nemtode\general\website_mirrors\nematode.unl.edu_2022_09_21\monic1.jpg</t>
  </si>
  <si>
    <t>Z:\nemtode\general\website_mirrors\nematode.unl.edu_2022_09_21\merling2.jpg</t>
  </si>
  <si>
    <t>Z:\nemtode\general\website_mirrors\nematode.unl.edu_2022_09_21\mergra1.jpg</t>
  </si>
  <si>
    <t>Z:\nemtode\general\website_mirrors\nematode.unl.edu_2022_09_21\merling3.jpg</t>
  </si>
  <si>
    <t>Z:\nemtode\general\website_mirrors\nematode.unl.edu_2022_09_21\merling1.jpg</t>
  </si>
  <si>
    <t>Z:\nemtode\general\website_mirrors\nematode.unl.edu_2022_09_21\merling4.jpg</t>
  </si>
  <si>
    <t>Z:\nemtode\general\website_mirrors\nematode.unl.edu_2022_09_21\merling6.jpg</t>
  </si>
  <si>
    <t>Z:\nemtode\general\website_mirrors\nematode.unl.edu_2022_09_21\merling7.jpg</t>
  </si>
  <si>
    <t>Z:\nemtode\general\website_mirrors\nematode.unl.edu_2022_09_21\merling5.jpg</t>
  </si>
  <si>
    <t>Z:\nemtode\general\website_mirrors\nematode.unl.edu_2022_09_21\mineat1.jpg</t>
  </si>
  <si>
    <t>Z:\nemtode\general\website_mirrors\nematode.unl.edu_2022_09_21\mineat2.jpg</t>
  </si>
  <si>
    <t>Z:\nemtode\general\website_mirrors\nematode.unl.edu_2022_09_21\mineat3.jpg</t>
  </si>
  <si>
    <t>Z:\nemtode\general\website_mirrors\nematode.unl.edu_2022_09_21\mermac1.jpg</t>
  </si>
  <si>
    <t>Z:\nemtode\general\website_mirrors\nematode.unl.edu_2022_09_21\nagle2.jpg</t>
  </si>
  <si>
    <t>Z:\nemtode\general\website_mirrors\nematode.unl.edu_2022_09_21\nagle5.jpg</t>
  </si>
  <si>
    <t>Z:\nemtode\general\website_mirrors\nematode.unl.edu_2022_09_21\nagle1.jpg</t>
  </si>
  <si>
    <t>Z:\nemtode\general\website_mirrors\nematode.unl.edu_2022_09_21\nagle4.jpg</t>
  </si>
  <si>
    <t>Z:\nemtode\general\website_mirrors\nematode.unl.edu_2022_09_21\nagle3.jpg</t>
  </si>
  <si>
    <t>Z:\nemtode\general\website_mirrors\nematode.unl.edu_2022_09_21\patrop5.jpg</t>
  </si>
  <si>
    <t>Z:\nemtode\general\website_mirrors\nematode.unl.edu_2022_09_21\patrop11.jpg</t>
  </si>
  <si>
    <t>Z:\nemtode\general\website_mirrors\nematode.unl.edu_2022_09_21\patrop16.jpg</t>
  </si>
  <si>
    <t>Z:\nemtode\general\website_mirrors\nematode.unl.edu_2022_09_21\patrop18.jpg</t>
  </si>
  <si>
    <t>Z:\nemtode\general\website_mirrors\nematode.unl.edu_2022_09_21\patrop19.jpg</t>
  </si>
  <si>
    <t>Z:\nemtode\general\website_mirrors\nematode.unl.edu_2022_09_21\patrop22.jpg</t>
  </si>
  <si>
    <t>Z:\nemtode\general\website_mirrors\nematode.unl.edu_2022_09_21\patrop24.jpg</t>
  </si>
  <si>
    <t>Z:\nemtode\general\website_mirrors\nematode.unl.edu_2022_09_21\patrop28.jpg</t>
  </si>
  <si>
    <t>Z:\nemtode\general\website_mirrors\nematode.unl.edu_2022_09_21\patrop4.jpg</t>
  </si>
  <si>
    <t>Z:\nemtode\general\website_mirrors\nematode.unl.edu_2022_09_21\patrop17.jpg</t>
  </si>
  <si>
    <t>Z:\nemtode\general\website_mirrors\nematode.unl.edu_2022_09_21\patrop12.jpg</t>
  </si>
  <si>
    <t>Z:\nemtode\general\website_mirrors\nematode.unl.edu_2022_09_21\patrop21.jpg</t>
  </si>
  <si>
    <t>Z:\nemtode\general\website_mirrors\nematode.unl.edu_2022_09_21\patrop8.jpg</t>
  </si>
  <si>
    <t>Z:\nemtode\general\website_mirrors\nematode.unl.edu_2022_09_21\patrop2.jpg</t>
  </si>
  <si>
    <t>Z:\nemtode\general\website_mirrors\nematode.unl.edu_2022_09_21\patrop15.jpg</t>
  </si>
  <si>
    <t>Z:\nemtode\general\website_mirrors\nematode.unl.edu_2022_09_21\patrop26.jpg</t>
  </si>
  <si>
    <t>Z:\nemtode\general\website_mirrors\nematode.unl.edu_2022_09_21\patrop29.jpg</t>
  </si>
  <si>
    <t>Z:\nemtode\general\website_mirrors\nematode.unl.edu_2022_09_21\patrop6.jpg</t>
  </si>
  <si>
    <t>Z:\nemtode\general\website_mirrors\nematode.unl.edu_2022_09_21\patrop7.jpg</t>
  </si>
  <si>
    <t>Z:\nemtode\general\website_mirrors\nematode.unl.edu_2022_09_21\patrop9.jpg</t>
  </si>
  <si>
    <t>Z:\nemtode\general\website_mirrors\nematode.unl.edu_2022_09_21\patrop1.jpg</t>
  </si>
  <si>
    <t>Z:\nemtode\general\website_mirrors\nematode.unl.edu_2022_09_21\patrop3.jpg</t>
  </si>
  <si>
    <t>Z:\nemtode\general\website_mirrors\nematode.unl.edu_2022_09_21\patrop10.jpg</t>
  </si>
  <si>
    <t>Z:\nemtode\general\website_mirrors\nematode.unl.edu_2022_09_21\patrop13.jpg</t>
  </si>
  <si>
    <t>Z:\nemtode\general\website_mirrors\nematode.unl.edu_2022_09_21\patrop23.jpg</t>
  </si>
  <si>
    <t>Z:\nemtode\general\website_mirrors\nematode.unl.edu_2022_09_21\patrop27.jpg</t>
  </si>
  <si>
    <t>Z:\nemtode\general\website_mirrors\nematode.unl.edu_2022_09_21\patrop30.jpg</t>
  </si>
  <si>
    <t>Z:\nemtode\general\website_mirrors\nematode.unl.edu_2022_09_21\patrop14.jpg</t>
  </si>
  <si>
    <t>Z:\nemtode\general\website_mirrors\nematode.unl.edu_2022_09_21\patrop20.jpg</t>
  </si>
  <si>
    <t>Z:\nemtode\general\website_mirrors\nematode.unl.edu_2022_09_21\patrop25.jpg</t>
  </si>
  <si>
    <t>Z:\nemtode\general\website_mirrors\nematode.unl.edu_2022_09_21\patrop31.jpg</t>
  </si>
  <si>
    <t>Z:\nemtode\general\website_mirrors\nematode.unl.edu_2022_09_21\quinicut1.jpg</t>
  </si>
  <si>
    <t>Z:\nemtode\general\website_mirrors\nematode.unl.edu_2022_09_21\quinicut11.jpg</t>
  </si>
  <si>
    <t>Z:\nemtode\general\website_mirrors\nematode.unl.edu_2022_09_21\quinicut7.jpg</t>
  </si>
  <si>
    <t>Z:\nemtode\general\website_mirrors\nematode.unl.edu_2022_09_21\quina10.jpg</t>
  </si>
  <si>
    <t>Z:\nemtode\general\website_mirrors\nematode.unl.edu_2022_09_21\quina12.jpg</t>
  </si>
  <si>
    <t>Z:\nemtode\general\website_mirrors\nematode.unl.edu_2022_09_21\quina14.jpg</t>
  </si>
  <si>
    <t>Z:\nemtode\general\website_mirrors\nematode.unl.edu_2022_09_21\quina18.jpg</t>
  </si>
  <si>
    <t>Z:\nemtode\general\website_mirrors\nematode.unl.edu_2022_09_21\quina2.jpg</t>
  </si>
  <si>
    <t>Z:\nemtode\general\website_mirrors\nematode.unl.edu_2022_09_21\quina5.jpg</t>
  </si>
  <si>
    <t>Z:\nemtode\general\website_mirrors\nematode.unl.edu_2022_09_21\quinicut10.jpg</t>
  </si>
  <si>
    <t>Z:\nemtode\general\website_mirrors\nematode.unl.edu_2022_09_21\quinicut14.jpg</t>
  </si>
  <si>
    <t>Z:\nemtode\general\website_mirrors\nematode.unl.edu_2022_09_21\quinicut18.jpg</t>
  </si>
  <si>
    <t>Z:\nemtode\general\website_mirrors\nematode.unl.edu_2022_09_21\quinicut4.jpg</t>
  </si>
  <si>
    <t>Z:\nemtode\general\website_mirrors\nematode.unl.edu_2022_09_21\quina1.jpg</t>
  </si>
  <si>
    <t>Z:\nemtode\general\website_mirrors\nematode.unl.edu_2022_09_21\quina8.jpg</t>
  </si>
  <si>
    <t>Z:\nemtode\general\website_mirrors\nematode.unl.edu_2022_09_21\quina13.jpg</t>
  </si>
  <si>
    <t>Z:\nemtode\general\website_mirrors\nematode.unl.edu_2022_09_21\quina17.jpg</t>
  </si>
  <si>
    <t>Z:\nemtode\general\website_mirrors\nematode.unl.edu_2022_09_21\quina6.jpg</t>
  </si>
  <si>
    <t>Z:\nemtode\general\website_mirrors\nematode.unl.edu_2022_09_21\quinicut13.jpg</t>
  </si>
  <si>
    <t>Z:\nemtode\general\website_mirrors\nematode.unl.edu_2022_09_21\quinicut17.jpg</t>
  </si>
  <si>
    <t>Z:\nemtode\general\website_mirrors\nematode.unl.edu_2022_09_21\quinicut5.jpg</t>
  </si>
  <si>
    <t>Z:\nemtode\general\website_mirrors\nematode.unl.edu_2022_09_21\quinicut12.jpg</t>
  </si>
  <si>
    <t>Z:\nemtode\general\website_mirrors\nematode.unl.edu_2022_09_21\quinicut6.jpg</t>
  </si>
  <si>
    <t>Z:\nemtode\general\website_mirrors\nematode.unl.edu_2022_09_21\quina11.jpg</t>
  </si>
  <si>
    <t>Z:\nemtode\general\website_mirrors\nematode.unl.edu_2022_09_21\quina15.jpg</t>
  </si>
  <si>
    <t>Z:\nemtode\general\website_mirrors\nematode.unl.edu_2022_09_21\quina4.jpg</t>
  </si>
  <si>
    <t>Z:\nemtode\general\website_mirrors\nematode.unl.edu_2022_09_21\quina7.jpg</t>
  </si>
  <si>
    <t>Z:\nemtode\general\website_mirrors\nematode.unl.edu_2022_09_21\quina9.jpg</t>
  </si>
  <si>
    <t>Z:\nemtode\general\website_mirrors\nematode.unl.edu_2022_09_21\quinicut16.jpg</t>
  </si>
  <si>
    <t>Z:\nemtode\general\website_mirrors\nematode.unl.edu_2022_09_21\quinicut3.jpg</t>
  </si>
  <si>
    <t>Z:\nemtode\general\website_mirrors\nematode.unl.edu_2022_09_21\quinicut9.jpg</t>
  </si>
  <si>
    <t>Z:\nemtode\general\website_mirrors\nematode.unl.edu_2022_09_21\quina16.jpg</t>
  </si>
  <si>
    <t>Z:\nemtode\general\website_mirrors\nematode.unl.edu_2022_09_21\quina3.jpg</t>
  </si>
  <si>
    <t>Z:\nemtode\general\website_mirrors\nematode.unl.edu_2022_09_21\quinicut15.jpg</t>
  </si>
  <si>
    <t>Z:\nemtode\general\website_mirrors\nematode.unl.edu_2022_09_21\quinicut2.jpg</t>
  </si>
  <si>
    <t>Z:\nemtode\general\website_mirrors\nematode.unl.edu_2022_09_21\quinicut8.jpg</t>
  </si>
  <si>
    <t>Z:\nemtode\general\website_mirrors\nematode.unl.edu_2022_09_21\tromi2.jpg</t>
  </si>
  <si>
    <t>Z:\nemtode\general\website_mirrors\nematode.unl.edu_2022_09_21\tropmin3.jpg</t>
  </si>
  <si>
    <t>Z:\nemtode\general\website_mirrors\nematode.unl.edu_2022_09_21\tromi4.jpg</t>
  </si>
  <si>
    <t>Z:\nemtode\general\website_mirrors\nematode.unl.edu_2022_09_21\tropmin6.jpg</t>
  </si>
  <si>
    <t>Z:\nemtode\general\website_mirrors\nematode.unl.edu_2022_09_21\tropmin7.jpg</t>
  </si>
  <si>
    <t>Z:\nemtode\general\website_mirrors\nematode.unl.edu_2022_09_21\tromi1.jpg</t>
  </si>
  <si>
    <t>Z:\nemtode\general\website_mirrors\nematode.unl.edu_2022_09_21\tropmin1.jpg</t>
  </si>
  <si>
    <t>Z:\nemtode\general\website_mirrors\nematode.unl.edu_2022_09_21\tromi6.jpg</t>
  </si>
  <si>
    <t>Z:\nemtode\general\website_mirrors\nematode.unl.edu_2022_09_21\tropmin8.jpg</t>
  </si>
  <si>
    <t>Z:\nemtode\general\website_mirrors\nematode.unl.edu_2022_09_21\tropmin10.jpg</t>
  </si>
  <si>
    <t>Z:\nemtode\general\website_mirrors\nematode.unl.edu_2022_09_21\tropmin2.jpg</t>
  </si>
  <si>
    <t>Z:\nemtode\general\website_mirrors\nematode.unl.edu_2022_09_21\tropmin13.jpg</t>
  </si>
  <si>
    <t>Z:\nemtode\general\website_mirrors\nematode.unl.edu_2022_09_21\tromi5.jpg</t>
  </si>
  <si>
    <t>Z:\nemtode\general\website_mirrors\nematode.unl.edu_2022_09_21\tromi3.jpg</t>
  </si>
  <si>
    <t>Z:\nemtode\general\website_mirrors\nematode.unl.edu_2022_09_21\tromi7.jpg</t>
  </si>
  <si>
    <t>Z:\nemtode\general\website_mirrors\nematode.unl.edu_2022_09_21\tropmin11.jpg</t>
  </si>
  <si>
    <t>Z:\nemtode\general\website_mirrors\nematode.unl.edu_2022_09_21\tropmin12.jpg</t>
  </si>
  <si>
    <t>Z:\nemtode\general\website_mirrors\nematode.unl.edu_2022_09_21\tropmin5.jpg</t>
  </si>
  <si>
    <t>Z:\nemtode\general\website_mirrors\nematode.unl.edu_2022_09_21\tropmin4.jpg</t>
  </si>
  <si>
    <t>Z:\nemtode\general\website_mirrors\nematode.unl.edu_2022_09_21\tropmin9.jpg</t>
  </si>
  <si>
    <t>Z:\nemtode\general\website_mirrors\nematode.unl.edu_2022_09_21\tynchmax2.jpg</t>
  </si>
  <si>
    <t>Z:\nemtode\general\website_mirrors\nematode.unl.edu_2022_09_21\tynchmax5.jpg</t>
  </si>
  <si>
    <t>Z:\nemtode\general\website_mirrors\nematode.unl.edu_2022_09_21\tymax13.jpg</t>
  </si>
  <si>
    <t>Z:\nemtode\general\website_mirrors\nematode.unl.edu_2022_09_21\tymax16.jpg</t>
  </si>
  <si>
    <t>Z:\nemtode\general\website_mirrors\nematode.unl.edu_2022_09_21\tymax2.jpg</t>
  </si>
  <si>
    <t>Z:\nemtode\general\website_mirrors\nematode.unl.edu_2022_09_21\tymax5.jpg</t>
  </si>
  <si>
    <t>Z:\nemtode\general\website_mirrors\nematode.unl.edu_2022_09_21\tymax8.jpg</t>
  </si>
  <si>
    <t>Z:\nemtode\general\website_mirrors\nematode.unl.edu_2022_09_21\tynchmax8.jpg</t>
  </si>
  <si>
    <t>Z:\nemtode\general\website_mirrors\nematode.unl.edu_2022_09_21\tymax12.jpg</t>
  </si>
  <si>
    <t>Z:\nemtode\general\website_mirrors\nematode.unl.edu_2022_09_21\tymax17.jpg</t>
  </si>
  <si>
    <t>Z:\nemtode\general\website_mirrors\nematode.unl.edu_2022_09_21\tymax3.jpg</t>
  </si>
  <si>
    <t>Z:\nemtode\general\website_mirrors\nematode.unl.edu_2022_09_21\tymax6.jpg</t>
  </si>
  <si>
    <t>Z:\nemtode\general\website_mirrors\nematode.unl.edu_2022_09_21\tymax7.jpg</t>
  </si>
  <si>
    <t>Z:\nemtode\general\website_mirrors\nematode.unl.edu_2022_09_21\tynchmax9.jpg</t>
  </si>
  <si>
    <t>Z:\nemtode\general\website_mirrors\nematode.unl.edu_2022_09_21\tymax1.jpg</t>
  </si>
  <si>
    <t>Z:\nemtode\general\website_mirrors\nematode.unl.edu_2022_09_21\tymax10.jpg</t>
  </si>
  <si>
    <t>Z:\nemtode\general\website_mirrors\nematode.unl.edu_2022_09_21\tymax15.jpg</t>
  </si>
  <si>
    <t>Z:\nemtode\general\website_mirrors\nematode.unl.edu_2022_09_21\tymax4.jpg</t>
  </si>
  <si>
    <t>Z:\nemtode\general\website_mirrors\nematode.unl.edu_2022_09_21\tymax9.jpg</t>
  </si>
  <si>
    <t>Z:\nemtode\general\website_mirrors\nematode.unl.edu_2022_09_21\tymaxcmp.jpg</t>
  </si>
  <si>
    <t>Z:\nemtode\general\website_mirrors\nematode.unl.edu_2022_09_21\tynchmax1.jpg</t>
  </si>
  <si>
    <t>Z:\nemtode\general\website_mirrors\nematode.unl.edu_2022_09_21\tynchmax4.jpg</t>
  </si>
  <si>
    <t>Z:\nemtode\general\website_mirrors\nematode.unl.edu_2022_09_21\tymax14.jpg</t>
  </si>
  <si>
    <t>Z:\nemtode\general\website_mirrors\nematode.unl.edu_2022_09_21\tynchmax3.jpg</t>
  </si>
  <si>
    <t>Z:\nemtode\general\website_mirrors\nematode.unl.edu_2022_09_21\thynchy8.jpg</t>
  </si>
  <si>
    <t>Z:\nemtode\general\website_mirrors\nematode.unl.edu_2022_09_21\thynchy2.jpg</t>
  </si>
  <si>
    <t>Z:\nemtode\general\website_mirrors\nematode.unl.edu_2022_09_21\thynchy7.jpg</t>
  </si>
  <si>
    <t>Z:\nemtode\general\website_mirrors\nematode.unl.edu_2022_09_21\thynchy1.jpg</t>
  </si>
  <si>
    <t>Z:\nemtode\general\website_mirrors\nematode.unl.edu_2022_09_21\thynchy3.jpg</t>
  </si>
  <si>
    <t>Z:\nemtode\general\website_mirrors\nematode.unl.edu_2022_09_21\thynchy4.jpg</t>
  </si>
  <si>
    <t>Z:\nemtode\general\website_mirrors\nematode.unl.edu_2022_09_21\thynchy9.jpg</t>
  </si>
  <si>
    <t>Z:\nemtode\general\website_mirrors\nematode.unl.edu_2022_09_21\thynchy10.jpg</t>
  </si>
  <si>
    <t>Z:\nemtode\general\website_mirrors\nematode.unl.edu_2022_09_21\thynchy11.jpg</t>
  </si>
  <si>
    <t>Z:\nemtode\general\website_mirrors\nematode.unl.edu_2022_09_21\thynchy6.jpg</t>
  </si>
  <si>
    <t>Z:\nemtode\general\website_mirrors\nematode.unl.edu_2022_09_21\thynchy5.jpg</t>
  </si>
  <si>
    <t>Z:\nemtode\general\website_mirrors\nematode.unl.edu_2022_09_21\thord2.jpg</t>
  </si>
  <si>
    <t>Z:\nemtode\general\website_mirrors\nematode.unl.edu_2022_09_21\thord5.jpg</t>
  </si>
  <si>
    <t>Z:\nemtode\general\website_mirrors\nematode.unl.edu_2022_09_21\thord1.jpg</t>
  </si>
  <si>
    <t>Z:\nemtode\general\website_mirrors\nematode.unl.edu_2022_09_21\thord7.jpg</t>
  </si>
  <si>
    <t>Z:\nemtode\general\website_mirrors\nematode.unl.edu_2022_09_21\thord6.jpg</t>
  </si>
  <si>
    <t>Z:\nemtode\general\website_mirrors\nematode.unl.edu_2022_09_21\thord4.jpg</t>
  </si>
  <si>
    <t>Z:\nemtode\general\website_mirrors\nematode.unl.edu_2022_09_21\thord8.jpg</t>
  </si>
  <si>
    <t>Z:\nemtode\general\website_mirrors\nematode.unl.edu_2022_09_21\thord3.jpg</t>
  </si>
  <si>
    <t>Z:\nemtode\general\website_mirrors\nematode.unl.edu_2022_09_21\tynud6.jpg</t>
  </si>
  <si>
    <t>Z:\nemtode\general\website_mirrors\nematode.unl.edu_2022_09_21\tynuds7.jpg</t>
  </si>
  <si>
    <t>Z:\nemtode\general\website_mirrors\nematode.unl.edu_2022_09_21\tnudlip.jpg</t>
  </si>
  <si>
    <t>Z:\nemtode\general\website_mirrors\nematode.unl.edu_2022_09_21\tylstyl.jpg</t>
  </si>
  <si>
    <t>Z:\nemtode\general\website_mirrors\nematode.unl.edu_2022_09_21\tynud1.jpg</t>
  </si>
  <si>
    <t>Z:\nemtode\general\website_mirrors\nematode.unl.edu_2022_09_21\tynuds2.jpg</t>
  </si>
  <si>
    <t>Z:\nemtode\general\website_mirrors\nematode.unl.edu_2022_09_21\tynuds3.jpg</t>
  </si>
  <si>
    <t>Z:\nemtode\general\website_mirrors\nematode.unl.edu_2022_09_21\tynud4.jpg</t>
  </si>
  <si>
    <t>Z:\nemtode\general\website_mirrors\nematode.unl.edu_2022_09_21\tynuds1.jpg</t>
  </si>
  <si>
    <t>Z:\nemtode\general\website_mirrors\nematode.unl.edu_2022_09_21\tynuds6.jpg</t>
  </si>
  <si>
    <t>Z:\nemtode\general\website_mirrors\nematode.unl.edu_2022_09_21\tynuds4.jpg</t>
  </si>
  <si>
    <t>Z:\nemtode\general\website_mirrors\nematode.unl.edu_2022_09_21\tynuds5.jpg</t>
  </si>
  <si>
    <t>Z:\nemtode\general\website_mirrors\nematode.unl.edu_2022_09_21\tynud3.jpg</t>
  </si>
  <si>
    <t>Z:\nemtode\general\website_mirrors\nematode.unl.edu_2022_09_21\tynudcmp.jpg</t>
  </si>
  <si>
    <t>Z:\nemtode\general\website_mirrors\nematode.unl.edu_2022_09_21\tynud2.jpg</t>
  </si>
  <si>
    <t>Z:\nemtode\general\website_mirrors\nematode.unl.edu_2022_09_21\tynuds8.jpg</t>
  </si>
  <si>
    <t>Z:\nemtode\general\website_mirrors\nematode.unl.edu_2022_09_21\tylerob12.jpg</t>
  </si>
  <si>
    <t>Z:\nemtode\general\website_mirrors\nematode.unl.edu_2022_09_21\tylerob15.jpg</t>
  </si>
  <si>
    <t>Z:\nemtode\general\website_mirrors\nematode.unl.edu_2022_09_21\tylerob2.jpg</t>
  </si>
  <si>
    <t>Z:\nemtode\general\website_mirrors\nematode.unl.edu_2022_09_21\tylerob5.jpg</t>
  </si>
  <si>
    <t>Z:\nemtode\general\website_mirrors\nematode.unl.edu_2022_09_21\tylerob8.jpg</t>
  </si>
  <si>
    <t>Z:\nemtode\general\website_mirrors\nematode.unl.edu_2022_09_21\tylerob1.jpg</t>
  </si>
  <si>
    <t>Z:\nemtode\general\website_mirrors\nematode.unl.edu_2022_09_21\tylerob11.jpg</t>
  </si>
  <si>
    <t>Z:\nemtode\general\website_mirrors\nematode.unl.edu_2022_09_21\tylerob4.jpg</t>
  </si>
  <si>
    <t>Z:\nemtode\general\website_mirrors\nematode.unl.edu_2022_09_21\tylerob6.jpg</t>
  </si>
  <si>
    <t>Z:\nemtode\general\website_mirrors\nematode.unl.edu_2022_09_21\tylerob9.jpg</t>
  </si>
  <si>
    <t>Z:\nemtode\general\website_mirrors\nematode.unl.edu_2022_09_21\tylerob10.jpg</t>
  </si>
  <si>
    <t>Z:\nemtode\general\website_mirrors\nematode.unl.edu_2022_09_21\tylerob14.jpg</t>
  </si>
  <si>
    <t>Z:\nemtode\general\website_mirrors\nematode.unl.edu_2022_09_21\tylerob16.jpg</t>
  </si>
  <si>
    <t>Z:\nemtode\general\website_mirrors\nematode.unl.edu_2022_09_21\tylerob3.jpg</t>
  </si>
  <si>
    <t>Z:\nemtode\general\website_mirrors\nematode.unl.edu_2022_09_21\tylerob7.jpg</t>
  </si>
  <si>
    <t>Z:\nemtode\general\website_mirrors\nematode.unl.edu_2022_09_21\tylerob13.jpg</t>
  </si>
  <si>
    <t>Z:\nemtode\general\website_mirrors\nematode.unl.edu_2022_09_21\hemicagw3.jpg</t>
  </si>
  <si>
    <t>Z:\nemtode\general\website_mirrors\nematode.unl.edu_2022_09_21\hemicalsp3.jpg</t>
  </si>
  <si>
    <t>Z:\nemtode\general\website_mirrors\nematode.unl.edu_2022_09_21\hemicalsp5.jpg</t>
  </si>
  <si>
    <t>Z:\nemtode\general\website_mirrors\nematode.unl.edu_2022_09_21\hemicalsp7.jpg</t>
  </si>
  <si>
    <t>Z:\nemtode\general\website_mirrors\nematode.unl.edu_2022_09_21\hemicagw1.jpg</t>
  </si>
  <si>
    <t>Z:\nemtode\general\website_mirrors\nematode.unl.edu_2022_09_21\hemicagw2.jpg</t>
  </si>
  <si>
    <t>Z:\nemtode\general\website_mirrors\nematode.unl.edu_2022_09_21\hemicalsp1.jpg</t>
  </si>
  <si>
    <t>Z:\nemtode\general\website_mirrors\nematode.unl.edu_2022_09_21\hemicalsp2.jpg</t>
  </si>
  <si>
    <t>Z:\nemtode\general\website_mirrors\nematode.unl.edu_2022_09_21\hemicalsp6.jpg</t>
  </si>
  <si>
    <t>Z:\nemtode\general\website_mirrors\nematode.unl.edu_2022_09_21\hemicagw5.jpg</t>
  </si>
  <si>
    <t>Z:\nemtode\general\website_mirrors\nematode.unl.edu_2022_09_21\hemicalsp4.jpg</t>
  </si>
  <si>
    <t>Z:\nemtode\general\website_mirrors\nematode.unl.edu_2022_09_21\hemicagw4.jpg</t>
  </si>
  <si>
    <t>Z:\nemtode\general\website_mirrors\nematode.unl.edu_2022_09_21\hemicalsp8.jpg</t>
  </si>
  <si>
    <t>Z:\nemtode\general\website_mirrors\nematode.unl.edu_2022_09_21\hemicalsp9.jpg</t>
  </si>
  <si>
    <t>Z:\nemtode\general\website_mirrors\nematode.unl.edu_2022_09_21\hemicyclc11.jpg</t>
  </si>
  <si>
    <t>Z:\nemtode\general\website_mirrors\nematode.unl.edu_2022_09_21\hemicyclc2.jpg</t>
  </si>
  <si>
    <t>Z:\nemtode\general\website_mirrors\nematode.unl.edu_2022_09_21\hemicycolo10.jpg</t>
  </si>
  <si>
    <t>Z:\nemtode\general\website_mirrors\nematode.unl.edu_2022_09_21\hemicycolo12.jpg</t>
  </si>
  <si>
    <t>Z:\nemtode\general\website_mirrors\nematode.unl.edu_2022_09_21\hemicyno3.jpg</t>
  </si>
  <si>
    <t>Z:\nemtode\general\website_mirrors\nematode.unl.edu_2022_09_21\hemicys2.jpg</t>
  </si>
  <si>
    <t>Z:\nemtode\general\website_mirrors\nematode.unl.edu_2022_09_21\hemicys6.jpg</t>
  </si>
  <si>
    <t>Z:\nemtode\general\website_mirrors\nematode.unl.edu_2022_09_21\hemicyss1.jpg</t>
  </si>
  <si>
    <t>Z:\nemtode\general\website_mirrors\nematode.unl.edu_2022_09_21\hemigs3.jpg</t>
  </si>
  <si>
    <t>Z:\nemtode\general\website_mirrors\nematode.unl.edu_2022_09_21\hemigs6.jpg</t>
  </si>
  <si>
    <t>Z:\nemtode\general\website_mirrors\nematode.unl.edu_2022_09_21\hemijd1.jpg</t>
  </si>
  <si>
    <t>Z:\nemtode\general\website_mirrors\nematode.unl.edu_2022_09_21\hemijd4.jpg</t>
  </si>
  <si>
    <t>Z:\nemtode\general\website_mirrors\nematode.unl.edu_2022_09_21\hemitenn15.jpg</t>
  </si>
  <si>
    <t>Z:\nemtode\general\website_mirrors\nematode.unl.edu_2022_09_21\hemitenn5.jpg</t>
  </si>
  <si>
    <t>Z:\nemtode\general\website_mirrors\nematode.unl.edu_2022_09_21\hemitenn7.jpg</t>
  </si>
  <si>
    <t>Z:\nemtode\general\website_mirrors\nematode.unl.edu_2022_09_21\hemicycolo13.jpg</t>
  </si>
  <si>
    <t>Z:\nemtode\general\website_mirrors\nematode.unl.edu_2022_09_21\hemicyclc4.jpg</t>
  </si>
  <si>
    <t>Z:\nemtode\general\website_mirrors\nematode.unl.edu_2022_09_21\hemicyclc8.jpg</t>
  </si>
  <si>
    <t>Z:\nemtode\general\website_mirrors\nematode.unl.edu_2022_09_21\hemicycolo2.jpg</t>
  </si>
  <si>
    <t>Z:\nemtode\general\website_mirrors\nematode.unl.edu_2022_09_21\hemicycolo6.jpg</t>
  </si>
  <si>
    <t>Z:\nemtode\general\website_mirrors\nematode.unl.edu_2022_09_21\hemicyf1.jpg</t>
  </si>
  <si>
    <t>Z:\nemtode\general\website_mirrors\nematode.unl.edu_2022_09_21\hemicyf4.jpg</t>
  </si>
  <si>
    <t>Z:\nemtode\general\website_mirrors\nematode.unl.edu_2022_09_21\hemicyno2.jpg</t>
  </si>
  <si>
    <t>Z:\nemtode\general\website_mirrors\nematode.unl.edu_2022_09_21\hemicyno4.jpg</t>
  </si>
  <si>
    <t>Z:\nemtode\general\website_mirrors\nematode.unl.edu_2022_09_21\hemidoo2.jpg</t>
  </si>
  <si>
    <t>Z:\nemtode\general\website_mirrors\nematode.unl.edu_2022_09_21\hemigs9.jpg</t>
  </si>
  <si>
    <t>Z:\nemtode\general\website_mirrors\nematode.unl.edu_2022_09_21\hemijd10.jpg</t>
  </si>
  <si>
    <t>Z:\nemtode\general\website_mirrors\nematode.unl.edu_2022_09_21\hemijd15.jpg</t>
  </si>
  <si>
    <t>Z:\nemtode\general\website_mirrors\nematode.unl.edu_2022_09_21\hemijd7.jpg</t>
  </si>
  <si>
    <t>Z:\nemtode\general\website_mirrors\nematode.unl.edu_2022_09_21\hemitenn10.jpg</t>
  </si>
  <si>
    <t>Z:\nemtode\general\website_mirrors\nematode.unl.edu_2022_09_21\hemitenn13.jpg</t>
  </si>
  <si>
    <t>Z:\nemtode\general\website_mirrors\nematode.unl.edu_2022_09_21\hemitenn2.jpg</t>
  </si>
  <si>
    <t>Z:\nemtode\general\website_mirrors\nematode.unl.edu_2022_09_21\hemicyclc1.jpg</t>
  </si>
  <si>
    <t>Z:\nemtode\general\website_mirrors\nematode.unl.edu_2022_09_21\hemicyclc10.jpg</t>
  </si>
  <si>
    <t>Z:\nemtode\general\website_mirrors\nematode.unl.edu_2022_09_21\hemicyclc6.jpg</t>
  </si>
  <si>
    <t>Z:\nemtode\general\website_mirrors\nematode.unl.edu_2022_09_21\hemicycolo1.jpg</t>
  </si>
  <si>
    <t>Z:\nemtode\general\website_mirrors\nematode.unl.edu_2022_09_21\hemicycolo5.jpg</t>
  </si>
  <si>
    <t>Z:\nemtode\general\website_mirrors\nematode.unl.edu_2022_09_21\hemicyno1.jpg</t>
  </si>
  <si>
    <t>Z:\nemtode\general\website_mirrors\nematode.unl.edu_2022_09_21\hemicys1.jpg</t>
  </si>
  <si>
    <t>Z:\nemtode\general\website_mirrors\nematode.unl.edu_2022_09_21\hemicys5.jpg</t>
  </si>
  <si>
    <t>Z:\nemtode\general\website_mirrors\nematode.unl.edu_2022_09_21\hemidoo1.jpg</t>
  </si>
  <si>
    <t>Z:\nemtode\general\website_mirrors\nematode.unl.edu_2022_09_21\hemigs1.jpg</t>
  </si>
  <si>
    <t>Z:\nemtode\general\website_mirrors\nematode.unl.edu_2022_09_21\hemigs2.jpg</t>
  </si>
  <si>
    <t>Z:\nemtode\general\website_mirrors\nematode.unl.edu_2022_09_21\hemigs8.jpg</t>
  </si>
  <si>
    <t>Z:\nemtode\general\website_mirrors\nematode.unl.edu_2022_09_21\hemijd13.jpg</t>
  </si>
  <si>
    <t>Z:\nemtode\general\website_mirrors\nematode.unl.edu_2022_09_21\hemijd14.jpg</t>
  </si>
  <si>
    <t>Z:\nemtode\general\website_mirrors\nematode.unl.edu_2022_09_21\hemitenn1.jpg</t>
  </si>
  <si>
    <t>Z:\nemtode\general\website_mirrors\nematode.unl.edu_2022_09_21\hemitenn12.jpg</t>
  </si>
  <si>
    <t>Z:\nemtode\general\website_mirrors\nematode.unl.edu_2022_09_21\hemitenn9.jpg</t>
  </si>
  <si>
    <t>Z:\nemtode\general\website_mirrors\nematode.unl.edu_2022_09_21\hemigs11.jpg</t>
  </si>
  <si>
    <t>Z:\nemtode\general\website_mirrors\nematode.unl.edu_2022_09_21\hemijd12.jpg</t>
  </si>
  <si>
    <t>Z:\nemtode\general\website_mirrors\nematode.unl.edu_2022_09_21\hemijd3.jpg</t>
  </si>
  <si>
    <t>Z:\nemtode\general\website_mirrors\nematode.unl.edu_2022_09_21\hemijd6.jpg</t>
  </si>
  <si>
    <t>Z:\nemtode\general\website_mirrors\nematode.unl.edu_2022_09_21\hemicyf3.jpg</t>
  </si>
  <si>
    <t>Z:\nemtode\general\website_mirrors\nematode.unl.edu_2022_09_21\hemicycolo4.jpg</t>
  </si>
  <si>
    <t>Z:\nemtode\general\website_mirrors\nematode.unl.edu_2022_09_21\hemijd8.jpg</t>
  </si>
  <si>
    <t>Z:\nemtode\general\website_mirrors\nematode.unl.edu_2022_09_21\hemicycolo15.jpg</t>
  </si>
  <si>
    <t>Z:\nemtode\general\website_mirrors\nematode.unl.edu_2022_09_21\hemicycolo7.jpg</t>
  </si>
  <si>
    <t>Z:\nemtode\general\website_mirrors\nematode.unl.edu_2022_09_21\hemicys4.jpg</t>
  </si>
  <si>
    <t>Z:\nemtode\general\website_mirrors\nematode.unl.edu_2022_09_21\hemicys8.jpg</t>
  </si>
  <si>
    <t>Z:\nemtode\general\website_mirrors\nematode.unl.edu_2022_09_21\hemidoo4.jpg</t>
  </si>
  <si>
    <t>Z:\nemtode\general\website_mirrors\nematode.unl.edu_2022_09_21\hemigs7.jpg</t>
  </si>
  <si>
    <t>Z:\nemtode\general\website_mirrors\nematode.unl.edu_2022_09_21\hemicyclc12.jpg</t>
  </si>
  <si>
    <t>Z:\nemtode\general\website_mirrors\nematode.unl.edu_2022_09_21\hemicyclc5.jpg</t>
  </si>
  <si>
    <t>Z:\nemtode\general\website_mirrors\nematode.unl.edu_2022_09_21\hemicycolo11.jpg</t>
  </si>
  <si>
    <t>Z:\nemtode\general\website_mirrors\nematode.unl.edu_2022_09_21\hemicys3.jpg</t>
  </si>
  <si>
    <t>Z:\nemtode\general\website_mirrors\nematode.unl.edu_2022_09_21\hemicyss2.jpg</t>
  </si>
  <si>
    <t>Z:\nemtode\general\website_mirrors\nematode.unl.edu_2022_09_21\hemitenn6.jpg</t>
  </si>
  <si>
    <t>Z:\nemtode\general\website_mirrors\nematode.unl.edu_2022_09_21\hemicyclc3.jpg</t>
  </si>
  <si>
    <t>Z:\nemtode\general\website_mirrors\nematode.unl.edu_2022_09_21\hemicyclc7.jpg</t>
  </si>
  <si>
    <t>Z:\nemtode\general\website_mirrors\nematode.unl.edu_2022_09_21\hemitenn3.jpg</t>
  </si>
  <si>
    <t>Z:\nemtode\general\website_mirrors\nematode.unl.edu_2022_09_21\hemigs5.jpg</t>
  </si>
  <si>
    <t>Z:\nemtode\general\website_mirrors\nematode.unl.edu_2022_09_21\hemicyclc9.jpg</t>
  </si>
  <si>
    <t>Z:\nemtode\general\website_mirrors\nematode.unl.edu_2022_09_21\hemicyco4.jpg</t>
  </si>
  <si>
    <t>Z:\nemtode\general\website_mirrors\nematode.unl.edu_2022_09_21\hemicycolo14.jpg</t>
  </si>
  <si>
    <t>Z:\nemtode\general\website_mirrors\nematode.unl.edu_2022_09_21\hemicycolo3.jpg</t>
  </si>
  <si>
    <t>Z:\nemtode\general\website_mirrors\nematode.unl.edu_2022_09_21\hemicycolo9.jpg</t>
  </si>
  <si>
    <t>Z:\nemtode\general\website_mirrors\nematode.unl.edu_2022_09_21\hemicyf2.jpg</t>
  </si>
  <si>
    <t>Z:\nemtode\general\website_mirrors\nematode.unl.edu_2022_09_21\hemicyf5.jpg</t>
  </si>
  <si>
    <t>Z:\nemtode\general\website_mirrors\nematode.unl.edu_2022_09_21\hemicyf6.jpg</t>
  </si>
  <si>
    <t>Z:\nemtode\general\website_mirrors\nematode.unl.edu_2022_09_21\hemicys7.jpg</t>
  </si>
  <si>
    <t>Z:\nemtode\general\website_mirrors\nematode.unl.edu_2022_09_21\hemidoo3.jpg</t>
  </si>
  <si>
    <t>Z:\nemtode\general\website_mirrors\nematode.unl.edu_2022_09_21\hemigs10.jpg</t>
  </si>
  <si>
    <t>Z:\nemtode\general\website_mirrors\nematode.unl.edu_2022_09_21\hemigs4.jpg</t>
  </si>
  <si>
    <t>Z:\nemtode\general\website_mirrors\nematode.unl.edu_2022_09_21\hemijd11.jpg</t>
  </si>
  <si>
    <t>Z:\nemtode\general\website_mirrors\nematode.unl.edu_2022_09_21\hemijd16.jpg</t>
  </si>
  <si>
    <t>Z:\nemtode\general\website_mirrors\nematode.unl.edu_2022_09_21\hemijd2.jpg</t>
  </si>
  <si>
    <t>Z:\nemtode\general\website_mirrors\nematode.unl.edu_2022_09_21\hemijd5.jpg</t>
  </si>
  <si>
    <t>Z:\nemtode\general\website_mirrors\nematode.unl.edu_2022_09_21\hemijd9.jpg</t>
  </si>
  <si>
    <t>Z:\nemtode\general\website_mirrors\nematode.unl.edu_2022_09_21\hemitenn11.jpg</t>
  </si>
  <si>
    <t>Z:\nemtode\general\website_mirrors\nematode.unl.edu_2022_09_21\hemitenn14.jpg</t>
  </si>
  <si>
    <t>Z:\nemtode\general\website_mirrors\nematode.unl.edu_2022_09_21\hemitenn4.jpg</t>
  </si>
  <si>
    <t>Z:\nemtode\general\website_mirrors\nematode.unl.edu_2022_09_21\hemitenn8.jpg</t>
  </si>
  <si>
    <t>Z:\nemtode\general\website_mirrors\nematode.unl.edu_2022_09_21\hemicycolo16.jpg</t>
  </si>
  <si>
    <t>Z:\nemtode\general\website_mirrors\nematode.unl.edu_2022_09_21\hemicycolo17.jpg</t>
  </si>
  <si>
    <t>Z:\nemtode\general\website_mirrors\nematode.unl.edu_2022_09_21\hemicycolo8.jpg</t>
  </si>
  <si>
    <t>Z:\nemtode\general\website_mirrors\nematode.unl.edu_2022_09_21\hemicygrabb3.jpg</t>
  </si>
  <si>
    <t>Z:\nemtode\general\website_mirrors\nematode.unl.edu_2022_09_21\hemicygrabb4.jpg</t>
  </si>
  <si>
    <t>Z:\nemtode\general\website_mirrors\nematode.unl.edu_2022_09_21\hemicygne2.jpg</t>
  </si>
  <si>
    <t>Z:\nemtode\general\website_mirrors\nematode.unl.edu_2022_09_21\hemicygrabb8.jpg</t>
  </si>
  <si>
    <t>Z:\nemtode\general\website_mirrors\nematode.unl.edu_2022_09_21\hemicygrabb10.jpg</t>
  </si>
  <si>
    <t>Z:\nemtode\general\website_mirrors\nematode.unl.edu_2022_09_21\hemicygne1.jpg</t>
  </si>
  <si>
    <t>Z:\nemtode\general\website_mirrors\nematode.unl.edu_2022_09_21\hemicygrabb1.jpg</t>
  </si>
  <si>
    <t>Z:\nemtode\general\website_mirrors\nematode.unl.edu_2022_09_21\hemicygrabb2.jpg</t>
  </si>
  <si>
    <t>Z:\nemtode\general\website_mirrors\nematode.unl.edu_2022_09_21\hemicygrabb7.jpg</t>
  </si>
  <si>
    <t>Z:\nemtode\general\website_mirrors\nematode.unl.edu_2022_09_21\hemicygracidrw.jpg</t>
  </si>
  <si>
    <t>Z:\nemtode\general\website_mirrors\nematode.unl.edu_2022_09_21\hemicygrabb6.jpg</t>
  </si>
  <si>
    <t>Z:\nemtode\general\website_mirrors\nematode.unl.edu_2022_09_21\hemicygrabb5.jpg</t>
  </si>
  <si>
    <t>Z:\nemtode\general\website_mirrors\nematode.unl.edu_2022_09_21\hemicygne3.jpg</t>
  </si>
  <si>
    <t>Z:\nemtode\general\website_mirrors\nematode.unl.edu_2022_09_21\hemicygrabb9.jpg</t>
  </si>
  <si>
    <t>Z:\nemtode\general\website_mirrors\nematode.unl.edu_2022_09_21\hemicygrc11.jpg</t>
  </si>
  <si>
    <t>Z:\nemtode\general\website_mirrors\nematode.unl.edu_2022_09_21\hemicygrc2.jpg</t>
  </si>
  <si>
    <t>Z:\nemtode\general\website_mirrors\nematode.unl.edu_2022_09_21\hemicygrc8.jpg</t>
  </si>
  <si>
    <t>Z:\nemtode\general\website_mirrors\nematode.unl.edu_2022_09_21\hemicygrc4.jpg</t>
  </si>
  <si>
    <t>Z:\nemtode\general\website_mirrors\nematode.unl.edu_2022_09_21\hemicygrc1.jpg</t>
  </si>
  <si>
    <t>Z:\nemtode\general\website_mirrors\nematode.unl.edu_2022_09_21\hemicygrc10.jpg</t>
  </si>
  <si>
    <t>Z:\nemtode\general\website_mirrors\nematode.unl.edu_2022_09_21\hemicygrc6.jpg</t>
  </si>
  <si>
    <t>Z:\nemtode\general\website_mirrors\nematode.unl.edu_2022_09_21\hemicygrc7.jpg</t>
  </si>
  <si>
    <t>Z:\nemtode\general\website_mirrors\nematode.unl.edu_2022_09_21\hemitydrw.jpg</t>
  </si>
  <si>
    <t>Z:\nemtode\general\website_mirrors\nematode.unl.edu_2022_09_21\hemicygrc12.jpg</t>
  </si>
  <si>
    <t>Z:\nemtode\general\website_mirrors\nematode.unl.edu_2022_09_21\hemicygrc3.jpg</t>
  </si>
  <si>
    <t>Z:\nemtode\general\website_mirrors\nematode.unl.edu_2022_09_21\hemicygrc9.jpg</t>
  </si>
  <si>
    <t>Z:\nemtode\general\website_mirrors\nematode.unl.edu_2022_09_21\hemicygrc5.jpg</t>
  </si>
  <si>
    <t>Z:\nemtode\general\website_mirrors\nematode.unl.edu_2022_09_21\cactesh4.jpg</t>
  </si>
  <si>
    <t>Z:\nemtode\general\website_mirrors\nematode.unl.edu_2022_09_21\cactesh1.jpg</t>
  </si>
  <si>
    <t>Z:\nemtode\general\website_mirrors\nematode.unl.edu_2022_09_21\cactode15.jpg</t>
  </si>
  <si>
    <t>Z:\nemtode\general\website_mirrors\nematode.unl.edu_2022_09_21\cactowyo4.jpg</t>
  </si>
  <si>
    <t>Z:\nemtode\general\website_mirrors\nematode.unl.edu_2022_09_21\cactode11.jpg</t>
  </si>
  <si>
    <t>Z:\nemtode\general\website_mirrors\nematode.unl.edu_2022_09_21\cactode13.jpg</t>
  </si>
  <si>
    <t>Z:\nemtode\general\website_mirrors\nematode.unl.edu_2022_09_21\cactode18.jpg</t>
  </si>
  <si>
    <t>Z:\nemtode\general\website_mirrors\nematode.unl.edu_2022_09_21\cactode2.jpg</t>
  </si>
  <si>
    <t>Z:\nemtode\general\website_mirrors\nematode.unl.edu_2022_09_21\cactode20.jpg</t>
  </si>
  <si>
    <t>Z:\nemtode\general\website_mirrors\nematode.unl.edu_2022_09_21\cactode21.jpg</t>
  </si>
  <si>
    <t>Z:\nemtode\general\website_mirrors\nematode.unl.edu_2022_09_21\cactode23.jpg</t>
  </si>
  <si>
    <t>Z:\nemtode\general\website_mirrors\nematode.unl.edu_2022_09_21\cactode3.jpg</t>
  </si>
  <si>
    <t>Z:\nemtode\general\website_mirrors\nematode.unl.edu_2022_09_21\cactode7.jpg</t>
  </si>
  <si>
    <t>Z:\nemtode\general\website_mirrors\nematode.unl.edu_2022_09_21\cactode9.jpg</t>
  </si>
  <si>
    <t>Z:\nemtode\general\website_mirrors\nematode.unl.edu_2022_09_21\cactowyo2.jpg</t>
  </si>
  <si>
    <t>Z:\nemtode\general\website_mirrors\nematode.unl.edu_2022_09_21\cactesh3.jpg</t>
  </si>
  <si>
    <t>Z:\nemtode\general\website_mirrors\nematode.unl.edu_2022_09_21\cactode1.jpg</t>
  </si>
  <si>
    <t>Z:\nemtode\general\website_mirrors\nematode.unl.edu_2022_09_21\cactode17.jpg</t>
  </si>
  <si>
    <t>Z:\nemtode\general\website_mirrors\nematode.unl.edu_2022_09_21\cactode6.jpg</t>
  </si>
  <si>
    <t>Z:\nemtode\general\website_mirrors\nematode.unl.edu_2022_09_21\cactowyo1.jpg</t>
  </si>
  <si>
    <t>Z:\nemtode\general\website_mirrors\nematode.unl.edu_2022_09_21\cactode5.jpg</t>
  </si>
  <si>
    <t>Z:\nemtode\general\website_mirrors\nematode.unl.edu_2022_09_21\cactesh5.jpg</t>
  </si>
  <si>
    <t>Z:\nemtode\general\website_mirrors\nematode.unl.edu_2022_09_21\cactesh2.jpg</t>
  </si>
  <si>
    <t>Z:\nemtode\general\website_mirrors\nematode.unl.edu_2022_09_21\cactesh6.jpg</t>
  </si>
  <si>
    <t>Z:\nemtode\general\website_mirrors\nematode.unl.edu_2022_09_21\cactesh7.jpg</t>
  </si>
  <si>
    <t>Z:\nemtode\general\website_mirrors\nematode.unl.edu_2022_09_21\cactesh8.jpg</t>
  </si>
  <si>
    <t>Z:\nemtode\general\website_mirrors\nematode.unl.edu_2022_09_21\cactode10.jpg</t>
  </si>
  <si>
    <t>Z:\nemtode\general\website_mirrors\nematode.unl.edu_2022_09_21\cactode12.jpg</t>
  </si>
  <si>
    <t>Z:\nemtode\general\website_mirrors\nematode.unl.edu_2022_09_21\cactode14.jpg</t>
  </si>
  <si>
    <t>Z:\nemtode\general\website_mirrors\nematode.unl.edu_2022_09_21\cactode16.jpg</t>
  </si>
  <si>
    <t>Z:\nemtode\general\website_mirrors\nematode.unl.edu_2022_09_21\cactode19.jpg</t>
  </si>
  <si>
    <t>Z:\nemtode\general\website_mirrors\nematode.unl.edu_2022_09_21\cactode22.jpg</t>
  </si>
  <si>
    <t>Z:\nemtode\general\website_mirrors\nematode.unl.edu_2022_09_21\cactode24.jpg</t>
  </si>
  <si>
    <t>Z:\nemtode\general\website_mirrors\nematode.unl.edu_2022_09_21\cactode4.jpg</t>
  </si>
  <si>
    <t>Z:\nemtode\general\website_mirrors\nematode.unl.edu_2022_09_21\cactode8.jpg</t>
  </si>
  <si>
    <t>Z:\nemtode\general\website_mirrors\nematode.unl.edu_2022_09_21\cactowyo3.jpg</t>
  </si>
  <si>
    <t>Z:\nemtode\general\website_mirrors\nematode.unl.edu_2022_09_21\cactowyo5.jpg</t>
  </si>
  <si>
    <t>Z:\nemtode\general\website_mirrors\nematode.unl.edu_2022_09_21\cactowyo6.jpg</t>
  </si>
  <si>
    <t>Z:\nemtode\general\website_mirrors\nematode.unl.edu_2022_09_21\cactowe1.jpg</t>
  </si>
  <si>
    <t>Z:\nemtode\general\website_mirrors\nematode.unl.edu_2022_09_21\cactow1.jpg</t>
  </si>
  <si>
    <t>Z:\nemtode\general\website_mirrors\nematode.unl.edu_2022_09_21\cactow2.jpg</t>
  </si>
  <si>
    <t>Z:\nemtode\general\website_mirrors\nematode.unl.edu_2022_09_21\cactow5.jpg</t>
  </si>
  <si>
    <t>Z:\nemtode\general\website_mirrors\nematode.unl.edu_2022_09_21\cactowe2.jpg</t>
  </si>
  <si>
    <t>Z:\nemtode\general\website_mirrors\nematode.unl.edu_2022_09_21\glopall11.jpg</t>
  </si>
  <si>
    <t>Z:\nemtode\general\website_mirrors\nematode.unl.edu_2022_09_21\glopall13.jpg</t>
  </si>
  <si>
    <t>Z:\nemtode\general\website_mirrors\nematode.unl.edu_2022_09_21\glopall9.jpg</t>
  </si>
  <si>
    <t>Z:\nemtode\general\website_mirrors\nematode.unl.edu_2022_09_21\glopall3.jpg</t>
  </si>
  <si>
    <t>Z:\nemtode\general\website_mirrors\nematode.unl.edu_2022_09_21\glopall1.jpg</t>
  </si>
  <si>
    <t>Z:\nemtode\general\website_mirrors\nematode.unl.edu_2022_09_21\glopall5.jpg</t>
  </si>
  <si>
    <t>Z:\nemtode\general\website_mirrors\nematode.unl.edu_2022_09_21\glopall6.jpg</t>
  </si>
  <si>
    <t>Z:\nemtode\general\website_mirrors\nematode.unl.edu_2022_09_21\glopall2.jpg</t>
  </si>
  <si>
    <t>Z:\nemtode\general\website_mirrors\nematode.unl.edu_2022_09_21\glopall8.jpg</t>
  </si>
  <si>
    <t>Z:\nemtode\general\website_mirrors\nematode.unl.edu_2022_09_21\glopall10.jpg</t>
  </si>
  <si>
    <t>Z:\nemtode\general\website_mirrors\nematode.unl.edu_2022_09_21\glopall12.jpg</t>
  </si>
  <si>
    <t>Z:\nemtode\general\website_mirrors\nematode.unl.edu_2022_09_21\glopall14.jpg</t>
  </si>
  <si>
    <t>Z:\nemtode\general\website_mirrors\nematode.unl.edu_2022_09_21\glopall4.jpg</t>
  </si>
  <si>
    <t>Z:\nemtode\general\website_mirrors\nematode.unl.edu_2022_09_21\glopall7.jpg</t>
  </si>
  <si>
    <t>Z:\nemtode\general\website_mirrors\nematode.unl.edu_2022_09_21\hetedel2.jpg</t>
  </si>
  <si>
    <t>Z:\nemtode\general\website_mirrors\nematode.unl.edu_2022_09_21\hetedel1.jpg</t>
  </si>
  <si>
    <t>Z:\nemtode\general\website_mirrors\nematode.unl.edu_2022_09_21\hetedel3.jpg</t>
  </si>
  <si>
    <t>Z:\nemtode\general\website_mirrors\nematode.unl.edu_2022_09_21\havenut2.jpg</t>
  </si>
  <si>
    <t>Z:\nemtode\general\website_mirrors\nematode.unl.edu_2022_09_21\hetav12.jpg</t>
  </si>
  <si>
    <t>Z:\nemtode\general\website_mirrors\nematode.unl.edu_2022_09_21\hetav16.jpg</t>
  </si>
  <si>
    <t>Z:\nemtode\general\website_mirrors\nematode.unl.edu_2022_09_21\hetav18.jpg</t>
  </si>
  <si>
    <t>Z:\nemtode\general\website_mirrors\nematode.unl.edu_2022_09_21\hetav20.jpg</t>
  </si>
  <si>
    <t>Z:\nemtode\general\website_mirrors\nematode.unl.edu_2022_09_21\hetav22.jpg</t>
  </si>
  <si>
    <t>Z:\nemtode\general\website_mirrors\nematode.unl.edu_2022_09_21\hetav4.jpg</t>
  </si>
  <si>
    <t>Z:\nemtode\general\website_mirrors\nematode.unl.edu_2022_09_21\hetav7.jpg</t>
  </si>
  <si>
    <t>Z:\nemtode\general\website_mirrors\nematode.unl.edu_2022_09_21\hetav9.jpg</t>
  </si>
  <si>
    <t>Z:\nemtode\general\website_mirrors\nematode.unl.edu_2022_09_21\hetemont3.jpg</t>
  </si>
  <si>
    <t>Z:\nemtode\general\website_mirrors\nematode.unl.edu_2022_09_21\havenut1.jpg</t>
  </si>
  <si>
    <t>Z:\nemtode\general\website_mirrors\nematode.unl.edu_2022_09_21\hetav1.jpg</t>
  </si>
  <si>
    <t>Z:\nemtode\general\website_mirrors\nematode.unl.edu_2022_09_21\hetav2.jpg</t>
  </si>
  <si>
    <t>Z:\nemtode\general\website_mirrors\nematode.unl.edu_2022_09_21\hetemont1.jpg</t>
  </si>
  <si>
    <t>Z:\nemtode\general\website_mirrors\nematode.unl.edu_2022_09_21\hetemont2.jpg</t>
  </si>
  <si>
    <t>Z:\nemtode\general\website_mirrors\nematode.unl.edu_2022_09_21\havenut3.jpg</t>
  </si>
  <si>
    <t>Z:\nemtode\general\website_mirrors\nematode.unl.edu_2022_09_21\havenut4.jpg</t>
  </si>
  <si>
    <t>Z:\nemtode\general\website_mirrors\nematode.unl.edu_2022_09_21\hetav10.jpg</t>
  </si>
  <si>
    <t>Z:\nemtode\general\website_mirrors\nematode.unl.edu_2022_09_21\hetav11.jpg</t>
  </si>
  <si>
    <t>Z:\nemtode\general\website_mirrors\nematode.unl.edu_2022_09_21\hetav14.jpg</t>
  </si>
  <si>
    <t>Z:\nemtode\general\website_mirrors\nematode.unl.edu_2022_09_21\hetav23.jpg</t>
  </si>
  <si>
    <t>Z:\nemtode\general\website_mirrors\nematode.unl.edu_2022_09_21\hetav24.jpg</t>
  </si>
  <si>
    <t>Z:\nemtode\general\website_mirrors\nematode.unl.edu_2022_09_21\havenut5.jpg</t>
  </si>
  <si>
    <t>Z:\nemtode\general\website_mirrors\nematode.unl.edu_2022_09_21\hetav13.jpg</t>
  </si>
  <si>
    <t>Z:\nemtode\general\website_mirrors\nematode.unl.edu_2022_09_21\hetav15.jpg</t>
  </si>
  <si>
    <t>Z:\nemtode\general\website_mirrors\nematode.unl.edu_2022_09_21\hetav17.jpg</t>
  </si>
  <si>
    <t>Z:\nemtode\general\website_mirrors\nematode.unl.edu_2022_09_21\hetav19.jpg</t>
  </si>
  <si>
    <t>Z:\nemtode\general\website_mirrors\nematode.unl.edu_2022_09_21\hetav21.jpg</t>
  </si>
  <si>
    <t>Z:\nemtode\general\website_mirrors\nematode.unl.edu_2022_09_21\hetav25.jpg</t>
  </si>
  <si>
    <t>Z:\nemtode\general\website_mirrors\nematode.unl.edu_2022_09_21\hetav5.jpg</t>
  </si>
  <si>
    <t>Z:\nemtode\general\website_mirrors\nematode.unl.edu_2022_09_21\hetav6.jpg</t>
  </si>
  <si>
    <t>Z:\nemtode\general\website_mirrors\nematode.unl.edu_2022_09_21\hetav8.jpg</t>
  </si>
  <si>
    <t>Z:\nemtode\general\website_mirrors\nematode.unl.edu_2022_09_21\hetemont4.jpg</t>
  </si>
  <si>
    <t>Z:\nemtode\general\website_mirrors\nematode.unl.edu_2022_09_21\hetav3.jpg</t>
  </si>
  <si>
    <t>Z:\nemtode\general\website_mirrors\nematode.unl.edu_2022_09_21\hegly1.jpg</t>
  </si>
  <si>
    <t>Z:\nemtode\general\website_mirrors\nematode.unl.edu_2022_09_21\hegly5.jpg</t>
  </si>
  <si>
    <t>Z:\nemtode\general\website_mirrors\nematode.unl.edu_2022_09_21\hegly6.jpg</t>
  </si>
  <si>
    <t>Z:\nemtode\general\website_mirrors\nematode.unl.edu_2022_09_21\hegly7.jpg</t>
  </si>
  <si>
    <t>Z:\nemtode\general\website_mirrors\nematode.unl.edu_2022_09_21\hegly8.jpg</t>
  </si>
  <si>
    <t>Z:\nemtode\general\website_mirrors\nematode.unl.edu_2022_09_21\hetegcmp.jpg</t>
  </si>
  <si>
    <t>Z:\nemtode\general\website_mirrors\nematode.unl.edu_2022_09_21\heteg13.jpg</t>
  </si>
  <si>
    <t>Z:\nemtode\general\website_mirrors\nematode.unl.edu_2022_09_21\heteg15.jpg</t>
  </si>
  <si>
    <t>Z:\nemtode\general\website_mirrors\nematode.unl.edu_2022_09_21\heteg17.jpg</t>
  </si>
  <si>
    <t>Z:\nemtode\general\website_mirrors\nematode.unl.edu_2022_09_21\heteg14.jpg</t>
  </si>
  <si>
    <t>Z:\nemtode\general\website_mirrors\nematode.unl.edu_2022_09_21\heteg19.jpg</t>
  </si>
  <si>
    <t>Z:\nemtode\general\website_mirrors\nematode.unl.edu_2022_09_21\heteg9.jpg</t>
  </si>
  <si>
    <t>Z:\nemtode\general\website_mirrors\nematode.unl.edu_2022_09_21\heteg3.jpg</t>
  </si>
  <si>
    <t>Z:\nemtode\general\website_mirrors\nematode.unl.edu_2022_09_21\heteg12.jpg</t>
  </si>
  <si>
    <t>Z:\nemtode\general\website_mirrors\nematode.unl.edu_2022_09_21\heteg16.jpg</t>
  </si>
  <si>
    <t>Z:\nemtode\general\website_mirrors\nematode.unl.edu_2022_09_21\heteg18.jpg</t>
  </si>
  <si>
    <t>Z:\nemtode\general\website_mirrors\nematode.unl.edu_2022_09_21\heteg2.jpg</t>
  </si>
  <si>
    <t>Z:\nemtode\general\website_mirrors\nematode.unl.edu_2022_09_21\heteg7.jpg</t>
  </si>
  <si>
    <t>Z:\nemtode\general\website_mirrors\nematode.unl.edu_2022_09_21\heteg8.jpg</t>
  </si>
  <si>
    <t>Z:\nemtode\general\website_mirrors\nematode.unl.edu_2022_09_21\heteg1.jpg</t>
  </si>
  <si>
    <t>Z:\nemtode\general\website_mirrors\nematode.unl.edu_2022_09_21\heteg4.jpg</t>
  </si>
  <si>
    <t>Z:\nemtode\general\website_mirrors\nematode.unl.edu_2022_09_21\heteg5.jpg</t>
  </si>
  <si>
    <t>Z:\nemtode\general\website_mirrors\nematode.unl.edu_2022_09_21\heteg6.jpg</t>
  </si>
  <si>
    <t>Z:\nemtode\general\website_mirrors\nematode.unl.edu_2022_09_21\heteri11.jpg</t>
  </si>
  <si>
    <t>Z:\nemtode\general\website_mirrors\nematode.unl.edu_2022_09_21\heteri5.jpg</t>
  </si>
  <si>
    <t>Z:\nemtode\general\website_mirrors\nematode.unl.edu_2022_09_21\heteri8.jpg</t>
  </si>
  <si>
    <t>Z:\nemtode\general\website_mirrors\nematode.unl.edu_2022_09_21\heteri10.jpg</t>
  </si>
  <si>
    <t>Z:\nemtode\general\website_mirrors\nematode.unl.edu_2022_09_21\heteri13.jpg</t>
  </si>
  <si>
    <t>Z:\nemtode\general\website_mirrors\nematode.unl.edu_2022_09_21\heteri2.jpg</t>
  </si>
  <si>
    <t>Z:\nemtode\general\website_mirrors\nematode.unl.edu_2022_09_21\heteri4.jpg</t>
  </si>
  <si>
    <t>Z:\nemtode\general\website_mirrors\nematode.unl.edu_2022_09_21\heteri7.jpg</t>
  </si>
  <si>
    <t>Z:\nemtode\general\website_mirrors\nematode.unl.edu_2022_09_21\heteri1.jpg</t>
  </si>
  <si>
    <t>Z:\nemtode\general\website_mirrors\nematode.unl.edu_2022_09_21\heteri6.jpg</t>
  </si>
  <si>
    <t>Z:\nemtode\general\website_mirrors\nematode.unl.edu_2022_09_21\heteri12.jpg</t>
  </si>
  <si>
    <t>Z:\nemtode\general\website_mirrors\nematode.unl.edu_2022_09_21\heteri3.jpg</t>
  </si>
  <si>
    <t>Z:\nemtode\general\website_mirrors\nematode.unl.edu_2022_09_21\heteri9.jpg</t>
  </si>
  <si>
    <t>Z:\nemtode\general\website_mirrors\nematode.unl.edu_2022_09_21\hetemed2.jpg</t>
  </si>
  <si>
    <t>Z:\nemtode\general\website_mirrors\nematode.unl.edu_2022_09_21\hetemed5.jpg</t>
  </si>
  <si>
    <t>Z:\nemtode\general\website_mirrors\nematode.unl.edu_2022_09_21\hetemed8.jpg</t>
  </si>
  <si>
    <t>Z:\nemtode\general\website_mirrors\nematode.unl.edu_2022_09_21\hetemed1.jpg</t>
  </si>
  <si>
    <t>Z:\nemtode\general\website_mirrors\nematode.unl.edu_2022_09_21\hetemed6.jpg</t>
  </si>
  <si>
    <t>Z:\nemtode\general\website_mirrors\nematode.unl.edu_2022_09_21\hetemed7.jpg</t>
  </si>
  <si>
    <t>Z:\nemtode\general\website_mirrors\nematode.unl.edu_2022_09_21\hetemed4.jpg</t>
  </si>
  <si>
    <t>Z:\nemtode\general\website_mirrors\nematode.unl.edu_2022_09_21\hetemed3.jpg</t>
  </si>
  <si>
    <t>Z:\nemtode\general\website_mirrors\nematode.unl.edu_2022_09_21\hetemed9.jpg</t>
  </si>
  <si>
    <t>Z:\nemtode\general\website_mirrors\nematode.unl.edu_2022_09_21\hetesch4.jpg</t>
  </si>
  <si>
    <t>Z:\nemtode\general\website_mirrors\nematode.unl.edu_2022_09_21\hetesch2.jpg</t>
  </si>
  <si>
    <t>Z:\nemtode\general\website_mirrors\nematode.unl.edu_2022_09_21\hetesch6.jpg</t>
  </si>
  <si>
    <t>Z:\nemtode\general\website_mirrors\nematode.unl.edu_2022_09_21\hetesch8.jpg</t>
  </si>
  <si>
    <t>Z:\nemtode\general\website_mirrors\nematode.unl.edu_2022_09_21\hetschaw2.jpg</t>
  </si>
  <si>
    <t>Z:\nemtode\general\website_mirrors\nematode.unl.edu_2022_09_21\hetschaw4.jpg</t>
  </si>
  <si>
    <t>Z:\nemtode\general\website_mirrors\nematode.unl.edu_2022_09_21\hetesch1.jpg</t>
  </si>
  <si>
    <t>Z:\nemtode\general\website_mirrors\nematode.unl.edu_2022_09_21\hetschaw1.jpg</t>
  </si>
  <si>
    <t>Z:\nemtode\general\website_mirrors\nematode.unl.edu_2022_09_21\hetesch5.jpg</t>
  </si>
  <si>
    <t>Z:\nemtode\general\website_mirrors\nematode.unl.edu_2022_09_21\hetesch3.jpg</t>
  </si>
  <si>
    <t>Z:\nemtode\general\website_mirrors\nematode.unl.edu_2022_09_21\hetesch7.jpg</t>
  </si>
  <si>
    <t>Z:\nemtode\general\website_mirrors\nematode.unl.edu_2022_09_21\hetschaw3.jpg</t>
  </si>
  <si>
    <t>Z:\nemtode\general\website_mirrors\nematode.unl.edu_2022_09_21\hetezea2.jpg</t>
  </si>
  <si>
    <t>Z:\nemtode\general\website_mirrors\nematode.unl.edu_2022_09_21\hetezea3.jpg</t>
  </si>
  <si>
    <t>Z:\nemtode\general\website_mirrors\nematode.unl.edu_2022_09_21\hetezea5.jpg</t>
  </si>
  <si>
    <t>Z:\nemtode\general\website_mirrors\nematode.unl.edu_2022_09_21\hetezea6.jpg</t>
  </si>
  <si>
    <t>Z:\nemtode\general\website_mirrors\nematode.unl.edu_2022_09_21\hetezea1.jpg</t>
  </si>
  <si>
    <t>Z:\nemtode\general\website_mirrors\nematode.unl.edu_2022_09_21\hezepak1.jpg</t>
  </si>
  <si>
    <t>Z:\nemtode\general\website_mirrors\nematode.unl.edu_2022_09_21\hezepak2.jpg</t>
  </si>
  <si>
    <t>Z:\nemtode\general\website_mirrors\nematode.unl.edu_2022_09_21\hezepak3.jpg</t>
  </si>
  <si>
    <t>Z:\nemtode\general\website_mirrors\nematode.unl.edu_2022_09_21\hetezea4.jpg</t>
  </si>
  <si>
    <t>Z:\nemtode\general\website_mirrors\nematode.unl.edu_2022_09_21\hetezea7.jpg</t>
  </si>
  <si>
    <t>Z:\nemtode\general\website_mirrors\nematode.unl.edu_2022_09_21\puncyst1.jpg</t>
  </si>
  <si>
    <t>Z:\nemtode\general\website_mirrors\nematode.unl.edu_2022_09_21\puncyst2.jpg</t>
  </si>
  <si>
    <t>Z:\nemtode\general\website_mirrors\nematode.unl.edu_2022_09_21\puncyst3.jpg</t>
  </si>
  <si>
    <t>Z:\nemtode\general\website_mirrors\nematode.unl.edu_2022_09_21\puncyst4.jpg</t>
  </si>
  <si>
    <t>Z:\nemtode\general\website_mirrors\nematode.unl.edu_2022_09_21\puncyst5.jpg</t>
  </si>
  <si>
    <t>Z:\nemtode\general\website_mirrors\nematode.unl.edu_2022_09_21\puncyst6.jpg</t>
  </si>
  <si>
    <t>Z:\nemtode\general\website_mirrors\nematode.unl.edu_2022_09_21\heterha2.jpg</t>
  </si>
  <si>
    <t>Z:\nemtode\general\website_mirrors\nematode.unl.edu_2022_09_21\heterha4.jpg</t>
  </si>
  <si>
    <t>Z:\nemtode\general\website_mirrors\nematode.unl.edu_2022_09_21\heterha6.jpg</t>
  </si>
  <si>
    <t>Z:\nemtode\general\website_mirrors\nematode.unl.edu_2022_09_21\heterha5.jpg</t>
  </si>
  <si>
    <t>Z:\nemtode\general\website_mirrors\nematode.unl.edu_2022_09_21\heterha1.jpg</t>
  </si>
  <si>
    <t>Z:\nemtode\general\website_mirrors\nematode.unl.edu_2022_09_21\heterha3.jpg</t>
  </si>
  <si>
    <t>Z:\nemtode\general\website_mirrors\nematode.unl.edu_2022_09_21\aerol1.jpg</t>
  </si>
  <si>
    <t>Z:\nemtode\general\website_mirrors\nematode.unl.edu_2022_09_21\aerol2.jpg</t>
  </si>
  <si>
    <t>Z:\nemtode\general\website_mirrors\nematode.unl.edu_2022_09_21\aorola1.jpg</t>
  </si>
  <si>
    <t>Z:\nemtode\general\website_mirrors\nematode.unl.edu_2022_09_21\aerol3.jpg</t>
  </si>
  <si>
    <t>Z:\nemtode\general\website_mirrors\nematode.unl.edu_2022_09_21\aorola2.jpg</t>
  </si>
  <si>
    <t>Z:\nemtode\general\website_mirrors\nematode.unl.edu_2022_09_21\atorp2.jpg</t>
  </si>
  <si>
    <t>Z:\nemtode\general\website_mirrors\nematode.unl.edu_2022_09_21\atorp5.jpg</t>
  </si>
  <si>
    <t>Z:\nemtode\general\website_mirrors\nematode.unl.edu_2022_09_21\atorp1.jpg</t>
  </si>
  <si>
    <t>Z:\nemtode\general\website_mirrors\nematode.unl.edu_2022_09_21\atorp6.jpg</t>
  </si>
  <si>
    <t>Z:\nemtode\general\website_mirrors\nematode.unl.edu_2022_09_21\atorp4.jpg</t>
  </si>
  <si>
    <t>Z:\nemtode\general\website_mirrors\nematode.unl.edu_2022_09_21\atorp3.jpg</t>
  </si>
  <si>
    <t>Z:\nemtode\general\website_mirrors\nematode.unl.edu_2022_09_21\heli11.jpg</t>
  </si>
  <si>
    <t>Z:\nemtode\general\website_mirrors\nematode.unl.edu_2022_09_21\heli2.jpg</t>
  </si>
  <si>
    <t>Z:\nemtode\general\website_mirrors\nematode.unl.edu_2022_09_21\heli5.jpg</t>
  </si>
  <si>
    <t>Z:\nemtode\general\website_mirrors\nematode.unl.edu_2022_09_21\heli8.jpg</t>
  </si>
  <si>
    <t>Z:\nemtode\general\website_mirrors\nematode.unl.edu_2022_09_21\helicobb3.jpg</t>
  </si>
  <si>
    <t>Z:\nemtode\general\website_mirrors\nematode.unl.edu_2022_09_21\helisp1.jpg</t>
  </si>
  <si>
    <t>Z:\nemtode\general\website_mirrors\nematode.unl.edu_2022_09_21\helisp3.jpg</t>
  </si>
  <si>
    <t>Z:\nemtode\general\website_mirrors\nematode.unl.edu_2022_09_21\helisp5.jpg</t>
  </si>
  <si>
    <t>Z:\nemtode\general\website_mirrors\nematode.unl.edu_2022_09_21\heli1.jpg</t>
  </si>
  <si>
    <t>Z:\nemtode\general\website_mirrors\nematode.unl.edu_2022_09_21\heli7.jpg</t>
  </si>
  <si>
    <t>Z:\nemtode\general\website_mirrors\nematode.unl.edu_2022_09_21\helicobb1.jpg</t>
  </si>
  <si>
    <t>Z:\nemtode\general\website_mirrors\nematode.unl.edu_2022_09_21\helicobb2.jpg</t>
  </si>
  <si>
    <t>Z:\nemtode\general\website_mirrors\nematode.unl.edu_2022_09_21\helisp2.jpg</t>
  </si>
  <si>
    <t>Z:\nemtode\general\website_mirrors\nematode.unl.edu_2022_09_21\heli12.jpg</t>
  </si>
  <si>
    <t>Z:\nemtode\general\website_mirrors\nematode.unl.edu_2022_09_21\heli10.jpg</t>
  </si>
  <si>
    <t>Z:\nemtode\general\website_mirrors\nematode.unl.edu_2022_09_21\heli13.jpg</t>
  </si>
  <si>
    <t>Z:\nemtode\general\website_mirrors\nematode.unl.edu_2022_09_21\heli14.jpg</t>
  </si>
  <si>
    <t>Z:\nemtode\general\website_mirrors\nematode.unl.edu_2022_09_21\heli4.jpg</t>
  </si>
  <si>
    <t>Z:\nemtode\general\website_mirrors\nematode.unl.edu_2022_09_21\heli6.jpg</t>
  </si>
  <si>
    <t>Z:\nemtode\general\website_mirrors\nematode.unl.edu_2022_09_21\helicobb5.jpg</t>
  </si>
  <si>
    <t>Z:\nemtode\general\website_mirrors\nematode.unl.edu_2022_09_21\helisp4.jpg</t>
  </si>
  <si>
    <t>Z:\nemtode\general\website_mirrors\nematode.unl.edu_2022_09_21\helisp6.jpg</t>
  </si>
  <si>
    <t>Z:\nemtode\general\website_mirrors\nematode.unl.edu_2022_09_21\heli3.jpg</t>
  </si>
  <si>
    <t>Z:\nemtode\general\website_mirrors\nematode.unl.edu_2022_09_21\heli9.jpg</t>
  </si>
  <si>
    <t>Z:\nemtode\general\website_mirrors\nematode.unl.edu_2022_09_21\helicobb4.jpg</t>
  </si>
  <si>
    <t>Z:\nemtode\general\website_mirrors\nematode.unl.edu_2022_09_21\heldig1.jpg</t>
  </si>
  <si>
    <t>Z:\nemtode\general\website_mirrors\nematode.unl.edu_2022_09_21\heldig3.jpg</t>
  </si>
  <si>
    <t>Z:\nemtode\general\website_mirrors\nematode.unl.edu_2022_09_21\helid10.jpg</t>
  </si>
  <si>
    <t>Z:\nemtode\general\website_mirrors\nematode.unl.edu_2022_09_21\helid12.jpg</t>
  </si>
  <si>
    <t>Z:\nemtode\general\website_mirrors\nematode.unl.edu_2022_09_21\helid15.jpg</t>
  </si>
  <si>
    <t>Z:\nemtode\general\website_mirrors\nematode.unl.edu_2022_09_21\helid16.jpg</t>
  </si>
  <si>
    <t>Z:\nemtode\general\website_mirrors\nematode.unl.edu_2022_09_21\helid18.jpg</t>
  </si>
  <si>
    <t>Z:\nemtode\general\website_mirrors\nematode.unl.edu_2022_09_21\helid21.jpg</t>
  </si>
  <si>
    <t>Z:\nemtode\general\website_mirrors\nematode.unl.edu_2022_09_21\helid3.jpg</t>
  </si>
  <si>
    <t>Z:\nemtode\general\website_mirrors\nematode.unl.edu_2022_09_21\helid9.jpg</t>
  </si>
  <si>
    <t>Z:\nemtode\general\website_mirrors\nematode.unl.edu_2022_09_21\helidig10.jpg</t>
  </si>
  <si>
    <t>Z:\nemtode\general\website_mirrors\nematode.unl.edu_2022_09_21\helidig3.jpg</t>
  </si>
  <si>
    <t>Z:\nemtode\general\website_mirrors\nematode.unl.edu_2022_09_21\helidig8.jpg</t>
  </si>
  <si>
    <t>Z:\nemtode\general\website_mirrors\nematode.unl.edu_2022_09_21\helidig9.jpg</t>
  </si>
  <si>
    <t>Z:\nemtode\general\website_mirrors\nematode.unl.edu_2022_09_21\helid1.jpg</t>
  </si>
  <si>
    <t>Z:\nemtode\general\website_mirrors\nematode.unl.edu_2022_09_21\helid19.jpg</t>
  </si>
  <si>
    <t>Z:\nemtode\general\website_mirrors\nematode.unl.edu_2022_09_21\helid20.jpg</t>
  </si>
  <si>
    <t>Z:\nemtode\general\website_mirrors\nematode.unl.edu_2022_09_21\helid5.jpg</t>
  </si>
  <si>
    <t>Z:\nemtode\general\website_mirrors\nematode.unl.edu_2022_09_21\helid7.jpg</t>
  </si>
  <si>
    <t>Z:\nemtode\general\website_mirrors\nematode.unl.edu_2022_09_21\helidig1.jpg</t>
  </si>
  <si>
    <t>Z:\nemtode\general\website_mirrors\nematode.unl.edu_2022_09_21\helidig19.jpg</t>
  </si>
  <si>
    <t>Z:\nemtode\general\website_mirrors\nematode.unl.edu_2022_09_21\helidig2.jpg</t>
  </si>
  <si>
    <t>Z:\nemtode\general\website_mirrors\nematode.unl.edu_2022_09_21\helidig5.jpg</t>
  </si>
  <si>
    <t>Z:\nemtode\general\website_mirrors\nematode.unl.edu_2022_09_21\helidig6.jpg</t>
  </si>
  <si>
    <t>Z:\nemtode\general\website_mirrors\nematode.unl.edu_2022_09_21\helidig7.jpg</t>
  </si>
  <si>
    <t>Z:\nemtode\general\website_mirrors\nematode.unl.edu_2022_09_21\helidcmp.jpg</t>
  </si>
  <si>
    <t>Z:\nemtode\general\website_mirrors\nematode.unl.edu_2022_09_21\heldig2.jpg</t>
  </si>
  <si>
    <t>Z:\nemtode\general\website_mirrors\nematode.unl.edu_2022_09_21\heldig5.jpg</t>
  </si>
  <si>
    <t>Z:\nemtode\general\website_mirrors\nematode.unl.edu_2022_09_21\helid11.jpg</t>
  </si>
  <si>
    <t>Z:\nemtode\general\website_mirrors\nematode.unl.edu_2022_09_21\helid13.jpg</t>
  </si>
  <si>
    <t>Z:\nemtode\general\website_mirrors\nematode.unl.edu_2022_09_21\helid14.jpg</t>
  </si>
  <si>
    <t>Z:\nemtode\general\website_mirrors\nematode.unl.edu_2022_09_21\helid17.jpg</t>
  </si>
  <si>
    <t>Z:\nemtode\general\website_mirrors\nematode.unl.edu_2022_09_21\helid2.jpg</t>
  </si>
  <si>
    <t>Z:\nemtode\general\website_mirrors\nematode.unl.edu_2022_09_21\helid22.jpg</t>
  </si>
  <si>
    <t>Z:\nemtode\general\website_mirrors\nematode.unl.edu_2022_09_21\helid4.jpg</t>
  </si>
  <si>
    <t>Z:\nemtode\general\website_mirrors\nematode.unl.edu_2022_09_21\helid6.jpg</t>
  </si>
  <si>
    <t>Z:\nemtode\general\website_mirrors\nematode.unl.edu_2022_09_21\helid8.jpg</t>
  </si>
  <si>
    <t>Z:\nemtode\general\website_mirrors\nematode.unl.edu_2022_09_21\helidig13.jpg</t>
  </si>
  <si>
    <t>Z:\nemtode\general\website_mirrors\nematode.unl.edu_2022_09_21\helidig14.jpg</t>
  </si>
  <si>
    <t>Z:\nemtode\general\website_mirrors\nematode.unl.edu_2022_09_21\helidig15.jpg</t>
  </si>
  <si>
    <t>Z:\nemtode\general\website_mirrors\nematode.unl.edu_2022_09_21\helidig16.jpg</t>
  </si>
  <si>
    <t>Z:\nemtode\general\website_mirrors\nematode.unl.edu_2022_09_21\helidig17.jpg</t>
  </si>
  <si>
    <t>Z:\nemtode\general\website_mirrors\nematode.unl.edu_2022_09_21\helidig18.jpg</t>
  </si>
  <si>
    <t>Z:\nemtode\general\website_mirrors\nematode.unl.edu_2022_09_21\helidig4.jpg</t>
  </si>
  <si>
    <t>Z:\nemtode\general\website_mirrors\nematode.unl.edu_2022_09_21\heldig4.jpg</t>
  </si>
  <si>
    <t>Z:\nemtode\general\website_mirrors\nematode.unl.edu_2022_09_21\helidig11.jpg</t>
  </si>
  <si>
    <t>Z:\nemtode\general\website_mirrors\nematode.unl.edu_2022_09_21\helidig12.jpg</t>
  </si>
  <si>
    <t>Z:\nemtode\general\website_mirrors\nematode.unl.edu_2022_09_21\helab1.jpg</t>
  </si>
  <si>
    <t>Z:\nemtode\general\website_mirrors\nematode.unl.edu_2022_09_21\helab10.jpg</t>
  </si>
  <si>
    <t>Z:\nemtode\general\website_mirrors\nematode.unl.edu_2022_09_21\helab2.jpg</t>
  </si>
  <si>
    <t>Z:\nemtode\general\website_mirrors\nematode.unl.edu_2022_09_21\helab4.jpg</t>
  </si>
  <si>
    <t>Z:\nemtode\general\website_mirrors\nematode.unl.edu_2022_09_21\helab5.jpg</t>
  </si>
  <si>
    <t>Z:\nemtode\general\website_mirrors\nematode.unl.edu_2022_09_21\helab7.jpg</t>
  </si>
  <si>
    <t>Z:\nemtode\general\website_mirrors\nematode.unl.edu_2022_09_21\helabio1.jpg</t>
  </si>
  <si>
    <t>Z:\nemtode\general\website_mirrors\nematode.unl.edu_2022_09_21\helab9.jpg</t>
  </si>
  <si>
    <t>Z:\nemtode\general\website_mirrors\nematode.unl.edu_2022_09_21\helabcmp.jpg</t>
  </si>
  <si>
    <t>Z:\nemtode\general\website_mirrors\nematode.unl.edu_2022_09_21\helab12.jpg</t>
  </si>
  <si>
    <t>Z:\nemtode\general\website_mirrors\nematode.unl.edu_2022_09_21\helab3.jpg</t>
  </si>
  <si>
    <t>Z:\nemtode\general\website_mirrors\nematode.unl.edu_2022_09_21\helab6.jpg</t>
  </si>
  <si>
    <t>Z:\nemtode\general\website_mirrors\nematode.unl.edu_2022_09_21\helab8.jpg</t>
  </si>
  <si>
    <t>Z:\nemtode\general\website_mirrors\nematode.unl.edu_2022_09_21\helabio2.jpg</t>
  </si>
  <si>
    <t>Z:\nemtode\general\website_mirrors\nematode.unl.edu_2022_09_21\helab11.jpg</t>
  </si>
  <si>
    <t>Z:\nemtode\general\website_mirrors\nematode.unl.edu_2022_09_21\helicops2.jpg</t>
  </si>
  <si>
    <t>Z:\nemtode\general\website_mirrors\nematode.unl.edu_2022_09_21\helpla13.jpg</t>
  </si>
  <si>
    <t>Z:\nemtode\general\website_mirrors\nematode.unl.edu_2022_09_21\helpla15.jpg</t>
  </si>
  <si>
    <t>Z:\nemtode\general\website_mirrors\nematode.unl.edu_2022_09_21\helpla20.jpg</t>
  </si>
  <si>
    <t>Z:\nemtode\general\website_mirrors\nematode.unl.edu_2022_09_21\helpla22.jpg</t>
  </si>
  <si>
    <t>Z:\nemtode\general\website_mirrors\nematode.unl.edu_2022_09_21\helpla3.jpg</t>
  </si>
  <si>
    <t>Z:\nemtode\general\website_mirrors\nematode.unl.edu_2022_09_21\helpla4.jpg</t>
  </si>
  <si>
    <t>Z:\nemtode\general\website_mirrors\nematode.unl.edu_2022_09_21\helplat10.jpg</t>
  </si>
  <si>
    <t>Z:\nemtode\general\website_mirrors\nematode.unl.edu_2022_09_21\helplat11.jpg</t>
  </si>
  <si>
    <t>Z:\nemtode\general\website_mirrors\nematode.unl.edu_2022_09_21\helplat2.jpg</t>
  </si>
  <si>
    <t>Z:\nemtode\general\website_mirrors\nematode.unl.edu_2022_09_21\helplat3.jpg</t>
  </si>
  <si>
    <t>Z:\nemtode\general\website_mirrors\nematode.unl.edu_2022_09_21\helplat4.jpg</t>
  </si>
  <si>
    <t>Z:\nemtode\general\website_mirrors\nematode.unl.edu_2022_09_21\helicops1.jpg</t>
  </si>
  <si>
    <t>Z:\nemtode\general\website_mirrors\nematode.unl.edu_2022_09_21\helpla1.jpg</t>
  </si>
  <si>
    <t>Z:\nemtode\general\website_mirrors\nematode.unl.edu_2022_09_21\helpla10.jpg</t>
  </si>
  <si>
    <t>Z:\nemtode\general\website_mirrors\nematode.unl.edu_2022_09_21\helpla17.jpg</t>
  </si>
  <si>
    <t>Z:\nemtode\general\website_mirrors\nematode.unl.edu_2022_09_21\helpla21.jpg</t>
  </si>
  <si>
    <t>Z:\nemtode\general\website_mirrors\nematode.unl.edu_2022_09_21\helpla7.jpg</t>
  </si>
  <si>
    <t>Z:\nemtode\general\website_mirrors\nematode.unl.edu_2022_09_21\helpla8.jpg</t>
  </si>
  <si>
    <t>Z:\nemtode\general\website_mirrors\nematode.unl.edu_2022_09_21\helplat1.jpg</t>
  </si>
  <si>
    <t>Z:\nemtode\general\website_mirrors\nematode.unl.edu_2022_09_21\helplat9.jpg</t>
  </si>
  <si>
    <t>Z:\nemtode\general\website_mirrors\nematode.unl.edu_2022_09_21\helplacmp.jpg</t>
  </si>
  <si>
    <t>Z:\nemtode\general\website_mirrors\nematode.unl.edu_2022_09_21\helpla19.jpg</t>
  </si>
  <si>
    <t>Z:\nemtode\general\website_mirrors\nematode.unl.edu_2022_09_21\helicops3.jpg</t>
  </si>
  <si>
    <t>Z:\nemtode\general\website_mirrors\nematode.unl.edu_2022_09_21\helpla11.jpg</t>
  </si>
  <si>
    <t>Z:\nemtode\general\website_mirrors\nematode.unl.edu_2022_09_21\helpla12.jpg</t>
  </si>
  <si>
    <t>Z:\nemtode\general\website_mirrors\nematode.unl.edu_2022_09_21\helpla14.jpg</t>
  </si>
  <si>
    <t>Z:\nemtode\general\website_mirrors\nematode.unl.edu_2022_09_21\helpla16.jpg</t>
  </si>
  <si>
    <t>Z:\nemtode\general\website_mirrors\nematode.unl.edu_2022_09_21\helpla18.jpg</t>
  </si>
  <si>
    <t>Z:\nemtode\general\website_mirrors\nematode.unl.edu_2022_09_21\helpla2.jpg</t>
  </si>
  <si>
    <t>Z:\nemtode\general\website_mirrors\nematode.unl.edu_2022_09_21\helpla23.jpg</t>
  </si>
  <si>
    <t>Z:\nemtode\general\website_mirrors\nematode.unl.edu_2022_09_21\helpla5.jpg</t>
  </si>
  <si>
    <t>Z:\nemtode\general\website_mirrors\nematode.unl.edu_2022_09_21\helpla6.jpg</t>
  </si>
  <si>
    <t>Z:\nemtode\general\website_mirrors\nematode.unl.edu_2022_09_21\helpla9.jpg</t>
  </si>
  <si>
    <t>Z:\nemtode\general\website_mirrors\nematode.unl.edu_2022_09_21\helplat12.jpg</t>
  </si>
  <si>
    <t>Z:\nemtode\general\website_mirrors\nematode.unl.edu_2022_09_21\helplat13.jpg</t>
  </si>
  <si>
    <t>Z:\nemtode\general\website_mirrors\nematode.unl.edu_2022_09_21\helplat5.jpg</t>
  </si>
  <si>
    <t>Z:\nemtode\general\website_mirrors\nematode.unl.edu_2022_09_21\helplat6.jpg</t>
  </si>
  <si>
    <t>Z:\nemtode\general\website_mirrors\nematode.unl.edu_2022_09_21\helplat7.jpg</t>
  </si>
  <si>
    <t>Z:\nemtode\general\website_mirrors\nematode.unl.edu_2022_09_21\helplat8.jpg</t>
  </si>
  <si>
    <t>Z:\nemtode\general\website_mirrors\nematode.unl.edu_2022_09_21\helps1.jpg</t>
  </si>
  <si>
    <t>Z:\nemtode\general\website_mirrors\nematode.unl.edu_2022_09_21\helpse1.jpg</t>
  </si>
  <si>
    <t>Z:\nemtode\general\website_mirrors\nematode.unl.edu_2022_09_21\helpse11.jpg</t>
  </si>
  <si>
    <t>Z:\nemtode\general\website_mirrors\nematode.unl.edu_2022_09_21\helpse15.jpg</t>
  </si>
  <si>
    <t>Z:\nemtode\general\website_mirrors\nematode.unl.edu_2022_09_21\helpse3.jpg</t>
  </si>
  <si>
    <t>Z:\nemtode\general\website_mirrors\nematode.unl.edu_2022_09_21\helpse7.jpg</t>
  </si>
  <si>
    <t>Z:\nemtode\general\website_mirrors\nematode.unl.edu_2022_09_21\helpse12.jpg</t>
  </si>
  <si>
    <t>Z:\nemtode\general\website_mirrors\nematode.unl.edu_2022_09_21\helpse14.jpg</t>
  </si>
  <si>
    <t>Z:\nemtode\general\website_mirrors\nematode.unl.edu_2022_09_21\helpse16.jpg</t>
  </si>
  <si>
    <t>Z:\nemtode\general\website_mirrors\nematode.unl.edu_2022_09_21\helpse17.jpg</t>
  </si>
  <si>
    <t>Z:\nemtode\general\website_mirrors\nematode.unl.edu_2022_09_21\helpse5.jpg</t>
  </si>
  <si>
    <t>Z:\nemtode\general\website_mirrors\nematode.unl.edu_2022_09_21\hepsegw1.jpg</t>
  </si>
  <si>
    <t>Z:\nemtode\general\website_mirrors\nematode.unl.edu_2022_09_21\hydropgw1.jpg</t>
  </si>
  <si>
    <t>Z:\nemtode\general\website_mirrors\nematode.unl.edu_2022_09_21\helpsecmp.jpg</t>
  </si>
  <si>
    <t>Z:\nemtode\general\website_mirrors\nematode.unl.edu_2022_09_21\hydropgw2.jpg</t>
  </si>
  <si>
    <t>Z:\nemtode\general\website_mirrors\nematode.unl.edu_2022_09_21\helps2.jpg</t>
  </si>
  <si>
    <t>Z:\nemtode\general\website_mirrors\nematode.unl.edu_2022_09_21\helps3.jpg</t>
  </si>
  <si>
    <t>Z:\nemtode\general\website_mirrors\nematode.unl.edu_2022_09_21\helpse10.jpg</t>
  </si>
  <si>
    <t>Z:\nemtode\general\website_mirrors\nematode.unl.edu_2022_09_21\helpse13.jpg</t>
  </si>
  <si>
    <t>Z:\nemtode\general\website_mirrors\nematode.unl.edu_2022_09_21\helpse2.jpg</t>
  </si>
  <si>
    <t>Z:\nemtode\general\website_mirrors\nematode.unl.edu_2022_09_21\helpse6.jpg</t>
  </si>
  <si>
    <t>Z:\nemtode\general\website_mirrors\nematode.unl.edu_2022_09_21\helpse8.jpg</t>
  </si>
  <si>
    <t>Z:\nemtode\general\website_mirrors\nematode.unl.edu_2022_09_21\helpse9.jpg</t>
  </si>
  <si>
    <t>Z:\nemtode\general\website_mirrors\nematode.unl.edu_2022_09_21\hoplosp1.jpg</t>
  </si>
  <si>
    <t>Z:\nemtode\general\website_mirrors\nematode.unl.edu_2022_09_21\hoplosp2.jpg</t>
  </si>
  <si>
    <t>Z:\nemtode\general\website_mirrors\nematode.unl.edu_2022_09_21\hoplosp3.jpg</t>
  </si>
  <si>
    <t>Z:\nemtode\general\website_mirrors\nematode.unl.edu_2022_09_21\hoplosp4.jpg</t>
  </si>
  <si>
    <t>Z:\nemtode\general\website_mirrors\nematode.unl.edu_2022_09_21\hoploc27.jpg</t>
  </si>
  <si>
    <t>Z:\nemtode\general\website_mirrors\nematode.unl.edu_2022_09_21\hoploc29.jpg</t>
  </si>
  <si>
    <t>Z:\nemtode\general\website_mirrors\nematode.unl.edu_2022_09_21\hoploc5.jpg</t>
  </si>
  <si>
    <t>Z:\nemtode\general\website_mirrors\nematode.unl.edu_2022_09_21\hoploc30.jpg</t>
  </si>
  <si>
    <t>Z:\nemtode\general\website_mirrors\nematode.unl.edu_2022_09_21\hoploc12.jpg</t>
  </si>
  <si>
    <t>Z:\nemtode\general\website_mirrors\nematode.unl.edu_2022_09_21\hoploc14.jpg</t>
  </si>
  <si>
    <t>Z:\nemtode\general\website_mirrors\nematode.unl.edu_2022_09_21\hoploc17.jpg</t>
  </si>
  <si>
    <t>Z:\nemtode\general\website_mirrors\nematode.unl.edu_2022_09_21\hoploc18.jpg</t>
  </si>
  <si>
    <t>Z:\nemtode\general\website_mirrors\nematode.unl.edu_2022_09_21\hoploc2.jpg</t>
  </si>
  <si>
    <t>Z:\nemtode\general\website_mirrors\nematode.unl.edu_2022_09_21\hoploc20.jpg</t>
  </si>
  <si>
    <t>Z:\nemtode\general\website_mirrors\nematode.unl.edu_2022_09_21\hoploc22.jpg</t>
  </si>
  <si>
    <t>Z:\nemtode\general\website_mirrors\nematode.unl.edu_2022_09_21\hoploc25.jpg</t>
  </si>
  <si>
    <t>Z:\nemtode\general\website_mirrors\nematode.unl.edu_2022_09_21\hoploc8.jpg</t>
  </si>
  <si>
    <t>Z:\nemtode\general\website_mirrors\nematode.unl.edu_2022_09_21\hoploc28.jpg</t>
  </si>
  <si>
    <t>Z:\nemtode\general\website_mirrors\nematode.unl.edu_2022_09_21\hoploc1.jpg</t>
  </si>
  <si>
    <t>Z:\nemtode\general\website_mirrors\nematode.unl.edu_2022_09_21\hoploc11.jpg</t>
  </si>
  <si>
    <t>Z:\nemtode\general\website_mirrors\nematode.unl.edu_2022_09_21\hoploc21.jpg</t>
  </si>
  <si>
    <t>Z:\nemtode\general\website_mirrors\nematode.unl.edu_2022_09_21\hoploc6.jpg</t>
  </si>
  <si>
    <t>Z:\nemtode\general\website_mirrors\nematode.unl.edu_2022_09_21\hoploc7.jpg</t>
  </si>
  <si>
    <t>Z:\nemtode\general\website_mirrors\nematode.unl.edu_2022_09_21\hoploc26.jpg</t>
  </si>
  <si>
    <t>Z:\nemtode\general\website_mirrors\nematode.unl.edu_2022_09_21\hoploc10.jpg</t>
  </si>
  <si>
    <t>Z:\nemtode\general\website_mirrors\nematode.unl.edu_2022_09_21\hoploc13.jpg</t>
  </si>
  <si>
    <t>Z:\nemtode\general\website_mirrors\nematode.unl.edu_2022_09_21\hoploc16.jpg</t>
  </si>
  <si>
    <t>Z:\nemtode\general\website_mirrors\nematode.unl.edu_2022_09_21\hoploc24.jpg</t>
  </si>
  <si>
    <t>Z:\nemtode\general\website_mirrors\nematode.unl.edu_2022_09_21\hoploc4.jpg</t>
  </si>
  <si>
    <t>Z:\nemtode\general\website_mirrors\nematode.unl.edu_2022_09_21\hoploc15.jpg</t>
  </si>
  <si>
    <t>Z:\nemtode\general\website_mirrors\nematode.unl.edu_2022_09_21\hoploc19.jpg</t>
  </si>
  <si>
    <t>Z:\nemtode\general\website_mirrors\nematode.unl.edu_2022_09_21\hoploc23.jpg</t>
  </si>
  <si>
    <t>Z:\nemtode\general\website_mirrors\nematode.unl.edu_2022_09_21\hoploc3.jpg</t>
  </si>
  <si>
    <t>Z:\nemtode\general\website_mirrors\nematode.unl.edu_2022_09_21\hoploc9.jpg</t>
  </si>
  <si>
    <t>Z:\nemtode\general\website_mirrors\nematode.unl.edu_2022_09_21\hogagw3.jpg</t>
  </si>
  <si>
    <t>Z:\nemtode\general\website_mirrors\nematode.unl.edu_2022_09_21\hogal7.jpg</t>
  </si>
  <si>
    <t>Z:\nemtode\general\website_mirrors\nematode.unl.edu_2022_09_21\hogal13.jpg</t>
  </si>
  <si>
    <t>Z:\nemtode\general\website_mirrors\nematode.unl.edu_2022_09_21\hogal19.jpg</t>
  </si>
  <si>
    <t>Z:\nemtode\general\website_mirrors\nematode.unl.edu_2022_09_21\hogal2.jpg</t>
  </si>
  <si>
    <t>Z:\nemtode\general\website_mirrors\nematode.unl.edu_2022_09_21\hogal20.jpg</t>
  </si>
  <si>
    <t>Z:\nemtode\general\website_mirrors\nematode.unl.edu_2022_09_21\hogal21.jpg</t>
  </si>
  <si>
    <t>Z:\nemtode\general\website_mirrors\nematode.unl.edu_2022_09_21\hogal24.jpg</t>
  </si>
  <si>
    <t>Z:\nemtode\general\website_mirrors\nematode.unl.edu_2022_09_21\hogal27.jpg</t>
  </si>
  <si>
    <t>Z:\nemtode\general\website_mirrors\nematode.unl.edu_2022_09_21\hogal29.jpg</t>
  </si>
  <si>
    <t>Z:\nemtode\general\website_mirrors\nematode.unl.edu_2022_09_21\hogal30.jpg</t>
  </si>
  <si>
    <t>Z:\nemtode\general\website_mirrors\nematode.unl.edu_2022_09_21\hogal32.jpg</t>
  </si>
  <si>
    <t>Z:\nemtode\general\website_mirrors\nematode.unl.edu_2022_09_21\hogal5.jpg</t>
  </si>
  <si>
    <t>Z:\nemtode\general\website_mirrors\nematode.unl.edu_2022_09_21\hopga10.jpg</t>
  </si>
  <si>
    <t>Z:\nemtode\general\website_mirrors\nematode.unl.edu_2022_09_21\hopga15.jpg</t>
  </si>
  <si>
    <t>Z:\nemtode\general\website_mirrors\nematode.unl.edu_2022_09_21\hopga3.jpg</t>
  </si>
  <si>
    <t>Z:\nemtode\general\website_mirrors\nematode.unl.edu_2022_09_21\hopga5.jpg</t>
  </si>
  <si>
    <t>Z:\nemtode\general\website_mirrors\nematode.unl.edu_2022_09_21\hopga8.jpg</t>
  </si>
  <si>
    <t>Z:\nemtode\general\website_mirrors\nematode.unl.edu_2022_09_21\hopga7.jpg</t>
  </si>
  <si>
    <t>Z:\nemtode\general\website_mirrors\nematode.unl.edu_2022_09_21\hopga6.jpg</t>
  </si>
  <si>
    <t>Z:\nemtode\general\website_mirrors\nematode.unl.edu_2022_09_21\hogagw1.jpg</t>
  </si>
  <si>
    <t>Z:\nemtode\general\website_mirrors\nematode.unl.edu_2022_09_21\hogagw2.jpg</t>
  </si>
  <si>
    <t>Z:\nemtode\general\website_mirrors\nematode.unl.edu_2022_09_21\hogal1.jpg</t>
  </si>
  <si>
    <t>Z:\nemtode\general\website_mirrors\nematode.unl.edu_2022_09_21\hogal12.jpg</t>
  </si>
  <si>
    <t>Z:\nemtode\general\website_mirrors\nematode.unl.edu_2022_09_21\hogal18.jpg</t>
  </si>
  <si>
    <t>Z:\nemtode\general\website_mirrors\nematode.unl.edu_2022_09_21\hogal23.jpg</t>
  </si>
  <si>
    <t>Z:\nemtode\general\website_mirrors\nematode.unl.edu_2022_09_21\hogal26.jpg</t>
  </si>
  <si>
    <t>Z:\nemtode\general\website_mirrors\nematode.unl.edu_2022_09_21\hogal6.jpg</t>
  </si>
  <si>
    <t>Z:\nemtode\general\website_mirrors\nematode.unl.edu_2022_09_21\hopga1.jpg</t>
  </si>
  <si>
    <t>Z:\nemtode\general\website_mirrors\nematode.unl.edu_2022_09_21\hopga13.jpg</t>
  </si>
  <si>
    <t>Z:\nemtode\general\website_mirrors\nematode.unl.edu_2022_09_21\hopga9.jpg</t>
  </si>
  <si>
    <t>Z:\nemtode\general\website_mirrors\nematode.unl.edu_2022_09_21\hogagw5.jpg</t>
  </si>
  <si>
    <t>Z:\nemtode\general\website_mirrors\nematode.unl.edu_2022_09_21\hogal14.jpg</t>
  </si>
  <si>
    <t>Z:\nemtode\general\website_mirrors\nematode.unl.edu_2022_09_21\hopgacmp.jpg</t>
  </si>
  <si>
    <t>Z:\nemtode\general\website_mirrors\nematode.unl.edu_2022_09_21\hogal10.jpg</t>
  </si>
  <si>
    <t>Z:\nemtode\general\website_mirrors\nematode.unl.edu_2022_09_21\hogal11.jpg</t>
  </si>
  <si>
    <t>Z:\nemtode\general\website_mirrors\nematode.unl.edu_2022_09_21\hogal15.jpg</t>
  </si>
  <si>
    <t>Z:\nemtode\general\website_mirrors\nematode.unl.edu_2022_09_21\hogal22.jpg</t>
  </si>
  <si>
    <t>Z:\nemtode\general\website_mirrors\nematode.unl.edu_2022_09_21\hogagw4.jpg</t>
  </si>
  <si>
    <t>Z:\nemtode\general\website_mirrors\nematode.unl.edu_2022_09_21\hopga4.jpg</t>
  </si>
  <si>
    <t>Z:\nemtode\general\website_mirrors\nematode.unl.edu_2022_09_21\hogal33.jpg</t>
  </si>
  <si>
    <t>Z:\nemtode\general\website_mirrors\nematode.unl.edu_2022_09_21\hopgale3.jpg</t>
  </si>
  <si>
    <t>Z:\nemtode\general\website_mirrors\nematode.unl.edu_2022_09_21\hogagw6.jpg</t>
  </si>
  <si>
    <t>Z:\nemtode\general\website_mirrors\nematode.unl.edu_2022_09_21\hogal25.jpg</t>
  </si>
  <si>
    <t>Z:\nemtode\general\website_mirrors\nematode.unl.edu_2022_09_21\hogal28.jpg</t>
  </si>
  <si>
    <t>Z:\nemtode\general\website_mirrors\nematode.unl.edu_2022_09_21\hogal31.jpg</t>
  </si>
  <si>
    <t>Z:\nemtode\general\website_mirrors\nematode.unl.edu_2022_09_21\hogal4.jpg</t>
  </si>
  <si>
    <t>Z:\nemtode\general\website_mirrors\nematode.unl.edu_2022_09_21\hogal9.jpg</t>
  </si>
  <si>
    <t>Z:\nemtode\general\website_mirrors\nematode.unl.edu_2022_09_21\hopga12.jpg</t>
  </si>
  <si>
    <t>Z:\nemtode\general\website_mirrors\nematode.unl.edu_2022_09_21\hopga2.jpg</t>
  </si>
  <si>
    <t>Z:\nemtode\general\website_mirrors\nematode.unl.edu_2022_09_21\hogal3.jpg</t>
  </si>
  <si>
    <t>Z:\nemtode\general\website_mirrors\nematode.unl.edu_2022_09_21\hogal8.jpg</t>
  </si>
  <si>
    <t>Z:\nemtode\general\website_mirrors\nematode.unl.edu_2022_09_21\hopga11.jpg</t>
  </si>
  <si>
    <t>Z:\nemtode\general\website_mirrors\nematode.unl.edu_2022_09_21\hopga14.jpg</t>
  </si>
  <si>
    <t>Z:\nemtode\general\website_mirrors\nematode.unl.edu_2022_09_21\pararo28.jpg</t>
  </si>
  <si>
    <t>Z:\nemtode\general\website_mirrors\nematode.unl.edu_2022_09_21\pararo2.jpg</t>
  </si>
  <si>
    <t>Z:\nemtode\general\website_mirrors\nematode.unl.edu_2022_09_21\pararo22.jpg</t>
  </si>
  <si>
    <t>Z:\nemtode\general\website_mirrors\nematode.unl.edu_2022_09_21\pararo13.jpg</t>
  </si>
  <si>
    <t>Z:\nemtode\general\website_mirrors\nematode.unl.edu_2022_09_21\pararo15.jpg</t>
  </si>
  <si>
    <t>Z:\nemtode\general\website_mirrors\nematode.unl.edu_2022_09_21\pararo18.jpg</t>
  </si>
  <si>
    <t>Z:\nemtode\general\website_mirrors\nematode.unl.edu_2022_09_21\pararo21.jpg</t>
  </si>
  <si>
    <t>Z:\nemtode\general\website_mirrors\nematode.unl.edu_2022_09_21\pararo23.jpg</t>
  </si>
  <si>
    <t>Z:\nemtode\general\website_mirrors\nematode.unl.edu_2022_09_21\pararo25.jpg</t>
  </si>
  <si>
    <t>Z:\nemtode\general\website_mirrors\nematode.unl.edu_2022_09_21\pararo3.jpg</t>
  </si>
  <si>
    <t>Z:\nemtode\general\website_mirrors\nematode.unl.edu_2022_09_21\pararo7.jpg</t>
  </si>
  <si>
    <t>Z:\nemtode\general\website_mirrors\nematode.unl.edu_2022_09_21\pararo9.jpg</t>
  </si>
  <si>
    <t>Z:\nemtode\general\website_mirrors\nematode.unl.edu_2022_09_21\pararo16.jpg</t>
  </si>
  <si>
    <t>Z:\nemtode\general\website_mirrors\nematode.unl.edu_2022_09_21\pararo1.jpg</t>
  </si>
  <si>
    <t>Z:\nemtode\general\website_mirrors\nematode.unl.edu_2022_09_21\pararo12.jpg</t>
  </si>
  <si>
    <t>Z:\nemtode\general\website_mirrors\nematode.unl.edu_2022_09_21\pararo20.jpg</t>
  </si>
  <si>
    <t>Z:\nemtode\general\website_mirrors\nematode.unl.edu_2022_09_21\pararo24.jpg</t>
  </si>
  <si>
    <t>Z:\nemtode\general\website_mirrors\nematode.unl.edu_2022_09_21\pararo27.jpg</t>
  </si>
  <si>
    <t>Z:\nemtode\general\website_mirrors\nematode.unl.edu_2022_09_21\pararo8.jpg</t>
  </si>
  <si>
    <t>Z:\nemtode\general\website_mirrors\nematode.unl.edu_2022_09_21\pararo19.jpg</t>
  </si>
  <si>
    <t>Z:\nemtode\general\website_mirrors\nematode.unl.edu_2022_09_21\pararo17.jpg</t>
  </si>
  <si>
    <t>Z:\nemtode\general\website_mirrors\nematode.unl.edu_2022_09_21\pararo5.jpg</t>
  </si>
  <si>
    <t>Z:\nemtode\general\website_mirrors\nematode.unl.edu_2022_09_21\pararo11.jpg</t>
  </si>
  <si>
    <t>Z:\nemtode\general\website_mirrors\nematode.unl.edu_2022_09_21\pararo14.jpg</t>
  </si>
  <si>
    <t>Z:\nemtode\general\website_mirrors\nematode.unl.edu_2022_09_21\pararo26.jpg</t>
  </si>
  <si>
    <t>Z:\nemtode\general\website_mirrors\nematode.unl.edu_2022_09_21\pararo29.jpg</t>
  </si>
  <si>
    <t>Z:\nemtode\general\website_mirrors\nematode.unl.edu_2022_09_21\pararo4.jpg</t>
  </si>
  <si>
    <t>Z:\nemtode\general\website_mirrors\nematode.unl.edu_2022_09_21\pararo6.jpg</t>
  </si>
  <si>
    <t>Z:\nemtode\general\website_mirrors\nematode.unl.edu_2022_09_21\pararo10.jpg</t>
  </si>
  <si>
    <t>Z:\nemtode\general\website_mirrors\nematode.unl.edu_2022_09_21\rotana3.jpg</t>
  </si>
  <si>
    <t>Z:\nemtode\general\website_mirrors\nematode.unl.edu_2022_09_21\rotana1.jpg</t>
  </si>
  <si>
    <t>Z:\nemtode\general\website_mirrors\nematode.unl.edu_2022_09_21\rotana2.jpg</t>
  </si>
  <si>
    <t>Z:\nemtode\general\website_mirrors\nematode.unl.edu_2022_09_21\rotana6.jpg</t>
  </si>
  <si>
    <t>Z:\nemtode\general\website_mirrors\nematode.unl.edu_2022_09_21\rotana7.jpg</t>
  </si>
  <si>
    <t>Z:\nemtode\general\website_mirrors\nematode.unl.edu_2022_09_21\rotana4.jpg</t>
  </si>
  <si>
    <t>Z:\nemtode\general\website_mirrors\nematode.unl.edu_2022_09_21\rotana5.jpg</t>
  </si>
  <si>
    <t>Z:\nemtode\general\website_mirrors\nematode.unl.edu_2022_09_21\melocr2.jpg</t>
  </si>
  <si>
    <t>Z:\nemtode\general\website_mirrors\nematode.unl.edu_2022_09_21\melocr3.jpg</t>
  </si>
  <si>
    <t>Z:\nemtode\general\website_mirrors\nematode.unl.edu_2022_09_21\meldog1.jpg</t>
  </si>
  <si>
    <t>Z:\nemtode\general\website_mirrors\nematode.unl.edu_2022_09_21\meldog11.jpg</t>
  </si>
  <si>
    <t>Z:\nemtode\general\website_mirrors\nematode.unl.edu_2022_09_21\meldog14.jpg</t>
  </si>
  <si>
    <t>Z:\nemtode\general\website_mirrors\nematode.unl.edu_2022_09_21\meldog17.jpg</t>
  </si>
  <si>
    <t>Z:\nemtode\general\website_mirrors\nematode.unl.edu_2022_09_21\meldog3.jpg</t>
  </si>
  <si>
    <t>Z:\nemtode\general\website_mirrors\nematode.unl.edu_2022_09_21\meldog6.jpg</t>
  </si>
  <si>
    <t>Z:\nemtode\general\website_mirrors\nematode.unl.edu_2022_09_21\meldog13.jpg</t>
  </si>
  <si>
    <t>Z:\nemtode\general\website_mirrors\nematode.unl.edu_2022_09_21\meldog16.jpg</t>
  </si>
  <si>
    <t>Z:\nemtode\general\website_mirrors\nematode.unl.edu_2022_09_21\meldog5.jpg</t>
  </si>
  <si>
    <t>Z:\nemtode\general\website_mirrors\nematode.unl.edu_2022_09_21\melocr1.jpg</t>
  </si>
  <si>
    <t>Z:\nemtode\general\website_mirrors\nematode.unl.edu_2022_09_21\meldog10.jpg</t>
  </si>
  <si>
    <t>Z:\nemtode\general\website_mirrors\nematode.unl.edu_2022_09_21\meldog12.jpg</t>
  </si>
  <si>
    <t>Z:\nemtode\general\website_mirrors\nematode.unl.edu_2022_09_21\meldog15.jpg</t>
  </si>
  <si>
    <t>Z:\nemtode\general\website_mirrors\nematode.unl.edu_2022_09_21\meldog18.jpg</t>
  </si>
  <si>
    <t>Z:\nemtode\general\website_mirrors\nematode.unl.edu_2022_09_21\meldog2.jpg</t>
  </si>
  <si>
    <t>Z:\nemtode\general\website_mirrors\nematode.unl.edu_2022_09_21\meldog4.jpg</t>
  </si>
  <si>
    <t>Z:\nemtode\general\website_mirrors\nematode.unl.edu_2022_09_21\meldog7.jpg</t>
  </si>
  <si>
    <t>Z:\nemtode\general\website_mirrors\nematode.unl.edu_2022_09_21\melgelcmp.jpg</t>
  </si>
  <si>
    <t>Z:\nemtode\general\website_mirrors\nematode.unl.edu_2022_09_21\meldog9.jpg</t>
  </si>
  <si>
    <t>Z:\nemtode\general\website_mirrors\nematode.unl.edu_2022_09_21\melgel10.jpg</t>
  </si>
  <si>
    <t>Z:\nemtode\general\website_mirrors\nematode.unl.edu_2022_09_21\melgel11.jpg</t>
  </si>
  <si>
    <t>Z:\nemtode\general\website_mirrors\nematode.unl.edu_2022_09_21\melgel12.jpg</t>
  </si>
  <si>
    <t>Z:\nemtode\general\website_mirrors\nematode.unl.edu_2022_09_21\melgel13.jpg</t>
  </si>
  <si>
    <t>Z:\nemtode\general\website_mirrors\nematode.unl.edu_2022_09_21\melgel14.jpg</t>
  </si>
  <si>
    <t>Z:\nemtode\general\website_mirrors\nematode.unl.edu_2022_09_21\melgel15.jpg</t>
  </si>
  <si>
    <t>Z:\nemtode\general\website_mirrors\nematode.unl.edu_2022_09_21\melochit11.jpg</t>
  </si>
  <si>
    <t>Z:\nemtode\general\website_mirrors\nematode.unl.edu_2022_09_21\melochit13.jpg</t>
  </si>
  <si>
    <t>Z:\nemtode\general\website_mirrors\nematode.unl.edu_2022_09_21\melochit15.jpg</t>
  </si>
  <si>
    <t>Z:\nemtode\general\website_mirrors\nematode.unl.edu_2022_09_21\melochit18.jpg</t>
  </si>
  <si>
    <t>Z:\nemtode\general\website_mirrors\nematode.unl.edu_2022_09_21\melochit2.jpg</t>
  </si>
  <si>
    <t>Z:\nemtode\general\website_mirrors\nematode.unl.edu_2022_09_21\melochit21.jpg</t>
  </si>
  <si>
    <t>Z:\nemtode\general\website_mirrors\nematode.unl.edu_2022_09_21\melochit24.jpg</t>
  </si>
  <si>
    <t>Z:\nemtode\general\website_mirrors\nematode.unl.edu_2022_09_21\melochit28.jpg</t>
  </si>
  <si>
    <t>Z:\nemtode\general\website_mirrors\nematode.unl.edu_2022_09_21\melochit33.jpg</t>
  </si>
  <si>
    <t>Z:\nemtode\general\website_mirrors\nematode.unl.edu_2022_09_21\melochit4.jpg</t>
  </si>
  <si>
    <t>Z:\nemtode\general\website_mirrors\nematode.unl.edu_2022_09_21\melochit5.jpg</t>
  </si>
  <si>
    <t>Z:\nemtode\general\website_mirrors\nematode.unl.edu_2022_09_21\melochit9.jpg</t>
  </si>
  <si>
    <t>Z:\nemtode\general\website_mirrors\nematode.unl.edu_2022_09_21\melgel26.jpg</t>
  </si>
  <si>
    <t>Z:\nemtode\general\website_mirrors\nematode.unl.edu_2022_09_21\melochit1.jpg</t>
  </si>
  <si>
    <t>Z:\nemtode\general\website_mirrors\nematode.unl.edu_2022_09_21\melochit20.jpg</t>
  </si>
  <si>
    <t>Z:\nemtode\general\website_mirrors\nematode.unl.edu_2022_09_21\melochit23.jpg</t>
  </si>
  <si>
    <t>Z:\nemtode\general\website_mirrors\nematode.unl.edu_2022_09_21\melochit26.jpg</t>
  </si>
  <si>
    <t>Z:\nemtode\general\website_mirrors\nematode.unl.edu_2022_09_21\melochit27.jpg</t>
  </si>
  <si>
    <t>Z:\nemtode\general\website_mirrors\nematode.unl.edu_2022_09_21\melochit31.jpg</t>
  </si>
  <si>
    <t>Z:\nemtode\general\website_mirrors\nematode.unl.edu_2022_09_21\melochit32.jpg</t>
  </si>
  <si>
    <t>Z:\nemtode\general\website_mirrors\nematode.unl.edu_2022_09_21\melochit8.jpg</t>
  </si>
  <si>
    <t>Z:\nemtode\general\website_mirrors\nematode.unl.edu_2022_09_21\melgel29.jpg</t>
  </si>
  <si>
    <t>Z:\nemtode\general\website_mirrors\nematode.unl.edu_2022_09_21\melochit16.jpg</t>
  </si>
  <si>
    <t>Z:\nemtode\general\website_mirrors\nematode.unl.edu_2022_09_21\melochit29.jpg</t>
  </si>
  <si>
    <t>Z:\nemtode\general\website_mirrors\nematode.unl.edu_2022_09_21\melgel22.jpg</t>
  </si>
  <si>
    <t>Z:\nemtode\general\website_mirrors\nematode.unl.edu_2022_09_21\melgel23.jpg</t>
  </si>
  <si>
    <t>Z:\nemtode\general\website_mirrors\nematode.unl.edu_2022_09_21\melgel24.jpg</t>
  </si>
  <si>
    <t>Z:\nemtode\general\website_mirrors\nematode.unl.edu_2022_09_21\melgel25.jpg</t>
  </si>
  <si>
    <t>Z:\nemtode\general\website_mirrors\nematode.unl.edu_2022_09_21\meldog8.jpg</t>
  </si>
  <si>
    <t>Z:\nemtode\general\website_mirrors\nematode.unl.edu_2022_09_21\melgel16.jpg</t>
  </si>
  <si>
    <t>Z:\nemtode\general\website_mirrors\nematode.unl.edu_2022_09_21\melgel17.jpg</t>
  </si>
  <si>
    <t>Z:\nemtode\general\website_mirrors\nematode.unl.edu_2022_09_21\melgel18.jpg</t>
  </si>
  <si>
    <t>Z:\nemtode\general\website_mirrors\nematode.unl.edu_2022_09_21\melgel19.jpg</t>
  </si>
  <si>
    <t>Z:\nemtode\general\website_mirrors\nematode.unl.edu_2022_09_21\melgel20.jpg</t>
  </si>
  <si>
    <t>Z:\nemtode\general\website_mirrors\nematode.unl.edu_2022_09_21\melgel21.jpg</t>
  </si>
  <si>
    <t>Z:\nemtode\general\website_mirrors\nematode.unl.edu_2022_09_21\melochit10.jpg</t>
  </si>
  <si>
    <t>Z:\nemtode\general\website_mirrors\nematode.unl.edu_2022_09_21\melochit12.jpg</t>
  </si>
  <si>
    <t>Z:\nemtode\general\website_mirrors\nematode.unl.edu_2022_09_21\melochit14.jpg</t>
  </si>
  <si>
    <t>Z:\nemtode\general\website_mirrors\nematode.unl.edu_2022_09_21\melochit17.jpg</t>
  </si>
  <si>
    <t>Z:\nemtode\general\website_mirrors\nematode.unl.edu_2022_09_21\melochit19.jpg</t>
  </si>
  <si>
    <t>Z:\nemtode\general\website_mirrors\nematode.unl.edu_2022_09_21\melochit22.jpg</t>
  </si>
  <si>
    <t>Z:\nemtode\general\website_mirrors\nematode.unl.edu_2022_09_21\melochit25.jpg</t>
  </si>
  <si>
    <t>Z:\nemtode\general\website_mirrors\nematode.unl.edu_2022_09_21\melochit3.jpg</t>
  </si>
  <si>
    <t>Z:\nemtode\general\website_mirrors\nematode.unl.edu_2022_09_21\melochit30.jpg</t>
  </si>
  <si>
    <t>Z:\nemtode\general\website_mirrors\nematode.unl.edu_2022_09_21\melochit34.jpg</t>
  </si>
  <si>
    <t>Z:\nemtode\general\website_mirrors\nematode.unl.edu_2022_09_21\melochit35.jpg</t>
  </si>
  <si>
    <t>Z:\nemtode\general\website_mirrors\nematode.unl.edu_2022_09_21\melochit6.jpg</t>
  </si>
  <si>
    <t>Z:\nemtode\general\website_mirrors\nematode.unl.edu_2022_09_21\melochit7.jpg</t>
  </si>
  <si>
    <t>Z:\nemtode\general\website_mirrors\nematode.unl.edu_2022_09_21\melicola2.jpg</t>
  </si>
  <si>
    <t>Z:\nemtode\general\website_mirrors\nematode.unl.edu_2022_09_21\melicola6.jpg</t>
  </si>
  <si>
    <t>Z:\nemtode\general\website_mirrors\nematode.unl.edu_2022_09_21\melicola8.jpg</t>
  </si>
  <si>
    <t>Z:\nemtode\general\website_mirrors\nematode.unl.edu_2022_09_21\melicola1.jpg</t>
  </si>
  <si>
    <t>Z:\nemtode\general\website_mirrors\nematode.unl.edu_2022_09_21\melicola5.jpg</t>
  </si>
  <si>
    <t>Z:\nemtode\general\website_mirrors\nematode.unl.edu_2022_09_21\melicola10.jpg</t>
  </si>
  <si>
    <t>Z:\nemtode\general\website_mirrors\nematode.unl.edu_2022_09_21\melicola3.jpg</t>
  </si>
  <si>
    <t>Z:\nemtode\general\website_mirrors\nematode.unl.edu_2022_09_21\melicola4.jpg</t>
  </si>
  <si>
    <t>Z:\nemtode\general\website_mirrors\nematode.unl.edu_2022_09_21\melicola7.jpg</t>
  </si>
  <si>
    <t>Z:\nemtode\general\website_mirrors\nematode.unl.edu_2022_09_21\melicola9.jpg</t>
  </si>
  <si>
    <t>Z:\nemtode\general\website_mirrors\nematode.unl.edu_2022_09_21\melgra2.jpg</t>
  </si>
  <si>
    <t>Z:\nemtode\general\website_mirrors\nematode.unl.edu_2022_09_21\melgra4.jpg</t>
  </si>
  <si>
    <t>Z:\nemtode\general\website_mirrors\nematode.unl.edu_2022_09_21\melgra6.jpg</t>
  </si>
  <si>
    <t>Z:\nemtode\general\website_mirrors\nematode.unl.edu_2022_09_21\melgram1.jpg</t>
  </si>
  <si>
    <t>Z:\nemtode\general\website_mirrors\nematode.unl.edu_2022_09_21\melgram2.jpg</t>
  </si>
  <si>
    <t>Z:\nemtode\general\website_mirrors\nematode.unl.edu_2022_09_21\melgram4.jpg</t>
  </si>
  <si>
    <t>Z:\nemtode\general\website_mirrors\nematode.unl.edu_2022_09_21\melgram5.jpg</t>
  </si>
  <si>
    <t>Z:\nemtode\general\website_mirrors\nematode.unl.edu_2022_09_21\melgra1.jpg</t>
  </si>
  <si>
    <t>Z:\nemtode\general\website_mirrors\nematode.unl.edu_2022_09_21\melgram6.jpg</t>
  </si>
  <si>
    <t>Z:\nemtode\general\website_mirrors\nematode.unl.edu_2022_09_21\melgra3.jpg</t>
  </si>
  <si>
    <t>Z:\nemtode\general\website_mirrors\nematode.unl.edu_2022_09_21\melgra5.jpg</t>
  </si>
  <si>
    <t>Z:\nemtode\general\website_mirrors\nematode.unl.edu_2022_09_21\melgra7.jpg</t>
  </si>
  <si>
    <t>Z:\nemtode\general\website_mirrors\nematode.unl.edu_2022_09_21\melgram3.jpg</t>
  </si>
  <si>
    <t>Z:\nemtode\general\website_mirrors\nematode.unl.edu_2022_09_21\melgram7.jpg</t>
  </si>
  <si>
    <t>Z:\nemtode\general\website_mirrors\nematode.unl.edu_2022_09_21\melhap12.jpg</t>
  </si>
  <si>
    <t>Z:\nemtode\general\website_mirrors\nematode.unl.edu_2022_09_21\melhap51.jpg</t>
  </si>
  <si>
    <t>Z:\nemtode\general\website_mirrors\nematode.unl.edu_2022_09_21\melhap56.jpg</t>
  </si>
  <si>
    <t>Z:\nemtode\general\website_mirrors\nematode.unl.edu_2022_09_21\melhap15.jpg</t>
  </si>
  <si>
    <t>Z:\nemtode\general\website_mirrors\nematode.unl.edu_2022_09_21\melhap20.jpg</t>
  </si>
  <si>
    <t>Z:\nemtode\general\website_mirrors\nematode.unl.edu_2022_09_21\melhap22.jpg</t>
  </si>
  <si>
    <t>Z:\nemtode\general\website_mirrors\nematode.unl.edu_2022_09_21\melhap28.jpg</t>
  </si>
  <si>
    <t>Z:\nemtode\general\website_mirrors\nematode.unl.edu_2022_09_21\melhap29.jpg</t>
  </si>
  <si>
    <t>Z:\nemtode\general\website_mirrors\nematode.unl.edu_2022_09_21\melhap33.jpg</t>
  </si>
  <si>
    <t>Z:\nemtode\general\website_mirrors\nematode.unl.edu_2022_09_21\melhap34.jpg</t>
  </si>
  <si>
    <t>Z:\nemtode\general\website_mirrors\nematode.unl.edu_2022_09_21\melhap37.jpg</t>
  </si>
  <si>
    <t>Z:\nemtode\general\website_mirrors\nematode.unl.edu_2022_09_21\melhap39.jpg</t>
  </si>
  <si>
    <t>Z:\nemtode\general\website_mirrors\nematode.unl.edu_2022_09_21\melhap43.jpg</t>
  </si>
  <si>
    <t>Z:\nemtode\general\website_mirrors\nematode.unl.edu_2022_09_21\melhap45.jpg</t>
  </si>
  <si>
    <t>Z:\nemtode\general\website_mirrors\nematode.unl.edu_2022_09_21\melhap48.jpg</t>
  </si>
  <si>
    <t>Z:\nemtode\general\website_mirrors\nematode.unl.edu_2022_09_21\melhap5.jpg</t>
  </si>
  <si>
    <t>Z:\nemtode\general\website_mirrors\nematode.unl.edu_2022_09_21\melhap50.jpg</t>
  </si>
  <si>
    <t>Z:\nemtode\general\website_mirrors\nematode.unl.edu_2022_09_21\melhap53.jpg</t>
  </si>
  <si>
    <t>Z:\nemtode\general\website_mirrors\nematode.unl.edu_2022_09_21\melhap59.jpg</t>
  </si>
  <si>
    <t>Z:\nemtode\general\website_mirrors\nematode.unl.edu_2022_09_21\melhap61.jpg</t>
  </si>
  <si>
    <t>Z:\nemtode\general\website_mirrors\nematode.unl.edu_2022_09_21\melhap63.jpg</t>
  </si>
  <si>
    <t>Z:\nemtode\general\website_mirrors\nematode.unl.edu_2022_09_21\melhap67.jpg</t>
  </si>
  <si>
    <t>Z:\nemtode\general\website_mirrors\nematode.unl.edu_2022_09_21\melhap9.jpg</t>
  </si>
  <si>
    <t>Z:\nemtode\general\website_mirrors\nematode.unl.edu_2022_09_21\melhap54.jpg</t>
  </si>
  <si>
    <t>Z:\nemtode\general\website_mirrors\nematode.unl.edu_2022_09_21\melhap11.jpg</t>
  </si>
  <si>
    <t>Z:\nemtode\general\website_mirrors\nematode.unl.edu_2022_09_21\melhap18.jpg</t>
  </si>
  <si>
    <t>Z:\nemtode\general\website_mirrors\nematode.unl.edu_2022_09_21\melhap21.jpg</t>
  </si>
  <si>
    <t>Z:\nemtode\general\website_mirrors\nematode.unl.edu_2022_09_21\melhap36.jpg</t>
  </si>
  <si>
    <t>Z:\nemtode\general\website_mirrors\nematode.unl.edu_2022_09_21\melhap42.jpg</t>
  </si>
  <si>
    <t>Z:\nemtode\general\website_mirrors\nematode.unl.edu_2022_09_21\melhap49.jpg</t>
  </si>
  <si>
    <t>Z:\nemtode\general\website_mirrors\nematode.unl.edu_2022_09_21\melhap52.jpg</t>
  </si>
  <si>
    <t>Z:\nemtode\general\website_mirrors\nematode.unl.edu_2022_09_21\melhap26.jpg</t>
  </si>
  <si>
    <t>Z:\nemtode\general\website_mirrors\nematode.unl.edu_2022_09_21\melhap35.jpg</t>
  </si>
  <si>
    <t>Z:\nemtode\general\website_mirrors\nematode.unl.edu_2022_09_21\melhap40.jpg</t>
  </si>
  <si>
    <t>Z:\nemtode\general\website_mirrors\nematode.unl.edu_2022_09_21\melhap46.jpg</t>
  </si>
  <si>
    <t>Z:\nemtode\general\website_mirrors\nematode.unl.edu_2022_09_21\melhap55.jpg</t>
  </si>
  <si>
    <t>Z:\nemtode\general\website_mirrors\nematode.unl.edu_2022_09_21\melhap24.jpg</t>
  </si>
  <si>
    <t>Z:\nemtode\general\website_mirrors\nematode.unl.edu_2022_09_21\melhap17.jpg</t>
  </si>
  <si>
    <t>Z:\nemtode\general\website_mirrors\nematode.unl.edu_2022_09_21\melhap32.jpg</t>
  </si>
  <si>
    <t>Z:\nemtode\general\website_mirrors\nematode.unl.edu_2022_09_21\melhap13.jpg</t>
  </si>
  <si>
    <t>Z:\nemtode\general\website_mirrors\nematode.unl.edu_2022_09_21\melhap25.jpg</t>
  </si>
  <si>
    <t>Z:\nemtode\general\website_mirrors\nematode.unl.edu_2022_09_21\melhap14.jpg</t>
  </si>
  <si>
    <t>Z:\nemtode\general\website_mirrors\nematode.unl.edu_2022_09_21\melhap16.jpg</t>
  </si>
  <si>
    <t>Z:\nemtode\general\website_mirrors\nematode.unl.edu_2022_09_21\melhap31.jpg</t>
  </si>
  <si>
    <t>Z:\nemtode\general\website_mirrors\nematode.unl.edu_2022_09_21\melhap8.jpg</t>
  </si>
  <si>
    <t>Z:\nemtode\general\website_mirrors\nematode.unl.edu_2022_09_21\melhap10.jpg</t>
  </si>
  <si>
    <t>Z:\nemtode\general\website_mirrors\nematode.unl.edu_2022_09_21\melhap19.jpg</t>
  </si>
  <si>
    <t>Z:\nemtode\general\website_mirrors\nematode.unl.edu_2022_09_21\melhap23.jpg</t>
  </si>
  <si>
    <t>Z:\nemtode\general\website_mirrors\nematode.unl.edu_2022_09_21\melhap27.jpg</t>
  </si>
  <si>
    <t>Z:\nemtode\general\website_mirrors\nematode.unl.edu_2022_09_21\melhap38.jpg</t>
  </si>
  <si>
    <t>Z:\nemtode\general\website_mirrors\nematode.unl.edu_2022_09_21\melhap41.jpg</t>
  </si>
  <si>
    <t>Z:\nemtode\general\website_mirrors\nematode.unl.edu_2022_09_21\melhap44.jpg</t>
  </si>
  <si>
    <t>Z:\nemtode\general\website_mirrors\nematode.unl.edu_2022_09_21\melhap47.jpg</t>
  </si>
  <si>
    <t>Z:\nemtode\general\website_mirrors\nematode.unl.edu_2022_09_21\melhap57.jpg</t>
  </si>
  <si>
    <t>Z:\nemtode\general\website_mirrors\nematode.unl.edu_2022_09_21\melhap58.jpg</t>
  </si>
  <si>
    <t>Z:\nemtode\general\website_mirrors\nematode.unl.edu_2022_09_21\melhap6.jpg</t>
  </si>
  <si>
    <t>Z:\nemtode\general\website_mirrors\nematode.unl.edu_2022_09_21\melhap60.jpg</t>
  </si>
  <si>
    <t>Z:\nemtode\general\website_mirrors\nematode.unl.edu_2022_09_21\melhap62.jpg</t>
  </si>
  <si>
    <t>Z:\nemtode\general\website_mirrors\nematode.unl.edu_2022_09_21\melhap64.jpg</t>
  </si>
  <si>
    <t>Z:\nemtode\general\website_mirrors\nematode.unl.edu_2022_09_21\melhap65.jpg</t>
  </si>
  <si>
    <t>Z:\nemtode\general\website_mirrors\nematode.unl.edu_2022_09_21\melhap68.jpg</t>
  </si>
  <si>
    <t>Z:\nemtode\general\website_mirrors\nematode.unl.edu_2022_09_21\melhap7.jpg</t>
  </si>
  <si>
    <t>Z:\nemtode\general\website_mirrors\nematode.unl.edu_2022_09_21\melhap30.jpg</t>
  </si>
  <si>
    <t>Z:\nemtode\general\website_mirrors\nematode.unl.edu_2022_09_21\mhaplan10.jpg</t>
  </si>
  <si>
    <t>Z:\nemtode\general\website_mirrors\nematode.unl.edu_2022_09_21\mhaplan2.jpg</t>
  </si>
  <si>
    <t>Z:\nemtode\general\website_mirrors\nematode.unl.edu_2022_09_21\mhaplan5.jpg</t>
  </si>
  <si>
    <t>Z:\nemtode\general\website_mirrors\nematode.unl.edu_2022_09_21\mhaplan8.jpg</t>
  </si>
  <si>
    <t>Z:\nemtode\general\website_mirrors\nematode.unl.edu_2022_09_21\mhaplan1.jpg</t>
  </si>
  <si>
    <t>Z:\nemtode\general\website_mirrors\nematode.unl.edu_2022_09_21\mhaplan7.jpg</t>
  </si>
  <si>
    <t>Z:\nemtode\general\website_mirrors\nematode.unl.edu_2022_09_21\mhaplan4.jpg</t>
  </si>
  <si>
    <t>Z:\nemtode\general\website_mirrors\nematode.unl.edu_2022_09_21\mhaplan11.jpg</t>
  </si>
  <si>
    <t>Z:\nemtode\general\website_mirrors\nematode.unl.edu_2022_09_21\mhaplan3.jpg</t>
  </si>
  <si>
    <t>Z:\nemtode\general\website_mirrors\nematode.unl.edu_2022_09_21\mhaplan6.jpg</t>
  </si>
  <si>
    <t>Z:\nemtode\general\website_mirrors\nematode.unl.edu_2022_09_21\mhaplan9.jpg</t>
  </si>
  <si>
    <t>Z:\nemtode\general\website_mirrors\nematode.unl.edu_2022_09_21\memay3.jpg</t>
  </si>
  <si>
    <t>Z:\nemtode\general\website_mirrors\nematode.unl.edu_2022_09_21\memay8.jpg</t>
  </si>
  <si>
    <t>Z:\nemtode\general\website_mirrors\nematode.unl.edu_2022_09_21\memay12.jpg</t>
  </si>
  <si>
    <t>Z:\nemtode\general\website_mirrors\nematode.unl.edu_2022_09_21\memay13.jpg</t>
  </si>
  <si>
    <t>Z:\nemtode\general\website_mirrors\nematode.unl.edu_2022_09_21\memay16.jpg</t>
  </si>
  <si>
    <t>Z:\nemtode\general\website_mirrors\nematode.unl.edu_2022_09_21\memay19.jpg</t>
  </si>
  <si>
    <t>Z:\nemtode\general\website_mirrors\nematode.unl.edu_2022_09_21\memay2.jpg</t>
  </si>
  <si>
    <t>Z:\nemtode\general\website_mirrors\nematode.unl.edu_2022_09_21\memay6.jpg</t>
  </si>
  <si>
    <t>Z:\nemtode\general\website_mirrors\nematode.unl.edu_2022_09_21\memay1.jpg</t>
  </si>
  <si>
    <t>Z:\nemtode\general\website_mirrors\nematode.unl.edu_2022_09_21\memay5.jpg</t>
  </si>
  <si>
    <t>Z:\nemtode\general\website_mirrors\nematode.unl.edu_2022_09_21\memay10.jpg</t>
  </si>
  <si>
    <t>Z:\nemtode\general\website_mirrors\nematode.unl.edu_2022_09_21\memay14.jpg</t>
  </si>
  <si>
    <t>Z:\nemtode\general\website_mirrors\nematode.unl.edu_2022_09_21\memay20.jpg</t>
  </si>
  <si>
    <t>Z:\nemtode\general\website_mirrors\nematode.unl.edu_2022_09_21\memay22.jpg</t>
  </si>
  <si>
    <t>Z:\nemtode\general\website_mirrors\nematode.unl.edu_2022_09_21\memay18.jpg</t>
  </si>
  <si>
    <t>Z:\nemtode\general\website_mirrors\nematode.unl.edu_2022_09_21\memay21.jpg</t>
  </si>
  <si>
    <t>Z:\nemtode\general\website_mirrors\nematode.unl.edu_2022_09_21\memay11.jpg</t>
  </si>
  <si>
    <t>Z:\nemtode\general\website_mirrors\nematode.unl.edu_2022_09_21\memay15.jpg</t>
  </si>
  <si>
    <t>Z:\nemtode\general\website_mirrors\nematode.unl.edu_2022_09_21\memay17.jpg</t>
  </si>
  <si>
    <t>Z:\nemtode\general\website_mirrors\nematode.unl.edu_2022_09_21\memay23.jpg</t>
  </si>
  <si>
    <t>Z:\nemtode\general\website_mirrors\nematode.unl.edu_2022_09_21\memay4.jpg</t>
  </si>
  <si>
    <t>Z:\nemtode\general\website_mirrors\nematode.unl.edu_2022_09_21\memay7.jpg</t>
  </si>
  <si>
    <t>Z:\nemtode\general\website_mirrors\nematode.unl.edu_2022_09_21\memay9.jpg</t>
  </si>
  <si>
    <t>Z:\nemtode\general\website_mirrors\nematode.unl.edu_2022_09_21\meparti20.jpg</t>
  </si>
  <si>
    <t>Z:\nemtode\general\website_mirrors\nematode.unl.edu_2022_09_21\meparti23.jpg</t>
  </si>
  <si>
    <t>Z:\nemtode\general\website_mirrors\nematode.unl.edu_2022_09_21\meparti13.jpg</t>
  </si>
  <si>
    <t>Z:\nemtode\general\website_mirrors\nematode.unl.edu_2022_09_21\meparti17.jpg</t>
  </si>
  <si>
    <t>Z:\nemtode\general\website_mirrors\nematode.unl.edu_2022_09_21\meparti19.jpg</t>
  </si>
  <si>
    <t>Z:\nemtode\general\website_mirrors\nematode.unl.edu_2022_09_21\meparti2.jpg</t>
  </si>
  <si>
    <t>Z:\nemtode\general\website_mirrors\nematode.unl.edu_2022_09_21\meparti22.jpg</t>
  </si>
  <si>
    <t>Z:\nemtode\general\website_mirrors\nematode.unl.edu_2022_09_21\meparti4.jpg</t>
  </si>
  <si>
    <t>Z:\nemtode\general\website_mirrors\nematode.unl.edu_2022_09_21\meparti8.jpg</t>
  </si>
  <si>
    <t>Z:\nemtode\general\website_mirrors\nematode.unl.edu_2022_09_21\meparti1.jpg</t>
  </si>
  <si>
    <t>Z:\nemtode\general\website_mirrors\nematode.unl.edu_2022_09_21\meparti12.jpg</t>
  </si>
  <si>
    <t>Z:\nemtode\general\website_mirrors\nematode.unl.edu_2022_09_21\meparti7.jpg</t>
  </si>
  <si>
    <t>Z:\nemtode\general\website_mirrors\nematode.unl.edu_2022_09_21\meparti10.jpg</t>
  </si>
  <si>
    <t>Z:\nemtode\general\website_mirrors\nematode.unl.edu_2022_09_21\meparti15.jpg</t>
  </si>
  <si>
    <t>Z:\nemtode\general\website_mirrors\nematode.unl.edu_2022_09_21\meparti11.jpg</t>
  </si>
  <si>
    <t>Z:\nemtode\general\website_mirrors\nematode.unl.edu_2022_09_21\meparti6.jpg</t>
  </si>
  <si>
    <t>Z:\nemtode\general\website_mirrors\nematode.unl.edu_2022_09_21\meparti14.jpg</t>
  </si>
  <si>
    <t>Z:\nemtode\general\website_mirrors\nematode.unl.edu_2022_09_21\meparti16.jpg</t>
  </si>
  <si>
    <t>Z:\nemtode\general\website_mirrors\nematode.unl.edu_2022_09_21\meparti18.jpg</t>
  </si>
  <si>
    <t>Z:\nemtode\general\website_mirrors\nematode.unl.edu_2022_09_21\meparti21.jpg</t>
  </si>
  <si>
    <t>Z:\nemtode\general\website_mirrors\nematode.unl.edu_2022_09_21\meparti24.jpg</t>
  </si>
  <si>
    <t>Z:\nemtode\general\website_mirrors\nematode.unl.edu_2022_09_21\meparti3.jpg</t>
  </si>
  <si>
    <t>Z:\nemtode\general\website_mirrors\nematode.unl.edu_2022_09_21\meparti5.jpg</t>
  </si>
  <si>
    <t>Z:\nemtode\general\website_mirrors\nematode.unl.edu_2022_09_21\meparti9.jpg</t>
  </si>
  <si>
    <t>Z:\nemtode\general\website_mirrors\nematode.unl.edu_2022_09_21\panag1.jpg</t>
  </si>
  <si>
    <t>Z:\nemtode\general\website_mirrors\nematode.unl.edu_2022_09_21\panasp2.jpg</t>
  </si>
  <si>
    <t>Z:\nemtode\general\website_mirrors\nematode.unl.edu_2022_09_21\panasp5.jpg</t>
  </si>
  <si>
    <t>Z:\nemtode\general\website_mirrors\nematode.unl.edu_2022_09_21\panag11.jpg</t>
  </si>
  <si>
    <t>Z:\nemtode\general\website_mirrors\nematode.unl.edu_2022_09_21\panag13.jpg</t>
  </si>
  <si>
    <t>Z:\nemtode\general\website_mirrors\nematode.unl.edu_2022_09_21\panag14.jpg</t>
  </si>
  <si>
    <t>Z:\nemtode\general\website_mirrors\nematode.unl.edu_2022_09_21\panag16.jpg</t>
  </si>
  <si>
    <t>Z:\nemtode\general\website_mirrors\nematode.unl.edu_2022_09_21\panag7.jpg</t>
  </si>
  <si>
    <t>Z:\nemtode\general\website_mirrors\nematode.unl.edu_2022_09_21\panag8.jpg</t>
  </si>
  <si>
    <t>Z:\nemtode\general\website_mirrors\nematode.unl.edu_2022_09_21\panagro2.jpg</t>
  </si>
  <si>
    <t>Z:\nemtode\general\website_mirrors\nematode.unl.edu_2022_09_21\panasp4.jpg</t>
  </si>
  <si>
    <t>Z:\nemtode\general\website_mirrors\nematode.unl.edu_2022_09_21\panag4.jpg</t>
  </si>
  <si>
    <t>Z:\nemtode\general\website_mirrors\nematode.unl.edu_2022_09_21\panag5.jpg</t>
  </si>
  <si>
    <t>Z:\nemtode\general\website_mirrors\nematode.unl.edu_2022_09_21\panag10.jpg</t>
  </si>
  <si>
    <t>Z:\nemtode\general\website_mirrors\nematode.unl.edu_2022_09_21\panasp1.jpg</t>
  </si>
  <si>
    <t>Z:\nemtode\general\website_mirrors\nematode.unl.edu_2022_09_21\panasp6.jpg</t>
  </si>
  <si>
    <t>Z:\nemtode\general\website_mirrors\nematode.unl.edu_2022_09_21\panag12.jpg</t>
  </si>
  <si>
    <t>Z:\nemtode\general\website_mirrors\nematode.unl.edu_2022_09_21\panag15.jpg</t>
  </si>
  <si>
    <t>Z:\nemtode\general\website_mirrors\nematode.unl.edu_2022_09_21\panag3.jpg</t>
  </si>
  <si>
    <t>Z:\nemtode\general\website_mirrors\nematode.unl.edu_2022_09_21\panag6.jpg</t>
  </si>
  <si>
    <t>Z:\nemtode\general\website_mirrors\nematode.unl.edu_2022_09_21\panag9.jpg</t>
  </si>
  <si>
    <t>Z:\nemtode\general\website_mirrors\nematode.unl.edu_2022_09_21\panagro1.jpg</t>
  </si>
  <si>
    <t>Z:\nemtode\general\website_mirrors\nematode.unl.edu_2022_09_21\panasp3.jpg</t>
  </si>
  <si>
    <t>Z:\nemtode\general\website_mirrors\nematode.unl.edu_2022_09_21\panag2.jpg</t>
  </si>
  <si>
    <t>Z:\nemtode\general\website_mirrors\nematode.unl.edu_2022_09_21\hirsch17.jpg</t>
  </si>
  <si>
    <t>Z:\nemtode\general\website_mirrors\nematode.unl.edu_2022_09_21\hirsch1.jpg</t>
  </si>
  <si>
    <t>Z:\nemtode\general\website_mirrors\nematode.unl.edu_2022_09_21\hirsch14.jpg</t>
  </si>
  <si>
    <t>Z:\nemtode\general\website_mirrors\nematode.unl.edu_2022_09_21\hirsch15.jpg</t>
  </si>
  <si>
    <t>Z:\nemtode\general\website_mirrors\nematode.unl.edu_2022_09_21\hirsch19.jpg</t>
  </si>
  <si>
    <t>Z:\nemtode\general\website_mirrors\nematode.unl.edu_2022_09_21\hirsch6.jpg</t>
  </si>
  <si>
    <t>Z:\nemtode\general\website_mirrors\nematode.unl.edu_2022_09_21\hirsch7.jpg</t>
  </si>
  <si>
    <t>Z:\nemtode\general\website_mirrors\nematode.unl.edu_2022_09_21\hirsch9.jpg</t>
  </si>
  <si>
    <t>Z:\nemtode\general\website_mirrors\nematode.unl.edu_2022_09_21\hirsch11.jpg</t>
  </si>
  <si>
    <t>Z:\nemtode\general\website_mirrors\nematode.unl.edu_2022_09_21\hirsch12.jpg</t>
  </si>
  <si>
    <t>Z:\nemtode\general\website_mirrors\nematode.unl.edu_2022_09_21\hirsch2.jpg</t>
  </si>
  <si>
    <t>Z:\nemtode\general\website_mirrors\nematode.unl.edu_2022_09_21\hirsch3.jpg</t>
  </si>
  <si>
    <t>Z:\nemtode\general\website_mirrors\nematode.unl.edu_2022_09_21\hirsch13.jpg</t>
  </si>
  <si>
    <t>Z:\nemtode\general\website_mirrors\nematode.unl.edu_2022_09_21\hirsch18.jpg</t>
  </si>
  <si>
    <t>Z:\nemtode\general\website_mirrors\nematode.unl.edu_2022_09_21\hirsch20.jpg</t>
  </si>
  <si>
    <t>Z:\nemtode\general\website_mirrors\nematode.unl.edu_2022_09_21\hirsch5.jpg</t>
  </si>
  <si>
    <t>Z:\nemtode\general\website_mirrors\nematode.unl.edu_2022_09_21\hirsch8.jpg</t>
  </si>
  <si>
    <t>Z:\nemtode\general\website_mirrors\nematode.unl.edu_2022_09_21\hirsch16.jpg</t>
  </si>
  <si>
    <t>Z:\nemtode\general\website_mirrors\nematode.unl.edu_2022_09_21\hirsch10.jpg</t>
  </si>
  <si>
    <t>Z:\nemtode\general\website_mirrors\nematode.unl.edu_2022_09_21\hirsch4.jpg</t>
  </si>
  <si>
    <t>Z:\nemtode\general\website_mirrors\nematode.unl.edu_2022_09_21\naberra2.jpg</t>
  </si>
  <si>
    <t>Z:\nemtode\general\website_mirrors\nematode.unl.edu_2022_09_21\naberra5.jpg</t>
  </si>
  <si>
    <t>Z:\nemtode\general\website_mirrors\nematode.unl.edu_2022_09_21\naberra11.jpg</t>
  </si>
  <si>
    <t>Z:\nemtode\general\website_mirrors\nematode.unl.edu_2022_09_21\naberra16.jpg</t>
  </si>
  <si>
    <t>Z:\nemtode\general\website_mirrors\nematode.unl.edu_2022_09_21\naberra6.jpg</t>
  </si>
  <si>
    <t>Z:\nemtode\general\website_mirrors\nematode.unl.edu_2022_09_21\naberra1.jpg</t>
  </si>
  <si>
    <t>Z:\nemtode\general\website_mirrors\nematode.unl.edu_2022_09_21\naberra10.jpg</t>
  </si>
  <si>
    <t>Z:\nemtode\general\website_mirrors\nematode.unl.edu_2022_09_21\naberra15.jpg</t>
  </si>
  <si>
    <t>Z:\nemtode\general\website_mirrors\nematode.unl.edu_2022_09_21\naberra7.jpg</t>
  </si>
  <si>
    <t>Z:\nemtode\general\website_mirrors\nematode.unl.edu_2022_09_21\naberra8.jpg</t>
  </si>
  <si>
    <t>Z:\nemtode\general\website_mirrors\nematode.unl.edu_2022_09_21\naberra9.jpg</t>
  </si>
  <si>
    <t>Z:\nemtode\general\website_mirrors\nematode.unl.edu_2022_09_21\naberra12.jpg</t>
  </si>
  <si>
    <t>Z:\nemtode\general\website_mirrors\nematode.unl.edu_2022_09_21\naberra13.jpg</t>
  </si>
  <si>
    <t>Z:\nemtode\general\website_mirrors\nematode.unl.edu_2022_09_21\naberra4.jpg</t>
  </si>
  <si>
    <t>Z:\nemtode\general\website_mirrors\nematode.unl.edu_2022_09_21\naberra14.jpg</t>
  </si>
  <si>
    <t>Z:\nemtode\general\website_mirrors\nematode.unl.edu_2022_09_21\naberra17.jpg</t>
  </si>
  <si>
    <t>Z:\nemtode\general\website_mirrors\nematode.unl.edu_2022_09_21\naberra3.jpg</t>
  </si>
  <si>
    <t>Z:\nemtode\general\website_mirrors\nematode.unl.edu_2022_09_21\pratyque1.jpg</t>
  </si>
  <si>
    <t>Z:\nemtode\general\website_mirrors\nematode.unl.edu_2022_09_21\pratycan2.jpg</t>
  </si>
  <si>
    <t>Z:\nemtode\general\website_mirrors\nematode.unl.edu_2022_09_21\pratycan3.jpg</t>
  </si>
  <si>
    <t>Z:\nemtode\general\website_mirrors\nematode.unl.edu_2022_09_21\pratycan7.jpg</t>
  </si>
  <si>
    <t>Z:\nemtode\general\website_mirrors\nematode.unl.edu_2022_09_21\prathm1.jpg</t>
  </si>
  <si>
    <t>Z:\nemtode\general\website_mirrors\nematode.unl.edu_2022_09_21\prathm2.jpg</t>
  </si>
  <si>
    <t>Z:\nemtode\general\website_mirrors\nematode.unl.edu_2022_09_21\prathom2.jpg</t>
  </si>
  <si>
    <t>Z:\nemtode\general\website_mirrors\nematode.unl.edu_2022_09_21\prathom4.jpg</t>
  </si>
  <si>
    <t>Z:\nemtode\general\website_mirrors\nematode.unl.edu_2022_09_21\pratys10.jpg</t>
  </si>
  <si>
    <t>Z:\nemtode\general\website_mirrors\nematode.unl.edu_2022_09_21\pratys2.jpg</t>
  </si>
  <si>
    <t>Z:\nemtode\general\website_mirrors\nematode.unl.edu_2022_09_21\pratys4.jpg</t>
  </si>
  <si>
    <t>Z:\nemtode\general\website_mirrors\nematode.unl.edu_2022_09_21\pratys7.jpg</t>
  </si>
  <si>
    <t>Z:\nemtode\general\website_mirrors\nematode.unl.edu_2022_09_21\pratywis10.jpg</t>
  </si>
  <si>
    <t>Z:\nemtode\general\website_mirrors\nematode.unl.edu_2022_09_21\pratywis14.jpg</t>
  </si>
  <si>
    <t>Z:\nemtode\general\website_mirrors\nematode.unl.edu_2022_09_21\pratywis16.jpg</t>
  </si>
  <si>
    <t>Z:\nemtode\general\website_mirrors\nematode.unl.edu_2022_09_21\pratywis18.jpg</t>
  </si>
  <si>
    <t>Z:\nemtode\general\website_mirrors\nematode.unl.edu_2022_09_21\pratywis2.jpg</t>
  </si>
  <si>
    <t>Z:\nemtode\general\website_mirrors\nematode.unl.edu_2022_09_21\pratywis20.jpg</t>
  </si>
  <si>
    <t>Z:\nemtode\general\website_mirrors\nematode.unl.edu_2022_09_21\pratywis23.jpg</t>
  </si>
  <si>
    <t>Z:\nemtode\general\website_mirrors\nematode.unl.edu_2022_09_21\pratywis27.jpg</t>
  </si>
  <si>
    <t>Z:\nemtode\general\website_mirrors\nematode.unl.edu_2022_09_21\pratywis4.jpg</t>
  </si>
  <si>
    <t>Z:\nemtode\general\website_mirrors\nematode.unl.edu_2022_09_21\pratywis8.jpg</t>
  </si>
  <si>
    <t>Z:\nemtode\general\website_mirrors\nematode.unl.edu_2022_09_21\pscri11.jpg</t>
  </si>
  <si>
    <t>Z:\nemtode\general\website_mirrors\nematode.unl.edu_2022_09_21\pscri12.jpg</t>
  </si>
  <si>
    <t>Z:\nemtode\general\website_mirrors\nematode.unl.edu_2022_09_21\pscri16.jpg</t>
  </si>
  <si>
    <t>Z:\nemtode\general\website_mirrors\nematode.unl.edu_2022_09_21\pscri19.jpg</t>
  </si>
  <si>
    <t>Z:\nemtode\general\website_mirrors\nematode.unl.edu_2022_09_21\pscri21.jpg</t>
  </si>
  <si>
    <t>Z:\nemtode\general\website_mirrors\nematode.unl.edu_2022_09_21\pscri3.jpg</t>
  </si>
  <si>
    <t>Z:\nemtode\general\website_mirrors\nematode.unl.edu_2022_09_21\pscri8.jpg</t>
  </si>
  <si>
    <t>Z:\nemtode\general\website_mirrors\nematode.unl.edu_2022_09_21\pscri5.jpg</t>
  </si>
  <si>
    <t>Z:\nemtode\general\website_mirrors\nematode.unl.edu_2022_09_21\pscri13.jpg</t>
  </si>
  <si>
    <t>Z:\nemtode\general\website_mirrors\nematode.unl.edu_2022_09_21\pscri6.jpg</t>
  </si>
  <si>
    <t>Z:\nemtode\general\website_mirrors\nematode.unl.edu_2022_09_21\pratycan1.jpg</t>
  </si>
  <si>
    <t>Z:\nemtode\general\website_mirrors\nematode.unl.edu_2022_09_21\pratycan6.jpg</t>
  </si>
  <si>
    <t>Z:\nemtode\general\website_mirrors\nematode.unl.edu_2022_09_21\prathom1.jpg</t>
  </si>
  <si>
    <t>Z:\nemtode\general\website_mirrors\nematode.unl.edu_2022_09_21\pratys1.jpg</t>
  </si>
  <si>
    <t>Z:\nemtode\general\website_mirrors\nematode.unl.edu_2022_09_21\pratys6.jpg</t>
  </si>
  <si>
    <t>Z:\nemtode\general\website_mirrors\nematode.unl.edu_2022_09_21\pratywis1.jpg</t>
  </si>
  <si>
    <t>Z:\nemtode\general\website_mirrors\nematode.unl.edu_2022_09_21\pratywis22.jpg</t>
  </si>
  <si>
    <t>Z:\nemtode\general\website_mirrors\nematode.unl.edu_2022_09_21\pratywis26.jpg</t>
  </si>
  <si>
    <t>Z:\nemtode\general\website_mirrors\nematode.unl.edu_2022_09_21\pratywis7.jpg</t>
  </si>
  <si>
    <t>Z:\nemtode\general\website_mirrors\nematode.unl.edu_2022_09_21\pscri10.jpg</t>
  </si>
  <si>
    <t>Z:\nemtode\general\website_mirrors\nematode.unl.edu_2022_09_21\pscri18.jpg</t>
  </si>
  <si>
    <t>Z:\nemtode\general\website_mirrors\nematode.unl.edu_2022_09_21\pratycan8.jpg</t>
  </si>
  <si>
    <t>Z:\nemtode\general\website_mirrors\nematode.unl.edu_2022_09_21\prathom5.jpg</t>
  </si>
  <si>
    <t>Z:\nemtode\general\website_mirrors\nematode.unl.edu_2022_09_21\pratywis11.jpg</t>
  </si>
  <si>
    <t>Z:\nemtode\general\website_mirrors\nematode.unl.edu_2022_09_21\pratywis24.jpg</t>
  </si>
  <si>
    <t>Z:\nemtode\general\website_mirrors\nematode.unl.edu_2022_09_21\pratywis29.jpg</t>
  </si>
  <si>
    <t>Z:\nemtode\general\website_mirrors\nematode.unl.edu_2022_09_21\pscri14.jpg</t>
  </si>
  <si>
    <t>Z:\nemtode\general\website_mirrors\nematode.unl.edu_2022_09_21\pscri24.jpg</t>
  </si>
  <si>
    <t>Z:\nemtode\general\website_mirrors\nematode.unl.edu_2022_09_21\pscri25.jpg</t>
  </si>
  <si>
    <t>Z:\nemtode\general\website_mirrors\nematode.unl.edu_2022_09_21\pscri4.jpg</t>
  </si>
  <si>
    <t>Z:\nemtode\general\website_mirrors\nematode.unl.edu_2022_09_21\pratywis12.jpg</t>
  </si>
  <si>
    <t>Z:\nemtode\general\website_mirrors\nematode.unl.edu_2022_09_21\pratywis28.jpg</t>
  </si>
  <si>
    <t>Z:\nemtode\general\website_mirrors\nematode.unl.edu_2022_09_21\pratywis5.jpg</t>
  </si>
  <si>
    <t>Z:\nemtode\general\website_mirrors\nematode.unl.edu_2022_09_21\pscri23.jpg</t>
  </si>
  <si>
    <t>Z:\nemtode\general\website_mirrors\nematode.unl.edu_2022_09_21\pscri9.jpg</t>
  </si>
  <si>
    <t>Z:\nemtode\general\website_mirrors\nematode.unl.edu_2022_09_21\pratycan4.jpg</t>
  </si>
  <si>
    <t>Z:\nemtode\general\website_mirrors\nematode.unl.edu_2022_09_21\prathom3.jpg</t>
  </si>
  <si>
    <t>Z:\nemtode\general\website_mirrors\nematode.unl.edu_2022_09_21\pratys3.jpg</t>
  </si>
  <si>
    <t>Z:\nemtode\general\website_mirrors\nematode.unl.edu_2022_09_21\pratys5.jpg</t>
  </si>
  <si>
    <t>Z:\nemtode\general\website_mirrors\nematode.unl.edu_2022_09_21\pratys9.jpg</t>
  </si>
  <si>
    <t>Z:\nemtode\general\website_mirrors\nematode.unl.edu_2022_09_21\pratywis13.jpg</t>
  </si>
  <si>
    <t>Z:\nemtode\general\website_mirrors\nematode.unl.edu_2022_09_21\pratywis15.jpg</t>
  </si>
  <si>
    <t>Z:\nemtode\general\website_mirrors\nematode.unl.edu_2022_09_21\pratywis17.jpg</t>
  </si>
  <si>
    <t>Z:\nemtode\general\website_mirrors\nematode.unl.edu_2022_09_21\pratywis19.jpg</t>
  </si>
  <si>
    <t>Z:\nemtode\general\website_mirrors\nematode.unl.edu_2022_09_21\pratywis21.jpg</t>
  </si>
  <si>
    <t>Z:\nemtode\general\website_mirrors\nematode.unl.edu_2022_09_21\pratywis25.jpg</t>
  </si>
  <si>
    <t>Z:\nemtode\general\website_mirrors\nematode.unl.edu_2022_09_21\pratywis3.jpg</t>
  </si>
  <si>
    <t>Z:\nemtode\general\website_mirrors\nematode.unl.edu_2022_09_21\pratywis30.jpg</t>
  </si>
  <si>
    <t>Z:\nemtode\general\website_mirrors\nematode.unl.edu_2022_09_21\pratywis6.jpg</t>
  </si>
  <si>
    <t>Z:\nemtode\general\website_mirrors\nematode.unl.edu_2022_09_21\pratywis9.jpg</t>
  </si>
  <si>
    <t>Z:\nemtode\general\website_mirrors\nematode.unl.edu_2022_09_21\pscri1.jpg</t>
  </si>
  <si>
    <t>Z:\nemtode\general\website_mirrors\nematode.unl.edu_2022_09_21\pscri15.jpg</t>
  </si>
  <si>
    <t>Z:\nemtode\general\website_mirrors\nematode.unl.edu_2022_09_21\pscri17.jpg</t>
  </si>
  <si>
    <t>Z:\nemtode\general\website_mirrors\nematode.unl.edu_2022_09_21\pscri22.jpg</t>
  </si>
  <si>
    <t>Z:\nemtode\general\website_mirrors\nematode.unl.edu_2022_09_21\pscri7.jpg</t>
  </si>
  <si>
    <t>Z:\nemtode\general\website_mirrors\nematode.unl.edu_2022_09_21\pratycan5.jpg</t>
  </si>
  <si>
    <t>Z:\nemtode\general\website_mirrors\nematode.unl.edu_2022_09_21\pratys8.jpg</t>
  </si>
  <si>
    <t>Z:\nemtode\general\website_mirrors\nematode.unl.edu_2022_09_21\pscri2.jpg</t>
  </si>
  <si>
    <t>Z:\nemtode\general\website_mirrors\nematode.unl.edu_2022_09_21\pscri20.jpg</t>
  </si>
  <si>
    <t>Z:\nemtode\general\website_mirrors\nematode.unl.edu_2022_09_21\pagil3.jpg</t>
  </si>
  <si>
    <t>Z:\nemtode\general\website_mirrors\nematode.unl.edu_2022_09_21\pagil1.jpg</t>
  </si>
  <si>
    <t>Z:\nemtode\general\website_mirrors\nematode.unl.edu_2022_09_21\pagilcmp.jpg</t>
  </si>
  <si>
    <t>Z:\nemtode\general\website_mirrors\nematode.unl.edu_2022_09_21\pagil2.jpg</t>
  </si>
  <si>
    <t>Z:\nemtode\general\website_mirrors\nematode.unl.edu_2022_09_21\pagil4.jpg</t>
  </si>
  <si>
    <t>Z:\nemtode\general\website_mirrors\nematode.unl.edu_2022_09_21\pagil6.jpg</t>
  </si>
  <si>
    <t>Z:\nemtode\general\website_mirrors\nematode.unl.edu_2022_09_21\pagil5.jpg</t>
  </si>
  <si>
    <t>Z:\nemtode\general\website_mirrors\nematode.unl.edu_2022_09_21\pallen12.jpg</t>
  </si>
  <si>
    <t>Z:\nemtode\general\website_mirrors\nematode.unl.edu_2022_09_21\pallen16.jpg</t>
  </si>
  <si>
    <t>Z:\nemtode\general\website_mirrors\nematode.unl.edu_2022_09_21\pallen18.jpg</t>
  </si>
  <si>
    <t>Z:\nemtode\general\website_mirrors\nematode.unl.edu_2022_09_21\pallen3.jpg</t>
  </si>
  <si>
    <t>Z:\nemtode\general\website_mirrors\nematode.unl.edu_2022_09_21\pallen6.jpg</t>
  </si>
  <si>
    <t>Z:\nemtode\general\website_mirrors\nematode.unl.edu_2022_09_21\pallen8.jpg</t>
  </si>
  <si>
    <t>Z:\nemtode\general\website_mirrors\nematode.unl.edu_2022_09_21\pralle2.jpg</t>
  </si>
  <si>
    <t>Z:\nemtode\general\website_mirrors\nematode.unl.edu_2022_09_21\pralle4.jpg</t>
  </si>
  <si>
    <t>Z:\nemtode\general\website_mirrors\nematode.unl.edu_2022_09_21\pallen14.jpg</t>
  </si>
  <si>
    <t>Z:\nemtode\general\website_mirrors\nematode.unl.edu_2022_09_21\pallen5.jpg</t>
  </si>
  <si>
    <t>Z:\nemtode\general\website_mirrors\nematode.unl.edu_2022_09_21\pralle1.jpg</t>
  </si>
  <si>
    <t>Z:\nemtode\general\website_mirrors\nematode.unl.edu_2022_09_21\pallen11.jpg</t>
  </si>
  <si>
    <t>Z:\nemtode\general\website_mirrors\nematode.unl.edu_2022_09_21\pallen13.jpg</t>
  </si>
  <si>
    <t>Z:\nemtode\general\website_mirrors\nematode.unl.edu_2022_09_21\pallen19.jpg</t>
  </si>
  <si>
    <t>Z:\nemtode\general\website_mirrors\nematode.unl.edu_2022_09_21\pallen4.jpg</t>
  </si>
  <si>
    <t>Z:\nemtode\general\website_mirrors\nematode.unl.edu_2022_09_21\pallen9.jpg</t>
  </si>
  <si>
    <t>Z:\nemtode\general\website_mirrors\nematode.unl.edu_2022_09_21\pallen1.jpg</t>
  </si>
  <si>
    <t>Z:\nemtode\general\website_mirrors\nematode.unl.edu_2022_09_21\pallen10.jpg</t>
  </si>
  <si>
    <t>Z:\nemtode\general\website_mirrors\nematode.unl.edu_2022_09_21\pallen15.jpg</t>
  </si>
  <si>
    <t>Z:\nemtode\general\website_mirrors\nematode.unl.edu_2022_09_21\pallen17.jpg</t>
  </si>
  <si>
    <t>Z:\nemtode\general\website_mirrors\nematode.unl.edu_2022_09_21\pallen7.jpg</t>
  </si>
  <si>
    <t>Z:\nemtode\general\website_mirrors\nematode.unl.edu_2022_09_21\pralle3.jpg</t>
  </si>
  <si>
    <t>Z:\nemtode\general\website_mirrors\nematode.unl.edu_2022_09_21\pralle5.jpg</t>
  </si>
  <si>
    <t>Z:\nemtode\general\website_mirrors\nematode.unl.edu_2022_09_21\pallen2.jpg</t>
  </si>
  <si>
    <t>Z:\nemtode\general\website_mirrors\nematode.unl.edu_2022_09_21\pracoff20.jpg</t>
  </si>
  <si>
    <t>Z:\nemtode\general\website_mirrors\nematode.unl.edu_2022_09_21\pracoff1.jpg</t>
  </si>
  <si>
    <t>Z:\nemtode\general\website_mirrors\nematode.unl.edu_2022_09_21\pracoff11.jpg</t>
  </si>
  <si>
    <t>Z:\nemtode\general\website_mirrors\nematode.unl.edu_2022_09_21\pracoff12.jpg</t>
  </si>
  <si>
    <t>Z:\nemtode\general\website_mirrors\nematode.unl.edu_2022_09_21\pracoff4.jpg</t>
  </si>
  <si>
    <t>Z:\nemtode\general\website_mirrors\nematode.unl.edu_2022_09_21\pracoff18.jpg</t>
  </si>
  <si>
    <t>Z:\nemtode\general\website_mirrors\nematode.unl.edu_2022_09_21\pracoff16.jpg</t>
  </si>
  <si>
    <t>Z:\nemtode\general\website_mirrors\nematode.unl.edu_2022_09_21\pracoff7.jpg</t>
  </si>
  <si>
    <t>Z:\nemtode\general\website_mirrors\nematode.unl.edu_2022_09_21\pracoff17.jpg</t>
  </si>
  <si>
    <t>Z:\nemtode\general\website_mirrors\nematode.unl.edu_2022_09_21\pracoff2.jpg</t>
  </si>
  <si>
    <t>Z:\nemtode\general\website_mirrors\nematode.unl.edu_2022_09_21\pracoff8.jpg</t>
  </si>
  <si>
    <t>Z:\nemtode\general\website_mirrors\nematode.unl.edu_2022_09_21\pracoff5.jpg</t>
  </si>
  <si>
    <t>Z:\nemtode\general\website_mirrors\nematode.unl.edu_2022_09_21\pracoff3.jpg</t>
  </si>
  <si>
    <t>Z:\nemtode\general\website_mirrors\nematode.unl.edu_2022_09_21\pracoff9.jpg</t>
  </si>
  <si>
    <t>Z:\nemtode\general\website_mirrors\nematode.unl.edu_2022_09_21\pracoff13.jpg</t>
  </si>
  <si>
    <t>Z:\nemtode\general\website_mirrors\nematode.unl.edu_2022_09_21\pracoff19.jpg</t>
  </si>
  <si>
    <t>Z:\nemtode\general\website_mirrors\nematode.unl.edu_2022_09_21\pracoff6.jpg</t>
  </si>
  <si>
    <t>Z:\nemtode\general\website_mirrors\nematode.unl.edu_2022_09_21\pracoff10.jpg</t>
  </si>
  <si>
    <t>Z:\nemtode\general\website_mirrors\nematode.unl.edu_2022_09_21\praconva11.jpg</t>
  </si>
  <si>
    <t>Z:\nemtode\general\website_mirrors\nematode.unl.edu_2022_09_21\praconva12.jpg</t>
  </si>
  <si>
    <t>Z:\nemtode\general\website_mirrors\nematode.unl.edu_2022_09_21\praconva2.jpg</t>
  </si>
  <si>
    <t>Z:\nemtode\general\website_mirrors\nematode.unl.edu_2022_09_21\praconva6.jpg</t>
  </si>
  <si>
    <t>Z:\nemtode\general\website_mirrors\nematode.unl.edu_2022_09_21\praconva1.jpg</t>
  </si>
  <si>
    <t>Z:\nemtode\general\website_mirrors\nematode.unl.edu_2022_09_21\praconva9.jpg</t>
  </si>
  <si>
    <t>Z:\nemtode\general\website_mirrors\nematode.unl.edu_2022_09_21\praconva8.jpg</t>
  </si>
  <si>
    <t>Z:\nemtode\general\website_mirrors\nematode.unl.edu_2022_09_21\praconva4.jpg</t>
  </si>
  <si>
    <t>Z:\nemtode\general\website_mirrors\nematode.unl.edu_2022_09_21\praconva13.jpg</t>
  </si>
  <si>
    <t>Z:\nemtode\general\website_mirrors\nematode.unl.edu_2022_09_21\praconva3.jpg</t>
  </si>
  <si>
    <t>Z:\nemtode\general\website_mirrors\nematode.unl.edu_2022_09_21\praconva7.jpg</t>
  </si>
  <si>
    <t>Z:\nemtode\general\website_mirrors\nematode.unl.edu_2022_09_21\praconva10.jpg</t>
  </si>
  <si>
    <t>Z:\nemtode\general\website_mirrors\nematode.unl.edu_2022_09_21\praconva5.jpg</t>
  </si>
  <si>
    <t>Z:\nemtode\general\website_mirrors\nematode.unl.edu_2022_09_21\pracren12.jpg</t>
  </si>
  <si>
    <t>Z:\nemtode\general\website_mirrors\nematode.unl.edu_2022_09_21\pracren1.jpg</t>
  </si>
  <si>
    <t>Z:\nemtode\general\website_mirrors\nematode.unl.edu_2022_09_21\pracren10.jpg</t>
  </si>
  <si>
    <t>Z:\nemtode\general\website_mirrors\nematode.unl.edu_2022_09_21\pracren19.jpg</t>
  </si>
  <si>
    <t>Z:\nemtode\general\website_mirrors\nematode.unl.edu_2022_09_21\pracren2.jpg</t>
  </si>
  <si>
    <t>Z:\nemtode\general\website_mirrors\nematode.unl.edu_2022_09_21\pracren6.jpg</t>
  </si>
  <si>
    <t>Z:\nemtode\general\website_mirrors\nematode.unl.edu_2022_09_21\pracren8.jpg</t>
  </si>
  <si>
    <t>Z:\nemtode\general\website_mirrors\nematode.unl.edu_2022_09_21\pracren4.jpg</t>
  </si>
  <si>
    <t>Z:\nemtode\general\website_mirrors\nematode.unl.edu_2022_09_21\pracren16.jpg</t>
  </si>
  <si>
    <t>Z:\nemtode\general\website_mirrors\nematode.unl.edu_2022_09_21\pracren17.jpg</t>
  </si>
  <si>
    <t>Z:\nemtode\general\website_mirrors\nematode.unl.edu_2022_09_21\pracren15.jpg</t>
  </si>
  <si>
    <t>Z:\nemtode\general\website_mirrors\nematode.unl.edu_2022_09_21\pracren5.jpg</t>
  </si>
  <si>
    <t>Z:\nemtode\general\website_mirrors\nematode.unl.edu_2022_09_21\pracren21.jpg</t>
  </si>
  <si>
    <t>Z:\nemtode\general\website_mirrors\nematode.unl.edu_2022_09_21\pracren14.jpg</t>
  </si>
  <si>
    <t>Z:\nemtode\general\website_mirrors\nematode.unl.edu_2022_09_21\pracren13.jpg</t>
  </si>
  <si>
    <t>Z:\nemtode\general\website_mirrors\nematode.unl.edu_2022_09_21\pracren11.jpg</t>
  </si>
  <si>
    <t>Z:\nemtode\general\website_mirrors\nematode.unl.edu_2022_09_21\pracren18.jpg</t>
  </si>
  <si>
    <t>Z:\nemtode\general\website_mirrors\nematode.unl.edu_2022_09_21\pracren20.jpg</t>
  </si>
  <si>
    <t>Z:\nemtode\general\website_mirrors\nematode.unl.edu_2022_09_21\pracren3.jpg</t>
  </si>
  <si>
    <t>Z:\nemtode\general\website_mirrors\nematode.unl.edu_2022_09_21\pracren7.jpg</t>
  </si>
  <si>
    <t>Z:\nemtode\general\website_mirrors\nematode.unl.edu_2022_09_21\pracren9.jpg</t>
  </si>
  <si>
    <t>Z:\nemtode\general\website_mirrors\nematode.unl.edu_2022_09_21\pratfall4.jpg</t>
  </si>
  <si>
    <t>Z:\nemtode\general\website_mirrors\nematode.unl.edu_2022_09_21\pratfall1.jpg</t>
  </si>
  <si>
    <t>Z:\nemtode\general\website_mirrors\nematode.unl.edu_2022_09_21\pratfall2.jpg</t>
  </si>
  <si>
    <t>Z:\nemtode\general\website_mirrors\nematode.unl.edu_2022_09_21\pratfall3.jpg</t>
  </si>
  <si>
    <t>Z:\nemtode\general\website_mirrors\nematode.unl.edu_2022_09_21\praflak11.jpg</t>
  </si>
  <si>
    <t>Z:\nemtode\general\website_mirrors\nematode.unl.edu_2022_09_21\praflak2.jpg</t>
  </si>
  <si>
    <t>Z:\nemtode\general\website_mirrors\nematode.unl.edu_2022_09_21\praflak5.jpg</t>
  </si>
  <si>
    <t>Z:\nemtode\general\website_mirrors\nematode.unl.edu_2022_09_21\praflak7.jpg</t>
  </si>
  <si>
    <t>Z:\nemtode\general\website_mirrors\nematode.unl.edu_2022_09_21\praflak9.jpg</t>
  </si>
  <si>
    <t>Z:\nemtode\general\website_mirrors\nematode.unl.edu_2022_09_21\pflak14.jpg</t>
  </si>
  <si>
    <t>Z:\nemtode\general\website_mirrors\nematode.unl.edu_2022_09_21\pflak15.jpg</t>
  </si>
  <si>
    <t>Z:\nemtode\general\website_mirrors\nematode.unl.edu_2022_09_21\pflak23.jpg</t>
  </si>
  <si>
    <t>Z:\nemtode\general\website_mirrors\nematode.unl.edu_2022_09_21\pflak25.jpg</t>
  </si>
  <si>
    <t>Z:\nemtode\general\website_mirrors\nematode.unl.edu_2022_09_21\pflak30.jpg</t>
  </si>
  <si>
    <t>Z:\nemtode\general\website_mirrors\nematode.unl.edu_2022_09_21\pflak32.jpg</t>
  </si>
  <si>
    <t>Z:\nemtode\general\website_mirrors\nematode.unl.edu_2022_09_21\pflak34.jpg</t>
  </si>
  <si>
    <t>Z:\nemtode\general\website_mirrors\nematode.unl.edu_2022_09_21\pflak35.jpg</t>
  </si>
  <si>
    <t>Z:\nemtode\general\website_mirrors\nematode.unl.edu_2022_09_21\pflak40.jpg</t>
  </si>
  <si>
    <t>Z:\nemtode\general\website_mirrors\nematode.unl.edu_2022_09_21\pflak42.jpg</t>
  </si>
  <si>
    <t>Z:\nemtode\general\website_mirrors\nematode.unl.edu_2022_09_21\pflak46.jpg</t>
  </si>
  <si>
    <t>Z:\nemtode\general\website_mirrors\nematode.unl.edu_2022_09_21\pflak48.jpg</t>
  </si>
  <si>
    <t>Z:\nemtode\general\website_mirrors\nematode.unl.edu_2022_09_21\pflak6.jpg</t>
  </si>
  <si>
    <t>Z:\nemtode\general\website_mirrors\nematode.unl.edu_2022_09_21\pflak8.jpg</t>
  </si>
  <si>
    <t>Z:\nemtode\general\website_mirrors\nematode.unl.edu_2022_09_21\pflak9.jpg</t>
  </si>
  <si>
    <t>Z:\nemtode\general\website_mirrors\nematode.unl.edu_2022_09_21\pflak18.jpg</t>
  </si>
  <si>
    <t>Z:\nemtode\general\website_mirrors\nematode.unl.edu_2022_09_21\praflak1.jpg</t>
  </si>
  <si>
    <t>Z:\nemtode\general\website_mirrors\nematode.unl.edu_2022_09_21\praflak4.jpg</t>
  </si>
  <si>
    <t>Z:\nemtode\general\website_mirrors\nematode.unl.edu_2022_09_21\pflak1.jpg</t>
  </si>
  <si>
    <t>Z:\nemtode\general\website_mirrors\nematode.unl.edu_2022_09_21\pflak12.jpg</t>
  </si>
  <si>
    <t>Z:\nemtode\general\website_mirrors\nematode.unl.edu_2022_09_21\pflak20.jpg</t>
  </si>
  <si>
    <t>Z:\nemtode\general\website_mirrors\nematode.unl.edu_2022_09_21\pflak31.jpg</t>
  </si>
  <si>
    <t>Z:\nemtode\general\website_mirrors\nematode.unl.edu_2022_09_21\pflak39.jpg</t>
  </si>
  <si>
    <t>Z:\nemtode\general\website_mirrors\nematode.unl.edu_2022_09_21\pflak45.jpg</t>
  </si>
  <si>
    <t>Z:\nemtode\general\website_mirrors\nematode.unl.edu_2022_09_21\pflak17.jpg</t>
  </si>
  <si>
    <t>Z:\nemtode\general\website_mirrors\nematode.unl.edu_2022_09_21\pflak19.jpg</t>
  </si>
  <si>
    <t>Z:\nemtode\general\website_mirrors\nematode.unl.edu_2022_09_21\pflak21.jpg</t>
  </si>
  <si>
    <t>Z:\nemtode\general\website_mirrors\nematode.unl.edu_2022_09_21\pflak24.jpg</t>
  </si>
  <si>
    <t>Z:\nemtode\general\website_mirrors\nematode.unl.edu_2022_09_21\pflak29.jpg</t>
  </si>
  <si>
    <t>Z:\nemtode\general\website_mirrors\nematode.unl.edu_2022_09_21\pflak3.jpg</t>
  </si>
  <si>
    <t>Z:\nemtode\general\website_mirrors\nematode.unl.edu_2022_09_21\pflak37.jpg</t>
  </si>
  <si>
    <t>Z:\nemtode\general\website_mirrors\nematode.unl.edu_2022_09_21\pflak11.jpg</t>
  </si>
  <si>
    <t>Z:\nemtode\general\website_mirrors\nematode.unl.edu_2022_09_21\pflak26.jpg</t>
  </si>
  <si>
    <t>Z:\nemtode\general\website_mirrors\nematode.unl.edu_2022_09_21\pflak28.jpg</t>
  </si>
  <si>
    <t>Z:\nemtode\general\website_mirrors\nematode.unl.edu_2022_09_21\pflak36.jpg</t>
  </si>
  <si>
    <t>Z:\nemtode\general\website_mirrors\nematode.unl.edu_2022_09_21\pflak43.jpg</t>
  </si>
  <si>
    <t>Z:\nemtode\general\website_mirrors\nematode.unl.edu_2022_09_21\pflak49.jpg</t>
  </si>
  <si>
    <t>Z:\nemtode\general\website_mirrors\nematode.unl.edu_2022_09_21\pflak5.jpg</t>
  </si>
  <si>
    <t>Z:\nemtode\general\website_mirrors\nematode.unl.edu_2022_09_21\pflak13.jpg</t>
  </si>
  <si>
    <t>Z:\nemtode\general\website_mirrors\nematode.unl.edu_2022_09_21\pflak16.jpg</t>
  </si>
  <si>
    <t>Z:\nemtode\general\website_mirrors\nematode.unl.edu_2022_09_21\praflak10.jpg</t>
  </si>
  <si>
    <t>Z:\nemtode\general\website_mirrors\nematode.unl.edu_2022_09_21\praflak3.jpg</t>
  </si>
  <si>
    <t>Z:\nemtode\general\website_mirrors\nematode.unl.edu_2022_09_21\praflak6.jpg</t>
  </si>
  <si>
    <t>Z:\nemtode\general\website_mirrors\nematode.unl.edu_2022_09_21\praflak8.jpg</t>
  </si>
  <si>
    <t>Z:\nemtode\general\website_mirrors\nematode.unl.edu_2022_09_21\pflak10.jpg</t>
  </si>
  <si>
    <t>Z:\nemtode\general\website_mirrors\nematode.unl.edu_2022_09_21\pflak2.jpg</t>
  </si>
  <si>
    <t>Z:\nemtode\general\website_mirrors\nematode.unl.edu_2022_09_21\pflak22.jpg</t>
  </si>
  <si>
    <t>Z:\nemtode\general\website_mirrors\nematode.unl.edu_2022_09_21\pflak27.jpg</t>
  </si>
  <si>
    <t>Z:\nemtode\general\website_mirrors\nematode.unl.edu_2022_09_21\pflak33.jpg</t>
  </si>
  <si>
    <t>Z:\nemtode\general\website_mirrors\nematode.unl.edu_2022_09_21\pflak38.jpg</t>
  </si>
  <si>
    <t>Z:\nemtode\general\website_mirrors\nematode.unl.edu_2022_09_21\pflak4.jpg</t>
  </si>
  <si>
    <t>Z:\nemtode\general\website_mirrors\nematode.unl.edu_2022_09_21\pflak41.jpg</t>
  </si>
  <si>
    <t>Z:\nemtode\general\website_mirrors\nematode.unl.edu_2022_09_21\pflak44.jpg</t>
  </si>
  <si>
    <t>Z:\nemtode\general\website_mirrors\nematode.unl.edu_2022_09_21\pflak47.jpg</t>
  </si>
  <si>
    <t>Z:\nemtode\general\website_mirrors\nematode.unl.edu_2022_09_21\pflak50.jpg</t>
  </si>
  <si>
    <t>Z:\nemtode\general\website_mirrors\nematode.unl.edu_2022_09_21\pflak7.jpg</t>
  </si>
  <si>
    <t>Z:\nemtode\general\website_mirrors\nematode.unl.edu_2022_09_21\phexinc5.jpg</t>
  </si>
  <si>
    <t>Z:\nemtode\general\website_mirrors\nematode.unl.edu_2022_09_21\prahex2.jpg</t>
  </si>
  <si>
    <t>Z:\nemtode\general\website_mirrors\nematode.unl.edu_2022_09_21\prahex4.jpg</t>
  </si>
  <si>
    <t>Z:\nemtode\general\website_mirrors\nematode.unl.edu_2022_09_21\phex13.jpg</t>
  </si>
  <si>
    <t>Z:\nemtode\general\website_mirrors\nematode.unl.edu_2022_09_21\phex4.jpg</t>
  </si>
  <si>
    <t>Z:\nemtode\general\website_mirrors\nematode.unl.edu_2022_09_21\phex5.jpg</t>
  </si>
  <si>
    <t>Z:\nemtode\general\website_mirrors\nematode.unl.edu_2022_09_21\phexho11.jpg</t>
  </si>
  <si>
    <t>Z:\nemtode\general\website_mirrors\nematode.unl.edu_2022_09_21\phexho13.jpg</t>
  </si>
  <si>
    <t>Z:\nemtode\general\website_mirrors\nematode.unl.edu_2022_09_21\phexho15.jpg</t>
  </si>
  <si>
    <t>Z:\nemtode\general\website_mirrors\nematode.unl.edu_2022_09_21\phexho2.jpg</t>
  </si>
  <si>
    <t>Z:\nemtode\general\website_mirrors\nematode.unl.edu_2022_09_21\phexho4.jpg</t>
  </si>
  <si>
    <t>Z:\nemtode\general\website_mirrors\nematode.unl.edu_2022_09_21\phexho8.jpg</t>
  </si>
  <si>
    <t>Z:\nemtode\general\website_mirrors\nematode.unl.edu_2022_09_21\phexi1.jpg</t>
  </si>
  <si>
    <t>Z:\nemtode\general\website_mirrors\nematode.unl.edu_2022_09_21\phexi11.jpg</t>
  </si>
  <si>
    <t>Z:\nemtode\general\website_mirrors\nematode.unl.edu_2022_09_21\phexi17.jpg</t>
  </si>
  <si>
    <t>Z:\nemtode\general\website_mirrors\nematode.unl.edu_2022_09_21\phexi19.jpg</t>
  </si>
  <si>
    <t>Z:\nemtode\general\website_mirrors\nematode.unl.edu_2022_09_21\phexi21.jpg</t>
  </si>
  <si>
    <t>Z:\nemtode\general\website_mirrors\nematode.unl.edu_2022_09_21\phexi24.jpg</t>
  </si>
  <si>
    <t>Z:\nemtode\general\website_mirrors\nematode.unl.edu_2022_09_21\phexi4.jpg</t>
  </si>
  <si>
    <t>Z:\nemtode\general\website_mirrors\nematode.unl.edu_2022_09_21\phexi9.jpg</t>
  </si>
  <si>
    <t>Z:\nemtode\general\website_mirrors\nematode.unl.edu_2022_09_21\phexin13.jpg</t>
  </si>
  <si>
    <t>Z:\nemtode\general\website_mirrors\nematode.unl.edu_2022_09_21\phexin4.jpg</t>
  </si>
  <si>
    <t>Z:\nemtode\general\website_mirrors\nematode.unl.edu_2022_09_21\phexin6.jpg</t>
  </si>
  <si>
    <t>Z:\nemtode\general\website_mirrors\nematode.unl.edu_2022_09_21\phexin9.jpg</t>
  </si>
  <si>
    <t>Z:\nemtode\general\website_mirrors\nematode.unl.edu_2022_09_21\phexinc12.jpg</t>
  </si>
  <si>
    <t>Z:\nemtode\general\website_mirrors\nematode.unl.edu_2022_09_21\phexinc15.jpg</t>
  </si>
  <si>
    <t>Z:\nemtode\general\website_mirrors\nematode.unl.edu_2022_09_21\phexinc7.jpg</t>
  </si>
  <si>
    <t>Z:\nemtode\general\website_mirrors\nematode.unl.edu_2022_09_21\phexinc9.jpg</t>
  </si>
  <si>
    <t>Z:\nemtode\general\website_mirrors\nematode.unl.edu_2022_09_21\prahex1.jpg</t>
  </si>
  <si>
    <t>Z:\nemtode\general\website_mirrors\nematode.unl.edu_2022_09_21\phexho10.jpg</t>
  </si>
  <si>
    <t>Z:\nemtode\general\website_mirrors\nematode.unl.edu_2022_09_21\phexho7.jpg</t>
  </si>
  <si>
    <t>Z:\nemtode\general\website_mirrors\nematode.unl.edu_2022_09_21\phexi16.jpg</t>
  </si>
  <si>
    <t>Z:\nemtode\general\website_mirrors\nematode.unl.edu_2022_09_21\phexi6.jpg</t>
  </si>
  <si>
    <t>Z:\nemtode\general\website_mirrors\nematode.unl.edu_2022_09_21\phexin1.jpg</t>
  </si>
  <si>
    <t>Z:\nemtode\general\website_mirrors\nematode.unl.edu_2022_09_21\phexinc1.jpg</t>
  </si>
  <si>
    <t>Z:\nemtode\general\website_mirrors\nematode.unl.edu_2022_09_21\phexinc2.jpg</t>
  </si>
  <si>
    <t>Z:\nemtode\general\website_mirrors\nematode.unl.edu_2022_09_21\phex6.jpg</t>
  </si>
  <si>
    <t>Z:\nemtode\general\website_mirrors\nematode.unl.edu_2022_09_21\phex7.jpg</t>
  </si>
  <si>
    <t>Z:\nemtode\general\website_mirrors\nematode.unl.edu_2022_09_21\phexi2.jpg</t>
  </si>
  <si>
    <t>Z:\nemtode\general\website_mirrors\nematode.unl.edu_2022_09_21\phex1.jpg</t>
  </si>
  <si>
    <t>Z:\nemtode\general\website_mirrors\nematode.unl.edu_2022_09_21\phex10.jpg</t>
  </si>
  <si>
    <t>Z:\nemtode\general\website_mirrors\nematode.unl.edu_2022_09_21\phex2.jpg</t>
  </si>
  <si>
    <t>Z:\nemtode\general\website_mirrors\nematode.unl.edu_2022_09_21\phex9.jpg</t>
  </si>
  <si>
    <t>Z:\nemtode\general\website_mirrors\nematode.unl.edu_2022_09_21\phexho16.jpg</t>
  </si>
  <si>
    <t>Z:\nemtode\general\website_mirrors\nematode.unl.edu_2022_09_21\phexho5.jpg</t>
  </si>
  <si>
    <t>Z:\nemtode\general\website_mirrors\nematode.unl.edu_2022_09_21\phexi10.jpg</t>
  </si>
  <si>
    <t>Z:\nemtode\general\website_mirrors\nematode.unl.edu_2022_09_21\phexi12.jpg</t>
  </si>
  <si>
    <t>Z:\nemtode\general\website_mirrors\nematode.unl.edu_2022_09_21\phexi14.jpg</t>
  </si>
  <si>
    <t>Z:\nemtode\general\website_mirrors\nematode.unl.edu_2022_09_21\phexi22.jpg</t>
  </si>
  <si>
    <t>Z:\nemtode\general\website_mirrors\nematode.unl.edu_2022_09_21\phexi7.jpg</t>
  </si>
  <si>
    <t>Z:\nemtode\general\website_mirrors\nematode.unl.edu_2022_09_21\phexin2.jpg</t>
  </si>
  <si>
    <t>Z:\nemtode\general\website_mirrors\nematode.unl.edu_2022_09_21\phexin8.jpg</t>
  </si>
  <si>
    <t>Z:\nemtode\general\website_mirrors\nematode.unl.edu_2022_09_21\phexinc10.jpg</t>
  </si>
  <si>
    <t>Z:\nemtode\general\website_mirrors\nematode.unl.edu_2022_09_21\phexinc13.jpg</t>
  </si>
  <si>
    <t>Z:\nemtode\general\website_mirrors\nematode.unl.edu_2022_09_21\phexinc6.jpg</t>
  </si>
  <si>
    <t>Z:\nemtode\general\website_mirrors\nematode.unl.edu_2022_09_21\phexi13.jpg</t>
  </si>
  <si>
    <t>Z:\nemtode\general\website_mirrors\nematode.unl.edu_2022_09_21\phexin14.jpg</t>
  </si>
  <si>
    <t>Z:\nemtode\general\website_mirrors\nematode.unl.edu_2022_09_21\phexin5.jpg</t>
  </si>
  <si>
    <t>Z:\nemtode\general\website_mirrors\nematode.unl.edu_2022_09_21\phex8.jpg</t>
  </si>
  <si>
    <t>Z:\nemtode\general\website_mirrors\nematode.unl.edu_2022_09_21\phexin10.jpg</t>
  </si>
  <si>
    <t>Z:\nemtode\general\website_mirrors\nematode.unl.edu_2022_09_21\phex12.jpg</t>
  </si>
  <si>
    <t>Z:\nemtode\general\website_mirrors\nematode.unl.edu_2022_09_21\prahex3.jpg</t>
  </si>
  <si>
    <t>Z:\nemtode\general\website_mirrors\nematode.unl.edu_2022_09_21\phex11.jpg</t>
  </si>
  <si>
    <t>Z:\nemtode\general\website_mirrors\nematode.unl.edu_2022_09_21\phex3.jpg</t>
  </si>
  <si>
    <t>Z:\nemtode\general\website_mirrors\nematode.unl.edu_2022_09_21\phexho1.jpg</t>
  </si>
  <si>
    <t>Z:\nemtode\general\website_mirrors\nematode.unl.edu_2022_09_21\phexho12.jpg</t>
  </si>
  <si>
    <t>Z:\nemtode\general\website_mirrors\nematode.unl.edu_2022_09_21\phexho14.jpg</t>
  </si>
  <si>
    <t>Z:\nemtode\general\website_mirrors\nematode.unl.edu_2022_09_21\phexho17.jpg</t>
  </si>
  <si>
    <t>Z:\nemtode\general\website_mirrors\nematode.unl.edu_2022_09_21\phexho3.jpg</t>
  </si>
  <si>
    <t>Z:\nemtode\general\website_mirrors\nematode.unl.edu_2022_09_21\phexho6.jpg</t>
  </si>
  <si>
    <t>Z:\nemtode\general\website_mirrors\nematode.unl.edu_2022_09_21\phexho9.jpg</t>
  </si>
  <si>
    <t>Z:\nemtode\general\website_mirrors\nematode.unl.edu_2022_09_21\phexi15.jpg</t>
  </si>
  <si>
    <t>Z:\nemtode\general\website_mirrors\nematode.unl.edu_2022_09_21\phexi18.jpg</t>
  </si>
  <si>
    <t>Z:\nemtode\general\website_mirrors\nematode.unl.edu_2022_09_21\phexi20.jpg</t>
  </si>
  <si>
    <t>Z:\nemtode\general\website_mirrors\nematode.unl.edu_2022_09_21\phexi23.jpg</t>
  </si>
  <si>
    <t>Z:\nemtode\general\website_mirrors\nematode.unl.edu_2022_09_21\phexi25.jpg</t>
  </si>
  <si>
    <t>Z:\nemtode\general\website_mirrors\nematode.unl.edu_2022_09_21\phexi3.jpg</t>
  </si>
  <si>
    <t>Z:\nemtode\general\website_mirrors\nematode.unl.edu_2022_09_21\phexi5.jpg</t>
  </si>
  <si>
    <t>Z:\nemtode\general\website_mirrors\nematode.unl.edu_2022_09_21\phexi8.jpg</t>
  </si>
  <si>
    <t>Z:\nemtode\general\website_mirrors\nematode.unl.edu_2022_09_21\phexin11.jpg</t>
  </si>
  <si>
    <t>Z:\nemtode\general\website_mirrors\nematode.unl.edu_2022_09_21\phexin12.jpg</t>
  </si>
  <si>
    <t>Z:\nemtode\general\website_mirrors\nematode.unl.edu_2022_09_21\phexin3.jpg</t>
  </si>
  <si>
    <t>Z:\nemtode\general\website_mirrors\nematode.unl.edu_2022_09_21\phexin7.jpg</t>
  </si>
  <si>
    <t>Z:\nemtode\general\website_mirrors\nematode.unl.edu_2022_09_21\phexinc11.jpg</t>
  </si>
  <si>
    <t>Z:\nemtode\general\website_mirrors\nematode.unl.edu_2022_09_21\phexinc14.jpg</t>
  </si>
  <si>
    <t>Z:\nemtode\general\website_mirrors\nematode.unl.edu_2022_09_21\phexinc3.jpg</t>
  </si>
  <si>
    <t>Z:\nemtode\general\website_mirrors\nematode.unl.edu_2022_09_21\phexinc8.jpg</t>
  </si>
  <si>
    <t>Z:\nemtode\general\website_mirrors\nematode.unl.edu_2022_09_21\phexinc4.jpg</t>
  </si>
  <si>
    <t>Z:\nemtode\general\website_mirrors\nematode.unl.edu_2022_09_21\ploos11.jpg</t>
  </si>
  <si>
    <t>Z:\nemtode\general\website_mirrors\nematode.unl.edu_2022_09_21\ploos17.jpg</t>
  </si>
  <si>
    <t>Z:\nemtode\general\website_mirrors\nematode.unl.edu_2022_09_21\ploos21.jpg</t>
  </si>
  <si>
    <t>Z:\nemtode\general\website_mirrors\nematode.unl.edu_2022_09_21\ploos5.jpg</t>
  </si>
  <si>
    <t>Z:\nemtode\general\website_mirrors\nematode.unl.edu_2022_09_21\ploos8.jpg</t>
  </si>
  <si>
    <t>Z:\nemtode\general\website_mirrors\nematode.unl.edu_2022_09_21\ploos1.jpg</t>
  </si>
  <si>
    <t>Z:\nemtode\general\website_mirrors\nematode.unl.edu_2022_09_21\ploos9.jpg</t>
  </si>
  <si>
    <t>Z:\nemtode\general\website_mirrors\nematode.unl.edu_2022_09_21\ploos10.jpg</t>
  </si>
  <si>
    <t>Z:\nemtode\general\website_mirrors\nematode.unl.edu_2022_09_21\ploos15.jpg</t>
  </si>
  <si>
    <t>Z:\nemtode\general\website_mirrors\nematode.unl.edu_2022_09_21\ploos19.jpg</t>
  </si>
  <si>
    <t>Z:\nemtode\general\website_mirrors\nematode.unl.edu_2022_09_21\ploos3.jpg</t>
  </si>
  <si>
    <t>Z:\nemtode\general\website_mirrors\nematode.unl.edu_2022_09_21\ploos13.jpg</t>
  </si>
  <si>
    <t>Z:\nemtode\general\website_mirrors\nematode.unl.edu_2022_09_21\ploos6.jpg</t>
  </si>
  <si>
    <t>Z:\nemtode\general\website_mirrors\nematode.unl.edu_2022_09_21\ploos18.jpg</t>
  </si>
  <si>
    <t>Z:\nemtode\general\website_mirrors\nematode.unl.edu_2022_09_21\ploos20.jpg</t>
  </si>
  <si>
    <t>Z:\nemtode\general\website_mirrors\nematode.unl.edu_2022_09_21\ploos4.jpg</t>
  </si>
  <si>
    <t>Z:\nemtode\general\website_mirrors\nematode.unl.edu_2022_09_21\ploos14.jpg</t>
  </si>
  <si>
    <t>Z:\nemtode\general\website_mirrors\nematode.unl.edu_2022_09_21\ploos2.jpg</t>
  </si>
  <si>
    <t>Z:\nemtode\general\website_mirrors\nematode.unl.edu_2022_09_21\ploos7.jpg</t>
  </si>
  <si>
    <t>Z:\nemtode\general\website_mirrors\nematode.unl.edu_2022_09_21\praneg1.jpg</t>
  </si>
  <si>
    <t>Z:\nemtode\general\website_mirrors\nematode.unl.edu_2022_09_21\praneg3.jpg</t>
  </si>
  <si>
    <t>Z:\nemtode\general\website_mirrors\nematode.unl.edu_2022_09_21\pnegwis1.jpg</t>
  </si>
  <si>
    <t>Z:\nemtode\general\website_mirrors\nematode.unl.edu_2022_09_21\praneg11.jpg</t>
  </si>
  <si>
    <t>Z:\nemtode\general\website_mirrors\nematode.unl.edu_2022_09_21\praneg15.jpg</t>
  </si>
  <si>
    <t>Z:\nemtode\general\website_mirrors\nematode.unl.edu_2022_09_21\praneg16.jpg</t>
  </si>
  <si>
    <t>Z:\nemtode\general\website_mirrors\nematode.unl.edu_2022_09_21\praneg2.jpg</t>
  </si>
  <si>
    <t>Z:\nemtode\general\website_mirrors\nematode.unl.edu_2022_09_21\praneg4.jpg</t>
  </si>
  <si>
    <t>Z:\nemtode\general\website_mirrors\nematode.unl.edu_2022_09_21\praneg7.jpg</t>
  </si>
  <si>
    <t>Z:\nemtode\general\website_mirrors\nematode.unl.edu_2022_09_21\pranegwa6.jpg</t>
  </si>
  <si>
    <t>Z:\nemtode\general\website_mirrors\nematode.unl.edu_2022_09_21\pratex2.jpg</t>
  </si>
  <si>
    <t>Z:\nemtode\general\website_mirrors\nematode.unl.edu_2022_09_21\pnegwis3.jpg</t>
  </si>
  <si>
    <t>Z:\nemtode\general\website_mirrors\nematode.unl.edu_2022_09_21\pranegwa3.jpg</t>
  </si>
  <si>
    <t>Z:\nemtode\general\website_mirrors\nematode.unl.edu_2022_09_21\pranegwa8.jpg</t>
  </si>
  <si>
    <t>Z:\nemtode\general\website_mirrors\nematode.unl.edu_2022_09_21\praneg13.jpg</t>
  </si>
  <si>
    <t>Z:\nemtode\general\website_mirrors\nematode.unl.edu_2022_09_21\pranegwa1.jpg</t>
  </si>
  <si>
    <t>Z:\nemtode\general\website_mirrors\nematode.unl.edu_2022_09_21\pranegwa2.jpg</t>
  </si>
  <si>
    <t>Z:\nemtode\general\website_mirrors\nematode.unl.edu_2022_09_21\pratex1.jpg</t>
  </si>
  <si>
    <t>Z:\nemtode\general\website_mirrors\nematode.unl.edu_2022_09_21\praneg6.jpg</t>
  </si>
  <si>
    <t>Z:\nemtode\general\website_mirrors\nematode.unl.edu_2022_09_21\praneg9.jpg</t>
  </si>
  <si>
    <t>Z:\nemtode\general\website_mirrors\nematode.unl.edu_2022_09_21\pranegwa5.jpg</t>
  </si>
  <si>
    <t>Z:\nemtode\general\website_mirrors\nematode.unl.edu_2022_09_21\pratex3.jpg</t>
  </si>
  <si>
    <t>Z:\nemtode\general\website_mirrors\nematode.unl.edu_2022_09_21\pnegwis4.jpg</t>
  </si>
  <si>
    <t>Z:\nemtode\general\website_mirrors\nematode.unl.edu_2022_09_21\pnegwis5.jpg</t>
  </si>
  <si>
    <t>Z:\nemtode\general\website_mirrors\nematode.unl.edu_2022_09_21\praneg12.jpg</t>
  </si>
  <si>
    <t>Z:\nemtode\general\website_mirrors\nematode.unl.edu_2022_09_21\praneg10.jpg</t>
  </si>
  <si>
    <t>Z:\nemtode\general\website_mirrors\nematode.unl.edu_2022_09_21\praneg14.jpg</t>
  </si>
  <si>
    <t>Z:\nemtode\general\website_mirrors\nematode.unl.edu_2022_09_21\praneg17.jpg</t>
  </si>
  <si>
    <t>Z:\nemtode\general\website_mirrors\nematode.unl.edu_2022_09_21\praneg5.jpg</t>
  </si>
  <si>
    <t>Z:\nemtode\general\website_mirrors\nematode.unl.edu_2022_09_21\praneg8.jpg</t>
  </si>
  <si>
    <t>Z:\nemtode\general\website_mirrors\nematode.unl.edu_2022_09_21\pranegwa4.jpg</t>
  </si>
  <si>
    <t>Z:\nemtode\general\website_mirrors\nematode.unl.edu_2022_09_21\pranegwa7.jpg</t>
  </si>
  <si>
    <t>Z:\nemtode\general\website_mirrors\nematode.unl.edu_2022_09_21\pratex4.jpg</t>
  </si>
  <si>
    <t>Z:\nemtode\general\website_mirrors\nematode.unl.edu_2022_09_21\pnegwis2.jpg</t>
  </si>
  <si>
    <t>Z:\nemtode\general\website_mirrors\nematode.unl.edu_2022_09_21\pnegwis6.jpg</t>
  </si>
  <si>
    <t>Z:\nemtode\general\website_mirrors\nematode.unl.edu_2022_09_21\ppenet2.jpg</t>
  </si>
  <si>
    <t>Z:\nemtode\general\website_mirrors\nematode.unl.edu_2022_09_21\ppenet6.jpg</t>
  </si>
  <si>
    <t>Z:\nemtode\general\website_mirrors\nematode.unl.edu_2022_09_21\prapen8.jpg</t>
  </si>
  <si>
    <t>Z:\nemtode\general\website_mirrors\nematode.unl.edu_2022_09_21\pratypen14.jpg</t>
  </si>
  <si>
    <t>Z:\nemtode\general\website_mirrors\nematode.unl.edu_2022_09_21\pratypen19.jpg</t>
  </si>
  <si>
    <t>Z:\nemtode\general\website_mirrors\nematode.unl.edu_2022_09_21\pratypen2.jpg</t>
  </si>
  <si>
    <t>Z:\nemtode\general\website_mirrors\nematode.unl.edu_2022_09_21\pratypen25.jpg</t>
  </si>
  <si>
    <t>Z:\nemtode\general\website_mirrors\nematode.unl.edu_2022_09_21\pratypen30.jpg</t>
  </si>
  <si>
    <t>Z:\nemtode\general\website_mirrors\nematode.unl.edu_2022_09_21\pratypen4.jpg</t>
  </si>
  <si>
    <t>Z:\nemtode\general\website_mirrors\nematode.unl.edu_2022_09_21\pratypen53.jpg</t>
  </si>
  <si>
    <t>Z:\nemtode\general\website_mirrors\nematode.unl.edu_2022_09_21\pratypen58.jpg</t>
  </si>
  <si>
    <t>Z:\nemtode\general\website_mirrors\nematode.unl.edu_2022_09_21\pratypen76.jpg</t>
  </si>
  <si>
    <t>Z:\nemtode\general\website_mirrors\nematode.unl.edu_2022_09_21\pratypen81.jpg</t>
  </si>
  <si>
    <t>Z:\nemtode\general\website_mirrors\nematode.unl.edu_2022_09_21\pratypen9.jpg</t>
  </si>
  <si>
    <t>Z:\nemtode\general\website_mirrors\nematode.unl.edu_2022_09_21\ppenet4.jpg</t>
  </si>
  <si>
    <t>Z:\nemtode\general\website_mirrors\nematode.unl.edu_2022_09_21\prapen13.jpg</t>
  </si>
  <si>
    <t>Z:\nemtode\general\website_mirrors\nematode.unl.edu_2022_09_21\prapen2.jpg</t>
  </si>
  <si>
    <t>Z:\nemtode\general\website_mirrors\nematode.unl.edu_2022_09_21\prapen7.jpg</t>
  </si>
  <si>
    <t>Z:\nemtode\general\website_mirrors\nematode.unl.edu_2022_09_21\prapenho1.jpg</t>
  </si>
  <si>
    <t>Z:\nemtode\general\website_mirrors\nematode.unl.edu_2022_09_21\prapenho2.jpg</t>
  </si>
  <si>
    <t>Z:\nemtode\general\website_mirrors\nematode.unl.edu_2022_09_21\prapenho4.jpg</t>
  </si>
  <si>
    <t>Z:\nemtode\general\website_mirrors\nematode.unl.edu_2022_09_21\prapenho7.jpg</t>
  </si>
  <si>
    <t>Z:\nemtode\general\website_mirrors\nematode.unl.edu_2022_09_21\pratypen11.jpg</t>
  </si>
  <si>
    <t>Z:\nemtode\general\website_mirrors\nematode.unl.edu_2022_09_21\pratypen16.jpg</t>
  </si>
  <si>
    <t>Z:\nemtode\general\website_mirrors\nematode.unl.edu_2022_09_21\pratypen21.jpg</t>
  </si>
  <si>
    <t>Z:\nemtode\general\website_mirrors\nematode.unl.edu_2022_09_21\pratypen27.jpg</t>
  </si>
  <si>
    <t>Z:\nemtode\general\website_mirrors\nematode.unl.edu_2022_09_21\pratypen31.jpg</t>
  </si>
  <si>
    <t>Z:\nemtode\general\website_mirrors\nematode.unl.edu_2022_09_21\pratypen38.jpg</t>
  </si>
  <si>
    <t>Z:\nemtode\general\website_mirrors\nematode.unl.edu_2022_09_21\pratypen41.jpg</t>
  </si>
  <si>
    <t>Z:\nemtode\general\website_mirrors\nematode.unl.edu_2022_09_21\pratypen44.jpg</t>
  </si>
  <si>
    <t>Z:\nemtode\general\website_mirrors\nematode.unl.edu_2022_09_21\pratypen45.jpg</t>
  </si>
  <si>
    <t>Z:\nemtode\general\website_mirrors\nematode.unl.edu_2022_09_21\pratypen46.jpg</t>
  </si>
  <si>
    <t>Z:\nemtode\general\website_mirrors\nematode.unl.edu_2022_09_21\pratypen49.jpg</t>
  </si>
  <si>
    <t>Z:\nemtode\general\website_mirrors\nematode.unl.edu_2022_09_21\pratypen51.jpg</t>
  </si>
  <si>
    <t>Z:\nemtode\general\website_mirrors\nematode.unl.edu_2022_09_21\pratypen55.jpg</t>
  </si>
  <si>
    <t>Z:\nemtode\general\website_mirrors\nematode.unl.edu_2022_09_21\pratypen60.jpg</t>
  </si>
  <si>
    <t>Z:\nemtode\general\website_mirrors\nematode.unl.edu_2022_09_21\pratypen63.jpg</t>
  </si>
  <si>
    <t>Z:\nemtode\general\website_mirrors\nematode.unl.edu_2022_09_21\pratypen65.jpg</t>
  </si>
  <si>
    <t>Z:\nemtode\general\website_mirrors\nematode.unl.edu_2022_09_21\pratypen69.jpg</t>
  </si>
  <si>
    <t>Z:\nemtode\general\website_mirrors\nematode.unl.edu_2022_09_21\pratypen71.jpg</t>
  </si>
  <si>
    <t>Z:\nemtode\general\website_mirrors\nematode.unl.edu_2022_09_21\pratypen73.jpg</t>
  </si>
  <si>
    <t>Z:\nemtode\general\website_mirrors\nematode.unl.edu_2022_09_21\pratypen78.jpg</t>
  </si>
  <si>
    <t>Z:\nemtode\general\website_mirrors\nematode.unl.edu_2022_09_21\pratypen83.jpg</t>
  </si>
  <si>
    <t>Z:\nemtode\general\website_mirrors\nematode.unl.edu_2022_09_21\pratypen87.jpg</t>
  </si>
  <si>
    <t>Z:\nemtode\general\website_mirrors\nematode.unl.edu_2022_09_21\pratypen89.jpg</t>
  </si>
  <si>
    <t>Z:\nemtode\general\website_mirrors\nematode.unl.edu_2022_09_21\ppenet1.jpg</t>
  </si>
  <si>
    <t>Z:\nemtode\general\website_mirrors\nematode.unl.edu_2022_09_21\prapen1.jpg</t>
  </si>
  <si>
    <t>Z:\nemtode\general\website_mirrors\nematode.unl.edu_2022_09_21\prapen10.jpg</t>
  </si>
  <si>
    <t>Z:\nemtode\general\website_mirrors\nematode.unl.edu_2022_09_21\prapen5.jpg</t>
  </si>
  <si>
    <t>Z:\nemtode\general\website_mirrors\nematode.unl.edu_2022_09_21\prapenho5.jpg</t>
  </si>
  <si>
    <t>Z:\nemtode\general\website_mirrors\nematode.unl.edu_2022_09_21\pratypen1.jpg</t>
  </si>
  <si>
    <t>Z:\nemtode\general\website_mirrors\nematode.unl.edu_2022_09_21\pratypen13.jpg</t>
  </si>
  <si>
    <t>Z:\nemtode\general\website_mirrors\nematode.unl.edu_2022_09_21\pratypen24.jpg</t>
  </si>
  <si>
    <t>Z:\nemtode\general\website_mirrors\nematode.unl.edu_2022_09_21\pratypen40.jpg</t>
  </si>
  <si>
    <t>Z:\nemtode\general\website_mirrors\nematode.unl.edu_2022_09_21\pratypen68.jpg</t>
  </si>
  <si>
    <t>Z:\nemtode\general\website_mirrors\nematode.unl.edu_2022_09_21\pratypen8.jpg</t>
  </si>
  <si>
    <t>Z:\nemtode\general\website_mirrors\nematode.unl.edu_2022_09_21\pratypen86.jpg</t>
  </si>
  <si>
    <t>Z:\nemtode\general\website_mirrors\nematode.unl.edu_2022_09_21\prapen14.jpg</t>
  </si>
  <si>
    <t>Z:\nemtode\general\website_mirrors\nematode.unl.edu_2022_09_21\prapen4.jpg</t>
  </si>
  <si>
    <t>Z:\nemtode\general\website_mirrors\nematode.unl.edu_2022_09_21\prapen16.jpg</t>
  </si>
  <si>
    <t>Z:\nemtode\general\website_mirrors\nematode.unl.edu_2022_09_21\pratypen28.jpg</t>
  </si>
  <si>
    <t>Z:\nemtode\general\website_mirrors\nematode.unl.edu_2022_09_21\pratypen33.jpg</t>
  </si>
  <si>
    <t>Z:\nemtode\general\website_mirrors\nematode.unl.edu_2022_09_21\pratypen7.jpg</t>
  </si>
  <si>
    <t>Z:\nemtode\general\website_mirrors\nematode.unl.edu_2022_09_21\prapen12.jpg</t>
  </si>
  <si>
    <t>Z:\nemtode\general\website_mirrors\nematode.unl.edu_2022_09_21\ppenet3.jpg</t>
  </si>
  <si>
    <t>Z:\nemtode\general\website_mirrors\nematode.unl.edu_2022_09_21\ppenet7.jpg</t>
  </si>
  <si>
    <t>Z:\nemtode\general\website_mirrors\nematode.unl.edu_2022_09_21\pratypen10.jpg</t>
  </si>
  <si>
    <t>Z:\nemtode\general\website_mirrors\nematode.unl.edu_2022_09_21\pratypen15.jpg</t>
  </si>
  <si>
    <t>Z:\nemtode\general\website_mirrors\nematode.unl.edu_2022_09_21\pratypen20.jpg</t>
  </si>
  <si>
    <t>Z:\nemtode\general\website_mirrors\nematode.unl.edu_2022_09_21\pratypen26.jpg</t>
  </si>
  <si>
    <t>Z:\nemtode\general\website_mirrors\nematode.unl.edu_2022_09_21\pratypen3.jpg</t>
  </si>
  <si>
    <t>Z:\nemtode\general\website_mirrors\nematode.unl.edu_2022_09_21\pratypen54.jpg</t>
  </si>
  <si>
    <t>Z:\nemtode\general\website_mirrors\nematode.unl.edu_2022_09_21\pratypen59.jpg</t>
  </si>
  <si>
    <t>Z:\nemtode\general\website_mirrors\nematode.unl.edu_2022_09_21\pratypen77.jpg</t>
  </si>
  <si>
    <t>Z:\nemtode\general\website_mirrors\nematode.unl.edu_2022_09_21\pratypen82.jpg</t>
  </si>
  <si>
    <t>Z:\nemtode\general\website_mirrors\nematode.unl.edu_2022_09_21\prapen6.jpg</t>
  </si>
  <si>
    <t>Z:\nemtode\general\website_mirrors\nematode.unl.edu_2022_09_21\pratypen17.jpg</t>
  </si>
  <si>
    <t>Z:\nemtode\general\website_mirrors\nematode.unl.edu_2022_09_21\pratypen22.jpg</t>
  </si>
  <si>
    <t>Z:\nemtode\general\website_mirrors\nematode.unl.edu_2022_09_21\pratypen32.jpg</t>
  </si>
  <si>
    <t>Z:\nemtode\general\website_mirrors\nematode.unl.edu_2022_09_21\pratypen47.jpg</t>
  </si>
  <si>
    <t>Z:\nemtode\general\website_mirrors\nematode.unl.edu_2022_09_21\pratypen5.jpg</t>
  </si>
  <si>
    <t>Z:\nemtode\general\website_mirrors\nematode.unl.edu_2022_09_21\pratypen56.jpg</t>
  </si>
  <si>
    <t>Z:\nemtode\general\website_mirrors\nematode.unl.edu_2022_09_21\pratypen61.jpg</t>
  </si>
  <si>
    <t>Z:\nemtode\general\website_mirrors\nematode.unl.edu_2022_09_21\pratypen70.jpg</t>
  </si>
  <si>
    <t>Z:\nemtode\general\website_mirrors\nematode.unl.edu_2022_09_21\pratypen74.jpg</t>
  </si>
  <si>
    <t>Z:\nemtode\general\website_mirrors\nematode.unl.edu_2022_09_21\pratypen79.jpg</t>
  </si>
  <si>
    <t>Z:\nemtode\general\website_mirrors\nematode.unl.edu_2022_09_21\pratypen84.jpg</t>
  </si>
  <si>
    <t>Z:\nemtode\general\website_mirrors\nematode.unl.edu_2022_09_21\prapen15.jpg</t>
  </si>
  <si>
    <t>Z:\nemtode\general\website_mirrors\nematode.unl.edu_2022_09_21\prapen3.jpg</t>
  </si>
  <si>
    <t>Z:\nemtode\general\website_mirrors\nematode.unl.edu_2022_09_21\ppenet5.jpg</t>
  </si>
  <si>
    <t>Z:\nemtode\general\website_mirrors\nematode.unl.edu_2022_09_21\prapen9.jpg</t>
  </si>
  <si>
    <t>Z:\nemtode\general\website_mirrors\nematode.unl.edu_2022_09_21\prapenho3.jpg</t>
  </si>
  <si>
    <t>Z:\nemtode\general\website_mirrors\nematode.unl.edu_2022_09_21\pratypen12.jpg</t>
  </si>
  <si>
    <t>Z:\nemtode\general\website_mirrors\nematode.unl.edu_2022_09_21\pratypen18.jpg</t>
  </si>
  <si>
    <t>Z:\nemtode\general\website_mirrors\nematode.unl.edu_2022_09_21\pratypen23.jpg</t>
  </si>
  <si>
    <t>Z:\nemtode\general\website_mirrors\nematode.unl.edu_2022_09_21\pratypen29.jpg</t>
  </si>
  <si>
    <t>Z:\nemtode\general\website_mirrors\nematode.unl.edu_2022_09_21\pratypen34.jpg</t>
  </si>
  <si>
    <t>Z:\nemtode\general\website_mirrors\nematode.unl.edu_2022_09_21\pratypen35.jpg</t>
  </si>
  <si>
    <t>Z:\nemtode\general\website_mirrors\nematode.unl.edu_2022_09_21\pratypen36.jpg</t>
  </si>
  <si>
    <t>Z:\nemtode\general\website_mirrors\nematode.unl.edu_2022_09_21\pratypen37.jpg</t>
  </si>
  <si>
    <t>Z:\nemtode\general\website_mirrors\nematode.unl.edu_2022_09_21\pratypen39.jpg</t>
  </si>
  <si>
    <t>Z:\nemtode\general\website_mirrors\nematode.unl.edu_2022_09_21\pratypen43.jpg</t>
  </si>
  <si>
    <t>Z:\nemtode\general\website_mirrors\nematode.unl.edu_2022_09_21\pratypen48.jpg</t>
  </si>
  <si>
    <t>Z:\nemtode\general\website_mirrors\nematode.unl.edu_2022_09_21\pratypen50.jpg</t>
  </si>
  <si>
    <t>Z:\nemtode\general\website_mirrors\nematode.unl.edu_2022_09_21\pratypen52.jpg</t>
  </si>
  <si>
    <t>Z:\nemtode\general\website_mirrors\nematode.unl.edu_2022_09_21\pratypen57.jpg</t>
  </si>
  <si>
    <t>Z:\nemtode\general\website_mirrors\nematode.unl.edu_2022_09_21\pratypen6.jpg</t>
  </si>
  <si>
    <t>Z:\nemtode\general\website_mirrors\nematode.unl.edu_2022_09_21\pratypen62.jpg</t>
  </si>
  <si>
    <t>Z:\nemtode\general\website_mirrors\nematode.unl.edu_2022_09_21\pratypen64.jpg</t>
  </si>
  <si>
    <t>Z:\nemtode\general\website_mirrors\nematode.unl.edu_2022_09_21\pratypen66.jpg</t>
  </si>
  <si>
    <t>Z:\nemtode\general\website_mirrors\nematode.unl.edu_2022_09_21\pratypen67.jpg</t>
  </si>
  <si>
    <t>Z:\nemtode\general\website_mirrors\nematode.unl.edu_2022_09_21\pratypen72.jpg</t>
  </si>
  <si>
    <t>Z:\nemtode\general\website_mirrors\nematode.unl.edu_2022_09_21\pratypen75.jpg</t>
  </si>
  <si>
    <t>Z:\nemtode\general\website_mirrors\nematode.unl.edu_2022_09_21\pratypen80.jpg</t>
  </si>
  <si>
    <t>Z:\nemtode\general\website_mirrors\nematode.unl.edu_2022_09_21\pratypen85.jpg</t>
  </si>
  <si>
    <t>Z:\nemtode\general\website_mirrors\nematode.unl.edu_2022_09_21\pratypen88.jpg</t>
  </si>
  <si>
    <t>Z:\nemtode\general\website_mirrors\nematode.unl.edu_2022_09_21\pratypen90.jpg</t>
  </si>
  <si>
    <t>Z:\nemtode\general\website_mirrors\nematode.unl.edu_2022_09_21\prapen11.jpg</t>
  </si>
  <si>
    <t>Z:\nemtode\general\website_mirrors\nematode.unl.edu_2022_09_21\prapenho6.jpg</t>
  </si>
  <si>
    <t>Z:\nemtode\general\website_mirrors\nematode.unl.edu_2022_09_21\pratypen42.jpg</t>
  </si>
  <si>
    <t>Z:\nemtode\general\website_mirrors\nematode.unl.edu_2022_09_21\prapse2.jpg</t>
  </si>
  <si>
    <t>Z:\nemtode\general\website_mirrors\nematode.unl.edu_2022_09_21\prapse4.jpg</t>
  </si>
  <si>
    <t>Z:\nemtode\general\website_mirrors\nematode.unl.edu_2022_09_21\prapse1.jpg</t>
  </si>
  <si>
    <t>Z:\nemtode\general\website_mirrors\nematode.unl.edu_2022_09_21\prapse3.jpg</t>
  </si>
  <si>
    <t>Z:\nemtode\general\website_mirrors\nematode.unl.edu_2022_09_21\prasc2.jpg</t>
  </si>
  <si>
    <t>Z:\nemtode\general\website_mirrors\nematode.unl.edu_2022_09_21\prascrib18.jpg</t>
  </si>
  <si>
    <t>Z:\nemtode\general\website_mirrors\nematode.unl.edu_2022_09_21\prascrib24.jpg</t>
  </si>
  <si>
    <t>Z:\nemtode\general\website_mirrors\nematode.unl.edu_2022_09_21\prascrib5.jpg</t>
  </si>
  <si>
    <t>Z:\nemtode\general\website_mirrors\nematode.unl.edu_2022_09_21\pratser4.jpg</t>
  </si>
  <si>
    <t>Z:\nemtode\general\website_mirrors\nematode.unl.edu_2022_09_21\prasc10.jpg</t>
  </si>
  <si>
    <t>Z:\nemtode\general\website_mirrors\nematode.unl.edu_2022_09_21\prasc4.jpg</t>
  </si>
  <si>
    <t>Z:\nemtode\general\website_mirrors\nematode.unl.edu_2022_09_21\prasc8.jpg</t>
  </si>
  <si>
    <t>Z:\nemtode\general\website_mirrors\nematode.unl.edu_2022_09_21\prascrib16.jpg</t>
  </si>
  <si>
    <t>Z:\nemtode\general\website_mirrors\nematode.unl.edu_2022_09_21\prascrib17.jpg</t>
  </si>
  <si>
    <t>Z:\nemtode\general\website_mirrors\nematode.unl.edu_2022_09_21\prascrib4.jpg</t>
  </si>
  <si>
    <t>Z:\nemtode\general\website_mirrors\nematode.unl.edu_2022_09_21\prats11.jpg</t>
  </si>
  <si>
    <t>Z:\nemtode\general\website_mirrors\nematode.unl.edu_2022_09_21\prats19.jpg</t>
  </si>
  <si>
    <t>Z:\nemtode\general\website_mirrors\nematode.unl.edu_2022_09_21\prats2.jpg</t>
  </si>
  <si>
    <t>Z:\nemtode\general\website_mirrors\nematode.unl.edu_2022_09_21\prats4.jpg</t>
  </si>
  <si>
    <t>Z:\nemtode\general\website_mirrors\nematode.unl.edu_2022_09_21\pratser2.jpg</t>
  </si>
  <si>
    <t>Z:\nemtode\general\website_mirrors\nematode.unl.edu_2022_09_21\prascrib15.jpg</t>
  </si>
  <si>
    <t>Z:\nemtode\general\website_mirrors\nematode.unl.edu_2022_09_21\prasc1.jpg</t>
  </si>
  <si>
    <t>Z:\nemtode\general\website_mirrors\nematode.unl.edu_2022_09_21\prasc7.jpg</t>
  </si>
  <si>
    <t>Z:\nemtode\general\website_mirrors\nematode.unl.edu_2022_09_21\prascrib1.jpg</t>
  </si>
  <si>
    <t>Z:\nemtode\general\website_mirrors\nematode.unl.edu_2022_09_21\prats1.jpg</t>
  </si>
  <si>
    <t>Z:\nemtode\general\website_mirrors\nematode.unl.edu_2022_09_21\prats10.jpg</t>
  </si>
  <si>
    <t>Z:\nemtode\general\website_mirrors\nematode.unl.edu_2022_09_21\prats14.jpg</t>
  </si>
  <si>
    <t>Z:\nemtode\general\website_mirrors\nematode.unl.edu_2022_09_21\pratser1.jpg</t>
  </si>
  <si>
    <t>Z:\nemtode\general\website_mirrors\nematode.unl.edu_2022_09_21\prascrib21.jpg</t>
  </si>
  <si>
    <t>Z:\nemtode\general\website_mirrors\nematode.unl.edu_2022_09_21\prascrib11.jpg</t>
  </si>
  <si>
    <t>Z:\nemtode\general\website_mirrors\nematode.unl.edu_2022_09_21\prascrib12.jpg</t>
  </si>
  <si>
    <t>Z:\nemtode\general\website_mirrors\nematode.unl.edu_2022_09_21\prascrib14.jpg</t>
  </si>
  <si>
    <t>Z:\nemtode\general\website_mirrors\nematode.unl.edu_2022_09_21\prascrib23.jpg</t>
  </si>
  <si>
    <t>Z:\nemtode\general\website_mirrors\nematode.unl.edu_2022_09_21\prasc11.jpg</t>
  </si>
  <si>
    <t>Z:\nemtode\general\website_mirrors\nematode.unl.edu_2022_09_21\prasc13.jpg</t>
  </si>
  <si>
    <t>Z:\nemtode\general\website_mirrors\nematode.unl.edu_2022_09_21\prasc6.jpg</t>
  </si>
  <si>
    <t>Z:\nemtode\general\website_mirrors\nematode.unl.edu_2022_09_21\prascrib19.jpg</t>
  </si>
  <si>
    <t>Z:\nemtode\general\website_mirrors\nematode.unl.edu_2022_09_21\prascrib6.jpg</t>
  </si>
  <si>
    <t>Z:\nemtode\general\website_mirrors\nematode.unl.edu_2022_09_21\prats17.jpg</t>
  </si>
  <si>
    <t>Z:\nemtode\general\website_mirrors\nematode.unl.edu_2022_09_21\prats18.jpg</t>
  </si>
  <si>
    <t>Z:\nemtode\general\website_mirrors\nematode.unl.edu_2022_09_21\prats20.jpg</t>
  </si>
  <si>
    <t>Z:\nemtode\general\website_mirrors\nematode.unl.edu_2022_09_21\prats6.jpg</t>
  </si>
  <si>
    <t>Z:\nemtode\general\website_mirrors\nematode.unl.edu_2022_09_21\prats8.jpg</t>
  </si>
  <si>
    <t>Z:\nemtode\general\website_mirrors\nematode.unl.edu_2022_09_21\pratser5.jpg</t>
  </si>
  <si>
    <t>Z:\nemtode\general\website_mirrors\nematode.unl.edu_2022_09_21\pratser6.jpg</t>
  </si>
  <si>
    <t>Z:\nemtode\general\website_mirrors\nematode.unl.edu_2022_09_21\prascrib13.jpg</t>
  </si>
  <si>
    <t>Z:\nemtode\general\website_mirrors\nematode.unl.edu_2022_09_21\prascrib22.jpg</t>
  </si>
  <si>
    <t>Z:\nemtode\general\website_mirrors\nematode.unl.edu_2022_09_21\prats5.jpg</t>
  </si>
  <si>
    <t>Z:\nemtode\general\website_mirrors\nematode.unl.edu_2022_09_21\prats21.jpg</t>
  </si>
  <si>
    <t>Z:\nemtode\general\website_mirrors\nematode.unl.edu_2022_09_21\prats7.jpg</t>
  </si>
  <si>
    <t>Z:\nemtode\general\website_mirrors\nematode.unl.edu_2022_09_21\prasc3.jpg</t>
  </si>
  <si>
    <t>Z:\nemtode\general\website_mirrors\nematode.unl.edu_2022_09_21\prats16.jpg</t>
  </si>
  <si>
    <t>Z:\nemtode\general\website_mirrors\nematode.unl.edu_2022_09_21\prasc12.jpg</t>
  </si>
  <si>
    <t>Z:\nemtode\general\website_mirrors\nematode.unl.edu_2022_09_21\prascrib20.jpg</t>
  </si>
  <si>
    <t>Z:\nemtode\general\website_mirrors\nematode.unl.edu_2022_09_21\prascrib9.jpg</t>
  </si>
  <si>
    <t>Z:\nemtode\general\website_mirrors\nematode.unl.edu_2022_09_21\pratser7.jpg</t>
  </si>
  <si>
    <t>Z:\nemtode\general\website_mirrors\nematode.unl.edu_2022_09_21\prasc14.jpg</t>
  </si>
  <si>
    <t>Z:\nemtode\general\website_mirrors\nematode.unl.edu_2022_09_21\prasc5.jpg</t>
  </si>
  <si>
    <t>Z:\nemtode\general\website_mirrors\nematode.unl.edu_2022_09_21\prasc9.jpg</t>
  </si>
  <si>
    <t>Z:\nemtode\general\website_mirrors\nematode.unl.edu_2022_09_21\prascrib2.jpg</t>
  </si>
  <si>
    <t>Z:\nemtode\general\website_mirrors\nematode.unl.edu_2022_09_21\prascrib7.jpg</t>
  </si>
  <si>
    <t>Z:\nemtode\general\website_mirrors\nematode.unl.edu_2022_09_21\prats13.jpg</t>
  </si>
  <si>
    <t>Z:\nemtode\general\website_mirrors\nematode.unl.edu_2022_09_21\prats15.jpg</t>
  </si>
  <si>
    <t>Z:\nemtode\general\website_mirrors\nematode.unl.edu_2022_09_21\prats3.jpg</t>
  </si>
  <si>
    <t>Z:\nemtode\general\website_mirrors\nematode.unl.edu_2022_09_21\prats9.jpg</t>
  </si>
  <si>
    <t>Z:\nemtode\general\website_mirrors\nematode.unl.edu_2022_09_21\pratser3.jpg</t>
  </si>
  <si>
    <t>Z:\nemtode\general\website_mirrors\nematode.unl.edu_2022_09_21\pratser8.jpg</t>
  </si>
  <si>
    <t>Z:\nemtode\general\website_mirrors\nematode.unl.edu_2022_09_21\pscricmp.jpg</t>
  </si>
  <si>
    <t>Z:\nemtode\general\website_mirrors\nematode.unl.edu_2022_09_21\prascrib10.jpg</t>
  </si>
  <si>
    <t>Z:\nemtode\general\website_mirrors\nematode.unl.edu_2022_09_21\prascrib3.jpg</t>
  </si>
  <si>
    <t>Z:\nemtode\general\website_mirrors\nematode.unl.edu_2022_09_21\prascrib8.jpg</t>
  </si>
  <si>
    <t>Z:\nemtode\general\website_mirrors\nematode.unl.edu_2022_09_21\prats12.jpg</t>
  </si>
  <si>
    <t>Z:\nemtode\general\website_mirrors\nematode.unl.edu_2022_09_21\prathy1.jpg</t>
  </si>
  <si>
    <t>Z:\nemtode\general\website_mirrors\nematode.unl.edu_2022_09_21\prathy7.jpg</t>
  </si>
  <si>
    <t>Z:\nemtode\general\website_mirrors\nematode.unl.edu_2022_09_21\prathy3.jpg</t>
  </si>
  <si>
    <t>Z:\nemtode\general\website_mirrors\nematode.unl.edu_2022_09_21\prathy5.jpg</t>
  </si>
  <si>
    <t>Z:\nemtode\general\website_mirrors\nematode.unl.edu_2022_09_21\prathy6.jpg</t>
  </si>
  <si>
    <t>Z:\nemtode\general\website_mirrors\nematode.unl.edu_2022_09_21\prathy4.jpg</t>
  </si>
  <si>
    <t>Z:\nemtode\general\website_mirrors\nematode.unl.edu_2022_09_21\prathy2.jpg</t>
  </si>
  <si>
    <t>Z:\nemtode\general\website_mirrors\nematode.unl.edu_2022_09_21\prathy8.jpg</t>
  </si>
  <si>
    <t>Z:\nemtode\general\website_mirrors\nematode.unl.edu_2022_09_21\caenor1.jpg</t>
  </si>
  <si>
    <t>Z:\nemtode\general\website_mirrors\nematode.unl.edu_2022_09_21\caenor4.jpg</t>
  </si>
  <si>
    <t>Z:\nemtode\general\website_mirrors\nematode.unl.edu_2022_09_21\caenor3.jpg</t>
  </si>
  <si>
    <t>Z:\nemtode\general\website_mirrors\nematode.unl.edu_2022_09_21\caenor2.jpg</t>
  </si>
  <si>
    <t>Z:\nemtode\general\website_mirrors\nematode.unl.edu_2022_09_21\caenor5.jpg</t>
  </si>
  <si>
    <t>Z:\nemtode\general\website_mirrors\nematode.unl.edu_2022_09_21\dipscap1.jpg</t>
  </si>
  <si>
    <t>Z:\nemtode\general\website_mirrors\nematode.unl.edu_2022_09_21\mesor4.jpg</t>
  </si>
  <si>
    <t>Z:\nemtode\general\website_mirrors\nematode.unl.edu_2022_09_21\mesor2.jpg</t>
  </si>
  <si>
    <t>Z:\nemtode\general\website_mirrors\nematode.unl.edu_2022_09_21\mesor5.jpg</t>
  </si>
  <si>
    <t>Z:\nemtode\general\website_mirrors\nematode.unl.edu_2022_09_21\mesor7.jpg</t>
  </si>
  <si>
    <t>Z:\nemtode\general\website_mirrors\nematode.unl.edu_2022_09_21\mesor1.jpg</t>
  </si>
  <si>
    <t>Z:\nemtode\general\website_mirrors\nematode.unl.edu_2022_09_21\mesor3.jpg</t>
  </si>
  <si>
    <t>Z:\nemtode\general\website_mirrors\nematode.unl.edu_2022_09_21\mesor6.jpg</t>
  </si>
  <si>
    <t>Z:\nemtode\general\website_mirrors\nematode.unl.edu_2022_09_21\pellios1.jpg</t>
  </si>
  <si>
    <t>Z:\nemtode\general\website_mirrors\nematode.unl.edu_2022_09_21\pellios13.jpg</t>
  </si>
  <si>
    <t>Z:\nemtode\general\website_mirrors\nematode.unl.edu_2022_09_21\pellios15.jpg</t>
  </si>
  <si>
    <t>Z:\nemtode\general\website_mirrors\nematode.unl.edu_2022_09_21\pellios3.jpg</t>
  </si>
  <si>
    <t>Z:\nemtode\general\website_mirrors\nematode.unl.edu_2022_09_21\pellios4.jpg</t>
  </si>
  <si>
    <t>Z:\nemtode\general\website_mirrors\nematode.unl.edu_2022_09_21\pellios7.jpg</t>
  </si>
  <si>
    <t>Z:\nemtode\general\website_mirrors\nematode.unl.edu_2022_09_21\pellios9.jpg</t>
  </si>
  <si>
    <t>Z:\nemtode\general\website_mirrors\nematode.unl.edu_2022_09_21\pellios11.jpg</t>
  </si>
  <si>
    <t>Z:\nemtode\general\website_mirrors\nematode.unl.edu_2022_09_21\pellios12.jpg</t>
  </si>
  <si>
    <t>Z:\nemtode\general\website_mirrors\nematode.unl.edu_2022_09_21\pellios10.jpg</t>
  </si>
  <si>
    <t>Z:\nemtode\general\website_mirrors\nematode.unl.edu_2022_09_21\pellios14.jpg</t>
  </si>
  <si>
    <t>Z:\nemtode\general\website_mirrors\nematode.unl.edu_2022_09_21\pellios2.jpg</t>
  </si>
  <si>
    <t>Z:\nemtode\general\website_mirrors\nematode.unl.edu_2022_09_21\pellios6.jpg</t>
  </si>
  <si>
    <t>Z:\nemtode\general\website_mirrors\nematode.unl.edu_2022_09_21\pellios8.jpg</t>
  </si>
  <si>
    <t>Z:\nemtode\general\website_mirrors\nematode.unl.edu_2022_09_21\pellios5.jpg</t>
  </si>
  <si>
    <t>Z:\nemtode\general\website_mirrors\nematode.unl.edu_2022_09_21\rhater1.jpg</t>
  </si>
  <si>
    <t>Z:\nemtode\general\website_mirrors\nematode.unl.edu_2022_09_21\rhater2.jpg</t>
  </si>
  <si>
    <t>Z:\nemtode\general\website_mirrors\nematode.unl.edu_2022_09_21\rhater4.jpg</t>
  </si>
  <si>
    <t>Z:\nemtode\general\website_mirrors\nematode.unl.edu_2022_09_21\rhater6.jpg</t>
  </si>
  <si>
    <t>Z:\nemtode\general\website_mirrors\nematode.unl.edu_2022_09_21\rhater7.jpg</t>
  </si>
  <si>
    <t>Z:\nemtode\general\website_mirrors\nematode.unl.edu_2022_09_21\rhater8.jpg</t>
  </si>
  <si>
    <t>Z:\nemtode\general\website_mirrors\nematode.unl.edu_2022_09_21\rhater3.jpg</t>
  </si>
  <si>
    <t>Z:\nemtode\general\website_mirrors\nematode.unl.edu_2022_09_21\rhater5.jpg</t>
  </si>
  <si>
    <t>Z:\nemtode\general\website_mirrors\nematode.unl.edu_2022_09_21\prohab1.jpg</t>
  </si>
  <si>
    <t>Z:\nemtode\general\website_mirrors\nematode.unl.edu_2022_09_21\prodons1.jpg</t>
  </si>
  <si>
    <t>Z:\nemtode\general\website_mirrors\nematode.unl.edu_2022_09_21\protis1.jpg</t>
  </si>
  <si>
    <t>Z:\nemtode\general\website_mirrors\nematode.unl.edu_2022_09_21\protis2.jpg</t>
  </si>
  <si>
    <t>Z:\nemtode\general\website_mirrors\nematode.unl.edu_2022_09_21\protors1.jpg</t>
  </si>
  <si>
    <t>Z:\nemtode\general\website_mirrors\nematode.unl.edu_2022_09_21\protors2.jpg</t>
  </si>
  <si>
    <t>Z:\nemtode\general\website_mirrors\nematode.unl.edu_2022_09_21\protors4.jpg</t>
  </si>
  <si>
    <t>Z:\nemtode\general\website_mirrors\nematode.unl.edu_2022_09_21\protors7.jpg</t>
  </si>
  <si>
    <t>Z:\nemtode\general\website_mirrors\nematode.unl.edu_2022_09_21\protors8.jpg</t>
  </si>
  <si>
    <t>Z:\nemtode\general\website_mirrors\nematode.unl.edu_2022_09_21\protors5.jpg</t>
  </si>
  <si>
    <t>Z:\nemtode\general\website_mirrors\nematode.unl.edu_2022_09_21\protors6.jpg</t>
  </si>
  <si>
    <t>Z:\nemtode\general\website_mirrors\nematode.unl.edu_2022_09_21\protors3.jpg</t>
  </si>
  <si>
    <t>Z:\nemtode\general\website_mirrors\nematode.unl.edu_2022_09_21\rhabella12.jpg</t>
  </si>
  <si>
    <t>Z:\nemtode\general\website_mirrors\nematode.unl.edu_2022_09_21\rhabella13.jpg</t>
  </si>
  <si>
    <t>Z:\nemtode\general\website_mirrors\nematode.unl.edu_2022_09_21\rhabella1.jpg</t>
  </si>
  <si>
    <t>Z:\nemtode\general\website_mirrors\nematode.unl.edu_2022_09_21\rhabella11.jpg</t>
  </si>
  <si>
    <t>Z:\nemtode\general\website_mirrors\nematode.unl.edu_2022_09_21\rhabella4.jpg</t>
  </si>
  <si>
    <t>Z:\nemtode\general\website_mirrors\nematode.unl.edu_2022_09_21\rhabella6.jpg</t>
  </si>
  <si>
    <t>Z:\nemtode\general\website_mirrors\nematode.unl.edu_2022_09_21\rhabella7.jpg</t>
  </si>
  <si>
    <t>Z:\nemtode\general\website_mirrors\nematode.unl.edu_2022_09_21\rhabella8.jpg</t>
  </si>
  <si>
    <t>Z:\nemtode\general\website_mirrors\nematode.unl.edu_2022_09_21\rhabella3.jpg</t>
  </si>
  <si>
    <t>Z:\nemtode\general\website_mirrors\nematode.unl.edu_2022_09_21\rhabella10.jpg</t>
  </si>
  <si>
    <t>Z:\nemtode\general\website_mirrors\nematode.unl.edu_2022_09_21\rhabella2.jpg</t>
  </si>
  <si>
    <t>Z:\nemtode\general\website_mirrors\nematode.unl.edu_2022_09_21\rhabella5.jpg</t>
  </si>
  <si>
    <t>Z:\nemtode\general\website_mirrors\nematode.unl.edu_2022_09_21\rhabella9.jpg</t>
  </si>
  <si>
    <t>Z:\nemtode\general\website_mirrors\nematode.unl.edu_2022_09_21\rhabtis13.jpg</t>
  </si>
  <si>
    <t>Z:\nemtode\general\website_mirrors\nematode.unl.edu_2022_09_21\rhabtis3.jpg</t>
  </si>
  <si>
    <t>Z:\nemtode\general\website_mirrors\nematode.unl.edu_2022_09_21\rhabtis11.jpg</t>
  </si>
  <si>
    <t>Z:\nemtode\general\website_mirrors\nematode.unl.edu_2022_09_21\rhabtis17.jpg</t>
  </si>
  <si>
    <t>Z:\nemtode\general\website_mirrors\nematode.unl.edu_2022_09_21\rhabtis18.jpg</t>
  </si>
  <si>
    <t>Z:\nemtode\general\website_mirrors\nematode.unl.edu_2022_09_21\rhabtis2.jpg</t>
  </si>
  <si>
    <t>Z:\nemtode\general\website_mirrors\nematode.unl.edu_2022_09_21\rhabtis20.jpg</t>
  </si>
  <si>
    <t>Z:\nemtode\general\website_mirrors\nematode.unl.edu_2022_09_21\rhabtis5.jpg</t>
  </si>
  <si>
    <t>Z:\nemtode\general\website_mirrors\nematode.unl.edu_2022_09_21\rhabtis6.jpg</t>
  </si>
  <si>
    <t>Z:\nemtode\general\website_mirrors\nematode.unl.edu_2022_09_21\rhabtis1.jpg</t>
  </si>
  <si>
    <t>Z:\nemtode\general\website_mirrors\nematode.unl.edu_2022_09_21\rhabtis22.jpg</t>
  </si>
  <si>
    <t>Z:\nemtode\general\website_mirrors\nematode.unl.edu_2022_09_21\rhabtis4.jpg</t>
  </si>
  <si>
    <t>Z:\nemtode\general\website_mirrors\nematode.unl.edu_2022_09_21\rhabtis26.jpg</t>
  </si>
  <si>
    <t>Z:\nemtode\general\website_mirrors\nematode.unl.edu_2022_09_21\rhabtis12.jpg</t>
  </si>
  <si>
    <t>Z:\nemtode\general\website_mirrors\nematode.unl.edu_2022_09_21\rhabtis19.jpg</t>
  </si>
  <si>
    <t>Z:\nemtode\general\website_mirrors\nematode.unl.edu_2022_09_21\rhabtis24.jpg</t>
  </si>
  <si>
    <t>Z:\nemtode\general\website_mirrors\nematode.unl.edu_2022_09_21\rhabtis15.jpg</t>
  </si>
  <si>
    <t>Z:\nemtode\general\website_mirrors\nematode.unl.edu_2022_09_21\rhabtis21.jpg</t>
  </si>
  <si>
    <t>Z:\nemtode\general\website_mirrors\nematode.unl.edu_2022_09_21\rhabtis7.jpg</t>
  </si>
  <si>
    <t>Z:\nemtode\general\website_mirrors\nematode.unl.edu_2022_09_21\rhabtis25.jpg</t>
  </si>
  <si>
    <t>Z:\nemtode\general\website_mirrors\nematode.unl.edu_2022_09_21\rhabtis9.jpg</t>
  </si>
  <si>
    <t>Z:\nemtode\general\website_mirrors\nematode.unl.edu_2022_09_21\rhabtis10.jpg</t>
  </si>
  <si>
    <t>Z:\nemtode\general\website_mirrors\nematode.unl.edu_2022_09_21\rhabtis16.jpg</t>
  </si>
  <si>
    <t>Z:\nemtode\general\website_mirrors\nematode.unl.edu_2022_09_21\rhabtis23.jpg</t>
  </si>
  <si>
    <t>Z:\nemtode\general\website_mirrors\nematode.unl.edu_2022_09_21\rhabtis8.jpg</t>
  </si>
  <si>
    <t>Z:\nemtode\general\website_mirrors\nematode.unl.edu_2022_09_21\rhabtis14.jpg</t>
  </si>
  <si>
    <t>Z:\nemtode\general\website_mirrors\nematode.unl.edu_2022_09_21\rhoides1.jpg</t>
  </si>
  <si>
    <t>Z:\nemtode\general\website_mirrors\nematode.unl.edu_2022_09_21\rhoides2.jpg</t>
  </si>
  <si>
    <t>Z:\nemtode\general\website_mirrors\nematode.unl.edu_2022_09_21\rhoides5.jpg</t>
  </si>
  <si>
    <t>Z:\nemtode\general\website_mirrors\nematode.unl.edu_2022_09_21\rhoides12.jpg</t>
  </si>
  <si>
    <t>Z:\nemtode\general\website_mirrors\nematode.unl.edu_2022_09_21\rhoides6.jpg</t>
  </si>
  <si>
    <t>Z:\nemtode\general\website_mirrors\nematode.unl.edu_2022_09_21\rhoides4.jpg</t>
  </si>
  <si>
    <t>Z:\nemtode\general\website_mirrors\nematode.unl.edu_2022_09_21\rhoides13.jpg</t>
  </si>
  <si>
    <t>Z:\nemtode\general\website_mirrors\nematode.unl.edu_2022_09_21\rhoides7.jpg</t>
  </si>
  <si>
    <t>Z:\nemtode\general\website_mirrors\nematode.unl.edu_2022_09_21\rhoides3.jpg</t>
  </si>
  <si>
    <t>Z:\nemtode\general\website_mirrors\nematode.unl.edu_2022_09_21\rhong1.jpg</t>
  </si>
  <si>
    <t>Z:\nemtode\general\website_mirrors\nematode.unl.edu_2022_09_21\rhong3.jpg</t>
  </si>
  <si>
    <t>Z:\nemtode\general\website_mirrors\nematode.unl.edu_2022_09_21\rhong2.jpg</t>
  </si>
  <si>
    <t>Z:\nemtode\general\website_mirrors\nematode.unl.edu_2022_09_21\rhabo1.jpg</t>
  </si>
  <si>
    <t>Z:\nemtode\general\website_mirrors\nematode.unl.edu_2022_09_21\rhabo3.jpg</t>
  </si>
  <si>
    <t>Z:\nemtode\general\website_mirrors\nematode.unl.edu_2022_09_21\rhabo2.jpg</t>
  </si>
  <si>
    <t>Z:\nemtode\general\website_mirrors\nematode.unl.edu_2022_09_21\teratoa1.jpg</t>
  </si>
  <si>
    <t>Z:\nemtode\general\website_mirrors\nematode.unl.edu_2022_09_21\teratoa2.jpg</t>
  </si>
  <si>
    <t>Z:\nemtode\general\website_mirrors\nematode.unl.edu_2022_09_21\steiner17.jpg</t>
  </si>
  <si>
    <t>Z:\nemtode\general\website_mirrors\nematode.unl.edu_2022_09_21\steiner2.jpg</t>
  </si>
  <si>
    <t>Z:\nemtode\general\website_mirrors\nematode.unl.edu_2022_09_21\steiner5.jpg</t>
  </si>
  <si>
    <t>Z:\nemtode\general\website_mirrors\nematode.unl.edu_2022_09_21\steiner7.jpg</t>
  </si>
  <si>
    <t>Z:\nemtode\general\website_mirrors\nematode.unl.edu_2022_09_21\steinho1.jpg</t>
  </si>
  <si>
    <t>Z:\nemtode\general\website_mirrors\nematode.unl.edu_2022_09_21\steiner11.jpg</t>
  </si>
  <si>
    <t>Z:\nemtode\general\website_mirrors\nematode.unl.edu_2022_09_21\steiner6.jpg</t>
  </si>
  <si>
    <t>Z:\nemtode\general\website_mirrors\nematode.unl.edu_2022_09_21\steiner14.jpg</t>
  </si>
  <si>
    <t>Z:\nemtode\general\website_mirrors\nematode.unl.edu_2022_09_21\steiner3.jpg</t>
  </si>
  <si>
    <t>Z:\nemtode\general\website_mirrors\nematode.unl.edu_2022_09_21\steiner1.jpg</t>
  </si>
  <si>
    <t>Z:\nemtode\general\website_mirrors\nematode.unl.edu_2022_09_21\steiner12.jpg</t>
  </si>
  <si>
    <t>Z:\nemtode\general\website_mirrors\nematode.unl.edu_2022_09_21\steiner16.jpg</t>
  </si>
  <si>
    <t>Z:\nemtode\general\website_mirrors\nematode.unl.edu_2022_09_21\steiner10.jpg</t>
  </si>
  <si>
    <t>Z:\nemtode\general\website_mirrors\nematode.unl.edu_2022_09_21\steiner15.jpg</t>
  </si>
  <si>
    <t>Z:\nemtode\general\website_mirrors\nematode.unl.edu_2022_09_21\steiner18.jpg</t>
  </si>
  <si>
    <t>Z:\nemtode\general\website_mirrors\nematode.unl.edu_2022_09_21\steiner8.jpg</t>
  </si>
  <si>
    <t>Z:\nemtode\general\website_mirrors\nematode.unl.edu_2022_09_21\steiner13.jpg</t>
  </si>
  <si>
    <t>Z:\nemtode\general\website_mirrors\nematode.unl.edu_2022_09_21\steiner4.jpg</t>
  </si>
  <si>
    <t>Z:\nemtode\general\website_mirrors\nematode.unl.edu_2022_09_21\steiner9.jpg</t>
  </si>
  <si>
    <t>Z:\nemtode\general\website_mirrors\nematode.unl.edu_2022_09_21\stegl3.jpg</t>
  </si>
  <si>
    <t>Z:\nemtode\general\website_mirrors\nematode.unl.edu_2022_09_21\stegl6.jpg</t>
  </si>
  <si>
    <t>Z:\nemtode\general\website_mirrors\nematode.unl.edu_2022_09_21\stegl7.jpg</t>
  </si>
  <si>
    <t>Z:\nemtode\general\website_mirrors\nematode.unl.edu_2022_09_21\stegl1.jpg</t>
  </si>
  <si>
    <t>Z:\nemtode\general\website_mirrors\nematode.unl.edu_2022_09_21\stegl4.jpg</t>
  </si>
  <si>
    <t>Z:\nemtode\general\website_mirrors\nematode.unl.edu_2022_09_21\stegl2.jpg</t>
  </si>
  <si>
    <t>Z:\nemtode\general\website_mirrors\nematode.unl.edu_2022_09_21\stegl5.jpg</t>
  </si>
  <si>
    <t>Z:\nemtode\general\website_mirrors\nematode.unl.edu_2022_09_21\sycho2.jpg</t>
  </si>
  <si>
    <t>Z:\nemtode\general\website_mirrors\nematode.unl.edu_2022_09_21\sycho1.jpg</t>
  </si>
  <si>
    <t>Z:\nemtode\general\website_mirrors\nematode.unl.edu_2022_09_21\sycho3.jpg</t>
  </si>
  <si>
    <t>Z:\nemtode\general\website_mirrors\nematode.unl.edu_2022_09_21\neodohy4.jpg</t>
  </si>
  <si>
    <t>Z:\nemtode\general\website_mirrors\nematode.unl.edu_2022_09_21\neodohy1.jpg</t>
  </si>
  <si>
    <t>Z:\nemtode\general\website_mirrors\nematode.unl.edu_2022_09_21\neodohy8.jpg</t>
  </si>
  <si>
    <t>Z:\nemtode\general\website_mirrors\nematode.unl.edu_2022_09_21\neodohy2.jpg</t>
  </si>
  <si>
    <t>Z:\nemtode\general\website_mirrors\nematode.unl.edu_2022_09_21\neodohy6.jpg</t>
  </si>
  <si>
    <t>Z:\nemtode\general\website_mirrors\nematode.unl.edu_2022_09_21\neodohy5.jpg</t>
  </si>
  <si>
    <t>Z:\nemtode\general\website_mirrors\nematode.unl.edu_2022_09_21\neodohy3.jpg</t>
  </si>
  <si>
    <t>Z:\nemtode\general\website_mirrors\nematode.unl.edu_2022_09_21\neodohy7.jpg</t>
  </si>
  <si>
    <t>Z:\nemtode\general\website_mirrors\nematode.unl.edu_2022_09_21\merlins2.jpg</t>
  </si>
  <si>
    <t>Z:\nemtode\general\website_mirrors\nematode.unl.edu_2022_09_21\merlins6.jpg</t>
  </si>
  <si>
    <t>Z:\nemtode\general\website_mirrors\nematode.unl.edu_2022_09_21\merlins1.jpg</t>
  </si>
  <si>
    <t>Z:\nemtode\general\website_mirrors\nematode.unl.edu_2022_09_21\merlins4.jpg</t>
  </si>
  <si>
    <t>Z:\nemtode\general\website_mirrors\nematode.unl.edu_2022_09_21\merlins5.jpg</t>
  </si>
  <si>
    <t>Z:\nemtode\general\website_mirrors\nematode.unl.edu_2022_09_21\merlins3.jpg</t>
  </si>
  <si>
    <t>Z:\nemtode\general\website_mirrors\nematode.unl.edu_2022_09_21\terat19.jpg</t>
  </si>
  <si>
    <t>Z:\nemtode\general\website_mirrors\nematode.unl.edu_2022_09_21\terat3.jpg</t>
  </si>
  <si>
    <t>Z:\nemtode\general\website_mirrors\nematode.unl.edu_2022_09_21\terat5.jpg</t>
  </si>
  <si>
    <t>Z:\nemtode\general\website_mirrors\nematode.unl.edu_2022_09_21\terat1.jpg</t>
  </si>
  <si>
    <t>Z:\nemtode\general\website_mirrors\nematode.unl.edu_2022_09_21\terat2.jpg</t>
  </si>
  <si>
    <t>Z:\nemtode\general\website_mirrors\nematode.unl.edu_2022_09_21\teratcmp.jpg</t>
  </si>
  <si>
    <t>Z:\nemtode\general\website_mirrors\nematode.unl.edu_2022_09_21\terat4.jpg</t>
  </si>
  <si>
    <t>Z:\nemtode\general\website_mirrors\nematode.unl.edu_2022_09_21\aagri2.jpg</t>
  </si>
  <si>
    <t>Z:\nemtode\general\website_mirrors\nematode.unl.edu_2022_09_21\aagri4.jpg</t>
  </si>
  <si>
    <t>Z:\nemtode\general\website_mirrors\nematode.unl.edu_2022_09_21\agla11.jpg</t>
  </si>
  <si>
    <t>Z:\nemtode\general\website_mirrors\nematode.unl.edu_2022_09_21\agla2.jpg</t>
  </si>
  <si>
    <t>Z:\nemtode\general\website_mirrors\nematode.unl.edu_2022_09_21\agla6.jpg</t>
  </si>
  <si>
    <t>Z:\nemtode\general\website_mirrors\nematode.unl.edu_2022_09_21\agla8.jpg</t>
  </si>
  <si>
    <t>Z:\nemtode\general\website_mirrors\nematode.unl.edu_2022_09_21\aagri1.jpg</t>
  </si>
  <si>
    <t>Z:\nemtode\general\website_mirrors\nematode.unl.edu_2022_09_21\agla7.jpg</t>
  </si>
  <si>
    <t>Z:\nemtode\general\website_mirrors\nematode.unl.edu_2022_09_21\aagri5.jpg</t>
  </si>
  <si>
    <t>Z:\nemtode\general\website_mirrors\nematode.unl.edu_2022_09_21\aagri3.jpg</t>
  </si>
  <si>
    <t>Z:\nemtode\general\website_mirrors\nematode.unl.edu_2022_09_21\agla10.jpg</t>
  </si>
  <si>
    <t>Z:\nemtode\general\website_mirrors\nematode.unl.edu_2022_09_21\agla4.jpg</t>
  </si>
  <si>
    <t>Z:\nemtode\general\website_mirrors\nematode.unl.edu_2022_09_21\agla12.jpg</t>
  </si>
  <si>
    <t>Z:\nemtode\general\website_mirrors\nematode.unl.edu_2022_09_21\agla3.jpg</t>
  </si>
  <si>
    <t>Z:\nemtode\general\website_mirrors\nematode.unl.edu_2022_09_21\agla5.jpg</t>
  </si>
  <si>
    <t>Z:\nemtode\general\website_mirrors\nematode.unl.edu_2022_09_21\agla9.jpg</t>
  </si>
  <si>
    <t>Z:\nemtode\general\website_mirrors\nematode.unl.edu_2022_09_21\agdak1.jpg</t>
  </si>
  <si>
    <t>Z:\nemtode\general\website_mirrors\nematode.unl.edu_2022_09_21\agdak2.jpg</t>
  </si>
  <si>
    <t>Z:\nemtode\general\website_mirrors\nematode.unl.edu_2022_09_21\amuk10.jpg</t>
  </si>
  <si>
    <t>Z:\nemtode\general\website_mirrors\nematode.unl.edu_2022_09_21\amuk11.jpg</t>
  </si>
  <si>
    <t>Z:\nemtode\general\website_mirrors\nematode.unl.edu_2022_09_21\amuk4.jpg</t>
  </si>
  <si>
    <t>Z:\nemtode\general\website_mirrors\nematode.unl.edu_2022_09_21\amuk6.jpg</t>
  </si>
  <si>
    <t>Z:\nemtode\general\website_mirrors\nematode.unl.edu_2022_09_21\amuk9.jpg</t>
  </si>
  <si>
    <t>Z:\nemtode\general\website_mirrors\nematode.unl.edu_2022_09_21\amuk1.jpg</t>
  </si>
  <si>
    <t>Z:\nemtode\general\website_mirrors\nematode.unl.edu_2022_09_21\amuk3.jpg</t>
  </si>
  <si>
    <t>Z:\nemtode\general\website_mirrors\nematode.unl.edu_2022_09_21\amuk7.jpg</t>
  </si>
  <si>
    <t>Z:\nemtode\general\website_mirrors\nematode.unl.edu_2022_09_21\amuk2.jpg</t>
  </si>
  <si>
    <t>Z:\nemtode\general\website_mirrors\nematode.unl.edu_2022_09_21\amuk5.jpg</t>
  </si>
  <si>
    <t>Z:\nemtode\general\website_mirrors\nematode.unl.edu_2022_09_21\amuk8.jpg</t>
  </si>
  <si>
    <t>Z:\nemtode\general\website_mirrors\nematode.unl.edu_2022_09_21\agla1.jpg</t>
  </si>
  <si>
    <t>Z:\nemtode\general\website_mirrors\nematode.unl.edu_2022_09_21\baber2.jpg</t>
  </si>
  <si>
    <t>Z:\nemtode\general\website_mirrors\nematode.unl.edu_2022_09_21\baber4.jpg</t>
  </si>
  <si>
    <t>Z:\nemtode\general\website_mirrors\nematode.unl.edu_2022_09_21\baber6.jpg</t>
  </si>
  <si>
    <t>Z:\nemtode\general\website_mirrors\nematode.unl.edu_2022_09_21\baber1.jpg</t>
  </si>
  <si>
    <t>Z:\nemtode\general\website_mirrors\nematode.unl.edu_2022_09_21\baber5.jpg</t>
  </si>
  <si>
    <t>Z:\nemtode\general\website_mirrors\nematode.unl.edu_2022_09_21\baber7.jpg</t>
  </si>
  <si>
    <t>Z:\nemtode\general\website_mirrors\nematode.unl.edu_2022_09_21\baber3.jpg</t>
  </si>
  <si>
    <t>Z:\nemtode\general\website_mirrors\nematode.unl.edu_2022_09_21\baber8.jpg</t>
  </si>
  <si>
    <t>Z:\nemtode\general\website_mirrors\nematode.unl.edu_2022_09_21\baffi11.jpg</t>
  </si>
  <si>
    <t>Z:\nemtode\general\website_mirrors\nematode.unl.edu_2022_09_21\baffi14.jpg</t>
  </si>
  <si>
    <t>Z:\nemtode\general\website_mirrors\nematode.unl.edu_2022_09_21\baffi15.jpg</t>
  </si>
  <si>
    <t>Z:\nemtode\general\website_mirrors\nematode.unl.edu_2022_09_21\baffi16.jpg</t>
  </si>
  <si>
    <t>Z:\nemtode\general\website_mirrors\nematode.unl.edu_2022_09_21\baffi17.jpg</t>
  </si>
  <si>
    <t>Z:\nemtode\general\website_mirrors\nematode.unl.edu_2022_09_21\baffi19.jpg</t>
  </si>
  <si>
    <t>Z:\nemtode\general\website_mirrors\nematode.unl.edu_2022_09_21\baffi2.jpg</t>
  </si>
  <si>
    <t>Z:\nemtode\general\website_mirrors\nematode.unl.edu_2022_09_21\baffi21.jpg</t>
  </si>
  <si>
    <t>Z:\nemtode\general\website_mirrors\nematode.unl.edu_2022_09_21\baffi3.jpg</t>
  </si>
  <si>
    <t>Z:\nemtode\general\website_mirrors\nematode.unl.edu_2022_09_21\baffi6.jpg</t>
  </si>
  <si>
    <t>Z:\nemtode\general\website_mirrors\nematode.unl.edu_2022_09_21\baffi9.jpg</t>
  </si>
  <si>
    <t>Z:\nemtode\general\website_mirrors\nematode.unl.edu_2022_09_21\baffi1.jpg</t>
  </si>
  <si>
    <t>Z:\nemtode\general\website_mirrors\nematode.unl.edu_2022_09_21\baffi12.jpg</t>
  </si>
  <si>
    <t>Z:\nemtode\general\website_mirrors\nematode.unl.edu_2022_09_21\baffi13.jpg</t>
  </si>
  <si>
    <t>Z:\nemtode\general\website_mirrors\nematode.unl.edu_2022_09_21\baffi18.jpg</t>
  </si>
  <si>
    <t>Z:\nemtode\general\website_mirrors\nematode.unl.edu_2022_09_21\bafficmp.jpg</t>
  </si>
  <si>
    <t>Z:\nemtode\general\website_mirrors\nematode.unl.edu_2022_09_21\baffi10.jpg</t>
  </si>
  <si>
    <t>Z:\nemtode\general\website_mirrors\nematode.unl.edu_2022_09_21\baffi8.jpg</t>
  </si>
  <si>
    <t>Z:\nemtode\general\website_mirrors\nematode.unl.edu_2022_09_21\baffi5.jpg</t>
  </si>
  <si>
    <t>Z:\nemtode\general\website_mirrors\nematode.unl.edu_2022_09_21\baffi7.jpg</t>
  </si>
  <si>
    <t>Z:\nemtode\general\website_mirrors\nematode.unl.edu_2022_09_21\baffi20.jpg</t>
  </si>
  <si>
    <t>Z:\nemtode\general\website_mirrors\nematode.unl.edu_2022_09_21\baffi4.jpg</t>
  </si>
  <si>
    <t>Z:\nemtode\general\website_mirrors\nematode.unl.edu_2022_09_21\bacon1.jpg</t>
  </si>
  <si>
    <t>Z:\nemtode\general\website_mirrors\nematode.unl.edu_2022_09_21\bacon3.jpg</t>
  </si>
  <si>
    <t>Z:\nemtode\general\website_mirrors\nematode.unl.edu_2022_09_21\bacon4.jpg</t>
  </si>
  <si>
    <t>Z:\nemtode\general\website_mirrors\nematode.unl.edu_2022_09_21\bacon5.jpg</t>
  </si>
  <si>
    <t>Z:\nemtode\general\website_mirrors\nematode.unl.edu_2022_09_21\bacon6.jpg</t>
  </si>
  <si>
    <t>Z:\nemtode\general\website_mirrors\nematode.unl.edu_2022_09_21\bacon2.jpg</t>
  </si>
  <si>
    <t>Z:\nemtode\general\website_mirrors\nematode.unl.edu_2022_09_21\bagra10.jpg</t>
  </si>
  <si>
    <t>Z:\nemtode\general\website_mirrors\nematode.unl.edu_2022_09_21\bagra2.jpg</t>
  </si>
  <si>
    <t>Z:\nemtode\general\website_mirrors\nematode.unl.edu_2022_09_21\bagra1.jpg</t>
  </si>
  <si>
    <t>Z:\nemtode\general\website_mirrors\nematode.unl.edu_2022_09_21\bagra4.jpg</t>
  </si>
  <si>
    <t>Z:\nemtode\general\website_mirrors\nematode.unl.edu_2022_09_21\bagra6.jpg</t>
  </si>
  <si>
    <t>Z:\nemtode\general\website_mirrors\nematode.unl.edu_2022_09_21\bagra9.jpg</t>
  </si>
  <si>
    <t>Z:\nemtode\general\website_mirrors\nematode.unl.edu_2022_09_21\bagra5.jpg</t>
  </si>
  <si>
    <t>Z:\nemtode\general\website_mirrors\nematode.unl.edu_2022_09_21\bagracmp.jpg</t>
  </si>
  <si>
    <t>Z:\nemtode\general\website_mirrors\nematode.unl.edu_2022_09_21\bagra8.jpg</t>
  </si>
  <si>
    <t>Z:\nemtode\general\website_mirrors\nematode.unl.edu_2022_09_21\bagra3.jpg</t>
  </si>
  <si>
    <t>Z:\nemtode\general\website_mirrors\nematode.unl.edu_2022_09_21\bagra7.jpg</t>
  </si>
  <si>
    <t>Z:\nemtode\general\website_mirrors\nematode.unl.edu_2022_09_21\bobli1.jpg</t>
  </si>
  <si>
    <t>Z:\nemtode\general\website_mirrors\nematode.unl.edu_2022_09_21\bobli4.jpg</t>
  </si>
  <si>
    <t>Z:\nemtode\general\website_mirrors\nematode.unl.edu_2022_09_21\boblicmp.jpg</t>
  </si>
  <si>
    <t>Z:\nemtode\general\website_mirrors\nematode.unl.edu_2022_09_21\bobli3.jpg</t>
  </si>
  <si>
    <t>Z:\nemtode\general\website_mirrors\nematode.unl.edu_2022_09_21\bobli2.jpg</t>
  </si>
  <si>
    <t>Z:\nemtode\general\website_mirrors\nematode.unl.edu_2022_09_21\basob12.jpg</t>
  </si>
  <si>
    <t>Z:\nemtode\general\website_mirrors\nematode.unl.edu_2022_09_21\basob1.jpg</t>
  </si>
  <si>
    <t>Z:\nemtode\general\website_mirrors\nematode.unl.edu_2022_09_21\basob16.jpg</t>
  </si>
  <si>
    <t>Z:\nemtode\general\website_mirrors\nematode.unl.edu_2022_09_21\basob18.jpg</t>
  </si>
  <si>
    <t>Z:\nemtode\general\website_mirrors\nematode.unl.edu_2022_09_21\basob22.jpg</t>
  </si>
  <si>
    <t>Z:\nemtode\general\website_mirrors\nematode.unl.edu_2022_09_21\basob23.jpg</t>
  </si>
  <si>
    <t>Z:\nemtode\general\website_mirrors\nematode.unl.edu_2022_09_21\basob25.jpg</t>
  </si>
  <si>
    <t>Z:\nemtode\general\website_mirrors\nematode.unl.edu_2022_09_21\basob26.jpg</t>
  </si>
  <si>
    <t>Z:\nemtode\general\website_mirrors\nematode.unl.edu_2022_09_21\basob28.jpg</t>
  </si>
  <si>
    <t>Z:\nemtode\general\website_mirrors\nematode.unl.edu_2022_09_21\basob30.jpg</t>
  </si>
  <si>
    <t>Z:\nemtode\general\website_mirrors\nematode.unl.edu_2022_09_21\basob31.jpg</t>
  </si>
  <si>
    <t>Z:\nemtode\general\website_mirrors\nematode.unl.edu_2022_09_21\basob4.jpg</t>
  </si>
  <si>
    <t>Z:\nemtode\general\website_mirrors\nematode.unl.edu_2022_09_21\basob5.jpg</t>
  </si>
  <si>
    <t>Z:\nemtode\general\website_mirrors\nematode.unl.edu_2022_09_21\basob11.jpg</t>
  </si>
  <si>
    <t>Z:\nemtode\general\website_mirrors\nematode.unl.edu_2022_09_21\basob9.jpg</t>
  </si>
  <si>
    <t>Z:\nemtode\general\website_mirrors\nematode.unl.edu_2022_09_21\basob14.jpg</t>
  </si>
  <si>
    <t>Z:\nemtode\general\website_mirrors\nematode.unl.edu_2022_09_21\basob15.jpg</t>
  </si>
  <si>
    <t>Z:\nemtode\general\website_mirrors\nematode.unl.edu_2022_09_21\basob21.jpg</t>
  </si>
  <si>
    <t>Z:\nemtode\general\website_mirrors\nematode.unl.edu_2022_09_21\basob27.jpg</t>
  </si>
  <si>
    <t>Z:\nemtode\general\website_mirrors\nematode.unl.edu_2022_09_21\basob13.jpg</t>
  </si>
  <si>
    <t>Z:\nemtode\general\website_mirrors\nematode.unl.edu_2022_09_21\basob8.jpg</t>
  </si>
  <si>
    <t>Z:\nemtode\general\website_mirrors\nematode.unl.edu_2022_09_21\basob17.jpg</t>
  </si>
  <si>
    <t>Z:\nemtode\general\website_mirrors\nematode.unl.edu_2022_09_21\basob19.jpg</t>
  </si>
  <si>
    <t>Z:\nemtode\general\website_mirrors\nematode.unl.edu_2022_09_21\basob20.jpg</t>
  </si>
  <si>
    <t>Z:\nemtode\general\website_mirrors\nematode.unl.edu_2022_09_21\basob24.jpg</t>
  </si>
  <si>
    <t>Z:\nemtode\general\website_mirrors\nematode.unl.edu_2022_09_21\basob29.jpg</t>
  </si>
  <si>
    <t>Z:\nemtode\general\website_mirrors\nematode.unl.edu_2022_09_21\basob3.jpg</t>
  </si>
  <si>
    <t>Z:\nemtode\general\website_mirrors\nematode.unl.edu_2022_09_21\basob7.jpg</t>
  </si>
  <si>
    <t>Z:\nemtode\general\website_mirrors\nematode.unl.edu_2022_09_21\basob10.jpg</t>
  </si>
  <si>
    <t>Z:\nemtode\general\website_mirrors\nematode.unl.edu_2022_09_21\basob2.jpg</t>
  </si>
  <si>
    <t>Z:\nemtode\general\website_mirrors\nematode.unl.edu_2022_09_21\basob6.jpg</t>
  </si>
  <si>
    <t>Z:\nemtode\general\website_mirrors\nematode.unl.edu_2022_09_21\basim18.jpg</t>
  </si>
  <si>
    <t>Z:\nemtode\general\website_mirrors\nematode.unl.edu_2022_09_21\basim15.jpg</t>
  </si>
  <si>
    <t>Z:\nemtode\general\website_mirrors\nematode.unl.edu_2022_09_21\bassi9.jpg</t>
  </si>
  <si>
    <t>Z:\nemtode\general\website_mirrors\nematode.unl.edu_2022_09_21\basim11.jpg</t>
  </si>
  <si>
    <t>Z:\nemtode\general\website_mirrors\nematode.unl.edu_2022_09_21\basim19.jpg</t>
  </si>
  <si>
    <t>Z:\nemtode\general\website_mirrors\nematode.unl.edu_2022_09_21\basim2.jpg</t>
  </si>
  <si>
    <t>Z:\nemtode\general\website_mirrors\nematode.unl.edu_2022_09_21\basim4.jpg</t>
  </si>
  <si>
    <t>Z:\nemtode\general\website_mirrors\nematode.unl.edu_2022_09_21\basim5.jpg</t>
  </si>
  <si>
    <t>Z:\nemtode\general\website_mirrors\nematode.unl.edu_2022_09_21\basim6.jpg</t>
  </si>
  <si>
    <t>Z:\nemtode\general\website_mirrors\nematode.unl.edu_2022_09_21\basim7.jpg</t>
  </si>
  <si>
    <t>Z:\nemtode\general\website_mirrors\nematode.unl.edu_2022_09_21\basim8.jpg</t>
  </si>
  <si>
    <t>Z:\nemtode\general\website_mirrors\nematode.unl.edu_2022_09_21\basim9.jpg</t>
  </si>
  <si>
    <t>Z:\nemtode\general\website_mirrors\nematode.unl.edu_2022_09_21\basimil1.jpg</t>
  </si>
  <si>
    <t>Z:\nemtode\general\website_mirrors\nematode.unl.edu_2022_09_21\basimil3.jpg</t>
  </si>
  <si>
    <t>Z:\nemtode\general\website_mirrors\nematode.unl.edu_2022_09_21\bassi2.jpg</t>
  </si>
  <si>
    <t>Z:\nemtode\general\website_mirrors\nematode.unl.edu_2022_09_21\bassi7.jpg</t>
  </si>
  <si>
    <t>Z:\nemtode\general\website_mirrors\nematode.unl.edu_2022_09_21\basim1.jpg</t>
  </si>
  <si>
    <t>Z:\nemtode\general\website_mirrors\nematode.unl.edu_2022_09_21\basim20.jpg</t>
  </si>
  <si>
    <t>Z:\nemtode\general\website_mirrors\nematode.unl.edu_2022_09_21\bassi1.jpg</t>
  </si>
  <si>
    <t>Z:\nemtode\general\website_mirrors\nematode.unl.edu_2022_09_21\bassi5.jpg</t>
  </si>
  <si>
    <t>Z:\nemtode\general\website_mirrors\nematode.unl.edu_2022_09_21\bassi8.jpg</t>
  </si>
  <si>
    <t>Z:\nemtode\general\website_mirrors\nematode.unl.edu_2022_09_21\bassicmp.jpg</t>
  </si>
  <si>
    <t>Z:\nemtode\general\website_mirrors\nematode.unl.edu_2022_09_21\basim14.jpg</t>
  </si>
  <si>
    <t>Z:\nemtode\general\website_mirrors\nematode.unl.edu_2022_09_21\basimil2.jpg</t>
  </si>
  <si>
    <t>Z:\nemtode\general\website_mirrors\nematode.unl.edu_2022_09_21\bassi10.jpg</t>
  </si>
  <si>
    <t>Z:\nemtode\general\website_mirrors\nematode.unl.edu_2022_09_21\basim10.jpg</t>
  </si>
  <si>
    <t>Z:\nemtode\general\website_mirrors\nematode.unl.edu_2022_09_21\basim13.jpg</t>
  </si>
  <si>
    <t>Z:\nemtode\general\website_mirrors\nematode.unl.edu_2022_09_21\basim17.jpg</t>
  </si>
  <si>
    <t>Z:\nemtode\general\website_mirrors\nematode.unl.edu_2022_09_21\basim22.jpg</t>
  </si>
  <si>
    <t>Z:\nemtode\general\website_mirrors\nematode.unl.edu_2022_09_21\basim3.jpg</t>
  </si>
  <si>
    <t>Z:\nemtode\general\website_mirrors\nematode.unl.edu_2022_09_21\bassi4.jpg</t>
  </si>
  <si>
    <t>Z:\nemtode\general\website_mirrors\nematode.unl.edu_2022_09_21\bassi6.jpg</t>
  </si>
  <si>
    <t>Z:\nemtode\general\website_mirrors\nematode.unl.edu_2022_09_21\basim12.jpg</t>
  </si>
  <si>
    <t>Z:\nemtode\general\website_mirrors\nematode.unl.edu_2022_09_21\basim16.jpg</t>
  </si>
  <si>
    <t>Z:\nemtode\general\website_mirrors\nematode.unl.edu_2022_09_21\basim21.jpg</t>
  </si>
  <si>
    <t>Z:\nemtode\general\website_mirrors\nematode.unl.edu_2022_09_21\bassi3.jpg</t>
  </si>
  <si>
    <t>Z:\nemtode\general\website_mirrors\nematode.unl.edu_2022_09_21\bacla2.jpg</t>
  </si>
  <si>
    <t>Z:\nemtode\general\website_mirrors\nematode.unl.edu_2022_09_21\bacla6.jpg</t>
  </si>
  <si>
    <t>Z:\nemtode\general\website_mirrors\nematode.unl.edu_2022_09_21\baclak10.jpg</t>
  </si>
  <si>
    <t>Z:\nemtode\general\website_mirrors\nematode.unl.edu_2022_09_21\baclak3.jpg</t>
  </si>
  <si>
    <t>Z:\nemtode\general\website_mirrors\nematode.unl.edu_2022_09_21\baclak4.jpg</t>
  </si>
  <si>
    <t>Z:\nemtode\general\website_mirrors\nematode.unl.edu_2022_09_21\baclak7.jpg</t>
  </si>
  <si>
    <t>Z:\nemtode\general\website_mirrors\nematode.unl.edu_2022_09_21\bacla1.jpg</t>
  </si>
  <si>
    <t>Z:\nemtode\general\website_mirrors\nematode.unl.edu_2022_09_21\bacla5.jpg</t>
  </si>
  <si>
    <t>Z:\nemtode\general\website_mirrors\nematode.unl.edu_2022_09_21\baclak5.jpg</t>
  </si>
  <si>
    <t>Z:\nemtode\general\website_mirrors\nematode.unl.edu_2022_09_21\baclak8.jpg</t>
  </si>
  <si>
    <t>Z:\nemtode\general\website_mirrors\nematode.unl.edu_2022_09_21\baclacmp.jpg</t>
  </si>
  <si>
    <t>Z:\nemtode\general\website_mirrors\nematode.unl.edu_2022_09_21\bacla4.jpg</t>
  </si>
  <si>
    <t>Z:\nemtode\general\website_mirrors\nematode.unl.edu_2022_09_21\bacla7.jpg</t>
  </si>
  <si>
    <t>Z:\nemtode\general\website_mirrors\nematode.unl.edu_2022_09_21\baclak1.jpg</t>
  </si>
  <si>
    <t>Z:\nemtode\general\website_mirrors\nematode.unl.edu_2022_09_21\baclak11.jpg</t>
  </si>
  <si>
    <t>Z:\nemtode\general\website_mirrors\nematode.unl.edu_2022_09_21\baclak6.jpg</t>
  </si>
  <si>
    <t>Z:\nemtode\general\website_mirrors\nematode.unl.edu_2022_09_21\baclak9.jpg</t>
  </si>
  <si>
    <t>Z:\nemtode\general\website_mirrors\nematode.unl.edu_2022_09_21\bacla3.jpg</t>
  </si>
  <si>
    <t>Z:\nemtode\general\website_mirrors\nematode.unl.edu_2022_09_21\baclak2.jpg</t>
  </si>
  <si>
    <t>Z:\nemtode\general\website_mirrors\nematode.unl.edu_2022_09_21\bolehed.jpg</t>
  </si>
  <si>
    <t>Z:\nemtode\general\website_mirrors\nematode.unl.edu_2022_09_21\bolspr.jpg</t>
  </si>
  <si>
    <t>Z:\nemtode\general\website_mirrors\nematode.unl.edu_2022_09_21\boletl.jpg</t>
  </si>
  <si>
    <t>Z:\nemtode\general\website_mirrors\nematode.unl.edu_2022_09_21\bolvulv.jpg</t>
  </si>
  <si>
    <t>Z:\nemtode\general\website_mirrors\nematode.unl.edu_2022_09_21\bacu40.jpg</t>
  </si>
  <si>
    <t>Z:\nemtode\general\website_mirrors\nematode.unl.edu_2022_09_21\bacu11.jpg</t>
  </si>
  <si>
    <t>Z:\nemtode\general\website_mirrors\nematode.unl.edu_2022_09_21\bacu14.jpg</t>
  </si>
  <si>
    <t>Z:\nemtode\general\website_mirrors\nematode.unl.edu_2022_09_21\bacu15.jpg</t>
  </si>
  <si>
    <t>Z:\nemtode\general\website_mirrors\nematode.unl.edu_2022_09_21\bacu16.jpg</t>
  </si>
  <si>
    <t>Z:\nemtode\general\website_mirrors\nematode.unl.edu_2022_09_21\bacu19.jpg</t>
  </si>
  <si>
    <t>Z:\nemtode\general\website_mirrors\nematode.unl.edu_2022_09_21\bacu22.jpg</t>
  </si>
  <si>
    <t>Z:\nemtode\general\website_mirrors\nematode.unl.edu_2022_09_21\bacu26.jpg</t>
  </si>
  <si>
    <t>Z:\nemtode\general\website_mirrors\nematode.unl.edu_2022_09_21\bacu3.jpg</t>
  </si>
  <si>
    <t>Z:\nemtode\general\website_mirrors\nematode.unl.edu_2022_09_21\bacu32.jpg</t>
  </si>
  <si>
    <t>Z:\nemtode\general\website_mirrors\nematode.unl.edu_2022_09_21\bacu35.jpg</t>
  </si>
  <si>
    <t>Z:\nemtode\general\website_mirrors\nematode.unl.edu_2022_09_21\bacu37.jpg</t>
  </si>
  <si>
    <t>Z:\nemtode\general\website_mirrors\nematode.unl.edu_2022_09_21\bacu38.jpg</t>
  </si>
  <si>
    <t>Z:\nemtode\general\website_mirrors\nematode.unl.edu_2022_09_21\bacu42.jpg</t>
  </si>
  <si>
    <t>Z:\nemtode\general\website_mirrors\nematode.unl.edu_2022_09_21\bacu47.jpg</t>
  </si>
  <si>
    <t>Z:\nemtode\general\website_mirrors\nematode.unl.edu_2022_09_21\bacut2.jpg</t>
  </si>
  <si>
    <t>Z:\nemtode\general\website_mirrors\nematode.unl.edu_2022_09_21\bacut4.jpg</t>
  </si>
  <si>
    <t>Z:\nemtode\general\website_mirrors\nematode.unl.edu_2022_09_21\bacut9.jpg</t>
  </si>
  <si>
    <t>Z:\nemtode\general\website_mirrors\nematode.unl.edu_2022_09_21\bolac2.jpg</t>
  </si>
  <si>
    <t>Z:\nemtode\general\website_mirrors\nematode.unl.edu_2022_09_21\bolac5.jpg</t>
  </si>
  <si>
    <t>Z:\nemtode\general\website_mirrors\nematode.unl.edu_2022_09_21\bolac7.jpg</t>
  </si>
  <si>
    <t>Z:\nemtode\general\website_mirrors\nematode.unl.edu_2022_09_21\bacu28.jpg</t>
  </si>
  <si>
    <t>Z:\nemtode\general\website_mirrors\nematode.unl.edu_2022_09_21\bacu44.jpg</t>
  </si>
  <si>
    <t>Z:\nemtode\general\website_mirrors\nematode.unl.edu_2022_09_21\bacu36.jpg</t>
  </si>
  <si>
    <t>Z:\nemtode\general\website_mirrors\nematode.unl.edu_2022_09_21\bolac8.jpg</t>
  </si>
  <si>
    <t>Z:\nemtode\general\website_mirrors\nematode.unl.edu_2022_09_21\bacu17.jpg</t>
  </si>
  <si>
    <t>Z:\nemtode\general\website_mirrors\nematode.unl.edu_2022_09_21\bacu18.jpg</t>
  </si>
  <si>
    <t>Z:\nemtode\general\website_mirrors\nematode.unl.edu_2022_09_21\bacu25.jpg</t>
  </si>
  <si>
    <t>Z:\nemtode\general\website_mirrors\nematode.unl.edu_2022_09_21\bacu45.jpg</t>
  </si>
  <si>
    <t>Z:\nemtode\general\website_mirrors\nematode.unl.edu_2022_09_21\bacu46.jpg</t>
  </si>
  <si>
    <t>Z:\nemtode\general\website_mirrors\nematode.unl.edu_2022_09_21\bacu6.jpg</t>
  </si>
  <si>
    <t>Z:\nemtode\general\website_mirrors\nematode.unl.edu_2022_09_21\bacut3.jpg</t>
  </si>
  <si>
    <t>Z:\nemtode\general\website_mirrors\nematode.unl.edu_2022_09_21\bacut6.jpg</t>
  </si>
  <si>
    <t>Z:\nemtode\general\website_mirrors\nematode.unl.edu_2022_09_21\bolac1.jpg</t>
  </si>
  <si>
    <t>Z:\nemtode\general\website_mirrors\nematode.unl.edu_2022_09_21\bolac4.jpg</t>
  </si>
  <si>
    <t>Z:\nemtode\general\website_mirrors\nematode.unl.edu_2022_09_21\bacucmp.jpg</t>
  </si>
  <si>
    <t>Z:\nemtode\general\website_mirrors\nematode.unl.edu_2022_09_21\bacu33.jpg</t>
  </si>
  <si>
    <t>Z:\nemtode\general\website_mirrors\nematode.unl.edu_2022_09_21\bacu27.jpg</t>
  </si>
  <si>
    <t>Z:\nemtode\general\website_mirrors\nematode.unl.edu_2022_09_21\bacu43.jpg</t>
  </si>
  <si>
    <t>Z:\nemtode\general\website_mirrors\nematode.unl.edu_2022_09_21\bolac6.jpg</t>
  </si>
  <si>
    <t>Z:\nemtode\general\website_mirrors\nematode.unl.edu_2022_09_21\bacu7.jpg</t>
  </si>
  <si>
    <t>Z:\nemtode\general\website_mirrors\nematode.unl.edu_2022_09_21\bacu1.jpg</t>
  </si>
  <si>
    <t>Z:\nemtode\general\website_mirrors\nematode.unl.edu_2022_09_21\bacu4.jpg</t>
  </si>
  <si>
    <t>Z:\nemtode\general\website_mirrors\nematode.unl.edu_2022_09_21\bacu48.jpg</t>
  </si>
  <si>
    <t>Z:\nemtode\general\website_mirrors\nematode.unl.edu_2022_09_21\bacu21.jpg</t>
  </si>
  <si>
    <t>Z:\nemtode\general\website_mirrors\nematode.unl.edu_2022_09_21\bacu24.jpg</t>
  </si>
  <si>
    <t>Z:\nemtode\general\website_mirrors\nematode.unl.edu_2022_09_21\bacu31.jpg</t>
  </si>
  <si>
    <t>Z:\nemtode\general\website_mirrors\nematode.unl.edu_2022_09_21\bacu50.jpg</t>
  </si>
  <si>
    <t>Z:\nemtode\general\website_mirrors\nematode.unl.edu_2022_09_21\bacut1.jpg</t>
  </si>
  <si>
    <t>Z:\nemtode\general\website_mirrors\nematode.unl.edu_2022_09_21\bacut10.jpg</t>
  </si>
  <si>
    <t>Z:\nemtode\general\website_mirrors\nematode.unl.edu_2022_09_21\bolac9.jpg</t>
  </si>
  <si>
    <t>Z:\nemtode\general\website_mirrors\nematode.unl.edu_2022_09_21\bacu12.jpg</t>
  </si>
  <si>
    <t>Z:\nemtode\general\website_mirrors\nematode.unl.edu_2022_09_21\bacu41.jpg</t>
  </si>
  <si>
    <t>Z:\nemtode\general\website_mirrors\nematode.unl.edu_2022_09_21\bacu8.jpg</t>
  </si>
  <si>
    <t>Z:\nemtode\general\website_mirrors\nematode.unl.edu_2022_09_21\bacu13.jpg</t>
  </si>
  <si>
    <t>Z:\nemtode\general\website_mirrors\nematode.unl.edu_2022_09_21\bacu20.jpg</t>
  </si>
  <si>
    <t>Z:\nemtode\general\website_mirrors\nematode.unl.edu_2022_09_21\bacu23.jpg</t>
  </si>
  <si>
    <t>Z:\nemtode\general\website_mirrors\nematode.unl.edu_2022_09_21\bacu29.jpg</t>
  </si>
  <si>
    <t>Z:\nemtode\general\website_mirrors\nematode.unl.edu_2022_09_21\bacu9.jpg</t>
  </si>
  <si>
    <t>Z:\nemtode\general\website_mirrors\nematode.unl.edu_2022_09_21\bacut5.jpg</t>
  </si>
  <si>
    <t>Z:\nemtode\general\website_mirrors\nematode.unl.edu_2022_09_21\bacut7.jpg</t>
  </si>
  <si>
    <t>Z:\nemtode\general\website_mirrors\nematode.unl.edu_2022_09_21\bacut8.jpg</t>
  </si>
  <si>
    <t>Z:\nemtode\general\website_mirrors\nematode.unl.edu_2022_09_21\bolac3.jpg</t>
  </si>
  <si>
    <t>Z:\nemtode\general\website_mirrors\nematode.unl.edu_2022_09_21\bolsi17.jpg</t>
  </si>
  <si>
    <t>Z:\nemtode\general\website_mirrors\nematode.unl.edu_2022_09_21\bolsi5.jpg</t>
  </si>
  <si>
    <t>Z:\nemtode\general\website_mirrors\nematode.unl.edu_2022_09_21\bolsi13.jpg</t>
  </si>
  <si>
    <t>Z:\nemtode\general\website_mirrors\nematode.unl.edu_2022_09_21\bolsi18.jpg</t>
  </si>
  <si>
    <t>Z:\nemtode\general\website_mirrors\nematode.unl.edu_2022_09_21\bolsi4.jpg</t>
  </si>
  <si>
    <t>Z:\nemtode\general\website_mirrors\nematode.unl.edu_2022_09_21\bolsi11.jpg</t>
  </si>
  <si>
    <t>Z:\nemtode\general\website_mirrors\nematode.unl.edu_2022_09_21\bolsi9.jpg</t>
  </si>
  <si>
    <t>Z:\nemtode\general\website_mirrors\nematode.unl.edu_2022_09_21\bolsi12.jpg</t>
  </si>
  <si>
    <t>Z:\nemtode\general\website_mirrors\nematode.unl.edu_2022_09_21\bolsi7.jpg</t>
  </si>
  <si>
    <t>Z:\nemtode\general\website_mirrors\nematode.unl.edu_2022_09_21\bolsi1.jpg</t>
  </si>
  <si>
    <t>Z:\nemtode\general\website_mirrors\nematode.unl.edu_2022_09_21\bolsi6.jpg</t>
  </si>
  <si>
    <t>Z:\nemtode\general\website_mirrors\nematode.unl.edu_2022_09_21\bolsicmp.jpg</t>
  </si>
  <si>
    <t>Z:\nemtode\general\website_mirrors\nematode.unl.edu_2022_09_21\bolsi10.jpg</t>
  </si>
  <si>
    <t>Z:\nemtode\general\website_mirrors\nematode.unl.edu_2022_09_21\bolsi14.jpg</t>
  </si>
  <si>
    <t>Z:\nemtode\general\website_mirrors\nematode.unl.edu_2022_09_21\bolsi15.jpg</t>
  </si>
  <si>
    <t>Z:\nemtode\general\website_mirrors\nematode.unl.edu_2022_09_21\bolsi3.jpg</t>
  </si>
  <si>
    <t>Z:\nemtode\general\website_mirrors\nematode.unl.edu_2022_09_21\bolsi8.jpg</t>
  </si>
  <si>
    <t>Z:\nemtode\general\website_mirrors\nematode.unl.edu_2022_09_21\bolsi16.jpg</t>
  </si>
  <si>
    <t>Z:\nemtode\general\website_mirrors\nematode.unl.edu_2022_09_21\bolsi2.jpg</t>
  </si>
  <si>
    <t>Z:\nemtode\general\website_mirrors\nematode.unl.edu_2022_09_21\both11.jpg</t>
  </si>
  <si>
    <t>Z:\nemtode\general\website_mirrors\nematode.unl.edu_2022_09_21\both14.jpg</t>
  </si>
  <si>
    <t>Z:\nemtode\general\website_mirrors\nematode.unl.edu_2022_09_21\both17.jpg</t>
  </si>
  <si>
    <t>Z:\nemtode\general\website_mirrors\nematode.unl.edu_2022_09_21\both2.jpg</t>
  </si>
  <si>
    <t>Z:\nemtode\general\website_mirrors\nematode.unl.edu_2022_09_21\both7.jpg</t>
  </si>
  <si>
    <t>Z:\nemtode\general\website_mirrors\nematode.unl.edu_2022_09_21\both8.jpg</t>
  </si>
  <si>
    <t>Z:\nemtode\general\website_mirrors\nematode.unl.edu_2022_09_21\bothyl1.jpg</t>
  </si>
  <si>
    <t>Z:\nemtode\general\website_mirrors\nematode.unl.edu_2022_09_21\bothyl4.jpg</t>
  </si>
  <si>
    <t>Z:\nemtode\general\website_mirrors\nematode.unl.edu_2022_09_21\bthhead.jpg</t>
  </si>
  <si>
    <t>Z:\nemtode\general\website_mirrors\nematode.unl.edu_2022_09_21\both1.jpg</t>
  </si>
  <si>
    <t>Z:\nemtode\general\website_mirrors\nematode.unl.edu_2022_09_21\both13.jpg</t>
  </si>
  <si>
    <t>Z:\nemtode\general\website_mirrors\nematode.unl.edu_2022_09_21\both16.jpg</t>
  </si>
  <si>
    <t>Z:\nemtode\general\website_mirrors\nematode.unl.edu_2022_09_21\both20.jpg</t>
  </si>
  <si>
    <t>Z:\nemtode\general\website_mirrors\nematode.unl.edu_2022_09_21\bothyl2.jpg</t>
  </si>
  <si>
    <t>Z:\nemtode\general\website_mirrors\nematode.unl.edu_2022_09_21\bothyl3.jpg</t>
  </si>
  <si>
    <t>Z:\nemtode\general\website_mirrors\nematode.unl.edu_2022_09_21\bothcmp.jpg</t>
  </si>
  <si>
    <t>Z:\nemtode\general\website_mirrors\nematode.unl.edu_2022_09_21\both12.jpg</t>
  </si>
  <si>
    <t>Z:\nemtode\general\website_mirrors\nematode.unl.edu_2022_09_21\both10.jpg</t>
  </si>
  <si>
    <t>Z:\nemtode\general\website_mirrors\nematode.unl.edu_2022_09_21\both15.jpg</t>
  </si>
  <si>
    <t>Z:\nemtode\general\website_mirrors\nematode.unl.edu_2022_09_21\both18.jpg</t>
  </si>
  <si>
    <t>Z:\nemtode\general\website_mirrors\nematode.unl.edu_2022_09_21\both19.jpg</t>
  </si>
  <si>
    <t>Z:\nemtode\general\website_mirrors\nematode.unl.edu_2022_09_21\both4.jpg</t>
  </si>
  <si>
    <t>Z:\nemtode\general\website_mirrors\nematode.unl.edu_2022_09_21\both5.jpg</t>
  </si>
  <si>
    <t>Z:\nemtode\general\website_mirrors\nematode.unl.edu_2022_09_21\both9.jpg</t>
  </si>
  <si>
    <t>Z:\nemtode\general\website_mirrors\nematode.unl.edu_2022_09_21\bothyl5.jpg</t>
  </si>
  <si>
    <t>Z:\nemtode\general\website_mirrors\nematode.unl.edu_2022_09_21\bthtail.jpg</t>
  </si>
  <si>
    <t>Z:\nemtode\general\website_mirrors\nematode.unl.edu_2022_09_21\both21.jpg</t>
  </si>
  <si>
    <t>Z:\nemtode\general\website_mirrors\nematode.unl.edu_2022_09_21\both3.jpg</t>
  </si>
  <si>
    <t>Z:\nemtode\general\website_mirrors\nematode.unl.edu_2022_09_21\both6.jpg</t>
  </si>
  <si>
    <t>Z:\nemtode\general\website_mirrors\nematode.unl.edu_2022_09_21\coslesp22.jpg</t>
  </si>
  <si>
    <t>Z:\nemtode\general\website_mirrors\nematode.unl.edu_2022_09_21\coslesp1.jpg</t>
  </si>
  <si>
    <t>Z:\nemtode\general\website_mirrors\nematode.unl.edu_2022_09_21\coslesp14.jpg</t>
  </si>
  <si>
    <t>Z:\nemtode\general\website_mirrors\nematode.unl.edu_2022_09_21\coslesp15.jpg</t>
  </si>
  <si>
    <t>Z:\nemtode\general\website_mirrors\nematode.unl.edu_2022_09_21\coslesp17.jpg</t>
  </si>
  <si>
    <t>Z:\nemtode\general\website_mirrors\nematode.unl.edu_2022_09_21\coslesp18.jpg</t>
  </si>
  <si>
    <t>Z:\nemtode\general\website_mirrors\nematode.unl.edu_2022_09_21\coslesp24.jpg</t>
  </si>
  <si>
    <t>Z:\nemtode\general\website_mirrors\nematode.unl.edu_2022_09_21\coslesp3.jpg</t>
  </si>
  <si>
    <t>Z:\nemtode\general\website_mirrors\nematode.unl.edu_2022_09_21\coslesp6.jpg</t>
  </si>
  <si>
    <t>Z:\nemtode\general\website_mirrors\nematode.unl.edu_2022_09_21\coslesp25.jpg</t>
  </si>
  <si>
    <t>Z:\nemtode\general\website_mirrors\nematode.unl.edu_2022_09_21\coslesp5.jpg</t>
  </si>
  <si>
    <t>Z:\nemtode\general\website_mirrors\nematode.unl.edu_2022_09_21\coslesp10.jpg</t>
  </si>
  <si>
    <t>Z:\nemtode\general\website_mirrors\nematode.unl.edu_2022_09_21\coslesp12.jpg</t>
  </si>
  <si>
    <t>Z:\nemtode\general\website_mirrors\nematode.unl.edu_2022_09_21\coslesp4.jpg</t>
  </si>
  <si>
    <t>Z:\nemtode\general\website_mirrors\nematode.unl.edu_2022_09_21\coslesp9.jpg</t>
  </si>
  <si>
    <t>Z:\nemtode\general\website_mirrors\nematode.unl.edu_2022_09_21\coslesp20.jpg</t>
  </si>
  <si>
    <t>Z:\nemtode\general\website_mirrors\nematode.unl.edu_2022_09_21\coslesp2.jpg</t>
  </si>
  <si>
    <t>Z:\nemtode\general\website_mirrors\nematode.unl.edu_2022_09_21\coslesp26.jpg</t>
  </si>
  <si>
    <t>Z:\nemtode\general\website_mirrors\nematode.unl.edu_2022_09_21\coslesp8.jpg</t>
  </si>
  <si>
    <t>Z:\nemtode\general\website_mirrors\nematode.unl.edu_2022_09_21\coslesp11.jpg</t>
  </si>
  <si>
    <t>Z:\nemtode\general\website_mirrors\nematode.unl.edu_2022_09_21\coslesp13.jpg</t>
  </si>
  <si>
    <t>Z:\nemtode\general\website_mirrors\nematode.unl.edu_2022_09_21\coslesp19.jpg</t>
  </si>
  <si>
    <t>Z:\nemtode\general\website_mirrors\nematode.unl.edu_2022_09_21\coslesp21.jpg</t>
  </si>
  <si>
    <t>Z:\nemtode\general\website_mirrors\nematode.unl.edu_2022_09_21\coslesp23.jpg</t>
  </si>
  <si>
    <t>Z:\nemtode\general\website_mirrors\nematode.unl.edu_2022_09_21\coslesp7.jpg</t>
  </si>
  <si>
    <t>Z:\nemtode\general\website_mirrors\nematode.unl.edu_2022_09_21\coslesp16.jpg</t>
  </si>
  <si>
    <t>Z:\nemtode\general\website_mirrors\nematode.unl.edu_2022_09_21\cosco1.jpg</t>
  </si>
  <si>
    <t>Z:\nemtode\general\website_mirrors\nematode.unl.edu_2022_09_21\cosco10.jpg</t>
  </si>
  <si>
    <t>Z:\nemtode\general\website_mirrors\nematode.unl.edu_2022_09_21\cosco11.jpg</t>
  </si>
  <si>
    <t>Z:\nemtode\general\website_mirrors\nematode.unl.edu_2022_09_21\cosco12.jpg</t>
  </si>
  <si>
    <t>Z:\nemtode\general\website_mirrors\nematode.unl.edu_2022_09_21\cosco15.jpg</t>
  </si>
  <si>
    <t>Z:\nemtode\general\website_mirrors\nematode.unl.edu_2022_09_21\cosco7.jpg</t>
  </si>
  <si>
    <t>Z:\nemtode\general\website_mirrors\nematode.unl.edu_2022_09_21\coscos2.jpg</t>
  </si>
  <si>
    <t>Z:\nemtode\general\website_mirrors\nematode.unl.edu_2022_09_21\coscos3.jpg</t>
  </si>
  <si>
    <t>Z:\nemtode\general\website_mirrors\nematode.unl.edu_2022_09_21\cosleco1.jpg</t>
  </si>
  <si>
    <t>Z:\nemtode\general\website_mirrors\nematode.unl.edu_2022_09_21\cosleco4.jpg</t>
  </si>
  <si>
    <t>Z:\nemtode\general\website_mirrors\nematode.unl.edu_2022_09_21\cosleco6.jpg</t>
  </si>
  <si>
    <t>Z:\nemtode\general\website_mirrors\nematode.unl.edu_2022_09_21\cosco14.jpg</t>
  </si>
  <si>
    <t>Z:\nemtode\general\website_mirrors\nematode.unl.edu_2022_09_21\cosco3.jpg</t>
  </si>
  <si>
    <t>Z:\nemtode\general\website_mirrors\nematode.unl.edu_2022_09_21\cosco9.jpg</t>
  </si>
  <si>
    <t>Z:\nemtode\general\website_mirrors\nematode.unl.edu_2022_09_21\coscos1.jpg</t>
  </si>
  <si>
    <t>Z:\nemtode\general\website_mirrors\nematode.unl.edu_2022_09_21\coscocmp.jpg</t>
  </si>
  <si>
    <t>Z:\nemtode\general\website_mirrors\nematode.unl.edu_2022_09_21\cosco13.jpg</t>
  </si>
  <si>
    <t>Z:\nemtode\general\website_mirrors\nematode.unl.edu_2022_09_21\cosco4.jpg</t>
  </si>
  <si>
    <t>Z:\nemtode\general\website_mirrors\nematode.unl.edu_2022_09_21\cosco8.jpg</t>
  </si>
  <si>
    <t>Z:\nemtode\general\website_mirrors\nematode.unl.edu_2022_09_21\coscos6.jpg</t>
  </si>
  <si>
    <t>Z:\nemtode\general\website_mirrors\nematode.unl.edu_2022_09_21\cosleco2.jpg</t>
  </si>
  <si>
    <t>Z:\nemtode\general\website_mirrors\nematode.unl.edu_2022_09_21\cosleco5.jpg</t>
  </si>
  <si>
    <t>Z:\nemtode\general\website_mirrors\nematode.unl.edu_2022_09_21\cosleco7.jpg</t>
  </si>
  <si>
    <t>Z:\nemtode\general\website_mirrors\nematode.unl.edu_2022_09_21\cosco5.jpg</t>
  </si>
  <si>
    <t>Z:\nemtode\general\website_mirrors\nematode.unl.edu_2022_09_21\coscos4.jpg</t>
  </si>
  <si>
    <t>Z:\nemtode\general\website_mirrors\nematode.unl.edu_2022_09_21\cosleco9.jpg</t>
  </si>
  <si>
    <t>Z:\nemtode\general\website_mirrors\nematode.unl.edu_2022_09_21\cosco16.jpg</t>
  </si>
  <si>
    <t>Z:\nemtode\general\website_mirrors\nematode.unl.edu_2022_09_21\cosco2.jpg</t>
  </si>
  <si>
    <t>Z:\nemtode\general\website_mirrors\nematode.unl.edu_2022_09_21\cosco6.jpg</t>
  </si>
  <si>
    <t>Z:\nemtode\general\website_mirrors\nematode.unl.edu_2022_09_21\coscos5.jpg</t>
  </si>
  <si>
    <t>Z:\nemtode\general\website_mirrors\nematode.unl.edu_2022_09_21\cosleco3.jpg</t>
  </si>
  <si>
    <t>Z:\nemtode\general\website_mirrors\nematode.unl.edu_2022_09_21\cosleco8.jpg</t>
  </si>
  <si>
    <t>Z:\nemtode\general\website_mirrors\nematode.unl.edu_2022_09_21\fisp1.jpg</t>
  </si>
  <si>
    <t>Z:\nemtode\general\website_mirrors\nematode.unl.edu_2022_09_21\fisp4.jpg</t>
  </si>
  <si>
    <t>Z:\nemtode\general\website_mirrors\nematode.unl.edu_2022_09_21\fisp3.jpg</t>
  </si>
  <si>
    <t>Z:\nemtode\general\website_mirrors\nematode.unl.edu_2022_09_21\fisp2.jpg</t>
  </si>
  <si>
    <t>Z:\nemtode\general\website_mirrors\nematode.unl.edu_2022_09_21\facut11.jpg</t>
  </si>
  <si>
    <t>Z:\nemtode\general\website_mirrors\nematode.unl.edu_2022_09_21\facut14.jpg</t>
  </si>
  <si>
    <t>Z:\nemtode\general\website_mirrors\nematode.unl.edu_2022_09_21\facut2.jpg</t>
  </si>
  <si>
    <t>Z:\nemtode\general\website_mirrors\nematode.unl.edu_2022_09_21\facut4.jpg</t>
  </si>
  <si>
    <t>Z:\nemtode\general\website_mirrors\nematode.unl.edu_2022_09_21\facut7.jpg</t>
  </si>
  <si>
    <t>Z:\nemtode\general\website_mirrors\nematode.unl.edu_2022_09_21\facut8.jpg</t>
  </si>
  <si>
    <t>Z:\nemtode\general\website_mirrors\nematode.unl.edu_2022_09_21\facut1.jpg</t>
  </si>
  <si>
    <t>Z:\nemtode\general\website_mirrors\nematode.unl.edu_2022_09_21\facut10.jpg</t>
  </si>
  <si>
    <t>Z:\nemtode\general\website_mirrors\nematode.unl.edu_2022_09_21\facut13.jpg</t>
  </si>
  <si>
    <t>Z:\nemtode\general\website_mirrors\nematode.unl.edu_2022_09_21\facut15.jpg</t>
  </si>
  <si>
    <t>Z:\nemtode\general\website_mirrors\nematode.unl.edu_2022_09_21\facut3.jpg</t>
  </si>
  <si>
    <t>Z:\nemtode\general\website_mirrors\nematode.unl.edu_2022_09_21\facut6.jpg</t>
  </si>
  <si>
    <t>Z:\nemtode\general\website_mirrors\nematode.unl.edu_2022_09_21\facut9.jpg</t>
  </si>
  <si>
    <t>Z:\nemtode\general\website_mirrors\nematode.unl.edu_2022_09_21\facut12.jpg</t>
  </si>
  <si>
    <t>Z:\nemtode\general\website_mirrors\nematode.unl.edu_2022_09_21\facut5.jpg</t>
  </si>
  <si>
    <t>Z:\nemtode\general\website_mirrors\nematode.unl.edu_2022_09_21\filaf1.jpg</t>
  </si>
  <si>
    <t>Z:\nemtode\general\website_mirrors\nematode.unl.edu_2022_09_21\filaf5.jpg</t>
  </si>
  <si>
    <t>Z:\nemtode\general\website_mirrors\nematode.unl.edu_2022_09_21\filaquil2.jpg</t>
  </si>
  <si>
    <t>Z:\nemtode\general\website_mirrors\nematode.unl.edu_2022_09_21\filaquil5.jpg</t>
  </si>
  <si>
    <t>Z:\nemtode\general\website_mirrors\nematode.unl.edu_2022_09_21\filaudus11.jpg</t>
  </si>
  <si>
    <t>Z:\nemtode\general\website_mirrors\nematode.unl.edu_2022_09_21\filaudus12.jpg</t>
  </si>
  <si>
    <t>Z:\nemtode\general\website_mirrors\nematode.unl.edu_2022_09_21\filaudus2.jpg</t>
  </si>
  <si>
    <t>Z:\nemtode\general\website_mirrors\nematode.unl.edu_2022_09_21\filaudus5.jpg</t>
  </si>
  <si>
    <t>Z:\nemtode\general\website_mirrors\nematode.unl.edu_2022_09_21\filaudus8.jpg</t>
  </si>
  <si>
    <t>Z:\nemtode\general\website_mirrors\nematode.unl.edu_2022_09_21\filaudus9.jpg</t>
  </si>
  <si>
    <t>Z:\nemtode\general\website_mirrors\nematode.unl.edu_2022_09_21\filaf6.jpg</t>
  </si>
  <si>
    <t>Z:\nemtode\general\website_mirrors\nematode.unl.edu_2022_09_21\filaquil1.jpg</t>
  </si>
  <si>
    <t>Z:\nemtode\general\website_mirrors\nematode.unl.edu_2022_09_21\filaudus1.jpg</t>
  </si>
  <si>
    <t>Z:\nemtode\general\website_mirrors\nematode.unl.edu_2022_09_21\filaudus4.jpg</t>
  </si>
  <si>
    <t>Z:\nemtode\general\website_mirrors\nematode.unl.edu_2022_09_21\filaquil6.jpg</t>
  </si>
  <si>
    <t>Z:\nemtode\general\website_mirrors\nematode.unl.edu_2022_09_21\filaf3.jpg</t>
  </si>
  <si>
    <t>Z:\nemtode\general\website_mirrors\nematode.unl.edu_2022_09_21\filaf4.jpg</t>
  </si>
  <si>
    <t>Z:\nemtode\general\website_mirrors\nematode.unl.edu_2022_09_21\filaquil4.jpg</t>
  </si>
  <si>
    <t>Z:\nemtode\general\website_mirrors\nematode.unl.edu_2022_09_21\filaudus13.jpg</t>
  </si>
  <si>
    <t>Z:\nemtode\general\website_mirrors\nematode.unl.edu_2022_09_21\filaudus3.jpg</t>
  </si>
  <si>
    <t>Z:\nemtode\general\website_mirrors\nematode.unl.edu_2022_09_21\filaudus7.jpg</t>
  </si>
  <si>
    <t>Z:\nemtode\general\website_mirrors\nematode.unl.edu_2022_09_21\filaf2.jpg</t>
  </si>
  <si>
    <t>Z:\nemtode\general\website_mirrors\nematode.unl.edu_2022_09_21\filaquil3.jpg</t>
  </si>
  <si>
    <t>Z:\nemtode\general\website_mirrors\nematode.unl.edu_2022_09_21\filaudus10.jpg</t>
  </si>
  <si>
    <t>Z:\nemtode\general\website_mirrors\nematode.unl.edu_2022_09_21\filaudus6.jpg</t>
  </si>
  <si>
    <t>Z:\nemtode\general\website_mirrors\nematode.unl.edu_2022_09_21\fannul1.jpg</t>
  </si>
  <si>
    <t>Z:\nemtode\general\website_mirrors\nematode.unl.edu_2022_09_21\fannul4.jpg</t>
  </si>
  <si>
    <t>Z:\nemtode\general\website_mirrors\nematode.unl.edu_2022_09_21\fannul5.jpg</t>
  </si>
  <si>
    <t>Z:\nemtode\general\website_mirrors\nematode.unl.edu_2022_09_21\fannul7.jpg</t>
  </si>
  <si>
    <t>Z:\nemtode\general\website_mirrors\nematode.unl.edu_2022_09_21\fannul8.jpg</t>
  </si>
  <si>
    <t>Z:\nemtode\general\website_mirrors\nematode.unl.edu_2022_09_21\fannul6.jpg</t>
  </si>
  <si>
    <t>Z:\nemtode\general\website_mirrors\nematode.unl.edu_2022_09_21\fannul3.jpg</t>
  </si>
  <si>
    <t>Z:\nemtode\general\website_mirrors\nematode.unl.edu_2022_09_21\fannul9.jpg</t>
  </si>
  <si>
    <t>Z:\nemtode\general\website_mirrors\nematode.unl.edu_2022_09_21\fannul2.jpg</t>
  </si>
  <si>
    <t>Z:\nemtode\general\website_mirrors\nematode.unl.edu_2022_09_21\faquil1.jpg</t>
  </si>
  <si>
    <t>Z:\nemtode\general\website_mirrors\nematode.unl.edu_2022_09_21\fibal1.jpg</t>
  </si>
  <si>
    <t>Z:\nemtode\general\website_mirrors\nematode.unl.edu_2022_09_21\fibal16.jpg</t>
  </si>
  <si>
    <t>Z:\nemtode\general\website_mirrors\nematode.unl.edu_2022_09_21\fibal17.jpg</t>
  </si>
  <si>
    <t>Z:\nemtode\general\website_mirrors\nematode.unl.edu_2022_09_21\fibal7.jpg</t>
  </si>
  <si>
    <t>Z:\nemtode\general\website_mirrors\nematode.unl.edu_2022_09_21\fibal8.jpg</t>
  </si>
  <si>
    <t>Z:\nemtode\general\website_mirrors\nematode.unl.edu_2022_09_21\fibal12.jpg</t>
  </si>
  <si>
    <t>Z:\nemtode\general\website_mirrors\nematode.unl.edu_2022_09_21\fibal13.jpg</t>
  </si>
  <si>
    <t>Z:\nemtode\general\website_mirrors\nematode.unl.edu_2022_09_21\fibal5.jpg</t>
  </si>
  <si>
    <t>Z:\nemtode\general\website_mirrors\nematode.unl.edu_2022_09_21\fibal9.jpg</t>
  </si>
  <si>
    <t>Z:\nemtode\general\website_mirrors\nematode.unl.edu_2022_09_21\fibal11.jpg</t>
  </si>
  <si>
    <t>Z:\nemtode\general\website_mirrors\nematode.unl.edu_2022_09_21\fibal6.jpg</t>
  </si>
  <si>
    <t>Z:\nemtode\general\website_mirrors\nematode.unl.edu_2022_09_21\fibal10.jpg</t>
  </si>
  <si>
    <t>Z:\nemtode\general\website_mirrors\nematode.unl.edu_2022_09_21\fibal14.jpg</t>
  </si>
  <si>
    <t>Z:\nemtode\general\website_mirrors\nematode.unl.edu_2022_09_21\fibal19.jpg</t>
  </si>
  <si>
    <t>Z:\nemtode\general\website_mirrors\nematode.unl.edu_2022_09_21\fibal2.jpg</t>
  </si>
  <si>
    <t>Z:\nemtode\general\website_mirrors\nematode.unl.edu_2022_09_21\fibal15.jpg</t>
  </si>
  <si>
    <t>Z:\nemtode\general\website_mirrors\nematode.unl.edu_2022_09_21\fibal18.jpg</t>
  </si>
  <si>
    <t>Z:\nemtode\general\website_mirrors\nematode.unl.edu_2022_09_21\filbu3.jpg</t>
  </si>
  <si>
    <t>Z:\nemtode\general\website_mirrors\nematode.unl.edu_2022_09_21\filbu6.jpg</t>
  </si>
  <si>
    <t>Z:\nemtode\general\website_mirrors\nematode.unl.edu_2022_09_21\filbu7.jpg</t>
  </si>
  <si>
    <t>Z:\nemtode\general\website_mirrors\nematode.unl.edu_2022_09_21\filbu1.jpg</t>
  </si>
  <si>
    <t>Z:\nemtode\general\website_mirrors\nematode.unl.edu_2022_09_21\filbu5.jpg</t>
  </si>
  <si>
    <t>Z:\nemtode\general\website_mirrors\nematode.unl.edu_2022_09_21\filbu4.jpg</t>
  </si>
  <si>
    <t>Z:\nemtode\general\website_mirrors\nematode.unl.edu_2022_09_21\filbu2.jpg</t>
  </si>
  <si>
    <t>Z:\nemtode\general\website_mirrors\nematode.unl.edu_2022_09_21\filco2.jpg</t>
  </si>
  <si>
    <t>Z:\nemtode\general\website_mirrors\nematode.unl.edu_2022_09_21\filco3.jpg</t>
  </si>
  <si>
    <t>Z:\nemtode\general\website_mirrors\nematode.unl.edu_2022_09_21\filco5.jpg</t>
  </si>
  <si>
    <t>Z:\nemtode\general\website_mirrors\nematode.unl.edu_2022_09_21\filco6.jpg</t>
  </si>
  <si>
    <t>Z:\nemtode\general\website_mirrors\nematode.unl.edu_2022_09_21\filco9.jpg</t>
  </si>
  <si>
    <t>Z:\nemtode\general\website_mirrors\nematode.unl.edu_2022_09_21\filcom2.jpg</t>
  </si>
  <si>
    <t>Z:\nemtode\general\website_mirrors\nematode.unl.edu_2022_09_21\filco1.jpg</t>
  </si>
  <si>
    <t>Z:\nemtode\general\website_mirrors\nematode.unl.edu_2022_09_21\filcom1.jpg</t>
  </si>
  <si>
    <t>Z:\nemtode\general\website_mirrors\nematode.unl.edu_2022_09_21\filco7.jpg</t>
  </si>
  <si>
    <t>Z:\nemtode\general\website_mirrors\nematode.unl.edu_2022_09_21\filco4.jpg</t>
  </si>
  <si>
    <t>Z:\nemtode\general\website_mirrors\nematode.unl.edu_2022_09_21\filco8.jpg</t>
  </si>
  <si>
    <t>Z:\nemtode\general\website_mirrors\nematode.unl.edu_2022_09_21\filcom3.jpg</t>
  </si>
  <si>
    <t>Z:\nemtode\general\website_mirrors\nematode.unl.edu_2022_09_21\ficaudus1.jpg</t>
  </si>
  <si>
    <t>Z:\nemtode\general\website_mirrors\nematode.unl.edu_2022_09_21\ficaudus11.jpg</t>
  </si>
  <si>
    <t>Z:\nemtode\general\website_mirrors\nematode.unl.edu_2022_09_21\ficaudus12.jpg</t>
  </si>
  <si>
    <t>Z:\nemtode\general\website_mirrors\nematode.unl.edu_2022_09_21\ficaudus15.jpg</t>
  </si>
  <si>
    <t>Z:\nemtode\general\website_mirrors\nematode.unl.edu_2022_09_21\ficaudus17.jpg</t>
  </si>
  <si>
    <t>Z:\nemtode\general\website_mirrors\nematode.unl.edu_2022_09_21\ficaudus25.jpg</t>
  </si>
  <si>
    <t>Z:\nemtode\general\website_mirrors\nematode.unl.edu_2022_09_21\ficaudus28.jpg</t>
  </si>
  <si>
    <t>Z:\nemtode\general\website_mirrors\nematode.unl.edu_2022_09_21\ficaudus3.jpg</t>
  </si>
  <si>
    <t>Z:\nemtode\general\website_mirrors\nematode.unl.edu_2022_09_21\ficaudus31.jpg</t>
  </si>
  <si>
    <t>Z:\nemtode\general\website_mirrors\nematode.unl.edu_2022_09_21\ficaudus34.jpg</t>
  </si>
  <si>
    <t>Z:\nemtode\general\website_mirrors\nematode.unl.edu_2022_09_21\ficaudus35.jpg</t>
  </si>
  <si>
    <t>Z:\nemtode\general\website_mirrors\nematode.unl.edu_2022_09_21\ficaudus36.jpg</t>
  </si>
  <si>
    <t>Z:\nemtode\general\website_mirrors\nematode.unl.edu_2022_09_21\ficaudus7.jpg</t>
  </si>
  <si>
    <t>Z:\nemtode\general\website_mirrors\nematode.unl.edu_2022_09_21\ficaudus8.jpg</t>
  </si>
  <si>
    <t>Z:\nemtode\general\website_mirrors\nematode.unl.edu_2022_09_21\ficaudus9.jpg</t>
  </si>
  <si>
    <t>Z:\nemtode\general\website_mirrors\nematode.unl.edu_2022_09_21\ficaudus30.jpg</t>
  </si>
  <si>
    <t>Z:\nemtode\general\website_mirrors\nematode.unl.edu_2022_09_21\ficaudus33.jpg</t>
  </si>
  <si>
    <t>Z:\nemtode\general\website_mirrors\nematode.unl.edu_2022_09_21\ficaudus14.jpg</t>
  </si>
  <si>
    <t>Z:\nemtode\general\website_mirrors\nematode.unl.edu_2022_09_21\ficaudus27.jpg</t>
  </si>
  <si>
    <t>Z:\nemtode\general\website_mirrors\nematode.unl.edu_2022_09_21\ficaudus5.jpg</t>
  </si>
  <si>
    <t>Z:\nemtode\general\website_mirrors\nematode.unl.edu_2022_09_21\ficaudus10.jpg</t>
  </si>
  <si>
    <t>Z:\nemtode\general\website_mirrors\nematode.unl.edu_2022_09_21\ficaudus20.jpg</t>
  </si>
  <si>
    <t>Z:\nemtode\general\website_mirrors\nematode.unl.edu_2022_09_21\ficaudus26.jpg</t>
  </si>
  <si>
    <t>Z:\nemtode\general\website_mirrors\nematode.unl.edu_2022_09_21\ficaudus21.jpg</t>
  </si>
  <si>
    <t>Z:\nemtode\general\website_mirrors\nematode.unl.edu_2022_09_21\ficaudus2.jpg</t>
  </si>
  <si>
    <t>Z:\nemtode\general\website_mirrors\nematode.unl.edu_2022_09_21\ficaudus4.jpg</t>
  </si>
  <si>
    <t>Z:\nemtode\general\website_mirrors\nematode.unl.edu_2022_09_21\ficaudus6.jpg</t>
  </si>
  <si>
    <t>Z:\nemtode\general\website_mirrors\nematode.unl.edu_2022_09_21\ficaudus13.jpg</t>
  </si>
  <si>
    <t>Z:\nemtode\general\website_mirrors\nematode.unl.edu_2022_09_21\ficaudus16.jpg</t>
  </si>
  <si>
    <t>Z:\nemtode\general\website_mirrors\nematode.unl.edu_2022_09_21\ficaudus19.jpg</t>
  </si>
  <si>
    <t>Z:\nemtode\general\website_mirrors\nematode.unl.edu_2022_09_21\ficaudus22.jpg</t>
  </si>
  <si>
    <t>Z:\nemtode\general\website_mirrors\nematode.unl.edu_2022_09_21\ficaudus24.jpg</t>
  </si>
  <si>
    <t>Z:\nemtode\general\website_mirrors\nematode.unl.edu_2022_09_21\ficaudus32.jpg</t>
  </si>
  <si>
    <t>Z:\nemtode\general\website_mirrors\nematode.unl.edu_2022_09_21\ficaudus18.jpg</t>
  </si>
  <si>
    <t>Z:\nemtode\general\website_mirrors\nematode.unl.edu_2022_09_21\ficaudus23.jpg</t>
  </si>
  <si>
    <t>Z:\nemtode\general\website_mirrors\nematode.unl.edu_2022_09_21\ficaudus29.jpg</t>
  </si>
  <si>
    <t>Z:\nemtode\general\website_mirrors\nematode.unl.edu_2022_09_21\ficaudus37.jpg</t>
  </si>
  <si>
    <t>Z:\nemtode\general\website_mirrors\nematode.unl.edu_2022_09_21\fcylcmp.jpg</t>
  </si>
  <si>
    <t>Z:\nemtode\general\website_mirrors\nematode.unl.edu_2022_09_21\ficyl3.jpg</t>
  </si>
  <si>
    <t>Z:\nemtode\general\website_mirrors\nematode.unl.edu_2022_09_21\fcyco1.jpg</t>
  </si>
  <si>
    <t>Z:\nemtode\general\website_mirrors\nematode.unl.edu_2022_09_21\fcyco10.jpg</t>
  </si>
  <si>
    <t>Z:\nemtode\general\website_mirrors\nematode.unl.edu_2022_09_21\fcyco8.jpg</t>
  </si>
  <si>
    <t>Z:\nemtode\general\website_mirrors\nematode.unl.edu_2022_09_21\ficyl2.jpg</t>
  </si>
  <si>
    <t>Z:\nemtode\general\website_mirrors\nematode.unl.edu_2022_09_21\ficyl5.jpg</t>
  </si>
  <si>
    <t>Z:\nemtode\general\website_mirrors\nematode.unl.edu_2022_09_21\fcyco2.jpg</t>
  </si>
  <si>
    <t>Z:\nemtode\general\website_mirrors\nematode.unl.edu_2022_09_21\fcyco4.jpg</t>
  </si>
  <si>
    <t>Z:\nemtode\general\website_mirrors\nematode.unl.edu_2022_09_21\fcyco9.jpg</t>
  </si>
  <si>
    <t>Z:\nemtode\general\website_mirrors\nematode.unl.edu_2022_09_21\ficyl1.jpg</t>
  </si>
  <si>
    <t>Z:\nemtode\general\website_mirrors\nematode.unl.edu_2022_09_21\fcyco7.jpg</t>
  </si>
  <si>
    <t>Z:\nemtode\general\website_mirrors\nematode.unl.edu_2022_09_21\fcyco11.jpg</t>
  </si>
  <si>
    <t>Z:\nemtode\general\website_mirrors\nematode.unl.edu_2022_09_21\fcyco5.jpg</t>
  </si>
  <si>
    <t>Z:\nemtode\general\website_mirrors\nematode.unl.edu_2022_09_21\fcyco6.jpg</t>
  </si>
  <si>
    <t>Z:\nemtode\general\website_mirrors\nematode.unl.edu_2022_09_21\fcyco12.jpg</t>
  </si>
  <si>
    <t>Z:\nemtode\general\website_mirrors\nematode.unl.edu_2022_09_21\fcyco3.jpg</t>
  </si>
  <si>
    <t>Z:\nemtode\general\website_mirrors\nematode.unl.edu_2022_09_21\ficyl6.jpg</t>
  </si>
  <si>
    <t>Z:\nemtode\general\website_mirrors\nematode.unl.edu_2022_09_21\ficyl4.jpg</t>
  </si>
  <si>
    <t>Z:\nemtode\general\website_mirrors\nematode.unl.edu_2022_09_21\ficylcus1.jpg</t>
  </si>
  <si>
    <t>Z:\nemtode\general\website_mirrors\nematode.unl.edu_2022_09_21\ficylcus10.jpg</t>
  </si>
  <si>
    <t>Z:\nemtode\general\website_mirrors\nematode.unl.edu_2022_09_21\ficylcus12.jpg</t>
  </si>
  <si>
    <t>Z:\nemtode\general\website_mirrors\nematode.unl.edu_2022_09_21\ficylcus13.jpg</t>
  </si>
  <si>
    <t>Z:\nemtode\general\website_mirrors\nematode.unl.edu_2022_09_21\ficylcus14.jpg</t>
  </si>
  <si>
    <t>Z:\nemtode\general\website_mirrors\nematode.unl.edu_2022_09_21\ficylcus18.jpg</t>
  </si>
  <si>
    <t>Z:\nemtode\general\website_mirrors\nematode.unl.edu_2022_09_21\ficylcus20.jpg</t>
  </si>
  <si>
    <t>Z:\nemtode\general\website_mirrors\nematode.unl.edu_2022_09_21\ficylcus4.jpg</t>
  </si>
  <si>
    <t>Z:\nemtode\general\website_mirrors\nematode.unl.edu_2022_09_21\ficylcus7.jpg</t>
  </si>
  <si>
    <t>Z:\nemtode\general\website_mirrors\nematode.unl.edu_2022_09_21\filcy11.jpg</t>
  </si>
  <si>
    <t>Z:\nemtode\general\website_mirrors\nematode.unl.edu_2022_09_21\filcy13.jpg</t>
  </si>
  <si>
    <t>Z:\nemtode\general\website_mirrors\nematode.unl.edu_2022_09_21\filcy17.jpg</t>
  </si>
  <si>
    <t>Z:\nemtode\general\website_mirrors\nematode.unl.edu_2022_09_21\filcy2.jpg</t>
  </si>
  <si>
    <t>Z:\nemtode\general\website_mirrors\nematode.unl.edu_2022_09_21\filcy6.jpg</t>
  </si>
  <si>
    <t>Z:\nemtode\general\website_mirrors\nematode.unl.edu_2022_09_21\filcy9.jpg</t>
  </si>
  <si>
    <t>Z:\nemtode\general\website_mirrors\nematode.unl.edu_2022_09_21\ficylcus19.jpg</t>
  </si>
  <si>
    <t>Z:\nemtode\general\website_mirrors\nematode.unl.edu_2022_09_21\ficylcus21.jpg</t>
  </si>
  <si>
    <t>Z:\nemtode\general\website_mirrors\nematode.unl.edu_2022_09_21\filcy1.jpg</t>
  </si>
  <si>
    <t>Z:\nemtode\general\website_mirrors\nematode.unl.edu_2022_09_21\filcy10.jpg</t>
  </si>
  <si>
    <t>Z:\nemtode\general\website_mirrors\nematode.unl.edu_2022_09_21\filcy15.jpg</t>
  </si>
  <si>
    <t>Z:\nemtode\general\website_mirrors\nematode.unl.edu_2022_09_21\filcy5.jpg</t>
  </si>
  <si>
    <t>Z:\nemtode\general\website_mirrors\nematode.unl.edu_2022_09_21\filcy18.jpg</t>
  </si>
  <si>
    <t>Z:\nemtode\general\website_mirrors\nematode.unl.edu_2022_09_21\ficylcus9.jpg</t>
  </si>
  <si>
    <t>Z:\nemtode\general\website_mirrors\nematode.unl.edu_2022_09_21\ficylcus2.jpg</t>
  </si>
  <si>
    <t>Z:\nemtode\general\website_mirrors\nematode.unl.edu_2022_09_21\ficylcus6.jpg</t>
  </si>
  <si>
    <t>Z:\nemtode\general\website_mirrors\nematode.unl.edu_2022_09_21\ficylcus8.jpg</t>
  </si>
  <si>
    <t>Z:\nemtode\general\website_mirrors\nematode.unl.edu_2022_09_21\filcy3.jpg</t>
  </si>
  <si>
    <t>Z:\nemtode\general\website_mirrors\nematode.unl.edu_2022_09_21\filcy4.jpg</t>
  </si>
  <si>
    <t>Z:\nemtode\general\website_mirrors\nematode.unl.edu_2022_09_21\ficylcus11.jpg</t>
  </si>
  <si>
    <t>Z:\nemtode\general\website_mirrors\nematode.unl.edu_2022_09_21\ficylcus16.jpg</t>
  </si>
  <si>
    <t>Z:\nemtode\general\website_mirrors\nematode.unl.edu_2022_09_21\ficylcus3.jpg</t>
  </si>
  <si>
    <t>Z:\nemtode\general\website_mirrors\nematode.unl.edu_2022_09_21\ficylcus5.jpg</t>
  </si>
  <si>
    <t>Z:\nemtode\general\website_mirrors\nematode.unl.edu_2022_09_21\filcy12.jpg</t>
  </si>
  <si>
    <t>Z:\nemtode\general\website_mirrors\nematode.unl.edu_2022_09_21\filcy7.jpg</t>
  </si>
  <si>
    <t>Z:\nemtode\general\website_mirrors\nematode.unl.edu_2022_09_21\filcycmp.jpg</t>
  </si>
  <si>
    <t>Z:\nemtode\general\website_mirrors\nematode.unl.edu_2022_09_21\filcy8.jpg</t>
  </si>
  <si>
    <t>Z:\nemtode\general\website_mirrors\nematode.unl.edu_2022_09_21\ficylcus15.jpg</t>
  </si>
  <si>
    <t>Z:\nemtode\general\website_mirrors\nematode.unl.edu_2022_09_21\ficylcus17.jpg</t>
  </si>
  <si>
    <t>Z:\nemtode\general\website_mirrors\nematode.unl.edu_2022_09_21\filcy14.jpg</t>
  </si>
  <si>
    <t>Z:\nemtode\general\website_mirrors\nematode.unl.edu_2022_09_21\filcy16.jpg</t>
  </si>
  <si>
    <t>Z:\nemtode\general\website_mirrors\nematode.unl.edu_2022_09_21\fildisc2.jpg</t>
  </si>
  <si>
    <t>Z:\nemtode\general\website_mirrors\nematode.unl.edu_2022_09_21\fildisc4.jpg</t>
  </si>
  <si>
    <t>Z:\nemtode\general\website_mirrors\nematode.unl.edu_2022_09_21\fildisc7.jpg</t>
  </si>
  <si>
    <t>Z:\nemtode\general\website_mirrors\nematode.unl.edu_2022_09_21\fildisc8.jpg</t>
  </si>
  <si>
    <t>Z:\nemtode\general\website_mirrors\nematode.unl.edu_2022_09_21\fildisc1.jpg</t>
  </si>
  <si>
    <t>Z:\nemtode\general\website_mirrors\nematode.unl.edu_2022_09_21\fildisc11.jpg</t>
  </si>
  <si>
    <t>Z:\nemtode\general\website_mirrors\nematode.unl.edu_2022_09_21\fildisc10.jpg</t>
  </si>
  <si>
    <t>Z:\nemtode\general\website_mirrors\nematode.unl.edu_2022_09_21\fildisc12.jpg</t>
  </si>
  <si>
    <t>Z:\nemtode\general\website_mirrors\nematode.unl.edu_2022_09_21\fildisc6.jpg</t>
  </si>
  <si>
    <t>Z:\nemtode\general\website_mirrors\nematode.unl.edu_2022_09_21\fildisc9.jpg</t>
  </si>
  <si>
    <t>Z:\nemtode\general\website_mirrors\nematode.unl.edu_2022_09_21\fildisc5.jpg</t>
  </si>
  <si>
    <t>Z:\nemtode\general\website_mirrors\nematode.unl.edu_2022_09_21\fildisc3.jpg</t>
  </si>
  <si>
    <t>Z:\nemtode\general\website_mirrors\nematode.unl.edu_2022_09_21\fiditiss1.jpg</t>
  </si>
  <si>
    <t>Z:\nemtode\general\website_mirrors\nematode.unl.edu_2022_09_21\fiditiss13.jpg</t>
  </si>
  <si>
    <t>Z:\nemtode\general\website_mirrors\nematode.unl.edu_2022_09_21\fiditiss15.jpg</t>
  </si>
  <si>
    <t>Z:\nemtode\general\website_mirrors\nematode.unl.edu_2022_09_21\fiditiss17.jpg</t>
  </si>
  <si>
    <t>Z:\nemtode\general\website_mirrors\nematode.unl.edu_2022_09_21\fiditiss2.jpg</t>
  </si>
  <si>
    <t>Z:\nemtode\general\website_mirrors\nematode.unl.edu_2022_09_21\fiditiss20.jpg</t>
  </si>
  <si>
    <t>Z:\nemtode\general\website_mirrors\nematode.unl.edu_2022_09_21\fiditiss23.jpg</t>
  </si>
  <si>
    <t>Z:\nemtode\general\website_mirrors\nematode.unl.edu_2022_09_21\fiditiss8.jpg</t>
  </si>
  <si>
    <t>Z:\nemtode\general\website_mirrors\nematode.unl.edu_2022_09_21\fildit12.jpg</t>
  </si>
  <si>
    <t>Z:\nemtode\general\website_mirrors\nematode.unl.edu_2022_09_21\fildit2.jpg</t>
  </si>
  <si>
    <t>Z:\nemtode\general\website_mirrors\nematode.unl.edu_2022_09_21\fildit8.jpg</t>
  </si>
  <si>
    <t>Z:\nemtode\general\website_mirrors\nematode.unl.edu_2022_09_21\fildit1.jpg</t>
  </si>
  <si>
    <t>Z:\nemtode\general\website_mirrors\nematode.unl.edu_2022_09_21\fiditiss10.jpg</t>
  </si>
  <si>
    <t>Z:\nemtode\general\website_mirrors\nematode.unl.edu_2022_09_21\fiditiss11.jpg</t>
  </si>
  <si>
    <t>Z:\nemtode\general\website_mirrors\nematode.unl.edu_2022_09_21\fiditiss12.jpg</t>
  </si>
  <si>
    <t>Z:\nemtode\general\website_mirrors\nematode.unl.edu_2022_09_21\fildit11.jpg</t>
  </si>
  <si>
    <t>Z:\nemtode\general\website_mirrors\nematode.unl.edu_2022_09_21\fildit4.jpg</t>
  </si>
  <si>
    <t>Z:\nemtode\general\website_mirrors\nematode.unl.edu_2022_09_21\fildit6.jpg</t>
  </si>
  <si>
    <t>Z:\nemtode\general\website_mirrors\nematode.unl.edu_2022_09_21\fiditiss19.jpg</t>
  </si>
  <si>
    <t>Z:\nemtode\general\website_mirrors\nematode.unl.edu_2022_09_21\fiditiss24.jpg</t>
  </si>
  <si>
    <t>Z:\nemtode\general\website_mirrors\nematode.unl.edu_2022_09_21\fiditiss3.jpg</t>
  </si>
  <si>
    <t>Z:\nemtode\general\website_mirrors\nematode.unl.edu_2022_09_21\fiditiss4.jpg</t>
  </si>
  <si>
    <t>Z:\nemtode\general\website_mirrors\nematode.unl.edu_2022_09_21\fiditiss5.jpg</t>
  </si>
  <si>
    <t>Z:\nemtode\general\website_mirrors\nematode.unl.edu_2022_09_21\fiditiss14.jpg</t>
  </si>
  <si>
    <t>Z:\nemtode\general\website_mirrors\nematode.unl.edu_2022_09_21\fiditiss18.jpg</t>
  </si>
  <si>
    <t>Z:\nemtode\general\website_mirrors\nematode.unl.edu_2022_09_21\fildit7.jpg</t>
  </si>
  <si>
    <t>Z:\nemtode\general\website_mirrors\nematode.unl.edu_2022_09_21\fditcmp.jpg</t>
  </si>
  <si>
    <t>Z:\nemtode\general\website_mirrors\nematode.unl.edu_2022_09_21\fiditiss16.jpg</t>
  </si>
  <si>
    <t>Z:\nemtode\general\website_mirrors\nematode.unl.edu_2022_09_21\fiditiss22.jpg</t>
  </si>
  <si>
    <t>Z:\nemtode\general\website_mirrors\nematode.unl.edu_2022_09_21\fiditiss6.jpg</t>
  </si>
  <si>
    <t>Z:\nemtode\general\website_mirrors\nematode.unl.edu_2022_09_21\fiditiss9.jpg</t>
  </si>
  <si>
    <t>Z:\nemtode\general\website_mirrors\nematode.unl.edu_2022_09_21\fildit3.jpg</t>
  </si>
  <si>
    <t>Z:\nemtode\general\website_mirrors\nematode.unl.edu_2022_09_21\fildit5.jpg</t>
  </si>
  <si>
    <t>Z:\nemtode\general\website_mirrors\nematode.unl.edu_2022_09_21\fildit9.jpg</t>
  </si>
  <si>
    <t>Z:\nemtode\general\website_mirrors\nematode.unl.edu_2022_09_21\fiditiss21.jpg</t>
  </si>
  <si>
    <t>Z:\nemtode\general\website_mirrors\nematode.unl.edu_2022_09_21\fiditiss7.jpg</t>
  </si>
  <si>
    <t>Z:\nemtode\general\website_mirrors\nematode.unl.edu_2022_09_21\fildit10.jpg</t>
  </si>
  <si>
    <t>Z:\nemtode\general\website_mirrors\nematode.unl.edu_2022_09_21\fifac3.jpg</t>
  </si>
  <si>
    <t>Z:\nemtode\general\website_mirrors\nematode.unl.edu_2022_09_21\fifac1.jpg</t>
  </si>
  <si>
    <t>Z:\nemtode\general\website_mirrors\nematode.unl.edu_2022_09_21\fifac4.jpg</t>
  </si>
  <si>
    <t>Z:\nemtode\general\website_mirrors\nematode.unl.edu_2022_09_21\fifac2.jpg</t>
  </si>
  <si>
    <t>Z:\nemtode\general\website_mirrors\nematode.unl.edu_2022_09_21\fifac5.jpg</t>
  </si>
  <si>
    <t>Z:\nemtode\general\website_mirrors\nematode.unl.edu_2022_09_21\fhamcmp.jpg</t>
  </si>
  <si>
    <t>Z:\nemtode\general\website_mirrors\nematode.unl.edu_2022_09_21\fham2.jpg</t>
  </si>
  <si>
    <t>Z:\nemtode\general\website_mirrors\nematode.unl.edu_2022_09_21\fihama10.jpg</t>
  </si>
  <si>
    <t>Z:\nemtode\general\website_mirrors\nematode.unl.edu_2022_09_21\fihama12.jpg</t>
  </si>
  <si>
    <t>Z:\nemtode\general\website_mirrors\nematode.unl.edu_2022_09_21\fihama13.jpg</t>
  </si>
  <si>
    <t>Z:\nemtode\general\website_mirrors\nematode.unl.edu_2022_09_21\fihama17.jpg</t>
  </si>
  <si>
    <t>Z:\nemtode\general\website_mirrors\nematode.unl.edu_2022_09_21\fihama2.jpg</t>
  </si>
  <si>
    <t>Z:\nemtode\general\website_mirrors\nematode.unl.edu_2022_09_21\fihama5.jpg</t>
  </si>
  <si>
    <t>Z:\nemtode\general\website_mirrors\nematode.unl.edu_2022_09_21\fihama6.jpg</t>
  </si>
  <si>
    <t>Z:\nemtode\general\website_mirrors\nematode.unl.edu_2022_09_21\fihama9.jpg</t>
  </si>
  <si>
    <t>Z:\nemtode\general\website_mirrors\nematode.unl.edu_2022_09_21\fham1.jpg</t>
  </si>
  <si>
    <t>Z:\nemtode\general\website_mirrors\nematode.unl.edu_2022_09_21\fihama1.jpg</t>
  </si>
  <si>
    <t>Z:\nemtode\general\website_mirrors\nematode.unl.edu_2022_09_21\fihama15.jpg</t>
  </si>
  <si>
    <t>Z:\nemtode\general\website_mirrors\nematode.unl.edu_2022_09_21\fham3.jpg</t>
  </si>
  <si>
    <t>Z:\nemtode\general\website_mirrors\nematode.unl.edu_2022_09_21\fham5.jpg</t>
  </si>
  <si>
    <t>Z:\nemtode\general\website_mirrors\nematode.unl.edu_2022_09_21\fihama11.jpg</t>
  </si>
  <si>
    <t>Z:\nemtode\general\website_mirrors\nematode.unl.edu_2022_09_21\fihama14.jpg</t>
  </si>
  <si>
    <t>Z:\nemtode\general\website_mirrors\nematode.unl.edu_2022_09_21\fihama16.jpg</t>
  </si>
  <si>
    <t>Z:\nemtode\general\website_mirrors\nematode.unl.edu_2022_09_21\fihama18.jpg</t>
  </si>
  <si>
    <t>Z:\nemtode\general\website_mirrors\nematode.unl.edu_2022_09_21\fihama4.jpg</t>
  </si>
  <si>
    <t>Z:\nemtode\general\website_mirrors\nematode.unl.edu_2022_09_21\fham4.jpg</t>
  </si>
  <si>
    <t>Z:\nemtode\general\website_mirrors\nematode.unl.edu_2022_09_21\fihama3.jpg</t>
  </si>
  <si>
    <t>Z:\nemtode\general\website_mirrors\nematode.unl.edu_2022_09_21\fihama7.jpg</t>
  </si>
  <si>
    <t>Z:\nemtode\general\website_mirrors\nematode.unl.edu_2022_09_21\fhel1.jpg</t>
  </si>
  <si>
    <t>Z:\nemtode\general\website_mirrors\nematode.unl.edu_2022_09_21\fhel11.jpg</t>
  </si>
  <si>
    <t>Z:\nemtode\general\website_mirrors\nematode.unl.edu_2022_09_21\fhel12.jpg</t>
  </si>
  <si>
    <t>Z:\nemtode\general\website_mirrors\nematode.unl.edu_2022_09_21\fhel15.jpg</t>
  </si>
  <si>
    <t>Z:\nemtode\general\website_mirrors\nematode.unl.edu_2022_09_21\fhel18.jpg</t>
  </si>
  <si>
    <t>Z:\nemtode\general\website_mirrors\nematode.unl.edu_2022_09_21\fhel2.jpg</t>
  </si>
  <si>
    <t>Z:\nemtode\general\website_mirrors\nematode.unl.edu_2022_09_21\fhel20.jpg</t>
  </si>
  <si>
    <t>Z:\nemtode\general\website_mirrors\nematode.unl.edu_2022_09_21\fhel19.jpg</t>
  </si>
  <si>
    <t>Z:\nemtode\general\website_mirrors\nematode.unl.edu_2022_09_21\fhel6.jpg</t>
  </si>
  <si>
    <t>Z:\nemtode\general\website_mirrors\nematode.unl.edu_2022_09_21\fhel4.jpg</t>
  </si>
  <si>
    <t>Z:\nemtode\general\website_mirrors\nematode.unl.edu_2022_09_21\fhel14.jpg</t>
  </si>
  <si>
    <t>Z:\nemtode\general\website_mirrors\nematode.unl.edu_2022_09_21\fhel13.jpg</t>
  </si>
  <si>
    <t>Z:\nemtode\general\website_mirrors\nematode.unl.edu_2022_09_21\fhel17.jpg</t>
  </si>
  <si>
    <t>Z:\nemtode\general\website_mirrors\nematode.unl.edu_2022_09_21\fhel5.jpg</t>
  </si>
  <si>
    <t>Z:\nemtode\general\website_mirrors\nematode.unl.edu_2022_09_21\fhel10.jpg</t>
  </si>
  <si>
    <t>Z:\nemtode\general\website_mirrors\nematode.unl.edu_2022_09_21\fhel16.jpg</t>
  </si>
  <si>
    <t>Z:\nemtode\general\website_mirrors\nematode.unl.edu_2022_09_21\fhel3.jpg</t>
  </si>
  <si>
    <t>Z:\nemtode\general\website_mirrors\nematode.unl.edu_2022_09_21\filmag2.jpg</t>
  </si>
  <si>
    <t>Z:\nemtode\general\website_mirrors\nematode.unl.edu_2022_09_21\filmag1.jpg</t>
  </si>
  <si>
    <t>Z:\nemtode\general\website_mirrors\nematode.unl.edu_2022_09_21\filmar12.jpg</t>
  </si>
  <si>
    <t>Z:\nemtode\general\website_mirrors\nematode.unl.edu_2022_09_21\filmar13.jpg</t>
  </si>
  <si>
    <t>Z:\nemtode\general\website_mirrors\nematode.unl.edu_2022_09_21\filmar2.jpg</t>
  </si>
  <si>
    <t>Z:\nemtode\general\website_mirrors\nematode.unl.edu_2022_09_21\filmar4.jpg</t>
  </si>
  <si>
    <t>Z:\nemtode\general\website_mirrors\nematode.unl.edu_2022_09_21\filmar5.jpg</t>
  </si>
  <si>
    <t>Z:\nemtode\general\website_mirrors\nematode.unl.edu_2022_09_21\filmar7.jpg</t>
  </si>
  <si>
    <t>Z:\nemtode\general\website_mirrors\nematode.unl.edu_2022_09_21\filmar9.jpg</t>
  </si>
  <si>
    <t>Z:\nemtode\general\website_mirrors\nematode.unl.edu_2022_09_21\filmar1.jpg</t>
  </si>
  <si>
    <t>Z:\nemtode\general\website_mirrors\nematode.unl.edu_2022_09_21\filmar8.jpg</t>
  </si>
  <si>
    <t>Z:\nemtode\general\website_mirrors\nematode.unl.edu_2022_09_21\filmar11.jpg</t>
  </si>
  <si>
    <t>Z:\nemtode\general\website_mirrors\nematode.unl.edu_2022_09_21\filmar14.jpg</t>
  </si>
  <si>
    <t>Z:\nemtode\general\website_mirrors\nematode.unl.edu_2022_09_21\filmar3.jpg</t>
  </si>
  <si>
    <t>Z:\nemtode\general\website_mirrors\nematode.unl.edu_2022_09_21\filmar6.jpg</t>
  </si>
  <si>
    <t>Z:\nemtode\general\website_mirrors\nematode.unl.edu_2022_09_21\filmar10.jpg</t>
  </si>
  <si>
    <t>Z:\nemtode\general\website_mirrors\nematode.unl.edu_2022_09_21\fimic2.jpg</t>
  </si>
  <si>
    <t>Z:\nemtode\general\website_mirrors\nematode.unl.edu_2022_09_21\fimic1.jpg</t>
  </si>
  <si>
    <t>Z:\nemtode\general\website_mirrors\nematode.unl.edu_2022_09_21\filne1.jpg</t>
  </si>
  <si>
    <t>Z:\nemtode\general\website_mirrors\nematode.unl.edu_2022_09_21\filne3.jpg</t>
  </si>
  <si>
    <t>Z:\nemtode\general\website_mirrors\nematode.unl.edu_2022_09_21\filne4.jpg</t>
  </si>
  <si>
    <t>Z:\nemtode\general\website_mirrors\nematode.unl.edu_2022_09_21\filne2.jpg</t>
  </si>
  <si>
    <t>Z:\nemtode\general\website_mirrors\nematode.unl.edu_2022_09_21\filne5.jpg</t>
  </si>
  <si>
    <t>Z:\nemtode\general\website_mirrors\nematode.unl.edu_2022_09_21\filne6.jpg</t>
  </si>
  <si>
    <t>Z:\nemtode\general\website_mirrors\nematode.unl.edu_2022_09_21\fplat10.jpg</t>
  </si>
  <si>
    <t>Z:\nemtode\general\website_mirrors\nematode.unl.edu_2022_09_21\fplat11.jpg</t>
  </si>
  <si>
    <t>Z:\nemtode\general\website_mirrors\nematode.unl.edu_2022_09_21\fplat2.jpg</t>
  </si>
  <si>
    <t>Z:\nemtode\general\website_mirrors\nematode.unl.edu_2022_09_21\fplat6.jpg</t>
  </si>
  <si>
    <t>Z:\nemtode\general\website_mirrors\nematode.unl.edu_2022_09_21\fplat7.jpg</t>
  </si>
  <si>
    <t>Z:\nemtode\general\website_mirrors\nematode.unl.edu_2022_09_21\fplat1.jpg</t>
  </si>
  <si>
    <t>Z:\nemtode\general\website_mirrors\nematode.unl.edu_2022_09_21\fplat5.jpg</t>
  </si>
  <si>
    <t>Z:\nemtode\general\website_mirrors\nematode.unl.edu_2022_09_21\fplat9.jpg</t>
  </si>
  <si>
    <t>Z:\nemtode\general\website_mirrors\nematode.unl.edu_2022_09_21\fplatcmp.jpg</t>
  </si>
  <si>
    <t>Z:\nemtode\general\website_mirrors\nematode.unl.edu_2022_09_21\fplat3.jpg</t>
  </si>
  <si>
    <t>Z:\nemtode\general\website_mirrors\nematode.unl.edu_2022_09_21\fplat4.jpg</t>
  </si>
  <si>
    <t>Z:\nemtode\general\website_mirrors\nematode.unl.edu_2022_09_21\fplat8.jpg</t>
  </si>
  <si>
    <t>Z:\nemtode\general\website_mirrors\nematode.unl.edu_2022_09_21\fiqua1.jpg</t>
  </si>
  <si>
    <t>Z:\nemtode\general\website_mirrors\nematode.unl.edu_2022_09_21\fiqua3.jpg</t>
  </si>
  <si>
    <t>Z:\nemtode\general\website_mirrors\nematode.unl.edu_2022_09_21\fiqua6.jpg</t>
  </si>
  <si>
    <t>Z:\nemtode\general\website_mirrors\nematode.unl.edu_2022_09_21\fiqua8.jpg</t>
  </si>
  <si>
    <t>Z:\nemtode\general\website_mirrors\nematode.unl.edu_2022_09_21\fiqua11.jpg</t>
  </si>
  <si>
    <t>Z:\nemtode\general\website_mirrors\nematode.unl.edu_2022_09_21\fiqua5.jpg</t>
  </si>
  <si>
    <t>Z:\nemtode\general\website_mirrors\nematode.unl.edu_2022_09_21\fiqua9.jpg</t>
  </si>
  <si>
    <t>Z:\nemtode\general\website_mirrors\nematode.unl.edu_2022_09_21\fiqua10.jpg</t>
  </si>
  <si>
    <t>Z:\nemtode\general\website_mirrors\nematode.unl.edu_2022_09_21\fiqua2.jpg</t>
  </si>
  <si>
    <t>Z:\nemtode\general\website_mirrors\nematode.unl.edu_2022_09_21\fiqua4.jpg</t>
  </si>
  <si>
    <t>Z:\nemtode\general\website_mirrors\nematode.unl.edu_2022_09_21\fiqua12.jpg</t>
  </si>
  <si>
    <t>Z:\nemtode\general\website_mirrors\nematode.unl.edu_2022_09_21\fiqua7.jpg</t>
  </si>
  <si>
    <t>Z:\nemtode\general\website_mirrors\nematode.unl.edu_2022_09_21\fisan11.jpg</t>
  </si>
  <si>
    <t>Z:\nemtode\general\website_mirrors\nematode.unl.edu_2022_09_21\fisan15.jpg</t>
  </si>
  <si>
    <t>Z:\nemtode\general\website_mirrors\nematode.unl.edu_2022_09_21\fisan17.jpg</t>
  </si>
  <si>
    <t>Z:\nemtode\general\website_mirrors\nematode.unl.edu_2022_09_21\fisan18.jpg</t>
  </si>
  <si>
    <t>Z:\nemtode\general\website_mirrors\nematode.unl.edu_2022_09_21\fisan2.jpg</t>
  </si>
  <si>
    <t>Z:\nemtode\general\website_mirrors\nematode.unl.edu_2022_09_21\fisan3.jpg</t>
  </si>
  <si>
    <t>Z:\nemtode\general\website_mirrors\nematode.unl.edu_2022_09_21\fisan9.jpg</t>
  </si>
  <si>
    <t>Z:\nemtode\general\website_mirrors\nematode.unl.edu_2022_09_21\fisan14.jpg</t>
  </si>
  <si>
    <t>Z:\nemtode\general\website_mirrors\nematode.unl.edu_2022_09_21\fisan6.jpg</t>
  </si>
  <si>
    <t>Z:\nemtode\general\website_mirrors\nematode.unl.edu_2022_09_21\fisan7.jpg</t>
  </si>
  <si>
    <t>Z:\nemtode\general\website_mirrors\nematode.unl.edu_2022_09_21\fisan4.jpg</t>
  </si>
  <si>
    <t>Z:\nemtode\general\website_mirrors\nematode.unl.edu_2022_09_21\fisan1.jpg</t>
  </si>
  <si>
    <t>Z:\nemtode\general\website_mirrors\nematode.unl.edu_2022_09_21\fisan10.jpg</t>
  </si>
  <si>
    <t>Z:\nemtode\general\website_mirrors\nematode.unl.edu_2022_09_21\fisan13.jpg</t>
  </si>
  <si>
    <t>Z:\nemtode\general\website_mirrors\nematode.unl.edu_2022_09_21\fisan16.jpg</t>
  </si>
  <si>
    <t>Z:\nemtode\general\website_mirrors\nematode.unl.edu_2022_09_21\fisan19.jpg</t>
  </si>
  <si>
    <t>Z:\nemtode\general\website_mirrors\nematode.unl.edu_2022_09_21\fisan5.jpg</t>
  </si>
  <si>
    <t>Z:\nemtode\general\website_mirrors\nematode.unl.edu_2022_09_21\fisan8.jpg</t>
  </si>
  <si>
    <t>Z:\nemtode\general\website_mirrors\nematode.unl.edu_2022_09_21\fisan12.jpg</t>
  </si>
  <si>
    <t>Z:\nemtode\general\website_mirrors\nematode.unl.edu_2022_09_21\filsh2.jpg</t>
  </si>
  <si>
    <t>Z:\nemtode\general\website_mirrors\nematode.unl.edu_2022_09_21\filsh4.jpg</t>
  </si>
  <si>
    <t>Z:\nemtode\general\website_mirrors\nematode.unl.edu_2022_09_21\filsh5.jpg</t>
  </si>
  <si>
    <t>Z:\nemtode\general\website_mirrors\nematode.unl.edu_2022_09_21\filsh7.jpg</t>
  </si>
  <si>
    <t>Z:\nemtode\general\website_mirrors\nematode.unl.edu_2022_09_21\filsh9.jpg</t>
  </si>
  <si>
    <t>Z:\nemtode\general\website_mirrors\nematode.unl.edu_2022_09_21\filsh1.jpg</t>
  </si>
  <si>
    <t>Z:\nemtode\general\website_mirrors\nematode.unl.edu_2022_09_21\filsh3.jpg</t>
  </si>
  <si>
    <t>Z:\nemtode\general\website_mirrors\nematode.unl.edu_2022_09_21\filsh10.jpg</t>
  </si>
  <si>
    <t>Z:\nemtode\general\website_mirrors\nematode.unl.edu_2022_09_21\filsh8.jpg</t>
  </si>
  <si>
    <t>Z:\nemtode\general\website_mirrors\nematode.unl.edu_2022_09_21\filsh6.jpg</t>
  </si>
  <si>
    <t>Z:\nemtode\general\website_mirrors\nematode.unl.edu_2022_09_21\filter2.jpg</t>
  </si>
  <si>
    <t>Z:\nemtode\general\website_mirrors\nematode.unl.edu_2022_09_21\filter4.jpg</t>
  </si>
  <si>
    <t>Z:\nemtode\general\website_mirrors\nematode.unl.edu_2022_09_21\filter1.jpg</t>
  </si>
  <si>
    <t>Z:\nemtode\general\website_mirrors\nematode.unl.edu_2022_09_21\filter3.jpg</t>
  </si>
  <si>
    <t>Z:\nemtode\general\website_mirrors\nematode.unl.edu_2022_09_21\filter5.jpg</t>
  </si>
  <si>
    <t>Z:\nemtode\general\website_mirrors\nematode.unl.edu_2022_09_21\fiterr2.jpg</t>
  </si>
  <si>
    <t>Z:\nemtode\general\website_mirrors\nematode.unl.edu_2022_09_21\fiterr4.jpg</t>
  </si>
  <si>
    <t>Z:\nemtode\general\website_mirrors\nematode.unl.edu_2022_09_21\fiterr1.jpg</t>
  </si>
  <si>
    <t>Z:\nemtode\general\website_mirrors\nematode.unl.edu_2022_09_21\fiterr3.jpg</t>
  </si>
  <si>
    <t>Z:\nemtode\general\website_mirrors\nematode.unl.edu_2022_09_21\fiterr5.jpg</t>
  </si>
  <si>
    <t>Z:\nemtode\general\website_mirrors\nematode.unl.edu_2022_09_21\fithor14.jpg</t>
  </si>
  <si>
    <t>Z:\nemtode\general\website_mirrors\nematode.unl.edu_2022_09_21\fithor4.jpg</t>
  </si>
  <si>
    <t>Z:\nemtode\general\website_mirrors\nematode.unl.edu_2022_09_21\fithor7.jpg</t>
  </si>
  <si>
    <t>Z:\nemtode\general\website_mirrors\nematode.unl.edu_2022_09_21\fithogw2.jpg</t>
  </si>
  <si>
    <t>Z:\nemtode\general\website_mirrors\nematode.unl.edu_2022_09_21\filth10.jpg</t>
  </si>
  <si>
    <t>Z:\nemtode\general\website_mirrors\nematode.unl.edu_2022_09_21\filth13.jpg</t>
  </si>
  <si>
    <t>Z:\nemtode\general\website_mirrors\nematode.unl.edu_2022_09_21\filth14.jpg</t>
  </si>
  <si>
    <t>Z:\nemtode\general\website_mirrors\nematode.unl.edu_2022_09_21\filth16.jpg</t>
  </si>
  <si>
    <t>Z:\nemtode\general\website_mirrors\nematode.unl.edu_2022_09_21\filth17.jpg</t>
  </si>
  <si>
    <t>Z:\nemtode\general\website_mirrors\nematode.unl.edu_2022_09_21\filth2.jpg</t>
  </si>
  <si>
    <t>Z:\nemtode\general\website_mirrors\nematode.unl.edu_2022_09_21\filth24.jpg</t>
  </si>
  <si>
    <t>Z:\nemtode\general\website_mirrors\nematode.unl.edu_2022_09_21\filth26.jpg</t>
  </si>
  <si>
    <t>Z:\nemtode\general\website_mirrors\nematode.unl.edu_2022_09_21\filth28.jpg</t>
  </si>
  <si>
    <t>Z:\nemtode\general\website_mirrors\nematode.unl.edu_2022_09_21\filth4.jpg</t>
  </si>
  <si>
    <t>Z:\nemtode\general\website_mirrors\nematode.unl.edu_2022_09_21\filth6.jpg</t>
  </si>
  <si>
    <t>Z:\nemtode\general\website_mirrors\nematode.unl.edu_2022_09_21\fithor15.jpg</t>
  </si>
  <si>
    <t>Z:\nemtode\general\website_mirrors\nematode.unl.edu_2022_09_21\fithor3.jpg</t>
  </si>
  <si>
    <t>Z:\nemtode\general\website_mirrors\nematode.unl.edu_2022_09_21\fithor5.jpg</t>
  </si>
  <si>
    <t>Z:\nemtode\general\website_mirrors\nematode.unl.edu_2022_09_21\fithor9.jpg</t>
  </si>
  <si>
    <t>Z:\nemtode\general\website_mirrors\nematode.unl.edu_2022_09_21\filth12.jpg</t>
  </si>
  <si>
    <t>Z:\nemtode\general\website_mirrors\nematode.unl.edu_2022_09_21\filth1.jpg</t>
  </si>
  <si>
    <t>Z:\nemtode\general\website_mirrors\nematode.unl.edu_2022_09_21\filth20.jpg</t>
  </si>
  <si>
    <t>Z:\nemtode\general\website_mirrors\nematode.unl.edu_2022_09_21\filth23.jpg</t>
  </si>
  <si>
    <t>Z:\nemtode\general\website_mirrors\nematode.unl.edu_2022_09_21\filth8.jpg</t>
  </si>
  <si>
    <t>Z:\nemtode\general\website_mirrors\nematode.unl.edu_2022_09_21\fithogw1.jpg</t>
  </si>
  <si>
    <t>Z:\nemtode\general\website_mirrors\nematode.unl.edu_2022_09_21\fithor2.jpg</t>
  </si>
  <si>
    <t>Z:\nemtode\general\website_mirrors\nematode.unl.edu_2022_09_21\fithcmp.jpg</t>
  </si>
  <si>
    <t>Z:\nemtode\general\website_mirrors\nematode.unl.edu_2022_09_21\filth9.jpg</t>
  </si>
  <si>
    <t>Z:\nemtode\general\website_mirrors\nematode.unl.edu_2022_09_21\filth21.jpg</t>
  </si>
  <si>
    <t>Z:\nemtode\general\website_mirrors\nematode.unl.edu_2022_09_21\filth27.jpg</t>
  </si>
  <si>
    <t>Z:\nemtode\general\website_mirrors\nematode.unl.edu_2022_09_21\filth7.jpg</t>
  </si>
  <si>
    <t>Z:\nemtode\general\website_mirrors\nematode.unl.edu_2022_09_21\filth11.jpg</t>
  </si>
  <si>
    <t>Z:\nemtode\general\website_mirrors\nematode.unl.edu_2022_09_21\filth3.jpg</t>
  </si>
  <si>
    <t>Z:\nemtode\general\website_mirrors\nematode.unl.edu_2022_09_21\filth5.jpg</t>
  </si>
  <si>
    <t>Z:\nemtode\general\website_mirrors\nematode.unl.edu_2022_09_21\fithor1.jpg</t>
  </si>
  <si>
    <t>Z:\nemtode\general\website_mirrors\nematode.unl.edu_2022_09_21\filth15.jpg</t>
  </si>
  <si>
    <t>Z:\nemtode\general\website_mirrors\nematode.unl.edu_2022_09_21\filth19.jpg</t>
  </si>
  <si>
    <t>Z:\nemtode\general\website_mirrors\nematode.unl.edu_2022_09_21\filth29.jpg</t>
  </si>
  <si>
    <t>Z:\nemtode\general\website_mirrors\nematode.unl.edu_2022_09_21\fithor10.jpg</t>
  </si>
  <si>
    <t>Z:\nemtode\general\website_mirrors\nematode.unl.edu_2022_09_21\fithor16.jpg</t>
  </si>
  <si>
    <t>Z:\nemtode\general\website_mirrors\nematode.unl.edu_2022_09_21\fithor6.jpg</t>
  </si>
  <si>
    <t>Z:\nemtode\general\website_mirrors\nematode.unl.edu_2022_09_21\filth18.jpg</t>
  </si>
  <si>
    <t>Z:\nemtode\general\website_mirrors\nematode.unl.edu_2022_09_21\filth22.jpg</t>
  </si>
  <si>
    <t>Z:\nemtode\general\website_mirrors\nematode.unl.edu_2022_09_21\filth25.jpg</t>
  </si>
  <si>
    <t>Z:\nemtode\general\website_mirrors\nematode.unl.edu_2022_09_21\fithor8.jpg</t>
  </si>
  <si>
    <t>Z:\nemtode\general\website_mirrors\nematode.unl.edu_2022_09_21\filev3.jpg</t>
  </si>
  <si>
    <t>Z:\nemtode\general\website_mirrors\nematode.unl.edu_2022_09_21\filev4.jpg</t>
  </si>
  <si>
    <t>Z:\nemtode\general\website_mirrors\nematode.unl.edu_2022_09_21\filev6.jpg</t>
  </si>
  <si>
    <t>Z:\nemtode\general\website_mirrors\nematode.unl.edu_2022_09_21\filev7.jpg</t>
  </si>
  <si>
    <t>Z:\nemtode\general\website_mirrors\nematode.unl.edu_2022_09_21\filev9.jpg</t>
  </si>
  <si>
    <t>Z:\nemtode\general\website_mirrors\nematode.unl.edu_2022_09_21\filev1.jpg</t>
  </si>
  <si>
    <t>Z:\nemtode\general\website_mirrors\nematode.unl.edu_2022_09_21\filev11.jpg</t>
  </si>
  <si>
    <t>Z:\nemtode\general\website_mirrors\nematode.unl.edu_2022_09_21\filev10.jpg</t>
  </si>
  <si>
    <t>Z:\nemtode\general\website_mirrors\nematode.unl.edu_2022_09_21\filev8.jpg</t>
  </si>
  <si>
    <t>Z:\nemtode\general\website_mirrors\nematode.unl.edu_2022_09_21\filev2.jpg</t>
  </si>
  <si>
    <t>Z:\nemtode\general\website_mirrors\nematode.unl.edu_2022_09_21\filev5.jpg</t>
  </si>
  <si>
    <t>Z:\nemtode\general\website_mirrors\nematode.unl.edu_2022_09_21\lelenc2.jpg</t>
  </si>
  <si>
    <t>Z:\nemtode\general\website_mirrors\nematode.unl.edu_2022_09_21\lelenc4.jpg</t>
  </si>
  <si>
    <t>Z:\nemtode\general\website_mirrors\nematode.unl.edu_2022_09_21\lelenc1.jpg</t>
  </si>
  <si>
    <t>Z:\nemtode\general\website_mirrors\nematode.unl.edu_2022_09_21\lelenc3.jpg</t>
  </si>
  <si>
    <t>Z:\nemtode\general\website_mirrors\nematode.unl.edu_2022_09_21\lelenc6.jpg</t>
  </si>
  <si>
    <t>Z:\nemtode\general\website_mirrors\nematode.unl.edu_2022_09_21\lelenc5.jpg</t>
  </si>
  <si>
    <t>Z:\nemtode\general\website_mirrors\nematode.unl.edu_2022_09_21\musiform15.jpg</t>
  </si>
  <si>
    <t>Z:\nemtode\general\website_mirrors\nematode.unl.edu_2022_09_21\mafus2.jpg</t>
  </si>
  <si>
    <t>Z:\nemtode\general\website_mirrors\nematode.unl.edu_2022_09_21\mafus4.jpg</t>
  </si>
  <si>
    <t>Z:\nemtode\general\website_mirrors\nematode.unl.edu_2022_09_21\musiform10.jpg</t>
  </si>
  <si>
    <t>Z:\nemtode\general\website_mirrors\nematode.unl.edu_2022_09_21\musiform12.jpg</t>
  </si>
  <si>
    <t>Z:\nemtode\general\website_mirrors\nematode.unl.edu_2022_09_21\musiform2.jpg</t>
  </si>
  <si>
    <t>Z:\nemtode\general\website_mirrors\nematode.unl.edu_2022_09_21\musiform3.jpg</t>
  </si>
  <si>
    <t>Z:\nemtode\general\website_mirrors\nematode.unl.edu_2022_09_21\musiform4.jpg</t>
  </si>
  <si>
    <t>Z:\nemtode\general\website_mirrors\nematode.unl.edu_2022_09_21\musiform8.jpg</t>
  </si>
  <si>
    <t>Z:\nemtode\general\website_mirrors\nematode.unl.edu_2022_09_21\musiform9.jpg</t>
  </si>
  <si>
    <t>Z:\nemtode\general\website_mirrors\nematode.unl.edu_2022_09_21\mafus1.jpg</t>
  </si>
  <si>
    <t>Z:\nemtode\general\website_mirrors\nematode.unl.edu_2022_09_21\musiform1.jpg</t>
  </si>
  <si>
    <t>Z:\nemtode\general\website_mirrors\nematode.unl.edu_2022_09_21\musiform6.jpg</t>
  </si>
  <si>
    <t>Z:\nemtode\general\website_mirrors\nematode.unl.edu_2022_09_21\mafuscmp.jpg</t>
  </si>
  <si>
    <t>Z:\nemtode\general\website_mirrors\nematode.unl.edu_2022_09_21\mafus3.jpg</t>
  </si>
  <si>
    <t>Z:\nemtode\general\website_mirrors\nematode.unl.edu_2022_09_21\musiform7.jpg</t>
  </si>
  <si>
    <t>Z:\nemtode\general\website_mirrors\nematode.unl.edu_2022_09_21\musiform14.jpg</t>
  </si>
  <si>
    <t>Z:\nemtode\general\website_mirrors\nematode.unl.edu_2022_09_21\musiform16.jpg</t>
  </si>
  <si>
    <t>Z:\nemtode\general\website_mirrors\nematode.unl.edu_2022_09_21\musiform5.jpg</t>
  </si>
  <si>
    <t>Z:\nemtode\general\website_mirrors\nematode.unl.edu_2022_09_21\mafus6.jpg</t>
  </si>
  <si>
    <t>Z:\nemtode\general\website_mirrors\nematode.unl.edu_2022_09_21\mafus5.jpg</t>
  </si>
  <si>
    <t>Z:\nemtode\general\website_mirrors\nematode.unl.edu_2022_09_21\musiform11.jpg</t>
  </si>
  <si>
    <t>Z:\nemtode\general\website_mirrors\nematode.unl.edu_2022_09_21\musiform13.jpg</t>
  </si>
  <si>
    <t>Z:\nemtode\general\website_mirrors\nematode.unl.edu_2022_09_21\malent2.jpg</t>
  </si>
  <si>
    <t>Z:\nemtode\general\website_mirrors\nematode.unl.edu_2022_09_21\malent1.jpg</t>
  </si>
  <si>
    <t>Z:\nemtode\general\website_mirrors\nematode.unl.edu_2022_09_21\malent4.jpg</t>
  </si>
  <si>
    <t>Z:\nemtode\general\website_mirrors\nematode.unl.edu_2022_09_21\malentdrw.jpg</t>
  </si>
  <si>
    <t>Z:\nemtode\general\website_mirrors\nematode.unl.edu_2022_09_21\malent3.jpg</t>
  </si>
  <si>
    <t>Z:\nemtode\general\website_mirrors\nematode.unl.edu_2022_09_21\malent5.jpg</t>
  </si>
  <si>
    <t>Z:\nemtode\general\website_mirrors\nematode.unl.edu_2022_09_21\neoma10.jpg</t>
  </si>
  <si>
    <t>Z:\nemtode\general\website_mirrors\nematode.unl.edu_2022_09_21\neoma2.jpg</t>
  </si>
  <si>
    <t>Z:\nemtode\general\website_mirrors\nematode.unl.edu_2022_09_21\neoma3.jpg</t>
  </si>
  <si>
    <t>Z:\nemtode\general\website_mirrors\nematode.unl.edu_2022_09_21\neoma4.jpg</t>
  </si>
  <si>
    <t>Z:\nemtode\general\website_mirrors\nematode.unl.edu_2022_09_21\neoma6.jpg</t>
  </si>
  <si>
    <t>Z:\nemtode\general\website_mirrors\nematode.unl.edu_2022_09_21\neoma8.jpg</t>
  </si>
  <si>
    <t>Z:\nemtode\general\website_mirrors\nematode.unl.edu_2022_09_21\neoma9.jpg</t>
  </si>
  <si>
    <t>Z:\nemtode\general\website_mirrors\nematode.unl.edu_2022_09_21\neomag1.jpg</t>
  </si>
  <si>
    <t>Z:\nemtode\general\website_mirrors\nematode.unl.edu_2022_09_21\neomag3.jpg</t>
  </si>
  <si>
    <t>Z:\nemtode\general\website_mirrors\nematode.unl.edu_2022_09_21\crcricols3.jpg</t>
  </si>
  <si>
    <t>Z:\nemtode\general\website_mirrors\nematode.unl.edu_2022_09_21\crcricols4.jpg</t>
  </si>
  <si>
    <t>Z:\nemtode\general\website_mirrors\nematode.unl.edu_2022_09_21\crcricols8.jpg</t>
  </si>
  <si>
    <t>Z:\nemtode\general\website_mirrors\nematode.unl.edu_2022_09_21\neoma5.jpg</t>
  </si>
  <si>
    <t>Z:\nemtode\general\website_mirrors\nematode.unl.edu_2022_09_21\neomacmp.jpg</t>
  </si>
  <si>
    <t>Z:\nemtode\general\website_mirrors\nematode.unl.edu_2022_09_21\neoma1.jpg</t>
  </si>
  <si>
    <t>Z:\nemtode\general\website_mirrors\nematode.unl.edu_2022_09_21\neoma11.jpg</t>
  </si>
  <si>
    <t>Z:\nemtode\general\website_mirrors\nematode.unl.edu_2022_09_21\neoma7.jpg</t>
  </si>
  <si>
    <t>Z:\nemtode\general\website_mirrors\nematode.unl.edu_2022_09_21\neomag2.jpg</t>
  </si>
  <si>
    <t>Z:\nemtode\general\website_mirrors\nematode.unl.edu_2022_09_21\popoli12.jpg</t>
  </si>
  <si>
    <t>Z:\nemtode\general\website_mirrors\nematode.unl.edu_2022_09_21\popoli14.jpg</t>
  </si>
  <si>
    <t>Z:\nemtode\general\website_mirrors\nematode.unl.edu_2022_09_21\popoli16.jpg</t>
  </si>
  <si>
    <t>Z:\nemtode\general\website_mirrors\nematode.unl.edu_2022_09_21\popoli2.jpg</t>
  </si>
  <si>
    <t>Z:\nemtode\general\website_mirrors\nematode.unl.edu_2022_09_21\popoli5.jpg</t>
  </si>
  <si>
    <t>Z:\nemtode\general\website_mirrors\nematode.unl.edu_2022_09_21\popoli7.jpg</t>
  </si>
  <si>
    <t>Z:\nemtode\general\website_mirrors\nematode.unl.edu_2022_09_21\popoli9.jpg</t>
  </si>
  <si>
    <t>Z:\nemtode\general\website_mirrors\nematode.unl.edu_2022_09_21\popoli1.jpg</t>
  </si>
  <si>
    <t>Z:\nemtode\general\website_mirrors\nematode.unl.edu_2022_09_21\popoli13.jpg</t>
  </si>
  <si>
    <t>Z:\nemtode\general\website_mirrors\nematode.unl.edu_2022_09_21\popoli6.jpg</t>
  </si>
  <si>
    <t>Z:\nemtode\general\website_mirrors\nematode.unl.edu_2022_09_21\popoli17.jpg</t>
  </si>
  <si>
    <t>Z:\nemtode\general\website_mirrors\nematode.unl.edu_2022_09_21\popoli11.jpg</t>
  </si>
  <si>
    <t>Z:\nemtode\general\website_mirrors\nematode.unl.edu_2022_09_21\popoli18.jpg</t>
  </si>
  <si>
    <t>Z:\nemtode\general\website_mirrors\nematode.unl.edu_2022_09_21\popoli10.jpg</t>
  </si>
  <si>
    <t>Z:\nemtode\general\website_mirrors\nematode.unl.edu_2022_09_21\popoli15.jpg</t>
  </si>
  <si>
    <t>Z:\nemtode\general\website_mirrors\nematode.unl.edu_2022_09_21\popoli3.jpg</t>
  </si>
  <si>
    <t>Z:\nemtode\general\website_mirrors\nematode.unl.edu_2022_09_21\popoli4.jpg</t>
  </si>
  <si>
    <t>Z:\nemtode\general\website_mirrors\nematode.unl.edu_2022_09_21\popoli8.jpg</t>
  </si>
  <si>
    <t>Z:\nemtode\general\website_mirrors\nematode.unl.edu_2022_09_21\phila4.jpg</t>
  </si>
  <si>
    <t>Z:\nemtode\general\website_mirrors\nematode.unl.edu_2022_09_21\phila12.jpg</t>
  </si>
  <si>
    <t>Z:\nemtode\general\website_mirrors\nematode.unl.edu_2022_09_21\phila21.jpg</t>
  </si>
  <si>
    <t>Z:\nemtode\general\website_mirrors\nematode.unl.edu_2022_09_21\phila3.jpg</t>
  </si>
  <si>
    <t>Z:\nemtode\general\website_mirrors\nematode.unl.edu_2022_09_21\psihil1.jpg</t>
  </si>
  <si>
    <t>Z:\nemtode\general\website_mirrors\nematode.unl.edu_2022_09_21\psihil2.jpg</t>
  </si>
  <si>
    <t>Z:\nemtode\general\website_mirrors\nematode.unl.edu_2022_09_21\phila13.jpg</t>
  </si>
  <si>
    <t>Z:\nemtode\general\website_mirrors\nematode.unl.edu_2022_09_21\phila18.jpg</t>
  </si>
  <si>
    <t>Z:\nemtode\general\website_mirrors\nematode.unl.edu_2022_09_21\phila19.jpg</t>
  </si>
  <si>
    <t>Z:\nemtode\general\website_mirrors\nematode.unl.edu_2022_09_21\phila2.jpg</t>
  </si>
  <si>
    <t>Z:\nemtode\general\website_mirrors\nematode.unl.edu_2022_09_21\phila6.jpg</t>
  </si>
  <si>
    <t>Z:\nemtode\general\website_mirrors\nematode.unl.edu_2022_09_21\pshila2.jpg</t>
  </si>
  <si>
    <t>Z:\nemtode\general\website_mirrors\nematode.unl.edu_2022_09_21\phila1.jpg</t>
  </si>
  <si>
    <t>Z:\nemtode\general\website_mirrors\nematode.unl.edu_2022_09_21\phila11.jpg</t>
  </si>
  <si>
    <t>Z:\nemtode\general\website_mirrors\nematode.unl.edu_2022_09_21\phila20.jpg</t>
  </si>
  <si>
    <t>Z:\nemtode\general\website_mirrors\nematode.unl.edu_2022_09_21\pshila1.jpg</t>
  </si>
  <si>
    <t>Z:\nemtode\general\website_mirrors\nematode.unl.edu_2022_09_21\phila7.jpg</t>
  </si>
  <si>
    <t>Z:\nemtode\general\website_mirrors\nematode.unl.edu_2022_09_21\philacmp.jpg</t>
  </si>
  <si>
    <t>Z:\nemtode\general\website_mirrors\nematode.unl.edu_2022_09_21\phila10.jpg</t>
  </si>
  <si>
    <t>Z:\nemtode\general\website_mirrors\nematode.unl.edu_2022_09_21\phila8.jpg</t>
  </si>
  <si>
    <t>Z:\nemtode\general\website_mirrors\nematode.unl.edu_2022_09_21\phila9.jpg</t>
  </si>
  <si>
    <t>Z:\nemtode\general\website_mirrors\nematode.unl.edu_2022_09_21\phila16.jpg</t>
  </si>
  <si>
    <t>Z:\nemtode\general\website_mirrors\nematode.unl.edu_2022_09_21\phila17.jpg</t>
  </si>
  <si>
    <t>Z:\nemtode\general\website_mirrors\nematode.unl.edu_2022_09_21\phila23.jpg</t>
  </si>
  <si>
    <t>Z:\nemtode\general\website_mirrors\nematode.unl.edu_2022_09_21\phila5.jpg</t>
  </si>
  <si>
    <t>Z:\nemtode\general\website_mirrors\nematode.unl.edu_2022_09_21\philar1.jpg</t>
  </si>
  <si>
    <t>Z:\nemtode\general\website_mirrors\nematode.unl.edu_2022_09_21\pshila4.jpg</t>
  </si>
  <si>
    <t>Z:\nemtode\general\website_mirrors\nematode.unl.edu_2022_09_21\psihil4.jpg</t>
  </si>
  <si>
    <t>Z:\nemtode\general\website_mirrors\nematode.unl.edu_2022_09_21\psihil5.jpg</t>
  </si>
  <si>
    <t>Z:\nemtode\general\website_mirrors\nematode.unl.edu_2022_09_21\phila14.jpg</t>
  </si>
  <si>
    <t>Z:\nemtode\general\website_mirrors\nematode.unl.edu_2022_09_21\phila15.jpg</t>
  </si>
  <si>
    <t>Z:\nemtode\general\website_mirrors\nematode.unl.edu_2022_09_21\phila22.jpg</t>
  </si>
  <si>
    <t>Z:\nemtode\general\website_mirrors\nematode.unl.edu_2022_09_21\pshila3.jpg</t>
  </si>
  <si>
    <t>Z:\nemtode\general\website_mirrors\nematode.unl.edu_2022_09_21\psihil3.jpg</t>
  </si>
  <si>
    <t>Z:\nemtode\general\website_mirrors\nematode.unl.edu_2022_09_21\pint2.jpg</t>
  </si>
  <si>
    <t>Z:\nemtode\general\website_mirrors\nematode.unl.edu_2022_09_21\pint3.jpg</t>
  </si>
  <si>
    <t>Z:\nemtode\general\website_mirrors\nematode.unl.edu_2022_09_21\pint6.jpg</t>
  </si>
  <si>
    <t>Z:\nemtode\general\website_mirrors\nematode.unl.edu_2022_09_21\pint7.jpg</t>
  </si>
  <si>
    <t>Z:\nemtode\general\website_mirrors\nematode.unl.edu_2022_09_21\pint9.jpg</t>
  </si>
  <si>
    <t>Z:\nemtode\general\website_mirrors\nematode.unl.edu_2022_09_21\psinter10.jpg</t>
  </si>
  <si>
    <t>Z:\nemtode\general\website_mirrors\nematode.unl.edu_2022_09_21\psinter2.jpg</t>
  </si>
  <si>
    <t>Z:\nemtode\general\website_mirrors\nematode.unl.edu_2022_09_21\psinter5.jpg</t>
  </si>
  <si>
    <t>Z:\nemtode\general\website_mirrors\nematode.unl.edu_2022_09_21\pint1.jpg</t>
  </si>
  <si>
    <t>Z:\nemtode\general\website_mirrors\nematode.unl.edu_2022_09_21\psinter1.jpg</t>
  </si>
  <si>
    <t>Z:\nemtode\general\website_mirrors\nematode.unl.edu_2022_09_21\psinter9.jpg</t>
  </si>
  <si>
    <t>Z:\nemtode\general\website_mirrors\nematode.unl.edu_2022_09_21\psinter6.jpg</t>
  </si>
  <si>
    <t>Z:\nemtode\general\website_mirrors\nematode.unl.edu_2022_09_21\pint5.jpg</t>
  </si>
  <si>
    <t>Z:\nemtode\general\website_mirrors\nematode.unl.edu_2022_09_21\pint8.jpg</t>
  </si>
  <si>
    <t>Z:\nemtode\general\website_mirrors\nematode.unl.edu_2022_09_21\psinter11.jpg</t>
  </si>
  <si>
    <t>Z:\nemtode\general\website_mirrors\nematode.unl.edu_2022_09_21\psinter4.jpg</t>
  </si>
  <si>
    <t>Z:\nemtode\general\website_mirrors\nematode.unl.edu_2022_09_21\psinter8.jpg</t>
  </si>
  <si>
    <t>Z:\nemtode\general\website_mirrors\nematode.unl.edu_2022_09_21\pint4.jpg</t>
  </si>
  <si>
    <t>Z:\nemtode\general\website_mirrors\nematode.unl.edu_2022_09_21\psinter3.jpg</t>
  </si>
  <si>
    <t>Z:\nemtode\general\website_mirrors\nematode.unl.edu_2022_09_21\psinter7.jpg</t>
  </si>
  <si>
    <t>Z:\nemtode\general\website_mirrors\nematode.unl.edu_2022_09_21\sakiac2.jpg</t>
  </si>
  <si>
    <t>Z:\nemtode\general\website_mirrors\nematode.unl.edu_2022_09_21\sakiac1.jpg</t>
  </si>
  <si>
    <t>Z:\nemtode\general\website_mirrors\nematode.unl.edu_2022_09_21\sakiac3.jpg</t>
  </si>
  <si>
    <t>Z:\nemtode\general\website_mirrors\nematode.unl.edu_2022_09_21\sakiac5.jpg</t>
  </si>
  <si>
    <t>Z:\nemtode\general\website_mirrors\nematode.unl.edu_2022_09_21\sakiac4.jpg</t>
  </si>
  <si>
    <t>Z:\nemtode\general\website_mirrors\nematode.unl.edu_2022_09_21\filexcmp.jpg</t>
  </si>
  <si>
    <t>Z:\nemtode\general\website_mirrors\nematode.unl.edu_2022_09_21\fexi11.jpg</t>
  </si>
  <si>
    <t>Z:\nemtode\general\website_mirrors\nematode.unl.edu_2022_09_21\fexi2.jpg</t>
  </si>
  <si>
    <t>Z:\nemtode\general\website_mirrors\nematode.unl.edu_2022_09_21\fexi4.jpg</t>
  </si>
  <si>
    <t>Z:\nemtode\general\website_mirrors\nematode.unl.edu_2022_09_21\fexi6.jpg</t>
  </si>
  <si>
    <t>Z:\nemtode\general\website_mirrors\nematode.unl.edu_2022_09_21\fexi9.jpg</t>
  </si>
  <si>
    <t>Z:\nemtode\general\website_mirrors\nematode.unl.edu_2022_09_21\filex13.jpg</t>
  </si>
  <si>
    <t>Z:\nemtode\general\website_mirrors\nematode.unl.edu_2022_09_21\filex2.jpg</t>
  </si>
  <si>
    <t>Z:\nemtode\general\website_mirrors\nematode.unl.edu_2022_09_21\filex3.jpg</t>
  </si>
  <si>
    <t>Z:\nemtode\general\website_mirrors\nematode.unl.edu_2022_09_21\filex7.jpg</t>
  </si>
  <si>
    <t>Z:\nemtode\general\website_mirrors\nematode.unl.edu_2022_09_21\filex8.jpg</t>
  </si>
  <si>
    <t>Z:\nemtode\general\website_mirrors\nematode.unl.edu_2022_09_21\fexi1.jpg</t>
  </si>
  <si>
    <t>Z:\nemtode\general\website_mirrors\nematode.unl.edu_2022_09_21\fexi10.jpg</t>
  </si>
  <si>
    <t>Z:\nemtode\general\website_mirrors\nematode.unl.edu_2022_09_21\fexi3.jpg</t>
  </si>
  <si>
    <t>Z:\nemtode\general\website_mirrors\nematode.unl.edu_2022_09_21\fexi5.jpg</t>
  </si>
  <si>
    <t>Z:\nemtode\general\website_mirrors\nematode.unl.edu_2022_09_21\fexi8.jpg</t>
  </si>
  <si>
    <t>Z:\nemtode\general\website_mirrors\nematode.unl.edu_2022_09_21\filex.jpg</t>
  </si>
  <si>
    <t>Z:\nemtode\general\website_mirrors\nematode.unl.edu_2022_09_21\filex1.jpg</t>
  </si>
  <si>
    <t>Z:\nemtode\general\website_mirrors\nematode.unl.edu_2022_09_21\filex12.jpg</t>
  </si>
  <si>
    <t>Z:\nemtode\general\website_mirrors\nematode.unl.edu_2022_09_21\filex6.jpg</t>
  </si>
  <si>
    <t>Z:\nemtode\general\website_mirrors\nematode.unl.edu_2022_09_21\fexi7.jpg</t>
  </si>
  <si>
    <t>Z:\nemtode\general\website_mirrors\nematode.unl.edu_2022_09_21\filex10.jpg</t>
  </si>
  <si>
    <t>Z:\nemtode\general\website_mirrors\nematode.unl.edu_2022_09_21\filex9.jpg</t>
  </si>
  <si>
    <t>Z:\nemtode\general\website_mirrors\nematode.unl.edu_2022_09_21\filex11.jpg</t>
  </si>
  <si>
    <t>Z:\nemtode\general\website_mirrors\nematode.unl.edu_2022_09_21\filex5.jpg</t>
  </si>
  <si>
    <t>Z:\nemtode\general\website_mirrors\nematode.unl.edu_2022_09_21\filex4.jpg</t>
  </si>
  <si>
    <t>Z:\nemtode\general\website_mirrors\nematode.unl.edu_2022_09_21\tydav19.jpg</t>
  </si>
  <si>
    <t>Z:\nemtode\general\website_mirrors\nematode.unl.edu_2022_09_21\tydav10.jpg</t>
  </si>
  <si>
    <t>Z:\nemtode\general\website_mirrors\nematode.unl.edu_2022_09_21\tydav12.jpg</t>
  </si>
  <si>
    <t>Z:\nemtode\general\website_mirrors\nematode.unl.edu_2022_09_21\tydav14.jpg</t>
  </si>
  <si>
    <t>Z:\nemtode\general\website_mirrors\nematode.unl.edu_2022_09_21\tydav17.jpg</t>
  </si>
  <si>
    <t>Z:\nemtode\general\website_mirrors\nematode.unl.edu_2022_09_21\tydav23.jpg</t>
  </si>
  <si>
    <t>Z:\nemtode\general\website_mirrors\nematode.unl.edu_2022_09_21\tydav25.jpg</t>
  </si>
  <si>
    <t>Z:\nemtode\general\website_mirrors\nematode.unl.edu_2022_09_21\tydav3.jpg</t>
  </si>
  <si>
    <t>Z:\nemtode\general\website_mirrors\nematode.unl.edu_2022_09_21\tydav6.jpg</t>
  </si>
  <si>
    <t>Z:\nemtode\general\website_mirrors\nematode.unl.edu_2022_09_21\tydavacmp.jpg</t>
  </si>
  <si>
    <t>Z:\nemtode\general\website_mirrors\nematode.unl.edu_2022_09_21\tydav21.jpg</t>
  </si>
  <si>
    <t>Z:\nemtode\general\website_mirrors\nematode.unl.edu_2022_09_21\tydav1.jpg</t>
  </si>
  <si>
    <t>Z:\nemtode\general\website_mirrors\nematode.unl.edu_2022_09_21\tydav15.jpg</t>
  </si>
  <si>
    <t>Z:\nemtode\general\website_mirrors\nematode.unl.edu_2022_09_21\tydav5.jpg</t>
  </si>
  <si>
    <t>Z:\nemtode\general\website_mirrors\nematode.unl.edu_2022_09_21\tydav7.jpg</t>
  </si>
  <si>
    <t>Z:\nemtode\general\website_mirrors\nematode.unl.edu_2022_09_21\tydav8.jpg</t>
  </si>
  <si>
    <t>Z:\nemtode\general\website_mirrors\nematode.unl.edu_2022_09_21\tydav24.jpg</t>
  </si>
  <si>
    <t>Z:\nemtode\general\website_mirrors\nematode.unl.edu_2022_09_21\tydav9.jpg</t>
  </si>
  <si>
    <t>Z:\nemtode\general\website_mirrors\nematode.unl.edu_2022_09_21\tydav18.jpg</t>
  </si>
  <si>
    <t>Z:\nemtode\general\website_mirrors\nematode.unl.edu_2022_09_21\tydav11.jpg</t>
  </si>
  <si>
    <t>Z:\nemtode\general\website_mirrors\nematode.unl.edu_2022_09_21\tydav13.jpg</t>
  </si>
  <si>
    <t>Z:\nemtode\general\website_mirrors\nematode.unl.edu_2022_09_21\tydav16.jpg</t>
  </si>
  <si>
    <t>Z:\nemtode\general\website_mirrors\nematode.unl.edu_2022_09_21\tydav20.jpg</t>
  </si>
  <si>
    <t>Z:\nemtode\general\website_mirrors\nematode.unl.edu_2022_09_21\tydav26.jpg</t>
  </si>
  <si>
    <t>Z:\nemtode\general\website_mirrors\nematode.unl.edu_2022_09_21\tydav4.jpg</t>
  </si>
  <si>
    <t>Z:\nemtode\general\website_mirrors\nematode.unl.edu_2022_09_21\tydavcmp.jpg</t>
  </si>
  <si>
    <t>Z:\nemtode\general\website_mirrors\nematode.unl.edu_2022_09_21\tydav2.jpg</t>
  </si>
  <si>
    <t>Z:\nemtode\general\website_mirrors\nematode.unl.edu_2022_09_21\graci2.jpg</t>
  </si>
  <si>
    <t>Z:\nemtode\general\website_mirrors\nematode.unl.edu_2022_09_21\gracic1.jpg</t>
  </si>
  <si>
    <t>Z:\nemtode\general\website_mirrors\nematode.unl.edu_2022_09_21\gracic4.jpg</t>
  </si>
  <si>
    <t>Z:\nemtode\general\website_mirrors\nematode.unl.edu_2022_09_21\gracic5.jpg</t>
  </si>
  <si>
    <t>Z:\nemtode\general\website_mirrors\nematode.unl.edu_2022_09_21\gracic3.jpg</t>
  </si>
  <si>
    <t>Z:\nemtode\general\website_mirrors\nematode.unl.edu_2022_09_21\gracic6.jpg</t>
  </si>
  <si>
    <t>Z:\nemtode\general\website_mirrors\nematode.unl.edu_2022_09_21\gracic2.jpg</t>
  </si>
  <si>
    <t>Z:\nemtode\general\website_mirrors\nematode.unl.edu_2022_09_21\gracul1.jpg</t>
  </si>
  <si>
    <t>Z:\nemtode\general\website_mirrors\nematode.unl.edu_2022_09_21\graculcmp.jpg</t>
  </si>
  <si>
    <t>Z:\nemtode\general\website_mirrors\nematode.unl.edu_2022_09_21\gracul4.jpg</t>
  </si>
  <si>
    <t>Z:\nemtode\general\website_mirrors\nematode.unl.edu_2022_09_21\gracul2.jpg</t>
  </si>
  <si>
    <t>Z:\nemtode\general\website_mirrors\nematode.unl.edu_2022_09_21\gracul3.jpg</t>
  </si>
  <si>
    <t>Z:\nemtode\general\website_mirrors\nematode.unl.edu_2022_09_21\grala7.jpg</t>
  </si>
  <si>
    <t>Z:\nemtode\general\website_mirrors\nematode.unl.edu_2022_09_21\grala3.jpg</t>
  </si>
  <si>
    <t>Z:\nemtode\general\website_mirrors\nematode.unl.edu_2022_09_21\grala10.jpg</t>
  </si>
  <si>
    <t>Z:\nemtode\general\website_mirrors\nematode.unl.edu_2022_09_21\grala12.jpg</t>
  </si>
  <si>
    <t>Z:\nemtode\general\website_mirrors\nematode.unl.edu_2022_09_21\grala4.jpg</t>
  </si>
  <si>
    <t>Z:\nemtode\general\website_mirrors\nematode.unl.edu_2022_09_21\grala15.jpg</t>
  </si>
  <si>
    <t>Z:\nemtode\general\website_mirrors\nematode.unl.edu_2022_09_21\grala1.jpg</t>
  </si>
  <si>
    <t>Z:\nemtode\general\website_mirrors\nematode.unl.edu_2022_09_21\grala13.jpg</t>
  </si>
  <si>
    <t>Z:\nemtode\general\website_mirrors\nematode.unl.edu_2022_09_21\glatscan.jpg</t>
  </si>
  <si>
    <t>Z:\nemtode\general\website_mirrors\nematode.unl.edu_2022_09_21\grala8.jpg</t>
  </si>
  <si>
    <t>Z:\nemtode\general\website_mirrors\nematode.unl.edu_2022_09_21\grala11.jpg</t>
  </si>
  <si>
    <t>Z:\nemtode\general\website_mirrors\nematode.unl.edu_2022_09_21\grala14.jpg</t>
  </si>
  <si>
    <t>Z:\nemtode\general\website_mirrors\nematode.unl.edu_2022_09_21\grala2.jpg</t>
  </si>
  <si>
    <t>Z:\nemtode\general\website_mirrors\nematode.unl.edu_2022_09_21\grala5.jpg</t>
  </si>
  <si>
    <t>Z:\nemtode\general\website_mirrors\nematode.unl.edu_2022_09_21\grala6.jpg</t>
  </si>
  <si>
    <t>Z:\nemtode\general\website_mirrors\nematode.unl.edu_2022_09_21\grala9.jpg</t>
  </si>
  <si>
    <t>Z:\nemtode\general\website_mirrors\nematode.unl.edu_2022_09_21\paragsm2.jpg</t>
  </si>
  <si>
    <t>Z:\nemtode\general\website_mirrors\nematode.unl.edu_2022_09_21\paragsm6.jpg</t>
  </si>
  <si>
    <t>Z:\nemtode\general\website_mirrors\nematode.unl.edu_2022_09_21\parats1.jpg</t>
  </si>
  <si>
    <t>Z:\nemtode\general\website_mirrors\nematode.unl.edu_2022_09_21\paragsm1.jpg</t>
  </si>
  <si>
    <t>Z:\nemtode\general\website_mirrors\nematode.unl.edu_2022_09_21\paragsm5.jpg</t>
  </si>
  <si>
    <t>Z:\nemtode\general\website_mirrors\nematode.unl.edu_2022_09_21\paragsm9.jpg</t>
  </si>
  <si>
    <t>Z:\nemtode\general\website_mirrors\nematode.unl.edu_2022_09_21\paragsm4.jpg</t>
  </si>
  <si>
    <t>Z:\nemtode\general\website_mirrors\nematode.unl.edu_2022_09_21\paragsm8.jpg</t>
  </si>
  <si>
    <t>Z:\nemtode\general\website_mirrors\nematode.unl.edu_2022_09_21\paragsm3.jpg</t>
  </si>
  <si>
    <t>Z:\nemtode\general\website_mirrors\nematode.unl.edu_2022_09_21\paragsm7.jpg</t>
  </si>
  <si>
    <t>Z:\nemtode\general\website_mirrors\nematode.unl.edu_2022_09_21\parats2.jpg</t>
  </si>
  <si>
    <t>Z:\nemtode\general\website_mirrors\nematode.unl.edu_2022_09_21\paraq1.jpg</t>
  </si>
  <si>
    <t>Z:\nemtode\general\website_mirrors\nematode.unl.edu_2022_09_21\paraq5.jpg</t>
  </si>
  <si>
    <t>Z:\nemtode\general\website_mirrors\nematode.unl.edu_2022_09_21\paraqua3.jpg</t>
  </si>
  <si>
    <t>Z:\nemtode\general\website_mirrors\nematode.unl.edu_2022_09_21\paraq2.jpg</t>
  </si>
  <si>
    <t>Z:\nemtode\general\website_mirrors\nematode.unl.edu_2022_09_21\paraqua1.jpg</t>
  </si>
  <si>
    <t>Z:\nemtode\general\website_mirrors\nematode.unl.edu_2022_09_21\paraqua2.jpg</t>
  </si>
  <si>
    <t>Z:\nemtode\general\website_mirrors\nematode.unl.edu_2022_09_21\paraqua4.jpg</t>
  </si>
  <si>
    <t>Z:\nemtode\general\website_mirrors\nematode.unl.edu_2022_09_21\paraq3.jpg</t>
  </si>
  <si>
    <t>Z:\nemtode\general\website_mirrors\nematode.unl.edu_2022_09_21\paraqua5.jpg</t>
  </si>
  <si>
    <t>Z:\nemtode\general\website_mirrors\nematode.unl.edu_2022_09_21\paraq4.jpg</t>
  </si>
  <si>
    <t>Z:\nemtode\general\website_mirrors\nematode.unl.edu_2022_09_21\parva2.jpg</t>
  </si>
  <si>
    <t>Z:\nemtode\general\website_mirrors\nematode.unl.edu_2022_09_21\parva4.jpg</t>
  </si>
  <si>
    <t>Z:\nemtode\general\website_mirrors\nematode.unl.edu_2022_09_21\parva1.jpg</t>
  </si>
  <si>
    <t>Z:\nemtode\general\website_mirrors\nematode.unl.edu_2022_09_21\parva5.jpg</t>
  </si>
  <si>
    <t>Z:\nemtode\general\website_mirrors\nematode.unl.edu_2022_09_21\parva3.jpg</t>
  </si>
  <si>
    <t>Z:\nemtode\general\website_mirrors\nematode.unl.edu_2022_09_21\pariat2.jpg</t>
  </si>
  <si>
    <t>Z:\nemtode\general\website_mirrors\nematode.unl.edu_2022_09_21\pavar1.jpg</t>
  </si>
  <si>
    <t>Z:\nemtode\general\website_mirrors\nematode.unl.edu_2022_09_21\pavar13.jpg</t>
  </si>
  <si>
    <t>Z:\nemtode\general\website_mirrors\nematode.unl.edu_2022_09_21\pavar17.jpg</t>
  </si>
  <si>
    <t>Z:\nemtode\general\website_mirrors\nematode.unl.edu_2022_09_21\pavar3.jpg</t>
  </si>
  <si>
    <t>Z:\nemtode\general\website_mirrors\nematode.unl.edu_2022_09_21\pavar7.jpg</t>
  </si>
  <si>
    <t>Z:\nemtode\general\website_mirrors\nematode.unl.edu_2022_09_21\pariat1.jpg</t>
  </si>
  <si>
    <t>Z:\nemtode\general\website_mirrors\nematode.unl.edu_2022_09_21\pavar10.jpg</t>
  </si>
  <si>
    <t>Z:\nemtode\general\website_mirrors\nematode.unl.edu_2022_09_21\pavar6.jpg</t>
  </si>
  <si>
    <t>Z:\nemtode\general\website_mirrors\nematode.unl.edu_2022_09_21\pavar12.jpg</t>
  </si>
  <si>
    <t>Z:\nemtode\general\website_mirrors\nematode.unl.edu_2022_09_21\pavar15.jpg</t>
  </si>
  <si>
    <t>Z:\nemtode\general\website_mirrors\nematode.unl.edu_2022_09_21\pavar9.jpg</t>
  </si>
  <si>
    <t>Z:\nemtode\general\website_mirrors\nematode.unl.edu_2022_09_21\pariat3.jpg</t>
  </si>
  <si>
    <t>Z:\nemtode\general\website_mirrors\nematode.unl.edu_2022_09_21\pavar14.jpg</t>
  </si>
  <si>
    <t>Z:\nemtode\general\website_mirrors\nematode.unl.edu_2022_09_21\pavar16.jpg</t>
  </si>
  <si>
    <t>Z:\nemtode\general\website_mirrors\nematode.unl.edu_2022_09_21\pavar19.jpg</t>
  </si>
  <si>
    <t>Z:\nemtode\general\website_mirrors\nematode.unl.edu_2022_09_21\pavar2.jpg</t>
  </si>
  <si>
    <t>Z:\nemtode\general\website_mirrors\nematode.unl.edu_2022_09_21\pavar5.jpg</t>
  </si>
  <si>
    <t>Z:\nemtode\general\website_mirrors\nematode.unl.edu_2022_09_21\pavar11.jpg</t>
  </si>
  <si>
    <t>Z:\nemtode\general\website_mirrors\nematode.unl.edu_2022_09_21\pavar18.jpg</t>
  </si>
  <si>
    <t>Z:\nemtode\general\website_mirrors\nematode.unl.edu_2022_09_21\pavar4.jpg</t>
  </si>
  <si>
    <t>Z:\nemtode\general\website_mirrors\nematode.unl.edu_2022_09_21\pavar8.jpg</t>
  </si>
  <si>
    <t>Z:\nemtode\general\website_mirrors\nematode.unl.edu_2022_09_21\paraprobo2.jpg</t>
  </si>
  <si>
    <t>Z:\nemtode\general\website_mirrors\nematode.unl.edu_2022_09_21\paraprobo1.jpg</t>
  </si>
  <si>
    <t>Z:\nemtode\general\website_mirrors\nematode.unl.edu_2022_09_21\paraprojedrw.jpg</t>
  </si>
  <si>
    <t>Z:\nemtode\general\website_mirrors\nematode.unl.edu_2022_09_21\paraprobo3.jpg</t>
  </si>
  <si>
    <t>Z:\nemtode\general\website_mirrors\nematode.unl.edu_2022_09_21\tropho7.jpg</t>
  </si>
  <si>
    <t>Z:\nemtode\general\website_mirrors\nematode.unl.edu_2022_09_21\tropho1.jpg</t>
  </si>
  <si>
    <t>Z:\nemtode\general\website_mirrors\nematode.unl.edu_2022_09_21\tropho10.jpg</t>
  </si>
  <si>
    <t>Z:\nemtode\general\website_mirrors\nematode.unl.edu_2022_09_21\tropho12.jpg</t>
  </si>
  <si>
    <t>Z:\nemtode\general\website_mirrors\nematode.unl.edu_2022_09_21\tropho4.jpg</t>
  </si>
  <si>
    <t>Z:\nemtode\general\website_mirrors\nematode.unl.edu_2022_09_21\tropho9.jpg</t>
  </si>
  <si>
    <t>Z:\nemtode\general\website_mirrors\nematode.unl.edu_2022_09_21\crtrop1.jpg</t>
  </si>
  <si>
    <t>Z:\nemtode\general\website_mirrors\nematode.unl.edu_2022_09_21\tropho6.jpg</t>
  </si>
  <si>
    <t>Z:\nemtode\general\website_mirrors\nematode.unl.edu_2022_09_21\tropho8.jpg</t>
  </si>
  <si>
    <t>Z:\nemtode\general\website_mirrors\nematode.unl.edu_2022_09_21\tropho3.jpg</t>
  </si>
  <si>
    <t>Z:\nemtode\general\website_mirrors\nematode.unl.edu_2022_09_21\tropho11.jpg</t>
  </si>
  <si>
    <t>Z:\nemtode\general\website_mirrors\nematode.unl.edu_2022_09_21\tropho13.jpg</t>
  </si>
  <si>
    <t>Z:\nemtode\general\website_mirrors\nematode.unl.edu_2022_09_21\tropho2.jpg</t>
  </si>
  <si>
    <t>Z:\nemtode\general\website_mirrors\nematode.unl.edu_2022_09_21\tropho5.jpg</t>
  </si>
  <si>
    <t>Z:\nemtode\general\website_mirrors\nematode.unl.edu_2022_09_21\crtylecric3.jpg</t>
  </si>
  <si>
    <t>Z:\nemtode\general\website_mirrors\nematode.unl.edu_2022_09_21\crtylecric1.jpg</t>
  </si>
  <si>
    <t>Z:\nemtode\general\website_mirrors\nematode.unl.edu_2022_09_21\crtylecric2.jpg</t>
  </si>
  <si>
    <t>Z:\nemtode\general\website_mirrors\nematode.unl.edu_2022_09_21\crtylecric6.jpg</t>
  </si>
  <si>
    <t>Z:\nemtode\general\website_mirrors\nematode.unl.edu_2022_09_21\crtylecric4.jpg</t>
  </si>
  <si>
    <t>Z:\nemtode\general\website_mirrors\nematode.unl.edu_2022_09_21\crtylecric5.jpg</t>
  </si>
  <si>
    <t>Z:\nemtode\general\website_mirrors\nematode.unl.edu_2022_09_21\actinc16.jpg</t>
  </si>
  <si>
    <t>Z:\nemtode\general\website_mirrors\nematode.unl.edu_2022_09_21\actinc27.jpg</t>
  </si>
  <si>
    <t>Z:\nemtode\general\website_mirrors\nematode.unl.edu_2022_09_21\actinc3.jpg</t>
  </si>
  <si>
    <t>Z:\nemtode\general\website_mirrors\nematode.unl.edu_2022_09_21\actinc39.jpg</t>
  </si>
  <si>
    <t>Z:\nemtode\general\website_mirrors\nematode.unl.edu_2022_09_21\actinc51.jpg</t>
  </si>
  <si>
    <t>Z:\nemtode\general\website_mirrors\nematode.unl.edu_2022_09_21\actinc23.jpg</t>
  </si>
  <si>
    <t>Z:\nemtode\general\website_mirrors\nematode.unl.edu_2022_09_21\actinc34.jpg</t>
  </si>
  <si>
    <t>Z:\nemtode\general\website_mirrors\nematode.unl.edu_2022_09_21\actinc4.jpg</t>
  </si>
  <si>
    <t>Z:\nemtode\general\website_mirrors\nematode.unl.edu_2022_09_21\actinc13.jpg</t>
  </si>
  <si>
    <t>Z:\nemtode\general\website_mirrors\nematode.unl.edu_2022_09_21\actinc2.jpg</t>
  </si>
  <si>
    <t>Z:\nemtode\general\website_mirrors\nematode.unl.edu_2022_09_21\actinc26.jpg</t>
  </si>
  <si>
    <t>Z:\nemtode\general\website_mirrors\nematode.unl.edu_2022_09_21\actinc38.jpg</t>
  </si>
  <si>
    <t>Z:\nemtode\general\website_mirrors\nematode.unl.edu_2022_09_21\actinc45.jpg</t>
  </si>
  <si>
    <t>Z:\nemtode\general\website_mirrors\nematode.unl.edu_2022_09_21\actinc50.jpg</t>
  </si>
  <si>
    <t>Z:\nemtode\general\website_mirrors\nematode.unl.edu_2022_09_21\actinc29.jpg</t>
  </si>
  <si>
    <t>Z:\nemtode\general\website_mirrors\nematode.unl.edu_2022_09_21\actinc15.jpg</t>
  </si>
  <si>
    <t>Z:\nemtode\general\website_mirrors\nematode.unl.edu_2022_09_21\actinc1.jpg</t>
  </si>
  <si>
    <t>Z:\nemtode\general\website_mirrors\nematode.unl.edu_2022_09_21\actinc12.jpg</t>
  </si>
  <si>
    <t>Z:\nemtode\general\website_mirrors\nematode.unl.edu_2022_09_21\actinc22.jpg</t>
  </si>
  <si>
    <t>Z:\nemtode\general\website_mirrors\nematode.unl.edu_2022_09_21\actinc44.jpg</t>
  </si>
  <si>
    <t>Z:\nemtode\general\website_mirrors\nematode.unl.edu_2022_09_21\actinc49.jpg</t>
  </si>
  <si>
    <t>Z:\nemtode\general\website_mirrors\nematode.unl.edu_2022_09_21\actinc40.jpg</t>
  </si>
  <si>
    <t>Z:\nemtode\general\website_mirrors\nematode.unl.edu_2022_09_21\actinc28.jpg</t>
  </si>
  <si>
    <t>Z:\nemtode\general\website_mirrors\nematode.unl.edu_2022_09_21\actinc14.jpg</t>
  </si>
  <si>
    <t>Z:\nemtode\general\website_mirrors\nematode.unl.edu_2022_09_21\actinc32.jpg</t>
  </si>
  <si>
    <t>Z:\nemtode\general\website_mirrors\nematode.unl.edu_2022_09_21\actinc43.jpg</t>
  </si>
  <si>
    <t>Z:\nemtode\general\website_mirrors\nematode.unl.edu_2022_09_21\actinc54.jpg</t>
  </si>
  <si>
    <t>Z:\nemtode\general\website_mirrors\nematode.unl.edu_2022_09_21\actinc10.jpg</t>
  </si>
  <si>
    <t>Z:\nemtode\general\website_mirrors\nematode.unl.edu_2022_09_21\actinc17.jpg</t>
  </si>
  <si>
    <t>Z:\nemtode\general\website_mirrors\nematode.unl.edu_2022_09_21\actinc36.jpg</t>
  </si>
  <si>
    <t>Z:\nemtode\general\website_mirrors\nematode.unl.edu_2022_09_21\actinc47.jpg</t>
  </si>
  <si>
    <t>Z:\nemtode\general\website_mirrors\nematode.unl.edu_2022_09_21\actinc53.jpg</t>
  </si>
  <si>
    <t>Z:\nemtode\general\website_mirrors\nematode.unl.edu_2022_09_21\actinc8.jpg</t>
  </si>
  <si>
    <t>Z:\nemtode\general\website_mirrors\nematode.unl.edu_2022_09_21\actinc5.jpg</t>
  </si>
  <si>
    <t>Z:\nemtode\general\website_mirrors\nematode.unl.edu_2022_09_21\actinc7.jpg</t>
  </si>
  <si>
    <t>Z:\nemtode\general\website_mirrors\nematode.unl.edu_2022_09_21\actinc52.jpg</t>
  </si>
  <si>
    <t>Z:\nemtode\general\website_mirrors\nematode.unl.edu_2022_09_21\actinc46.jpg</t>
  </si>
  <si>
    <t>Z:\nemtode\general\website_mirrors\nematode.unl.edu_2022_09_21\actinc41.jpg</t>
  </si>
  <si>
    <t>Z:\nemtode\general\website_mirrors\nematode.unl.edu_2022_09_21\actinc30.jpg</t>
  </si>
  <si>
    <t>Z:\nemtode\general\website_mirrors\nematode.unl.edu_2022_09_21\actinc33.jpg</t>
  </si>
  <si>
    <t>Z:\nemtode\general\website_mirrors\nematode.unl.edu_2022_09_21\actinc31.jpg</t>
  </si>
  <si>
    <t>Z:\nemtode\general\website_mirrors\nematode.unl.edu_2022_09_21\actinc42.jpg</t>
  </si>
  <si>
    <t>Z:\nemtode\general\website_mirrors\nematode.unl.edu_2022_09_21\actinc25.jpg</t>
  </si>
  <si>
    <t>Z:\nemtode\general\website_mirrors\nematode.unl.edu_2022_09_21\actinc37.jpg</t>
  </si>
  <si>
    <t>Z:\nemtode\general\website_mirrors\nematode.unl.edu_2022_09_21\actinc48.jpg</t>
  </si>
  <si>
    <t>Z:\nemtode\general\website_mirrors\nematode.unl.edu_2022_09_21\actinc9.jpg</t>
  </si>
  <si>
    <t>Z:\nemtode\general\website_mirrors\nematode.unl.edu_2022_09_21\actinc11.jpg</t>
  </si>
  <si>
    <t>Z:\nemtode\general\website_mirrors\nematode.unl.edu_2022_09_21\actinc24.jpg</t>
  </si>
  <si>
    <t>Z:\nemtode\general\website_mirrors\nematode.unl.edu_2022_09_21\actinc35.jpg</t>
  </si>
  <si>
    <t>Z:\nemtode\general\website_mirrors\nematode.unl.edu_2022_09_21\actinc6.jpg</t>
  </si>
  <si>
    <t>Z:\nemtode\general\website_mirrors\nematode.unl.edu_2022_09_21\neoasp1.jpg</t>
  </si>
  <si>
    <t>Z:\nemtode\general\website_mirrors\nematode.unl.edu_2022_09_21\paract1.jpg</t>
  </si>
  <si>
    <t>Z:\nemtode\general\website_mirrors\nematode.unl.edu_2022_09_21\paract4.jpg</t>
  </si>
  <si>
    <t>Z:\nemtode\general\website_mirrors\nematode.unl.edu_2022_09_21\paract5.jpg</t>
  </si>
  <si>
    <t>Z:\nemtode\general\website_mirrors\nematode.unl.edu_2022_09_21\paract6.jpg</t>
  </si>
  <si>
    <t>Z:\nemtode\general\website_mirrors\nematode.unl.edu_2022_09_21\paract2.jpg</t>
  </si>
  <si>
    <t>Z:\nemtode\general\website_mirrors\nematode.unl.edu_2022_09_21\paract3.jpg</t>
  </si>
  <si>
    <t>Z:\nemtode\general\website_mirrors\nematode.unl.edu_2022_09_21\domidom3.jpg</t>
  </si>
  <si>
    <t>Z:\nemtode\general\website_mirrors\nematode.unl.edu_2022_09_21\domidom5.jpg</t>
  </si>
  <si>
    <t>Z:\nemtode\general\website_mirrors\nematode.unl.edu_2022_09_21\domidom1.jpg</t>
  </si>
  <si>
    <t>Z:\nemtode\general\website_mirrors\nematode.unl.edu_2022_09_21\domidom2.jpg</t>
  </si>
  <si>
    <t>Z:\nemtode\general\website_mirrors\nematode.unl.edu_2022_09_21\domidom7.jpg</t>
  </si>
  <si>
    <t>Z:\nemtode\general\website_mirrors\nematode.unl.edu_2022_09_21\domidom4.jpg</t>
  </si>
  <si>
    <t>Z:\nemtode\general\website_mirrors\nematode.unl.edu_2022_09_21\domidom8.jpg</t>
  </si>
  <si>
    <t>Z:\nemtode\general\website_mirrors\nematode.unl.edu_2022_09_21\domidom6.jpg</t>
  </si>
  <si>
    <t>Z:\nemtode\general\website_mirrors\nematode.unl.edu_2022_09_21\akrov13.jpg</t>
  </si>
  <si>
    <t>Z:\nemtode\general\website_mirrors\nematode.unl.edu_2022_09_21\akrov2.jpg</t>
  </si>
  <si>
    <t>Z:\nemtode\general\website_mirrors\nematode.unl.edu_2022_09_21\akrov14.jpg</t>
  </si>
  <si>
    <t>Z:\nemtode\general\website_mirrors\nematode.unl.edu_2022_09_21\akrov17.jpg</t>
  </si>
  <si>
    <t>Z:\nemtode\general\website_mirrors\nematode.unl.edu_2022_09_21\akrov18.jpg</t>
  </si>
  <si>
    <t>Z:\nemtode\general\website_mirrors\nematode.unl.edu_2022_09_21\akrov22.jpg</t>
  </si>
  <si>
    <t>Z:\nemtode\general\website_mirrors\nematode.unl.edu_2022_09_21\akrov6.jpg</t>
  </si>
  <si>
    <t>Z:\nemtode\general\website_mirrors\nematode.unl.edu_2022_09_21\akrov8.jpg</t>
  </si>
  <si>
    <t>Z:\nemtode\general\website_mirrors\nematode.unl.edu_2022_09_21\akrov9.jpg</t>
  </si>
  <si>
    <t>Z:\nemtode\general\website_mirrors\nematode.unl.edu_2022_09_21\akrov19.jpg</t>
  </si>
  <si>
    <t>Z:\nemtode\general\website_mirrors\nematode.unl.edu_2022_09_21\akrov5.jpg</t>
  </si>
  <si>
    <t>Z:\nemtode\general\website_mirrors\nematode.unl.edu_2022_09_21\akrov1.jpg</t>
  </si>
  <si>
    <t>Z:\nemtode\general\website_mirrors\nematode.unl.edu_2022_09_21\akrovcmp.jpg</t>
  </si>
  <si>
    <t>Z:\nemtode\general\website_mirrors\nematode.unl.edu_2022_09_21\akrov10.jpg</t>
  </si>
  <si>
    <t>Z:\nemtode\general\website_mirrors\nematode.unl.edu_2022_09_21\akrov11.jpg</t>
  </si>
  <si>
    <t>Z:\nemtode\general\website_mirrors\nematode.unl.edu_2022_09_21\akrov15.jpg</t>
  </si>
  <si>
    <t>Z:\nemtode\general\website_mirrors\nematode.unl.edu_2022_09_21\akrov16.jpg</t>
  </si>
  <si>
    <t>Z:\nemtode\general\website_mirrors\nematode.unl.edu_2022_09_21\akrov21.jpg</t>
  </si>
  <si>
    <t>Z:\nemtode\general\website_mirrors\nematode.unl.edu_2022_09_21\akrov3.jpg</t>
  </si>
  <si>
    <t>Z:\nemtode\general\website_mirrors\nematode.unl.edu_2022_09_21\akrov12.jpg</t>
  </si>
  <si>
    <t>Z:\nemtode\general\website_mirrors\nematode.unl.edu_2022_09_21\akrov20.jpg</t>
  </si>
  <si>
    <t>Z:\nemtode\general\website_mirrors\nematode.unl.edu_2022_09_21\akrov4.jpg</t>
  </si>
  <si>
    <t>Z:\nemtode\general\website_mirrors\nematode.unl.edu_2022_09_21\akrov7.jpg</t>
  </si>
  <si>
    <t>Z:\nemtode\general\website_mirrors\nematode.unl.edu_2022_09_21\aporcr6.jpg</t>
  </si>
  <si>
    <t>Z:\nemtode\general\website_mirrors\nematode.unl.edu_2022_09_21\aporcr2.jpg</t>
  </si>
  <si>
    <t>Z:\nemtode\general\website_mirrors\nematode.unl.edu_2022_09_21\aporeso.jpg</t>
  </si>
  <si>
    <t>Z:\nemtode\general\website_mirrors\nematode.unl.edu_2022_09_21\aporcr5.jpg</t>
  </si>
  <si>
    <t>Z:\nemtode\general\website_mirrors\nematode.unl.edu_2022_09_21\aporlip.jpg</t>
  </si>
  <si>
    <t>Z:\nemtode\general\website_mirrors\nematode.unl.edu_2022_09_21\aporsp1.jpg</t>
  </si>
  <si>
    <t>Z:\nemtode\general\website_mirrors\nematode.unl.edu_2022_09_21\aporsp3.jpg</t>
  </si>
  <si>
    <t>Z:\nemtode\general\website_mirrors\nematode.unl.edu_2022_09_21\aporsp5.jpg</t>
  </si>
  <si>
    <t>Z:\nemtode\general\website_mirrors\nematode.unl.edu_2022_09_21\aporsp6.jpg</t>
  </si>
  <si>
    <t>Z:\nemtode\general\website_mirrors\nematode.unl.edu_2022_09_21\aporsp8.jpg</t>
  </si>
  <si>
    <t>Z:\nemtode\general\website_mirrors\nematode.unl.edu_2022_09_21\aporspr.jpg</t>
  </si>
  <si>
    <t>Z:\nemtode\general\website_mirrors\nematode.unl.edu_2022_09_21\aporcar.jpg</t>
  </si>
  <si>
    <t>Z:\nemtode\general\website_mirrors\nematode.unl.edu_2022_09_21\aporcr7.jpg</t>
  </si>
  <si>
    <t>Z:\nemtode\general\website_mirrors\nematode.unl.edu_2022_09_21\aporcr1.jpg</t>
  </si>
  <si>
    <t>Z:\nemtode\general\website_mirrors\nematode.unl.edu_2022_09_21\aporwhl.jpg</t>
  </si>
  <si>
    <t>Z:\nemtode\general\website_mirrors\nematode.unl.edu_2022_09_21\aporcr4.jpg</t>
  </si>
  <si>
    <t>Z:\nemtode\general\website_mirrors\nematode.unl.edu_2022_09_21\aporcr9.jpg</t>
  </si>
  <si>
    <t>Z:\nemtode\general\website_mirrors\nematode.unl.edu_2022_09_21\aporcut.jpg</t>
  </si>
  <si>
    <t>Z:\nemtode\general\website_mirrors\nematode.unl.edu_2022_09_21\aporsp2.jpg</t>
  </si>
  <si>
    <t>Z:\nemtode\general\website_mirrors\nematode.unl.edu_2022_09_21\aporsp4.jpg</t>
  </si>
  <si>
    <t>Z:\nemtode\general\website_mirrors\nematode.unl.edu_2022_09_21\aporsp7.jpg</t>
  </si>
  <si>
    <t>Z:\nemtode\general\website_mirrors\nematode.unl.edu_2022_09_21\aporsp9.jpg</t>
  </si>
  <si>
    <t>Z:\nemtode\general\website_mirrors\nematode.unl.edu_2022_09_21\aportl.jpg</t>
  </si>
  <si>
    <t>Z:\nemtode\general\website_mirrors\nematode.unl.edu_2022_09_21\aporcr3.jpg</t>
  </si>
  <si>
    <t>Z:\nemtode\general\website_mirrors\nematode.unl.edu_2022_09_21\aporcr8.jpg</t>
  </si>
  <si>
    <t>Z:\nemtode\general\website_mirrors\nematode.unl.edu_2022_09_21\apcap5.jpg</t>
  </si>
  <si>
    <t>Z:\nemtode\general\website_mirrors\nematode.unl.edu_2022_09_21\apcap11.jpg</t>
  </si>
  <si>
    <t>Z:\nemtode\general\website_mirrors\nematode.unl.edu_2022_09_21\apcap12.jpg</t>
  </si>
  <si>
    <t>Z:\nemtode\general\website_mirrors\nematode.unl.edu_2022_09_21\apcap15.jpg</t>
  </si>
  <si>
    <t>Z:\nemtode\general\website_mirrors\nematode.unl.edu_2022_09_21\apcap18.jpg</t>
  </si>
  <si>
    <t>Z:\nemtode\general\website_mirrors\nematode.unl.edu_2022_09_21\apcap19.jpg</t>
  </si>
  <si>
    <t>Z:\nemtode\general\website_mirrors\nematode.unl.edu_2022_09_21\apcap2.jpg</t>
  </si>
  <si>
    <t>Z:\nemtode\general\website_mirrors\nematode.unl.edu_2022_09_21\apcap25.jpg</t>
  </si>
  <si>
    <t>Z:\nemtode\general\website_mirrors\nematode.unl.edu_2022_09_21\apcap27.jpg</t>
  </si>
  <si>
    <t>Z:\nemtode\general\website_mirrors\nematode.unl.edu_2022_09_21\apcap31.jpg</t>
  </si>
  <si>
    <t>Z:\nemtode\general\website_mirrors\nematode.unl.edu_2022_09_21\apcap6.jpg</t>
  </si>
  <si>
    <t>Z:\nemtode\general\website_mirrors\nematode.unl.edu_2022_09_21\aporc2.jpg</t>
  </si>
  <si>
    <t>Z:\nemtode\general\website_mirrors\nematode.unl.edu_2022_09_21\aporc3.jpg</t>
  </si>
  <si>
    <t>Z:\nemtode\general\website_mirrors\nematode.unl.edu_2022_09_21\apcap23.jpg</t>
  </si>
  <si>
    <t>Z:\nemtode\general\website_mirrors\nematode.unl.edu_2022_09_21\apcap10.jpg</t>
  </si>
  <si>
    <t>Z:\nemtode\general\website_mirrors\nematode.unl.edu_2022_09_21\apcap20.jpg</t>
  </si>
  <si>
    <t>Z:\nemtode\general\website_mirrors\nematode.unl.edu_2022_09_21\apcap32.jpg</t>
  </si>
  <si>
    <t>Z:\nemtode\general\website_mirrors\nematode.unl.edu_2022_09_21\apcap8.jpg</t>
  </si>
  <si>
    <t>Z:\nemtode\general\website_mirrors\nematode.unl.edu_2022_09_21\aporc1.jpg</t>
  </si>
  <si>
    <t>Z:\nemtode\general\website_mirrors\nematode.unl.edu_2022_09_21\apcap1.jpg</t>
  </si>
  <si>
    <t>Z:\nemtode\general\website_mirrors\nematode.unl.edu_2022_09_21\apcap14.jpg</t>
  </si>
  <si>
    <t>Z:\nemtode\general\website_mirrors\nematode.unl.edu_2022_09_21\apcap4.jpg</t>
  </si>
  <si>
    <t>Z:\nemtode\general\website_mirrors\nematode.unl.edu_2022_09_21\aporc4.jpg</t>
  </si>
  <si>
    <t>Z:\nemtode\general\website_mirrors\nematode.unl.edu_2022_09_21\apcap30.jpg</t>
  </si>
  <si>
    <t>Z:\nemtode\general\website_mirrors\nematode.unl.edu_2022_09_21\acapcmp.jpg</t>
  </si>
  <si>
    <t>Z:\nemtode\general\website_mirrors\nematode.unl.edu_2022_09_21\aporcdrw.jpg</t>
  </si>
  <si>
    <t>Z:\nemtode\general\website_mirrors\nematode.unl.edu_2022_09_21\apcap24.jpg</t>
  </si>
  <si>
    <t>Z:\nemtode\general\website_mirrors\nematode.unl.edu_2022_09_21\apcap22.jpg</t>
  </si>
  <si>
    <t>Z:\nemtode\general\website_mirrors\nematode.unl.edu_2022_09_21\apcap9.jpg</t>
  </si>
  <si>
    <t>Z:\nemtode\general\website_mirrors\nematode.unl.edu_2022_09_21\apcap13.jpg</t>
  </si>
  <si>
    <t>Z:\nemtode\general\website_mirrors\nematode.unl.edu_2022_09_21\apcap17.jpg</t>
  </si>
  <si>
    <t>Z:\nemtode\general\website_mirrors\nematode.unl.edu_2022_09_21\apcap21.jpg</t>
  </si>
  <si>
    <t>Z:\nemtode\general\website_mirrors\nematode.unl.edu_2022_09_21\apcap26.jpg</t>
  </si>
  <si>
    <t>Z:\nemtode\general\website_mirrors\nematode.unl.edu_2022_09_21\apcap28.jpg</t>
  </si>
  <si>
    <t>Z:\nemtode\general\website_mirrors\nematode.unl.edu_2022_09_21\apcap29.jpg</t>
  </si>
  <si>
    <t>Z:\nemtode\general\website_mirrors\nematode.unl.edu_2022_09_21\apcap3.jpg</t>
  </si>
  <si>
    <t>Z:\nemtode\general\website_mirrors\nematode.unl.edu_2022_09_21\apcap34.jpg</t>
  </si>
  <si>
    <t>Z:\nemtode\general\website_mirrors\nematode.unl.edu_2022_09_21\apcap7.jpg</t>
  </si>
  <si>
    <t>Z:\nemtode\general\website_mirrors\nematode.unl.edu_2022_09_21\apcap16.jpg</t>
  </si>
  <si>
    <t>Z:\nemtode\general\website_mirrors\nematode.unl.edu_2022_09_21\apcap33.jpg</t>
  </si>
  <si>
    <t>Z:\nemtode\general\website_mirrors\nematode.unl.edu_2022_09_21\apcla1.jpg</t>
  </si>
  <si>
    <t>Z:\nemtode\general\website_mirrors\nematode.unl.edu_2022_09_21\apcla11.jpg</t>
  </si>
  <si>
    <t>Z:\nemtode\general\website_mirrors\nematode.unl.edu_2022_09_21\apcla3.jpg</t>
  </si>
  <si>
    <t>Z:\nemtode\general\website_mirrors\nematode.unl.edu_2022_09_21\apcla8.jpg</t>
  </si>
  <si>
    <t>Z:\nemtode\general\website_mirrors\nematode.unl.edu_2022_09_21\apcla10.jpg</t>
  </si>
  <si>
    <t>Z:\nemtode\general\website_mirrors\nematode.unl.edu_2022_09_21\apcla2.jpg</t>
  </si>
  <si>
    <t>Z:\nemtode\general\website_mirrors\nematode.unl.edu_2022_09_21\apcla4.jpg</t>
  </si>
  <si>
    <t>Z:\nemtode\general\website_mirrors\nematode.unl.edu_2022_09_21\apcla5.jpg</t>
  </si>
  <si>
    <t>Z:\nemtode\general\website_mirrors\nematode.unl.edu_2022_09_21\apcla6.jpg</t>
  </si>
  <si>
    <t>Z:\nemtode\general\website_mirrors\nematode.unl.edu_2022_09_21\apcla7.jpg</t>
  </si>
  <si>
    <t>Z:\nemtode\general\website_mirrors\nematode.unl.edu_2022_09_21\apcla9.jpg</t>
  </si>
  <si>
    <t>Z:\nemtode\general\website_mirrors\nematode.unl.edu_2022_09_21\apoco1.jpg</t>
  </si>
  <si>
    <t>Z:\nemtode\general\website_mirrors\nematode.unl.edu_2022_09_21\apoco13.jpg</t>
  </si>
  <si>
    <t>Z:\nemtode\general\website_mirrors\nematode.unl.edu_2022_09_21\apoco14.jpg</t>
  </si>
  <si>
    <t>Z:\nemtode\general\website_mirrors\nematode.unl.edu_2022_09_21\apoco5.jpg</t>
  </si>
  <si>
    <t>Z:\nemtode\general\website_mirrors\nematode.unl.edu_2022_09_21\apoco9.jpg</t>
  </si>
  <si>
    <t>Z:\nemtode\general\website_mirrors\nematode.unl.edu_2022_09_21\apoidus1.jpg</t>
  </si>
  <si>
    <t>Z:\nemtode\general\website_mirrors\nematode.unl.edu_2022_09_21\apoidus3.jpg</t>
  </si>
  <si>
    <t>Z:\nemtode\general\website_mirrors\nematode.unl.edu_2022_09_21\apoco10.jpg</t>
  </si>
  <si>
    <t>Z:\nemtode\general\website_mirrors\nematode.unl.edu_2022_09_21\apoco2.jpg</t>
  </si>
  <si>
    <t>Z:\nemtode\general\website_mirrors\nematode.unl.edu_2022_09_21\apoco6.jpg</t>
  </si>
  <si>
    <t>Z:\nemtode\general\website_mirrors\nematode.unl.edu_2022_09_21\apoidus4.jpg</t>
  </si>
  <si>
    <t>Z:\nemtode\general\website_mirrors\nematode.unl.edu_2022_09_21\apoco8.jpg</t>
  </si>
  <si>
    <t>Z:\nemtode\general\website_mirrors\nematode.unl.edu_2022_09_21\apoidus5.jpg</t>
  </si>
  <si>
    <t>Z:\nemtode\general\website_mirrors\nematode.unl.edu_2022_09_21\apoco11.jpg</t>
  </si>
  <si>
    <t>Z:\nemtode\general\website_mirrors\nematode.unl.edu_2022_09_21\apoco12.jpg</t>
  </si>
  <si>
    <t>Z:\nemtode\general\website_mirrors\nematode.unl.edu_2022_09_21\apoco16.jpg</t>
  </si>
  <si>
    <t>Z:\nemtode\general\website_mirrors\nematode.unl.edu_2022_09_21\apoco4.jpg</t>
  </si>
  <si>
    <t>Z:\nemtode\general\website_mirrors\nematode.unl.edu_2022_09_21\apoco7.jpg</t>
  </si>
  <si>
    <t>Z:\nemtode\general\website_mirrors\nematode.unl.edu_2022_09_21\apoidus2.jpg</t>
  </si>
  <si>
    <t>Z:\nemtode\general\website_mirrors\nematode.unl.edu_2022_09_21\apoco15.jpg</t>
  </si>
  <si>
    <t>Z:\nemtode\general\website_mirrors\nematode.unl.edu_2022_09_21\apoco3.jpg</t>
  </si>
  <si>
    <t>Z:\nemtode\general\website_mirrors\nematode.unl.edu_2022_09_21\apeleg1.jpg</t>
  </si>
  <si>
    <t>Z:\nemtode\general\website_mirrors\nematode.unl.edu_2022_09_21\apeleg3.jpg</t>
  </si>
  <si>
    <t>Z:\nemtode\general\website_mirrors\nematode.unl.edu_2022_09_21\apeleg6.jpg</t>
  </si>
  <si>
    <t>Z:\nemtode\general\website_mirrors\nematode.unl.edu_2022_09_21\apeleg7.jpg</t>
  </si>
  <si>
    <t>Z:\nemtode\general\website_mirrors\nematode.unl.edu_2022_09_21\apeleg8.jpg</t>
  </si>
  <si>
    <t>Z:\nemtode\general\website_mirrors\nematode.unl.edu_2022_09_21\apeleg4.jpg</t>
  </si>
  <si>
    <t>Z:\nemtode\general\website_mirrors\nematode.unl.edu_2022_09_21\apeleg10.jpg</t>
  </si>
  <si>
    <t>Z:\nemtode\general\website_mirrors\nematode.unl.edu_2022_09_21\apeleg2.jpg</t>
  </si>
  <si>
    <t>Z:\nemtode\general\website_mirrors\nematode.unl.edu_2022_09_21\apeleg5.jpg</t>
  </si>
  <si>
    <t>Z:\nemtode\general\website_mirrors\nematode.unl.edu_2022_09_21\apeleg9.jpg</t>
  </si>
  <si>
    <t>Z:\nemtode\general\website_mirrors\nematode.unl.edu_2022_09_21\apeury13.jpg</t>
  </si>
  <si>
    <t>Z:\nemtode\general\website_mirrors\nematode.unl.edu_2022_09_21\apeury11.jpg</t>
  </si>
  <si>
    <t>Z:\nemtode\general\website_mirrors\nematode.unl.edu_2022_09_21\apeury14.jpg</t>
  </si>
  <si>
    <t>Z:\nemtode\general\website_mirrors\nematode.unl.edu_2022_09_21\apeury16.jpg</t>
  </si>
  <si>
    <t>Z:\nemtode\general\website_mirrors\nematode.unl.edu_2022_09_21\apeury17.jpg</t>
  </si>
  <si>
    <t>Z:\nemtode\general\website_mirrors\nematode.unl.edu_2022_09_21\apeury10.jpg</t>
  </si>
  <si>
    <t>Z:\nemtode\general\website_mirrors\nematode.unl.edu_2022_09_21\apeury12.jpg</t>
  </si>
  <si>
    <t>Z:\nemtode\general\website_mirrors\nematode.unl.edu_2022_09_21\apeury15.jpg</t>
  </si>
  <si>
    <t>Z:\nemtode\general\website_mirrors\nematode.unl.edu_2022_09_21\apeury9.jpg</t>
  </si>
  <si>
    <t>Z:\nemtode\general\website_mirrors\nematode.unl.edu_2022_09_21\akry2.jpg</t>
  </si>
  <si>
    <t>Z:\nemtode\general\website_mirrors\nematode.unl.edu_2022_09_21\apkry18.jpg</t>
  </si>
  <si>
    <t>Z:\nemtode\general\website_mirrors\nematode.unl.edu_2022_09_21\apkry39.jpg</t>
  </si>
  <si>
    <t>Z:\nemtode\general\website_mirrors\nematode.unl.edu_2022_09_21\akry4.jpg</t>
  </si>
  <si>
    <t>Z:\nemtode\general\website_mirrors\nematode.unl.edu_2022_09_21\akry5.jpg</t>
  </si>
  <si>
    <t>Z:\nemtode\general\website_mirrors\nematode.unl.edu_2022_09_21\akry3.jpg</t>
  </si>
  <si>
    <t>Z:\nemtode\general\website_mirrors\nematode.unl.edu_2022_09_21\apkry10.jpg</t>
  </si>
  <si>
    <t>Z:\nemtode\general\website_mirrors\nematode.unl.edu_2022_09_21\apkry15.jpg</t>
  </si>
  <si>
    <t>Z:\nemtode\general\website_mirrors\nematode.unl.edu_2022_09_21\apkry2.jpg</t>
  </si>
  <si>
    <t>Z:\nemtode\general\website_mirrors\nematode.unl.edu_2022_09_21\apkry22.jpg</t>
  </si>
  <si>
    <t>Z:\nemtode\general\website_mirrors\nematode.unl.edu_2022_09_21\apkry25.jpg</t>
  </si>
  <si>
    <t>Z:\nemtode\general\website_mirrors\nematode.unl.edu_2022_09_21\apkry30.jpg</t>
  </si>
  <si>
    <t>Z:\nemtode\general\website_mirrors\nematode.unl.edu_2022_09_21\apkry36.jpg</t>
  </si>
  <si>
    <t>Z:\nemtode\general\website_mirrors\nematode.unl.edu_2022_09_21\apkry44.jpg</t>
  </si>
  <si>
    <t>Z:\nemtode\general\website_mirrors\nematode.unl.edu_2022_09_21\apkry49.jpg</t>
  </si>
  <si>
    <t>Z:\nemtode\general\website_mirrors\nematode.unl.edu_2022_09_21\apkry5.jpg</t>
  </si>
  <si>
    <t>Z:\nemtode\general\website_mirrors\nematode.unl.edu_2022_09_21\apkry51.jpg</t>
  </si>
  <si>
    <t>Z:\nemtode\general\website_mirrors\nematode.unl.edu_2022_09_21\apkry53.jpg</t>
  </si>
  <si>
    <t>Z:\nemtode\general\website_mirrors\nematode.unl.edu_2022_09_21\apkry57.jpg</t>
  </si>
  <si>
    <t>Z:\nemtode\general\website_mirrors\nematode.unl.edu_2022_09_21\apkry59.jpg</t>
  </si>
  <si>
    <t>Z:\nemtode\general\website_mirrors\nematode.unl.edu_2022_09_21\apkry7.jpg</t>
  </si>
  <si>
    <t>Z:\nemtode\general\website_mirrors\nematode.unl.edu_2022_09_21\aporkry1.jpg</t>
  </si>
  <si>
    <t>Z:\nemtode\general\website_mirrors\nematode.unl.edu_2022_09_21\akry6.jpg</t>
  </si>
  <si>
    <t>Z:\nemtode\general\website_mirrors\nematode.unl.edu_2022_09_21\apkry12.jpg</t>
  </si>
  <si>
    <t>Z:\nemtode\general\website_mirrors\nematode.unl.edu_2022_09_21\apkry34.jpg</t>
  </si>
  <si>
    <t>Z:\nemtode\general\website_mirrors\nematode.unl.edu_2022_09_21\apkry45.jpg</t>
  </si>
  <si>
    <t>Z:\nemtode\general\website_mirrors\nematode.unl.edu_2022_09_21\apkry50.jpg</t>
  </si>
  <si>
    <t>Z:\nemtode\general\website_mirrors\nematode.unl.edu_2022_09_21\apkry63.jpg</t>
  </si>
  <si>
    <t>Z:\nemtode\general\website_mirrors\nematode.unl.edu_2022_09_21\aporkry2.jpg</t>
  </si>
  <si>
    <t>Z:\nemtode\general\website_mirrors\nematode.unl.edu_2022_09_21\akry1.jpg</t>
  </si>
  <si>
    <t>Z:\nemtode\general\website_mirrors\nematode.unl.edu_2022_09_21\apkry1.jpg</t>
  </si>
  <si>
    <t>Z:\nemtode\general\website_mirrors\nematode.unl.edu_2022_09_21\apkry24.jpg</t>
  </si>
  <si>
    <t>Z:\nemtode\general\website_mirrors\nematode.unl.edu_2022_09_21\apkry28.jpg</t>
  </si>
  <si>
    <t>Z:\nemtode\general\website_mirrors\nematode.unl.edu_2022_09_21\apkry37.jpg</t>
  </si>
  <si>
    <t>Z:\nemtode\general\website_mirrors\nematode.unl.edu_2022_09_21\apkry38.jpg</t>
  </si>
  <si>
    <t>Z:\nemtode\general\website_mirrors\nematode.unl.edu_2022_09_21\apkry43.jpg</t>
  </si>
  <si>
    <t>Z:\nemtode\general\website_mirrors\nematode.unl.edu_2022_09_21\apkry55.jpg</t>
  </si>
  <si>
    <t>Z:\nemtode\general\website_mirrors\nematode.unl.edu_2022_09_21\apkry58.jpg</t>
  </si>
  <si>
    <t>Z:\nemtode\general\website_mirrors\nematode.unl.edu_2022_09_21\apkry8.jpg</t>
  </si>
  <si>
    <t>Z:\nemtode\general\website_mirrors\nematode.unl.edu_2022_09_21\apkry9.jpg</t>
  </si>
  <si>
    <t>Z:\nemtode\general\website_mirrors\nematode.unl.edu_2022_09_21\akrycmp.jpg</t>
  </si>
  <si>
    <t>Z:\nemtode\general\website_mirrors\nematode.unl.edu_2022_09_21\apkry14.jpg</t>
  </si>
  <si>
    <t>Z:\nemtode\general\website_mirrors\nematode.unl.edu_2022_09_21\apkry40.jpg</t>
  </si>
  <si>
    <t>Z:\nemtode\general\website_mirrors\nematode.unl.edu_2022_09_21\apkry29.jpg</t>
  </si>
  <si>
    <t>Z:\nemtode\general\website_mirrors\nematode.unl.edu_2022_09_21\apkry31.jpg</t>
  </si>
  <si>
    <t>Z:\nemtode\general\website_mirrors\nematode.unl.edu_2022_09_21\apkry41.jpg</t>
  </si>
  <si>
    <t>Z:\nemtode\general\website_mirrors\nematode.unl.edu_2022_09_21\akry7.jpg</t>
  </si>
  <si>
    <t>Z:\nemtode\general\website_mirrors\nematode.unl.edu_2022_09_21\apkry13.jpg</t>
  </si>
  <si>
    <t>Z:\nemtode\general\website_mirrors\nematode.unl.edu_2022_09_21\apkry16.jpg</t>
  </si>
  <si>
    <t>Z:\nemtode\general\website_mirrors\nematode.unl.edu_2022_09_21\apkry20.jpg</t>
  </si>
  <si>
    <t>Z:\nemtode\general\website_mirrors\nematode.unl.edu_2022_09_21\apkry23.jpg</t>
  </si>
  <si>
    <t>Z:\nemtode\general\website_mirrors\nematode.unl.edu_2022_09_21\apkry27.jpg</t>
  </si>
  <si>
    <t>Z:\nemtode\general\website_mirrors\nematode.unl.edu_2022_09_21\apkry3.jpg</t>
  </si>
  <si>
    <t>Z:\nemtode\general\website_mirrors\nematode.unl.edu_2022_09_21\apkry32.jpg</t>
  </si>
  <si>
    <t>Z:\nemtode\general\website_mirrors\nematode.unl.edu_2022_09_21\apkry33.jpg</t>
  </si>
  <si>
    <t>Z:\nemtode\general\website_mirrors\nematode.unl.edu_2022_09_21\apkry42.jpg</t>
  </si>
  <si>
    <t>Z:\nemtode\general\website_mirrors\nematode.unl.edu_2022_09_21\apkry47.jpg</t>
  </si>
  <si>
    <t>Z:\nemtode\general\website_mirrors\nematode.unl.edu_2022_09_21\apkry48.jpg</t>
  </si>
  <si>
    <t>Z:\nemtode\general\website_mirrors\nematode.unl.edu_2022_09_21\apkry52.jpg</t>
  </si>
  <si>
    <t>Z:\nemtode\general\website_mirrors\nematode.unl.edu_2022_09_21\apkry54.jpg</t>
  </si>
  <si>
    <t>Z:\nemtode\general\website_mirrors\nematode.unl.edu_2022_09_21\apkry56.jpg</t>
  </si>
  <si>
    <t>Z:\nemtode\general\website_mirrors\nematode.unl.edu_2022_09_21\apkry6.jpg</t>
  </si>
  <si>
    <t>Z:\nemtode\general\website_mirrors\nematode.unl.edu_2022_09_21\apkry60.jpg</t>
  </si>
  <si>
    <t>Z:\nemtode\general\website_mirrors\nematode.unl.edu_2022_09_21\apkry61.jpg</t>
  </si>
  <si>
    <t>Z:\nemtode\general\website_mirrors\nematode.unl.edu_2022_09_21\aporkry4.jpg</t>
  </si>
  <si>
    <t>Z:\nemtode\general\website_mirrors\nematode.unl.edu_2022_09_21\apkry11.jpg</t>
  </si>
  <si>
    <t>Z:\nemtode\general\website_mirrors\nematode.unl.edu_2022_09_21\apkry17.jpg</t>
  </si>
  <si>
    <t>Z:\nemtode\general\website_mirrors\nematode.unl.edu_2022_09_21\apkry19.jpg</t>
  </si>
  <si>
    <t>Z:\nemtode\general\website_mirrors\nematode.unl.edu_2022_09_21\apkry21.jpg</t>
  </si>
  <si>
    <t>Z:\nemtode\general\website_mirrors\nematode.unl.edu_2022_09_21\apkry35.jpg</t>
  </si>
  <si>
    <t>Z:\nemtode\general\website_mirrors\nematode.unl.edu_2022_09_21\apkry4.jpg</t>
  </si>
  <si>
    <t>Z:\nemtode\general\website_mirrors\nematode.unl.edu_2022_09_21\apkry46.jpg</t>
  </si>
  <si>
    <t>Z:\nemtode\general\website_mirrors\nematode.unl.edu_2022_09_21\apkry62.jpg</t>
  </si>
  <si>
    <t>Z:\nemtode\general\website_mirrors\nematode.unl.edu_2022_09_21\aporkry3.jpg</t>
  </si>
  <si>
    <t>Z:\nemtode\general\website_mirrors\nematode.unl.edu_2022_09_21\aporoid19.jpg</t>
  </si>
  <si>
    <t>Z:\nemtode\general\website_mirrors\nematode.unl.edu_2022_09_21\aporoid4.jpg</t>
  </si>
  <si>
    <t>Z:\nemtode\general\website_mirrors\nematode.unl.edu_2022_09_21\apoides1.jpg</t>
  </si>
  <si>
    <t>Z:\nemtode\general\website_mirrors\nematode.unl.edu_2022_09_21\aporcobs1.jpg</t>
  </si>
  <si>
    <t>Z:\nemtode\general\website_mirrors\nematode.unl.edu_2022_09_21\aporcobs5.jpg</t>
  </si>
  <si>
    <t>Z:\nemtode\general\website_mirrors\nematode.unl.edu_2022_09_21\aporcobs6.jpg</t>
  </si>
  <si>
    <t>Z:\nemtode\general\website_mirrors\nematode.unl.edu_2022_09_21\aporoid1.jpg</t>
  </si>
  <si>
    <t>Z:\nemtode\general\website_mirrors\nematode.unl.edu_2022_09_21\aporoid12.jpg</t>
  </si>
  <si>
    <t>Z:\nemtode\general\website_mirrors\nematode.unl.edu_2022_09_21\aporoid13.jpg</t>
  </si>
  <si>
    <t>Z:\nemtode\general\website_mirrors\nematode.unl.edu_2022_09_21\aporoid24.jpg</t>
  </si>
  <si>
    <t>Z:\nemtode\general\website_mirrors\nematode.unl.edu_2022_09_21\aporoid28.jpg</t>
  </si>
  <si>
    <t>Z:\nemtode\general\website_mirrors\nematode.unl.edu_2022_09_21\aporoid34.jpg</t>
  </si>
  <si>
    <t>Z:\nemtode\general\website_mirrors\nematode.unl.edu_2022_09_21\aporoid37.jpg</t>
  </si>
  <si>
    <t>Z:\nemtode\general\website_mirrors\nematode.unl.edu_2022_09_21\aporoid40.jpg</t>
  </si>
  <si>
    <t>Z:\nemtode\general\website_mirrors\nematode.unl.edu_2022_09_21\aporoid43.jpg</t>
  </si>
  <si>
    <t>Z:\nemtode\general\website_mirrors\nematode.unl.edu_2022_09_21\aporoid47.jpg</t>
  </si>
  <si>
    <t>Z:\nemtode\general\website_mirrors\nematode.unl.edu_2022_09_21\aporoid6.jpg</t>
  </si>
  <si>
    <t>Z:\nemtode\general\website_mirrors\nematode.unl.edu_2022_09_21\apoides2.jpg</t>
  </si>
  <si>
    <t>Z:\nemtode\general\website_mirrors\nematode.unl.edu_2022_09_21\aporcobs2.jpg</t>
  </si>
  <si>
    <t>Z:\nemtode\general\website_mirrors\nematode.unl.edu_2022_09_21\aporoid29.jpg</t>
  </si>
  <si>
    <t>Z:\nemtode\general\website_mirrors\nematode.unl.edu_2022_09_21\aporoid39.jpg</t>
  </si>
  <si>
    <t>Z:\nemtode\general\website_mirrors\nematode.unl.edu_2022_09_21\aporoid41.jpg</t>
  </si>
  <si>
    <t>Z:\nemtode\general\website_mirrors\nematode.unl.edu_2022_09_21\aporoid7.jpg</t>
  </si>
  <si>
    <t>Z:\nemtode\general\website_mirrors\nematode.unl.edu_2022_09_21\aporoid10.jpg</t>
  </si>
  <si>
    <t>Z:\nemtode\general\website_mirrors\nematode.unl.edu_2022_09_21\aporoid18.jpg</t>
  </si>
  <si>
    <t>Z:\nemtode\general\website_mirrors\nematode.unl.edu_2022_09_21\aporoid3.jpg</t>
  </si>
  <si>
    <t>Z:\nemtode\general\website_mirrors\nematode.unl.edu_2022_09_21\aporoid46.jpg</t>
  </si>
  <si>
    <t>Z:\nemtode\general\website_mirrors\nematode.unl.edu_2022_09_21\aobcmp.jpg</t>
  </si>
  <si>
    <t>Z:\nemtode\general\website_mirrors\nematode.unl.edu_2022_09_21\aporoid48.jpg</t>
  </si>
  <si>
    <t>Z:\nemtode\general\website_mirrors\nematode.unl.edu_2022_09_21\aporoid15.jpg</t>
  </si>
  <si>
    <t>Z:\nemtode\general\website_mirrors\nematode.unl.edu_2022_09_21\aporoid16.jpg</t>
  </si>
  <si>
    <t>Z:\nemtode\general\website_mirrors\nematode.unl.edu_2022_09_21\aporoid35.jpg</t>
  </si>
  <si>
    <t>Z:\nemtode\general\website_mirrors\nematode.unl.edu_2022_09_21\aporoid17.jpg</t>
  </si>
  <si>
    <t>Z:\nemtode\general\website_mirrors\nematode.unl.edu_2022_09_21\aporoid8.jpg</t>
  </si>
  <si>
    <t>Z:\nemtode\general\website_mirrors\nematode.unl.edu_2022_09_21\apoides3.jpg</t>
  </si>
  <si>
    <t>Z:\nemtode\general\website_mirrors\nematode.unl.edu_2022_09_21\aporcobs4.jpg</t>
  </si>
  <si>
    <t>Z:\nemtode\general\website_mirrors\nematode.unl.edu_2022_09_21\aporcobs8.jpg</t>
  </si>
  <si>
    <t>Z:\nemtode\general\website_mirrors\nematode.unl.edu_2022_09_21\aporoid11.jpg</t>
  </si>
  <si>
    <t>Z:\nemtode\general\website_mirrors\nematode.unl.edu_2022_09_21\aporoid2.jpg</t>
  </si>
  <si>
    <t>Z:\nemtode\general\website_mirrors\nematode.unl.edu_2022_09_21\aporoid21.jpg</t>
  </si>
  <si>
    <t>Z:\nemtode\general\website_mirrors\nematode.unl.edu_2022_09_21\aporoid22.jpg</t>
  </si>
  <si>
    <t>Z:\nemtode\general\website_mirrors\nematode.unl.edu_2022_09_21\aporoid26.jpg</t>
  </si>
  <si>
    <t>Z:\nemtode\general\website_mirrors\nematode.unl.edu_2022_09_21\aporoid27.jpg</t>
  </si>
  <si>
    <t>Z:\nemtode\general\website_mirrors\nematode.unl.edu_2022_09_21\aporoid31.jpg</t>
  </si>
  <si>
    <t>Z:\nemtode\general\website_mirrors\nematode.unl.edu_2022_09_21\aporoid32.jpg</t>
  </si>
  <si>
    <t>Z:\nemtode\general\website_mirrors\nematode.unl.edu_2022_09_21\aporoid36.jpg</t>
  </si>
  <si>
    <t>Z:\nemtode\general\website_mirrors\nematode.unl.edu_2022_09_21\aporoid42.jpg</t>
  </si>
  <si>
    <t>Z:\nemtode\general\website_mirrors\nematode.unl.edu_2022_09_21\aporoid44.jpg</t>
  </si>
  <si>
    <t>Z:\nemtode\general\website_mirrors\nematode.unl.edu_2022_09_21\aporoid49.jpg</t>
  </si>
  <si>
    <t>Z:\nemtode\general\website_mirrors\nematode.unl.edu_2022_09_21\aporoid5.jpg</t>
  </si>
  <si>
    <t>Z:\nemtode\general\website_mirrors\nematode.unl.edu_2022_09_21\aporcobs3.jpg</t>
  </si>
  <si>
    <t>Z:\nemtode\general\website_mirrors\nematode.unl.edu_2022_09_21\aporcobs7.jpg</t>
  </si>
  <si>
    <t>Z:\nemtode\general\website_mirrors\nematode.unl.edu_2022_09_21\aporoid14.jpg</t>
  </si>
  <si>
    <t>Z:\nemtode\general\website_mirrors\nematode.unl.edu_2022_09_21\aporoid20.jpg</t>
  </si>
  <si>
    <t>Z:\nemtode\general\website_mirrors\nematode.unl.edu_2022_09_21\aporoid23.jpg</t>
  </si>
  <si>
    <t>Z:\nemtode\general\website_mirrors\nematode.unl.edu_2022_09_21\aporoid25.jpg</t>
  </si>
  <si>
    <t>Z:\nemtode\general\website_mirrors\nematode.unl.edu_2022_09_21\aporoid30.jpg</t>
  </si>
  <si>
    <t>Z:\nemtode\general\website_mirrors\nematode.unl.edu_2022_09_21\aporoid33.jpg</t>
  </si>
  <si>
    <t>Z:\nemtode\general\website_mirrors\nematode.unl.edu_2022_09_21\aporoid38.jpg</t>
  </si>
  <si>
    <t>Z:\nemtode\general\website_mirrors\nematode.unl.edu_2022_09_21\aporoid45.jpg</t>
  </si>
  <si>
    <t>Z:\nemtode\general\website_mirrors\nematode.unl.edu_2022_09_21\aporoid9.jpg</t>
  </si>
  <si>
    <t>Z:\nemtode\general\website_mirrors\nematode.unl.edu_2022_09_21\apob3.jpg</t>
  </si>
  <si>
    <t>Z:\nemtode\general\website_mirrors\nematode.unl.edu_2022_09_21\aporus7.jpg</t>
  </si>
  <si>
    <t>Z:\nemtode\general\website_mirrors\nematode.unl.edu_2022_09_21\apscurus6.jpg</t>
  </si>
  <si>
    <t>Z:\nemtode\general\website_mirrors\nematode.unl.edu_2022_09_21\apobs3.jpg</t>
  </si>
  <si>
    <t>Z:\nemtode\general\website_mirrors\nematode.unl.edu_2022_09_21\apob1.jpg</t>
  </si>
  <si>
    <t>Z:\nemtode\general\website_mirrors\nematode.unl.edu_2022_09_21\apob10.jpg</t>
  </si>
  <si>
    <t>Z:\nemtode\general\website_mirrors\nematode.unl.edu_2022_09_21\apob12.jpg</t>
  </si>
  <si>
    <t>Z:\nemtode\general\website_mirrors\nematode.unl.edu_2022_09_21\apob14.jpg</t>
  </si>
  <si>
    <t>Z:\nemtode\general\website_mirrors\nematode.unl.edu_2022_09_21\apob16.jpg</t>
  </si>
  <si>
    <t>Z:\nemtode\general\website_mirrors\nematode.unl.edu_2022_09_21\apob17.jpg</t>
  </si>
  <si>
    <t>Z:\nemtode\general\website_mirrors\nematode.unl.edu_2022_09_21\apobs6.jpg</t>
  </si>
  <si>
    <t>Z:\nemtode\general\website_mirrors\nematode.unl.edu_2022_09_21\aporcelob1.jpg</t>
  </si>
  <si>
    <t>Z:\nemtode\general\website_mirrors\nematode.unl.edu_2022_09_21\aporcelob11.jpg</t>
  </si>
  <si>
    <t>Z:\nemtode\general\website_mirrors\nematode.unl.edu_2022_09_21\aporcelob13.jpg</t>
  </si>
  <si>
    <t>Z:\nemtode\general\website_mirrors\nematode.unl.edu_2022_09_21\aporcelob3.jpg</t>
  </si>
  <si>
    <t>Z:\nemtode\general\website_mirrors\nematode.unl.edu_2022_09_21\aporcelob5.jpg</t>
  </si>
  <si>
    <t>Z:\nemtode\general\website_mirrors\nematode.unl.edu_2022_09_21\aporcelob8.jpg</t>
  </si>
  <si>
    <t>Z:\nemtode\general\website_mirrors\nematode.unl.edu_2022_09_21\aporus2.jpg</t>
  </si>
  <si>
    <t>Z:\nemtode\general\website_mirrors\nematode.unl.edu_2022_09_21\apscurus2.jpg</t>
  </si>
  <si>
    <t>Z:\nemtode\general\website_mirrors\nematode.unl.edu_2022_09_21\apscurus7.jpg</t>
  </si>
  <si>
    <t>Z:\nemtode\general\website_mirrors\nematode.unl.edu_2022_09_21\apobs1.jpg</t>
  </si>
  <si>
    <t>Z:\nemtode\general\website_mirrors\nematode.unl.edu_2022_09_21\apobs2.jpg</t>
  </si>
  <si>
    <t>Z:\nemtode\general\website_mirrors\nematode.unl.edu_2022_09_21\aporus11.jpg</t>
  </si>
  <si>
    <t>Z:\nemtode\general\website_mirrors\nematode.unl.edu_2022_09_21\aporus3.jpg</t>
  </si>
  <si>
    <t>Z:\nemtode\general\website_mirrors\nematode.unl.edu_2022_09_21\aporus9.jpg</t>
  </si>
  <si>
    <t>Z:\nemtode\general\website_mirrors\nematode.unl.edu_2022_09_21\apscurus3.jpg</t>
  </si>
  <si>
    <t>Z:\nemtode\general\website_mirrors\nematode.unl.edu_2022_09_21\apscurus8.jpg</t>
  </si>
  <si>
    <t>Z:\nemtode\general\website_mirrors\nematode.unl.edu_2022_09_21\apob11.jpg</t>
  </si>
  <si>
    <t>Z:\nemtode\general\website_mirrors\nematode.unl.edu_2022_09_21\apob15.jpg</t>
  </si>
  <si>
    <t>Z:\nemtode\general\website_mirrors\nematode.unl.edu_2022_09_21\apob2.jpg</t>
  </si>
  <si>
    <t>Z:\nemtode\general\website_mirrors\nematode.unl.edu_2022_09_21\apob21.jpg</t>
  </si>
  <si>
    <t>Z:\nemtode\general\website_mirrors\nematode.unl.edu_2022_09_21\aporcelob7.jpg</t>
  </si>
  <si>
    <t>Z:\nemtode\general\website_mirrors\nematode.unl.edu_2022_09_21\aporus1.jpg</t>
  </si>
  <si>
    <t>Z:\nemtode\general\website_mirrors\nematode.unl.edu_2022_09_21\aporus6.jpg</t>
  </si>
  <si>
    <t>Z:\nemtode\general\website_mirrors\nematode.unl.edu_2022_09_21\apscurus1.jpg</t>
  </si>
  <si>
    <t>Z:\nemtode\general\website_mirrors\nematode.unl.edu_2022_09_21\apob18.jpg</t>
  </si>
  <si>
    <t>Z:\nemtode\general\website_mirrors\nematode.unl.edu_2022_09_21\apobcmp.jpg</t>
  </si>
  <si>
    <t>Z:\nemtode\general\website_mirrors\nematode.unl.edu_2022_09_21\apobs7.jpg</t>
  </si>
  <si>
    <t>Z:\nemtode\general\website_mirrors\nematode.unl.edu_2022_09_21\apob4.jpg</t>
  </si>
  <si>
    <t>Z:\nemtode\general\website_mirrors\nematode.unl.edu_2022_09_21\aporus8.jpg</t>
  </si>
  <si>
    <t>Z:\nemtode\general\website_mirrors\nematode.unl.edu_2022_09_21\apscurus11.jpg</t>
  </si>
  <si>
    <t>Z:\nemtode\general\website_mirrors\nematode.unl.edu_2022_09_21\apob5.jpg</t>
  </si>
  <si>
    <t>Z:\nemtode\general\website_mirrors\nematode.unl.edu_2022_09_21\aporcelob6.jpg</t>
  </si>
  <si>
    <t>Z:\nemtode\general\website_mirrors\nematode.unl.edu_2022_09_21\apob6.jpg</t>
  </si>
  <si>
    <t>Z:\nemtode\general\website_mirrors\nematode.unl.edu_2022_09_21\apob7.jpg</t>
  </si>
  <si>
    <t>Z:\nemtode\general\website_mirrors\nematode.unl.edu_2022_09_21\apob13.jpg</t>
  </si>
  <si>
    <t>Z:\nemtode\general\website_mirrors\nematode.unl.edu_2022_09_21\apob20.jpg</t>
  </si>
  <si>
    <t>Z:\nemtode\general\website_mirrors\nematode.unl.edu_2022_09_21\apob8.jpg</t>
  </si>
  <si>
    <t>Z:\nemtode\general\website_mirrors\nematode.unl.edu_2022_09_21\apobs5.jpg</t>
  </si>
  <si>
    <t>Z:\nemtode\general\website_mirrors\nematode.unl.edu_2022_09_21\aporcelob10.jpg</t>
  </si>
  <si>
    <t>Z:\nemtode\general\website_mirrors\nematode.unl.edu_2022_09_21\aporcelob12.jpg</t>
  </si>
  <si>
    <t>Z:\nemtode\general\website_mirrors\nematode.unl.edu_2022_09_21\aporcelob14.jpg</t>
  </si>
  <si>
    <t>Z:\nemtode\general\website_mirrors\nematode.unl.edu_2022_09_21\aporcelob2.jpg</t>
  </si>
  <si>
    <t>Z:\nemtode\general\website_mirrors\nematode.unl.edu_2022_09_21\aporcelob4.jpg</t>
  </si>
  <si>
    <t>Z:\nemtode\general\website_mirrors\nematode.unl.edu_2022_09_21\aporus12.jpg</t>
  </si>
  <si>
    <t>Z:\nemtode\general\website_mirrors\nematode.unl.edu_2022_09_21\aporus5.jpg</t>
  </si>
  <si>
    <t>Z:\nemtode\general\website_mirrors\nematode.unl.edu_2022_09_21\apscurus10.jpg</t>
  </si>
  <si>
    <t>Z:\nemtode\general\website_mirrors\nematode.unl.edu_2022_09_21\apscurus5.jpg</t>
  </si>
  <si>
    <t>Z:\nemtode\general\website_mirrors\nematode.unl.edu_2022_09_21\apob19.jpg</t>
  </si>
  <si>
    <t>Z:\nemtode\general\website_mirrors\nematode.unl.edu_2022_09_21\apob9.jpg</t>
  </si>
  <si>
    <t>Z:\nemtode\general\website_mirrors\nematode.unl.edu_2022_09_21\apobs4.jpg</t>
  </si>
  <si>
    <t>Z:\nemtode\general\website_mirrors\nematode.unl.edu_2022_09_21\aporcelob9.jpg</t>
  </si>
  <si>
    <t>Z:\nemtode\general\website_mirrors\nematode.unl.edu_2022_09_21\aporus10.jpg</t>
  </si>
  <si>
    <t>Z:\nemtode\general\website_mirrors\nematode.unl.edu_2022_09_21\aporus4.jpg</t>
  </si>
  <si>
    <t>Z:\nemtode\general\website_mirrors\nematode.unl.edu_2022_09_21\apscurus4.jpg</t>
  </si>
  <si>
    <t>Z:\nemtode\general\website_mirrors\nematode.unl.edu_2022_09_21\apscurus9.jpg</t>
  </si>
  <si>
    <t>Z:\nemtode\general\website_mirrors\nematode.unl.edu_2022_09_21\aobtu10.jpg</t>
  </si>
  <si>
    <t>Z:\nemtode\general\website_mirrors\nematode.unl.edu_2022_09_21\aobtu14.jpg</t>
  </si>
  <si>
    <t>Z:\nemtode\general\website_mirrors\nematode.unl.edu_2022_09_21\aobtu16.jpg</t>
  </si>
  <si>
    <t>Z:\nemtode\general\website_mirrors\nematode.unl.edu_2022_09_21\aobtu17.jpg</t>
  </si>
  <si>
    <t>Z:\nemtode\general\website_mirrors\nematode.unl.edu_2022_09_21\aobtu2.jpg</t>
  </si>
  <si>
    <t>Z:\nemtode\general\website_mirrors\nematode.unl.edu_2022_09_21\aobtu7.jpg</t>
  </si>
  <si>
    <t>Z:\nemtode\general\website_mirrors\nematode.unl.edu_2022_09_21\aobtu1.jpg</t>
  </si>
  <si>
    <t>Z:\nemtode\general\website_mirrors\nematode.unl.edu_2022_09_21\aobtu6.jpg</t>
  </si>
  <si>
    <t>Z:\nemtode\general\website_mirrors\nematode.unl.edu_2022_09_21\aobtu11.jpg</t>
  </si>
  <si>
    <t>Z:\nemtode\general\website_mirrors\nematode.unl.edu_2022_09_21\aobtu12.jpg</t>
  </si>
  <si>
    <t>Z:\nemtode\general\website_mirrors\nematode.unl.edu_2022_09_21\aobtu13.jpg</t>
  </si>
  <si>
    <t>Z:\nemtode\general\website_mirrors\nematode.unl.edu_2022_09_21\aobtu15.jpg</t>
  </si>
  <si>
    <t>Z:\nemtode\general\website_mirrors\nematode.unl.edu_2022_09_21\aobtu3.jpg</t>
  </si>
  <si>
    <t>Z:\nemtode\general\website_mirrors\nematode.unl.edu_2022_09_21\aobtu4.jpg</t>
  </si>
  <si>
    <t>Z:\nemtode\general\website_mirrors\nematode.unl.edu_2022_09_21\aobtu9.jpg</t>
  </si>
  <si>
    <t>Z:\nemtode\general\website_mirrors\nematode.unl.edu_2022_09_21\aobtu5.jpg</t>
  </si>
  <si>
    <t>Z:\nemtode\general\website_mirrors\nematode.unl.edu_2022_09_21\aobtu8.jpg</t>
  </si>
  <si>
    <t>Z:\nemtode\general\website_mirrors\nematode.unl.edu_2022_09_21\aplac2.jpg</t>
  </si>
  <si>
    <t>Z:\nemtode\general\website_mirrors\nematode.unl.edu_2022_09_21\aporpl1.jpg</t>
  </si>
  <si>
    <t>Z:\nemtode\general\website_mirrors\nematode.unl.edu_2022_09_21\aporpl3.jpg</t>
  </si>
  <si>
    <t>Z:\nemtode\general\website_mirrors\nematode.unl.edu_2022_09_21\appl11.jpg</t>
  </si>
  <si>
    <t>Z:\nemtode\general\website_mirrors\nematode.unl.edu_2022_09_21\appl13.jpg</t>
  </si>
  <si>
    <t>Z:\nemtode\general\website_mirrors\nematode.unl.edu_2022_09_21\appl15.jpg</t>
  </si>
  <si>
    <t>Z:\nemtode\general\website_mirrors\nematode.unl.edu_2022_09_21\appl17.jpg</t>
  </si>
  <si>
    <t>Z:\nemtode\general\website_mirrors\nematode.unl.edu_2022_09_21\appl5.jpg</t>
  </si>
  <si>
    <t>Z:\nemtode\general\website_mirrors\nematode.unl.edu_2022_09_21\appl6.jpg</t>
  </si>
  <si>
    <t>Z:\nemtode\general\website_mirrors\nematode.unl.edu_2022_09_21\aplac3.jpg</t>
  </si>
  <si>
    <t>Z:\nemtode\general\website_mirrors\nematode.unl.edu_2022_09_21\aporpl4.jpg</t>
  </si>
  <si>
    <t>Z:\nemtode\general\website_mirrors\nematode.unl.edu_2022_09_21\appl4.jpg</t>
  </si>
  <si>
    <t>Z:\nemtode\general\website_mirrors\nematode.unl.edu_2022_09_21\aplac1.jpg</t>
  </si>
  <si>
    <t>Z:\nemtode\general\website_mirrors\nematode.unl.edu_2022_09_21\appl1.jpg</t>
  </si>
  <si>
    <t>Z:\nemtode\general\website_mirrors\nematode.unl.edu_2022_09_21\aplac4.jpg</t>
  </si>
  <si>
    <t>Z:\nemtode\general\website_mirrors\nematode.unl.edu_2022_09_21\aporpl2.jpg</t>
  </si>
  <si>
    <t>Z:\nemtode\general\website_mirrors\nematode.unl.edu_2022_09_21\aporpl6.jpg</t>
  </si>
  <si>
    <t>Z:\nemtode\general\website_mirrors\nematode.unl.edu_2022_09_21\appl10.jpg</t>
  </si>
  <si>
    <t>Z:\nemtode\general\website_mirrors\nematode.unl.edu_2022_09_21\appl12.jpg</t>
  </si>
  <si>
    <t>Z:\nemtode\general\website_mirrors\nematode.unl.edu_2022_09_21\appl14.jpg</t>
  </si>
  <si>
    <t>Z:\nemtode\general\website_mirrors\nematode.unl.edu_2022_09_21\appl16.jpg</t>
  </si>
  <si>
    <t>Z:\nemtode\general\website_mirrors\nematode.unl.edu_2022_09_21\appl18.jpg</t>
  </si>
  <si>
    <t>Z:\nemtode\general\website_mirrors\nematode.unl.edu_2022_09_21\appl19.jpg</t>
  </si>
  <si>
    <t>Z:\nemtode\general\website_mirrors\nematode.unl.edu_2022_09_21\appl2.jpg</t>
  </si>
  <si>
    <t>Z:\nemtode\general\website_mirrors\nematode.unl.edu_2022_09_21\appl20.jpg</t>
  </si>
  <si>
    <t>Z:\nemtode\general\website_mirrors\nematode.unl.edu_2022_09_21\appl21.jpg</t>
  </si>
  <si>
    <t>Z:\nemtode\general\website_mirrors\nematode.unl.edu_2022_09_21\appl8.jpg</t>
  </si>
  <si>
    <t>Z:\nemtode\general\website_mirrors\nematode.unl.edu_2022_09_21\aporpl5.jpg</t>
  </si>
  <si>
    <t>Z:\nemtode\general\website_mirrors\nematode.unl.edu_2022_09_21\appl3.jpg</t>
  </si>
  <si>
    <t>Z:\nemtode\general\website_mirrors\nematode.unl.edu_2022_09_21\appl7.jpg</t>
  </si>
  <si>
    <t>Z:\nemtode\general\website_mirrors\nematode.unl.edu_2022_09_21\appl9.jpg</t>
  </si>
  <si>
    <t>Z:\nemtode\general\website_mirrors\nematode.unl.edu_2022_09_21\appor6.jpg</t>
  </si>
  <si>
    <t>Z:\nemtode\general\website_mirrors\nematode.unl.edu_2022_09_21\appor1.jpg</t>
  </si>
  <si>
    <t>Z:\nemtode\general\website_mirrors\nematode.unl.edu_2022_09_21\appor5.jpg</t>
  </si>
  <si>
    <t>Z:\nemtode\general\website_mirrors\nematode.unl.edu_2022_09_21\appor4.jpg</t>
  </si>
  <si>
    <t>Z:\nemtode\general\website_mirrors\nematode.unl.edu_2022_09_21\appor2.jpg</t>
  </si>
  <si>
    <t>Z:\nemtode\general\website_mirrors\nematode.unl.edu_2022_09_21\appor3.jpg</t>
  </si>
  <si>
    <t>Z:\nemtode\general\website_mirrors\nematode.unl.edu_2022_09_21\appor7.jpg</t>
  </si>
  <si>
    <t>Z:\nemtode\general\website_mirrors\nematode.unl.edu_2022_09_21\alabia2.jpg</t>
  </si>
  <si>
    <t>Z:\nemtode\general\website_mirrors\nematode.unl.edu_2022_09_21\alabia3.jpg</t>
  </si>
  <si>
    <t>Z:\nemtode\general\website_mirrors\nematode.unl.edu_2022_09_21\alabia1.jpg</t>
  </si>
  <si>
    <t>Z:\nemtode\general\website_mirrors\nematode.unl.edu_2022_09_21\alabia5.jpg</t>
  </si>
  <si>
    <t>Z:\nemtode\general\website_mirrors\nematode.unl.edu_2022_09_21\alabia6.jpg</t>
  </si>
  <si>
    <t>Z:\nemtode\general\website_mirrors\nematode.unl.edu_2022_09_21\alabia4.jpg</t>
  </si>
  <si>
    <t>Z:\nemtode\general\website_mirrors\nematode.unl.edu_2022_09_21\takaho2.jpg</t>
  </si>
  <si>
    <t>Z:\nemtode\general\website_mirrors\nematode.unl.edu_2022_09_21\takasp1.jpg</t>
  </si>
  <si>
    <t>Z:\nemtode\general\website_mirrors\nematode.unl.edu_2022_09_21\takasp3.jpg</t>
  </si>
  <si>
    <t>Z:\nemtode\general\website_mirrors\nematode.unl.edu_2022_09_21\takaho4.jpg</t>
  </si>
  <si>
    <t>Z:\nemtode\general\website_mirrors\nematode.unl.edu_2022_09_21\takaho1.jpg</t>
  </si>
  <si>
    <t>Z:\nemtode\general\website_mirrors\nematode.unl.edu_2022_09_21\takaho3.jpg</t>
  </si>
  <si>
    <t>Z:\nemtode\general\website_mirrors\nematode.unl.edu_2022_09_21\takaho6.jpg</t>
  </si>
  <si>
    <t>Z:\nemtode\general\website_mirrors\nematode.unl.edu_2022_09_21\takasp2.jpg</t>
  </si>
  <si>
    <t>Z:\nemtode\general\website_mirrors\nematode.unl.edu_2022_09_21\takasp4.jpg</t>
  </si>
  <si>
    <t>Z:\nemtode\general\website_mirrors\nematode.unl.edu_2022_09_21\takaho5.jpg</t>
  </si>
  <si>
    <t>Z:\nemtode\general\website_mirrors\nematode.unl.edu_2022_09_21\aporces1.jpg</t>
  </si>
  <si>
    <t>Z:\nemtode\general\website_mirrors\nematode.unl.edu_2022_09_21\apamer1.jpg</t>
  </si>
  <si>
    <t>Z:\nemtode\general\website_mirrors\nematode.unl.edu_2022_09_21\apamer2.jpg</t>
  </si>
  <si>
    <t>Z:\nemtode\general\website_mirrors\nematode.unl.edu_2022_09_21\apamer11.jpg</t>
  </si>
  <si>
    <t>Z:\nemtode\general\website_mirrors\nematode.unl.edu_2022_09_21\apamer13.jpg</t>
  </si>
  <si>
    <t>Z:\nemtode\general\website_mirrors\nematode.unl.edu_2022_09_21\apamer17.jpg</t>
  </si>
  <si>
    <t>Z:\nemtode\general\website_mirrors\nematode.unl.edu_2022_09_21\apamer7.jpg</t>
  </si>
  <si>
    <t>Z:\nemtode\general\website_mirrors\nematode.unl.edu_2022_09_21\aporam5.jpg</t>
  </si>
  <si>
    <t>Z:\nemtode\general\website_mirrors\nematode.unl.edu_2022_09_21\aporam6.jpg</t>
  </si>
  <si>
    <t>Z:\nemtode\general\website_mirrors\nematode.unl.edu_2022_09_21\aporam7.jpg</t>
  </si>
  <si>
    <t>Z:\nemtode\general\website_mirrors\nematode.unl.edu_2022_09_21\apamer10.jpg</t>
  </si>
  <si>
    <t>Z:\nemtode\general\website_mirrors\nematode.unl.edu_2022_09_21\apamer5.jpg</t>
  </si>
  <si>
    <t>Z:\nemtode\general\website_mirrors\nematode.unl.edu_2022_09_21\aporam4.jpg</t>
  </si>
  <si>
    <t>Z:\nemtode\general\website_mirrors\nematode.unl.edu_2022_09_21\aporam8.jpg</t>
  </si>
  <si>
    <t>Z:\nemtode\general\website_mirrors\nematode.unl.edu_2022_09_21\aporam1.jpg</t>
  </si>
  <si>
    <t>Z:\nemtode\general\website_mirrors\nematode.unl.edu_2022_09_21\apamer16.jpg</t>
  </si>
  <si>
    <t>Z:\nemtode\general\website_mirrors\nematode.unl.edu_2022_09_21\apamer12.jpg</t>
  </si>
  <si>
    <t>Z:\nemtode\general\website_mirrors\nematode.unl.edu_2022_09_21\apamer15.jpg</t>
  </si>
  <si>
    <t>Z:\nemtode\general\website_mirrors\nematode.unl.edu_2022_09_21\apamer4.jpg</t>
  </si>
  <si>
    <t>Z:\nemtode\general\website_mirrors\nematode.unl.edu_2022_09_21\apamer9.jpg</t>
  </si>
  <si>
    <t>Z:\nemtode\general\website_mirrors\nematode.unl.edu_2022_09_21\aporam2.jpg</t>
  </si>
  <si>
    <t>Z:\nemtode\general\website_mirrors\nematode.unl.edu_2022_09_21\apamer14.jpg</t>
  </si>
  <si>
    <t>Z:\nemtode\general\website_mirrors\nematode.unl.edu_2022_09_21\apamer3.jpg</t>
  </si>
  <si>
    <t>Z:\nemtode\general\website_mirrors\nematode.unl.edu_2022_09_21\apamer6.jpg</t>
  </si>
  <si>
    <t>Z:\nemtode\general\website_mirrors\nematode.unl.edu_2022_09_21\apamer8.jpg</t>
  </si>
  <si>
    <t>Z:\nemtode\general\website_mirrors\nematode.unl.edu_2022_09_21\aporam3.jpg</t>
  </si>
  <si>
    <t>Z:\nemtode\general\website_mirrors\nematode.unl.edu_2022_09_21\apore2.jpg</t>
  </si>
  <si>
    <t>Z:\nemtode\general\website_mirrors\nematode.unl.edu_2022_09_21\apore3.jpg</t>
  </si>
  <si>
    <t>Z:\nemtode\general\website_mirrors\nematode.unl.edu_2022_09_21\apore4.jpg</t>
  </si>
  <si>
    <t>Z:\nemtode\general\website_mirrors\nematode.unl.edu_2022_09_21\apore1.jpg</t>
  </si>
  <si>
    <t>Z:\nemtode\general\website_mirrors\nematode.unl.edu_2022_09_21\apore6.jpg</t>
  </si>
  <si>
    <t>Z:\nemtode\general\website_mirrors\nematode.unl.edu_2022_09_21\apore5.jpg</t>
  </si>
  <si>
    <t>Z:\nemtode\general\website_mirrors\nematode.unl.edu_2022_09_21\appach1.jpg</t>
  </si>
  <si>
    <t>Z:\nemtode\general\website_mirrors\nematode.unl.edu_2022_09_21\appachydraw.jpg</t>
  </si>
  <si>
    <t>Z:\nemtode\general\website_mirrors\nematode.unl.edu_2022_09_21\appach2.jpg</t>
  </si>
  <si>
    <t>Z:\nemtode\general\website_mirrors\nematode.unl.edu_2022_09_21\apta1.jpg</t>
  </si>
  <si>
    <t>Z:\nemtode\general\website_mirrors\nematode.unl.edu_2022_09_21\apta5.jpg</t>
  </si>
  <si>
    <t>Z:\nemtode\general\website_mirrors\nematode.unl.edu_2022_09_21\apta2.jpg</t>
  </si>
  <si>
    <t>Z:\nemtode\general\website_mirrors\nematode.unl.edu_2022_09_21\ataycmp.jpg</t>
  </si>
  <si>
    <t>Z:\nemtode\general\website_mirrors\nematode.unl.edu_2022_09_21\apta4.jpg</t>
  </si>
  <si>
    <t>Z:\nemtode\general\website_mirrors\nematode.unl.edu_2022_09_21\apta6.jpg</t>
  </si>
  <si>
    <t>Z:\nemtode\general\website_mirrors\nematode.unl.edu_2022_09_21\apta3.jpg</t>
  </si>
  <si>
    <t>Z:\nemtode\general\website_mirrors\nematode.unl.edu_2022_09_21\paraxom7.jpg</t>
  </si>
  <si>
    <t>Z:\nemtode\general\website_mirrors\nematode.unl.edu_2022_09_21\paraxom2.jpg</t>
  </si>
  <si>
    <t>Z:\nemtode\general\website_mirrors\nematode.unl.edu_2022_09_21\paraxom3.jpg</t>
  </si>
  <si>
    <t>Z:\nemtode\general\website_mirrors\nematode.unl.edu_2022_09_21\paxiden1.jpg</t>
  </si>
  <si>
    <t>Z:\nemtode\general\website_mirrors\nematode.unl.edu_2022_09_21\paraxom6.jpg</t>
  </si>
  <si>
    <t>Z:\nemtode\general\website_mirrors\nematode.unl.edu_2022_09_21\paxiden3.jpg</t>
  </si>
  <si>
    <t>Z:\nemtode\general\website_mirrors\nematode.unl.edu_2022_09_21\paxiden4.jpg</t>
  </si>
  <si>
    <t>Z:\nemtode\general\website_mirrors\nematode.unl.edu_2022_09_21\paraxom1.jpg</t>
  </si>
  <si>
    <t>Z:\nemtode\general\website_mirrors\nematode.unl.edu_2022_09_21\paraxom11.jpg</t>
  </si>
  <si>
    <t>Z:\nemtode\general\website_mirrors\nematode.unl.edu_2022_09_21\paxomadrw.jpg</t>
  </si>
  <si>
    <t>Z:\nemtode\general\website_mirrors\nematode.unl.edu_2022_09_21\paraxom8.jpg</t>
  </si>
  <si>
    <t>Z:\nemtode\general\website_mirrors\nematode.unl.edu_2022_09_21\paraxom13.jpg</t>
  </si>
  <si>
    <t>Z:\nemtode\general\website_mirrors\nematode.unl.edu_2022_09_21\paraxom9.jpg</t>
  </si>
  <si>
    <t>Z:\nemtode\general\website_mirrors\nematode.unl.edu_2022_09_21\paraxom10.jpg</t>
  </si>
  <si>
    <t>Z:\nemtode\general\website_mirrors\nematode.unl.edu_2022_09_21\paraxom14.jpg</t>
  </si>
  <si>
    <t>Z:\nemtode\general\website_mirrors\nematode.unl.edu_2022_09_21\paraxom5.jpg</t>
  </si>
  <si>
    <t>Z:\nemtode\general\website_mirrors\nematode.unl.edu_2022_09_21\paxiden2.jpg</t>
  </si>
  <si>
    <t>Z:\nemtode\general\website_mirrors\nematode.unl.edu_2022_09_21\paxiden6.jpg</t>
  </si>
  <si>
    <t>Z:\nemtode\general\website_mirrors\nematode.unl.edu_2022_09_21\paraxom12.jpg</t>
  </si>
  <si>
    <t>Z:\nemtode\general\website_mirrors\nematode.unl.edu_2022_09_21\paraxom4.jpg</t>
  </si>
  <si>
    <t>Z:\nemtode\general\website_mirrors\nematode.unl.edu_2022_09_21\paxiden5.jpg</t>
  </si>
  <si>
    <t>Z:\nemtode\general\website_mirrors\nematode.unl.edu_2022_09_21\sectos4.jpg</t>
  </si>
  <si>
    <t>Z:\nemtode\general\website_mirrors\nematode.unl.edu_2022_09_21\sectos1.jpg</t>
  </si>
  <si>
    <t>Z:\nemtode\general\website_mirrors\nematode.unl.edu_2022_09_21\sectos2.jpg</t>
  </si>
  <si>
    <t>Z:\nemtode\general\website_mirrors\nematode.unl.edu_2022_09_21\sectos3.jpg</t>
  </si>
  <si>
    <t>Z:\nemtode\general\website_mirrors\nematode.unl.edu_2022_09_21\axoneck.jpg</t>
  </si>
  <si>
    <t>Z:\nemtode\general\website_mirrors\nematode.unl.edu_2022_09_21\axampl9.jpg</t>
  </si>
  <si>
    <t>Z:\nemtode\general\website_mirrors\nematode.unl.edu_2022_09_21\axampl12.jpg</t>
  </si>
  <si>
    <t>Z:\nemtode\general\website_mirrors\nematode.unl.edu_2022_09_21\axampl2.jpg</t>
  </si>
  <si>
    <t>Z:\nemtode\general\website_mirrors\nematode.unl.edu_2022_09_21\axampl1.jpg</t>
  </si>
  <si>
    <t>Z:\nemtode\general\website_mirrors\nematode.unl.edu_2022_09_21\axampl10.jpg</t>
  </si>
  <si>
    <t>Z:\nemtode\general\website_mirrors\nematode.unl.edu_2022_09_21\axampl6.jpg</t>
  </si>
  <si>
    <t>Z:\nemtode\general\website_mirrors\nematode.unl.edu_2022_09_21\axampl7.jpg</t>
  </si>
  <si>
    <t>Z:\nemtode\general\website_mirrors\nematode.unl.edu_2022_09_21\axampl11.jpg</t>
  </si>
  <si>
    <t>Z:\nemtode\general\website_mirrors\nematode.unl.edu_2022_09_21\axampl8.jpg</t>
  </si>
  <si>
    <t>Z:\nemtode\general\website_mirrors\nematode.unl.edu_2022_09_21\axampl4.jpg</t>
  </si>
  <si>
    <t>Z:\nemtode\general\website_mirrors\nematode.unl.edu_2022_09_21\axampl5.jpg</t>
  </si>
  <si>
    <t>Z:\nemtode\general\website_mirrors\nematode.unl.edu_2022_09_21\axampl3.jpg</t>
  </si>
  <si>
    <t>Z:\nemtode\general\website_mirrors\nematode.unl.edu_2022_09_21\agiga5.jpg</t>
  </si>
  <si>
    <t>Z:\nemtode\general\website_mirrors\nematode.unl.edu_2022_09_21\agiga3.jpg</t>
  </si>
  <si>
    <t>Z:\nemtode\general\website_mirrors\nematode.unl.edu_2022_09_21\agiga7.jpg</t>
  </si>
  <si>
    <t>Z:\nemtode\general\website_mirrors\nematode.unl.edu_2022_09_21\agiga2.jpg</t>
  </si>
  <si>
    <t>Z:\nemtode\general\website_mirrors\nematode.unl.edu_2022_09_21\agiga9.jpg</t>
  </si>
  <si>
    <t>Z:\nemtode\general\website_mirrors\nematode.unl.edu_2022_09_21\axogi2.jpg</t>
  </si>
  <si>
    <t>Z:\nemtode\general\website_mirrors\nematode.unl.edu_2022_09_21\axogi4.jpg</t>
  </si>
  <si>
    <t>Z:\nemtode\general\website_mirrors\nematode.unl.edu_2022_09_21\axogi5.jpg</t>
  </si>
  <si>
    <t>Z:\nemtode\general\website_mirrors\nematode.unl.edu_2022_09_21\agiga1.jpg</t>
  </si>
  <si>
    <t>Z:\nemtode\general\website_mirrors\nematode.unl.edu_2022_09_21\axogi8.jpg</t>
  </si>
  <si>
    <t>Z:\nemtode\general\website_mirrors\nematode.unl.edu_2022_09_21\axogi1.jpg</t>
  </si>
  <si>
    <t>Z:\nemtode\general\website_mirrors\nematode.unl.edu_2022_09_21\agiga6.jpg</t>
  </si>
  <si>
    <t>Z:\nemtode\general\website_mirrors\nematode.unl.edu_2022_09_21\agiga4.jpg</t>
  </si>
  <si>
    <t>Z:\nemtode\general\website_mirrors\nematode.unl.edu_2022_09_21\axogi3.jpg</t>
  </si>
  <si>
    <t>Z:\nemtode\general\website_mirrors\nematode.unl.edu_2022_09_21\axogi7.jpg</t>
  </si>
  <si>
    <t>Z:\nemtode\general\website_mirrors\nematode.unl.edu_2022_09_21\agiga8.jpg</t>
  </si>
  <si>
    <t>Z:\nemtode\general\website_mirrors\nematode.unl.edu_2022_09_21\axogi6.jpg</t>
  </si>
  <si>
    <t>Z:\nemtode\general\website_mirrors\nematode.unl.edu_2022_09_21\axmica13.jpg</t>
  </si>
  <si>
    <t>Z:\nemtode\general\website_mirrors\nematode.unl.edu_2022_09_21\axomi1.jpg</t>
  </si>
  <si>
    <t>Z:\nemtode\general\website_mirrors\nematode.unl.edu_2022_09_21\axmica38.jpg</t>
  </si>
  <si>
    <t>Z:\nemtode\general\website_mirrors\nematode.unl.edu_2022_09_21\axomi8.jpg</t>
  </si>
  <si>
    <t>Z:\nemtode\general\website_mirrors\nematode.unl.edu_2022_09_21\axmica.jpg</t>
  </si>
  <si>
    <t>Z:\nemtode\general\website_mirrors\nematode.unl.edu_2022_09_21\axmica15.jpg</t>
  </si>
  <si>
    <t>Z:\nemtode\general\website_mirrors\nematode.unl.edu_2022_09_21\axmica18.jpg</t>
  </si>
  <si>
    <t>Z:\nemtode\general\website_mirrors\nematode.unl.edu_2022_09_21\axmica19.jpg</t>
  </si>
  <si>
    <t>Z:\nemtode\general\website_mirrors\nematode.unl.edu_2022_09_21\axmica26.jpg</t>
  </si>
  <si>
    <t>Z:\nemtode\general\website_mirrors\nematode.unl.edu_2022_09_21\axmica31.jpg</t>
  </si>
  <si>
    <t>Z:\nemtode\general\website_mirrors\nematode.unl.edu_2022_09_21\axmica39.jpg</t>
  </si>
  <si>
    <t>Z:\nemtode\general\website_mirrors\nematode.unl.edu_2022_09_21\axmica40.jpg</t>
  </si>
  <si>
    <t>Z:\nemtode\general\website_mirrors\nematode.unl.edu_2022_09_21\axmica43.jpg</t>
  </si>
  <si>
    <t>Z:\nemtode\general\website_mirrors\nematode.unl.edu_2022_09_21\axmica9.jpg</t>
  </si>
  <si>
    <t>Z:\nemtode\general\website_mirrors\nematode.unl.edu_2022_09_21\axomi6.jpg</t>
  </si>
  <si>
    <t>Z:\nemtode\general\website_mirrors\nematode.unl.edu_2022_09_21\axomi7.jpg</t>
  </si>
  <si>
    <t>Z:\nemtode\general\website_mirrors\nematode.unl.edu_2022_09_21\axmica32.jpg</t>
  </si>
  <si>
    <t>Z:\nemtode\general\website_mirrors\nematode.unl.edu_2022_09_21\axmica8.jpg</t>
  </si>
  <si>
    <t>Z:\nemtode\general\website_mirrors\nematode.unl.edu_2022_09_21\axmica21.jpg</t>
  </si>
  <si>
    <t>Z:\nemtode\general\website_mirrors\nematode.unl.edu_2022_09_21\axmica27.jpg</t>
  </si>
  <si>
    <t>Z:\nemtode\general\website_mirrors\nematode.unl.edu_2022_09_21\axmica33.jpg</t>
  </si>
  <si>
    <t>Z:\nemtode\general\website_mirrors\nematode.unl.edu_2022_09_21\axmica4.jpg</t>
  </si>
  <si>
    <t>Z:\nemtode\general\website_mirrors\nematode.unl.edu_2022_09_21\axmica12.jpg</t>
  </si>
  <si>
    <t>Z:\nemtode\general\website_mirrors\nematode.unl.edu_2022_09_21\axmica16.jpg</t>
  </si>
  <si>
    <t>Z:\nemtode\general\website_mirrors\nematode.unl.edu_2022_09_21\axmica25.jpg</t>
  </si>
  <si>
    <t>Z:\nemtode\general\website_mirrors\nematode.unl.edu_2022_09_21\axmica42.jpg</t>
  </si>
  <si>
    <t>Z:\nemtode\general\website_mirrors\nematode.unl.edu_2022_09_21\axomi9.jpg</t>
  </si>
  <si>
    <t>Z:\nemtode\general\website_mirrors\nematode.unl.edu_2022_09_21\axmicmp.jpg</t>
  </si>
  <si>
    <t>Z:\nemtode\general\website_mirrors\nematode.unl.edu_2022_09_21\axmica24.jpg</t>
  </si>
  <si>
    <t>Z:\nemtode\general\website_mirrors\nematode.unl.edu_2022_09_21\axmica20.jpg</t>
  </si>
  <si>
    <t>Z:\nemtode\general\website_mirrors\nematode.unl.edu_2022_09_21\axmica29.jpg</t>
  </si>
  <si>
    <t>Z:\nemtode\general\website_mirrors\nematode.unl.edu_2022_09_21\axomi4.jpg</t>
  </si>
  <si>
    <t>Z:\nemtode\general\website_mirrors\nematode.unl.edu_2022_09_21\axmica14.jpg</t>
  </si>
  <si>
    <t>Z:\nemtode\general\website_mirrors\nematode.unl.edu_2022_09_21\axmica2.jpg</t>
  </si>
  <si>
    <t>Z:\nemtode\general\website_mirrors\nematode.unl.edu_2022_09_21\axmica11.jpg</t>
  </si>
  <si>
    <t>Z:\nemtode\general\website_mirrors\nematode.unl.edu_2022_09_21\axmica23.jpg</t>
  </si>
  <si>
    <t>Z:\nemtode\general\website_mirrors\nematode.unl.edu_2022_09_21\axmica30.jpg</t>
  </si>
  <si>
    <t>Z:\nemtode\general\website_mirrors\nematode.unl.edu_2022_09_21\axmica35.jpg</t>
  </si>
  <si>
    <t>Z:\nemtode\general\website_mirrors\nematode.unl.edu_2022_09_21\axmica36.jpg</t>
  </si>
  <si>
    <t>Z:\nemtode\general\website_mirrors\nematode.unl.edu_2022_09_21\axmica41.jpg</t>
  </si>
  <si>
    <t>Z:\nemtode\general\website_mirrors\nematode.unl.edu_2022_09_21\axmica45.jpg</t>
  </si>
  <si>
    <t>Z:\nemtode\general\website_mirrors\nematode.unl.edu_2022_09_21\axmica5.jpg</t>
  </si>
  <si>
    <t>Z:\nemtode\general\website_mirrors\nematode.unl.edu_2022_09_21\axomi3.jpg</t>
  </si>
  <si>
    <t>Z:\nemtode\general\website_mirrors\nematode.unl.edu_2022_09_21\axomi5.jpg</t>
  </si>
  <si>
    <t>Z:\nemtode\general\website_mirrors\nematode.unl.edu_2022_09_21\axmica10.jpg</t>
  </si>
  <si>
    <t>Z:\nemtode\general\website_mirrors\nematode.unl.edu_2022_09_21\axmica17.jpg</t>
  </si>
  <si>
    <t>Z:\nemtode\general\website_mirrors\nematode.unl.edu_2022_09_21\axmica22.jpg</t>
  </si>
  <si>
    <t>Z:\nemtode\general\website_mirrors\nematode.unl.edu_2022_09_21\axmica28.jpg</t>
  </si>
  <si>
    <t>Z:\nemtode\general\website_mirrors\nematode.unl.edu_2022_09_21\axmica3.jpg</t>
  </si>
  <si>
    <t>Z:\nemtode\general\website_mirrors\nematode.unl.edu_2022_09_21\axmica34.jpg</t>
  </si>
  <si>
    <t>Z:\nemtode\general\website_mirrors\nematode.unl.edu_2022_09_21\axmica37.jpg</t>
  </si>
  <si>
    <t>Z:\nemtode\general\website_mirrors\nematode.unl.edu_2022_09_21\axmica44.jpg</t>
  </si>
  <si>
    <t>Z:\nemtode\general\website_mirrors\nematode.unl.edu_2022_09_21\axmica6.jpg</t>
  </si>
  <si>
    <t>Z:\nemtode\general\website_mirrors\nematode.unl.edu_2022_09_21\axmica7.jpg</t>
  </si>
  <si>
    <t>Z:\nemtode\general\website_mirrors\nematode.unl.edu_2022_09_21\axomi10.jpg</t>
  </si>
  <si>
    <t>Z:\nemtode\general\website_mirrors\nematode.unl.edu_2022_09_21\axomi2.jpg</t>
  </si>
  <si>
    <t>Z:\nemtode\general\website_mirrors\nematode.unl.edu_2022_09_21\axser1.jpg</t>
  </si>
  <si>
    <t>Z:\nemtode\general\website_mirrors\nematode.unl.edu_2022_09_21\axser10.jpg</t>
  </si>
  <si>
    <t>Z:\nemtode\general\website_mirrors\nematode.unl.edu_2022_09_21\axser13.jpg</t>
  </si>
  <si>
    <t>Z:\nemtode\general\website_mirrors\nematode.unl.edu_2022_09_21\axser18.jpg</t>
  </si>
  <si>
    <t>Z:\nemtode\general\website_mirrors\nematode.unl.edu_2022_09_21\axser2.jpg</t>
  </si>
  <si>
    <t>Z:\nemtode\general\website_mirrors\nematode.unl.edu_2022_09_21\axser9.jpg</t>
  </si>
  <si>
    <t>Z:\nemtode\general\website_mirrors\nematode.unl.edu_2022_09_21\axser21.jpg</t>
  </si>
  <si>
    <t>Z:\nemtode\general\website_mirrors\nematode.unl.edu_2022_09_21\axser16.jpg</t>
  </si>
  <si>
    <t>Z:\nemtode\general\website_mirrors\nematode.unl.edu_2022_09_21\axser15.jpg</t>
  </si>
  <si>
    <t>Z:\nemtode\general\website_mirrors\nematode.unl.edu_2022_09_21\axser4.jpg</t>
  </si>
  <si>
    <t>Z:\nemtode\general\website_mirrors\nematode.unl.edu_2022_09_21\axser12.jpg</t>
  </si>
  <si>
    <t>Z:\nemtode\general\website_mirrors\nematode.unl.edu_2022_09_21\axser14.jpg</t>
  </si>
  <si>
    <t>Z:\nemtode\general\website_mirrors\nematode.unl.edu_2022_09_21\axser19.jpg</t>
  </si>
  <si>
    <t>Z:\nemtode\general\website_mirrors\nematode.unl.edu_2022_09_21\axser5.jpg</t>
  </si>
  <si>
    <t>Z:\nemtode\general\website_mirrors\nematode.unl.edu_2022_09_21\axser8.jpg</t>
  </si>
  <si>
    <t>Z:\nemtode\general\website_mirrors\nematode.unl.edu_2022_09_21\axser11.jpg</t>
  </si>
  <si>
    <t>Z:\nemtode\general\website_mirrors\nematode.unl.edu_2022_09_21\axser17.jpg</t>
  </si>
  <si>
    <t>Z:\nemtode\general\website_mirrors\nematode.unl.edu_2022_09_21\axser20.jpg</t>
  </si>
  <si>
    <t>Z:\nemtode\general\website_mirrors\nematode.unl.edu_2022_09_21\axser3.jpg</t>
  </si>
  <si>
    <t>Z:\nemtode\general\website_mirrors\nematode.unl.edu_2022_09_21\axser6.jpg</t>
  </si>
  <si>
    <t>Z:\nemtode\general\website_mirrors\nematode.unl.edu_2022_09_21\axser7.jpg</t>
  </si>
  <si>
    <t>Z:\nemtode\general\website_mirrors\nematode.unl.edu_2022_09_21\axsoli1.jpg</t>
  </si>
  <si>
    <t>Z:\nemtode\general\website_mirrors\nematode.unl.edu_2022_09_21\axsoli2.jpg</t>
  </si>
  <si>
    <t>Z:\nemtode\general\website_mirrors\nematode.unl.edu_2022_09_21\axsoli6.jpg</t>
  </si>
  <si>
    <t>Z:\nemtode\general\website_mirrors\nematode.unl.edu_2022_09_21\axsocmp.jpg</t>
  </si>
  <si>
    <t>Z:\nemtode\general\website_mirrors\nematode.unl.edu_2022_09_21\axsoli3.jpg</t>
  </si>
  <si>
    <t>Z:\nemtode\general\website_mirrors\nematode.unl.edu_2022_09_21\axsoli7.jpg</t>
  </si>
  <si>
    <t>Z:\nemtode\general\website_mirrors\nematode.unl.edu_2022_09_21\axsoli5.jpg</t>
  </si>
  <si>
    <t>Z:\nemtode\general\website_mirrors\nematode.unl.edu_2022_09_21\axsoli8.jpg</t>
  </si>
  <si>
    <t>Z:\nemtode\general\website_mirrors\nematode.unl.edu_2022_09_21\axsoli4.jpg</t>
  </si>
  <si>
    <t>Z:\nemtode\general\website_mirrors\nematode.unl.edu_2022_09_21\axsospr.jpg</t>
  </si>
  <si>
    <t>Z:\nemtode\general\website_mirrors\nematode.unl.edu_2022_09_21\axsotl.jpg</t>
  </si>
  <si>
    <t>Z:\nemtode\general\website_mirrors\nematode.unl.edu_2022_09_21\axoth2.jpg</t>
  </si>
  <si>
    <t>Z:\nemtode\general\website_mirrors\nematode.unl.edu_2022_09_21\axoth4.jpg</t>
  </si>
  <si>
    <t>Z:\nemtode\general\website_mirrors\nematode.unl.edu_2022_09_21\axoth1.jpg</t>
  </si>
  <si>
    <t>Z:\nemtode\general\website_mirrors\nematode.unl.edu_2022_09_21\axoth3.jpg</t>
  </si>
  <si>
    <t>Z:\nemtode\general\website_mirrors\nematode.unl.edu_2022_09_21\axoth7.jpg</t>
  </si>
  <si>
    <t>Z:\nemtode\general\website_mirrors\nematode.unl.edu_2022_09_21\axoth5.jpg</t>
  </si>
  <si>
    <t>Z:\nemtode\general\website_mirrors\nematode.unl.edu_2022_09_21\axoth6.jpg</t>
  </si>
  <si>
    <t>Z:\nemtode\general\website_mirrors\nematode.unl.edu_2022_09_21\axova2.jpg</t>
  </si>
  <si>
    <t>Z:\nemtode\general\website_mirrors\nematode.unl.edu_2022_09_21\axova3.jpg</t>
  </si>
  <si>
    <t>Z:\nemtode\general\website_mirrors\nematode.unl.edu_2022_09_21\axova1.jpg</t>
  </si>
  <si>
    <t>Z:\nemtode\general\website_mirrors\nematode.unl.edu_2022_09_21\axova6.jpg</t>
  </si>
  <si>
    <t>Z:\nemtode\general\website_mirrors\nematode.unl.edu_2022_09_21\axova8.jpg</t>
  </si>
  <si>
    <t>Z:\nemtode\general\website_mirrors\nematode.unl.edu_2022_09_21\axova4.jpg</t>
  </si>
  <si>
    <t>Z:\nemtode\general\website_mirrors\nematode.unl.edu_2022_09_21\axova5.jpg</t>
  </si>
  <si>
    <t>Z:\nemtode\general\website_mirrors\nematode.unl.edu_2022_09_21\axova7.jpg</t>
  </si>
  <si>
    <t>Z:\nemtode\general\website_mirrors\nematode.unl.edu_2022_09_21\beapit2.jpg</t>
  </si>
  <si>
    <t>Z:\nemtode\general\website_mirrors\nematode.unl.edu_2022_09_21\belap26.jpg</t>
  </si>
  <si>
    <t>Z:\nemtode\general\website_mirrors\nematode.unl.edu_2022_09_21\beapit13.jpg</t>
  </si>
  <si>
    <t>Z:\nemtode\general\website_mirrors\nematode.unl.edu_2022_09_21\beapit3.jpg</t>
  </si>
  <si>
    <t>Z:\nemtode\general\website_mirrors\nematode.unl.edu_2022_09_21\beapit9.jpg</t>
  </si>
  <si>
    <t>Z:\nemtode\general\website_mirrors\nematode.unl.edu_2022_09_21\belap15.jpg</t>
  </si>
  <si>
    <t>Z:\nemtode\general\website_mirrors\nematode.unl.edu_2022_09_21\belap19.jpg</t>
  </si>
  <si>
    <t>Z:\nemtode\general\website_mirrors\nematode.unl.edu_2022_09_21\belap20.jpg</t>
  </si>
  <si>
    <t>Z:\nemtode\general\website_mirrors\nematode.unl.edu_2022_09_21\belap22.jpg</t>
  </si>
  <si>
    <t>Z:\nemtode\general\website_mirrors\nematode.unl.edu_2022_09_21\belap27.jpg</t>
  </si>
  <si>
    <t>Z:\nemtode\general\website_mirrors\nematode.unl.edu_2022_09_21\belap28.jpg</t>
  </si>
  <si>
    <t>Z:\nemtode\general\website_mirrors\nematode.unl.edu_2022_09_21\belap5.jpg</t>
  </si>
  <si>
    <t>Z:\nemtode\general\website_mirrors\nematode.unl.edu_2022_09_21\belap6.jpg</t>
  </si>
  <si>
    <t>Z:\nemtode\general\website_mirrors\nematode.unl.edu_2022_09_21\belap9.jpg</t>
  </si>
  <si>
    <t>Z:\nemtode\general\website_mirrors\nematode.unl.edu_2022_09_21\belap4.jpg</t>
  </si>
  <si>
    <t>Z:\nemtode\general\website_mirrors\nematode.unl.edu_2022_09_21\beapit14.jpg</t>
  </si>
  <si>
    <t>Z:\nemtode\general\website_mirrors\nematode.unl.edu_2022_09_21\beapit4.jpg</t>
  </si>
  <si>
    <t>Z:\nemtode\general\website_mirrors\nematode.unl.edu_2022_09_21\belap10.jpg</t>
  </si>
  <si>
    <t>Z:\nemtode\general\website_mirrors\nematode.unl.edu_2022_09_21\belap16.jpg</t>
  </si>
  <si>
    <t>Z:\nemtode\general\website_mirrors\nematode.unl.edu_2022_09_21\belap7.jpg</t>
  </si>
  <si>
    <t>Z:\nemtode\general\website_mirrors\nematode.unl.edu_2022_09_21\beapit1.jpg</t>
  </si>
  <si>
    <t>Z:\nemtode\general\website_mirrors\nematode.unl.edu_2022_09_21\belap1.jpg</t>
  </si>
  <si>
    <t>Z:\nemtode\general\website_mirrors\nematode.unl.edu_2022_09_21\belap25.jpg</t>
  </si>
  <si>
    <t>Z:\nemtode\general\website_mirrors\nematode.unl.edu_2022_09_21\beapit10.jpg</t>
  </si>
  <si>
    <t>Z:\nemtode\general\website_mirrors\nematode.unl.edu_2022_09_21\belapcmp.jpg</t>
  </si>
  <si>
    <t>Z:\nemtode\general\website_mirrors\nematode.unl.edu_2022_09_21\belap13.jpg</t>
  </si>
  <si>
    <t>Z:\nemtode\general\website_mirrors\nematode.unl.edu_2022_09_21\belap23.jpg</t>
  </si>
  <si>
    <t>Z:\nemtode\general\website_mirrors\nematode.unl.edu_2022_09_21\beapit7.jpg</t>
  </si>
  <si>
    <t>Z:\nemtode\general\website_mirrors\nematode.unl.edu_2022_09_21\belap12.jpg</t>
  </si>
  <si>
    <t>Z:\nemtode\general\website_mirrors\nematode.unl.edu_2022_09_21\belap3.jpg</t>
  </si>
  <si>
    <t>Z:\nemtode\general\website_mirrors\nematode.unl.edu_2022_09_21\beapit16.jpg</t>
  </si>
  <si>
    <t>Z:\nemtode\general\website_mirrors\nematode.unl.edu_2022_09_21\belap2.jpg</t>
  </si>
  <si>
    <t>Z:\nemtode\general\website_mirrors\nematode.unl.edu_2022_09_21\belap29.jpg</t>
  </si>
  <si>
    <t>Z:\nemtode\general\website_mirrors\nematode.unl.edu_2022_09_21\belap8.jpg</t>
  </si>
  <si>
    <t>Z:\nemtode\general\website_mirrors\nematode.unl.edu_2022_09_21\belap30.jpg</t>
  </si>
  <si>
    <t>Z:\nemtode\general\website_mirrors\nematode.unl.edu_2022_09_21\beapit12.jpg</t>
  </si>
  <si>
    <t>Z:\nemtode\general\website_mirrors\nematode.unl.edu_2022_09_21\beapit6.jpg</t>
  </si>
  <si>
    <t>Z:\nemtode\general\website_mirrors\nematode.unl.edu_2022_09_21\belap14.jpg</t>
  </si>
  <si>
    <t>Z:\nemtode\general\website_mirrors\nematode.unl.edu_2022_09_21\belap18.jpg</t>
  </si>
  <si>
    <t>Z:\nemtode\general\website_mirrors\nematode.unl.edu_2022_09_21\belap21.jpg</t>
  </si>
  <si>
    <t>Z:\nemtode\general\website_mirrors\nematode.unl.edu_2022_09_21\belap24.jpg</t>
  </si>
  <si>
    <t>Z:\nemtode\general\website_mirrors\nematode.unl.edu_2022_09_21\beapit15.jpg</t>
  </si>
  <si>
    <t>Z:\nemtode\general\website_mirrors\nematode.unl.edu_2022_09_21\beapit11.jpg</t>
  </si>
  <si>
    <t>Z:\nemtode\general\website_mirrors\nematode.unl.edu_2022_09_21\beapit5.jpg</t>
  </si>
  <si>
    <t>Z:\nemtode\general\website_mirrors\nematode.unl.edu_2022_09_21\beapit8.jpg</t>
  </si>
  <si>
    <t>Z:\nemtode\general\website_mirrors\nematode.unl.edu_2022_09_21\belap11.jpg</t>
  </si>
  <si>
    <t>Z:\nemtode\general\website_mirrors\nematode.unl.edu_2022_09_21\belap17.jpg</t>
  </si>
  <si>
    <t>Z:\nemtode\general\website_mirrors\nematode.unl.edu_2022_09_21\becla4.jpg</t>
  </si>
  <si>
    <t>Z:\nemtode\general\website_mirrors\nematode.unl.edu_2022_09_21\becla6.jpg</t>
  </si>
  <si>
    <t>Z:\nemtode\general\website_mirrors\nematode.unl.edu_2022_09_21\becla9.jpg</t>
  </si>
  <si>
    <t>Z:\nemtode\general\website_mirrors\nematode.unl.edu_2022_09_21\becla7.jpg</t>
  </si>
  <si>
    <t>Z:\nemtode\general\website_mirrors\nematode.unl.edu_2022_09_21\becla1.jpg</t>
  </si>
  <si>
    <t>Z:\nemtode\general\website_mirrors\nematode.unl.edu_2022_09_21\becla8.jpg</t>
  </si>
  <si>
    <t>Z:\nemtode\general\website_mirrors\nematode.unl.edu_2022_09_21\becla10.jpg</t>
  </si>
  <si>
    <t>Z:\nemtode\general\website_mirrors\nematode.unl.edu_2022_09_21\becla3.jpg</t>
  </si>
  <si>
    <t>Z:\nemtode\general\website_mirrors\nematode.unl.edu_2022_09_21\becla2.jpg</t>
  </si>
  <si>
    <t>Z:\nemtode\general\website_mirrors\nematode.unl.edu_2022_09_21\becla5.jpg</t>
  </si>
  <si>
    <t>Z:\nemtode\general\website_mirrors\nematode.unl.edu_2022_09_21\bepar14.jpg</t>
  </si>
  <si>
    <t>Z:\nemtode\general\website_mirrors\nematode.unl.edu_2022_09_21\bepar17.jpg</t>
  </si>
  <si>
    <t>Z:\nemtode\general\website_mirrors\nematode.unl.edu_2022_09_21\bepar20.jpg</t>
  </si>
  <si>
    <t>Z:\nemtode\general\website_mirrors\nematode.unl.edu_2022_09_21\bepar8.jpg</t>
  </si>
  <si>
    <t>Z:\nemtode\general\website_mirrors\nematode.unl.edu_2022_09_21\bepar1.jpg</t>
  </si>
  <si>
    <t>Z:\nemtode\general\website_mirrors\nematode.unl.edu_2022_09_21\bepar19.jpg</t>
  </si>
  <si>
    <t>Z:\nemtode\general\website_mirrors\nematode.unl.edu_2022_09_21\bepar23.jpg</t>
  </si>
  <si>
    <t>Z:\nemtode\general\website_mirrors\nematode.unl.edu_2022_09_21\bepar24.jpg</t>
  </si>
  <si>
    <t>Z:\nemtode\general\website_mirrors\nematode.unl.edu_2022_09_21\bepar26.jpg</t>
  </si>
  <si>
    <t>Z:\nemtode\general\website_mirrors\nematode.unl.edu_2022_09_21\bepar28.jpg</t>
  </si>
  <si>
    <t>Z:\nemtode\general\website_mirrors\nematode.unl.edu_2022_09_21\bepar29.jpg</t>
  </si>
  <si>
    <t>Z:\nemtode\general\website_mirrors\nematode.unl.edu_2022_09_21\bepar3.jpg</t>
  </si>
  <si>
    <t>Z:\nemtode\general\website_mirrors\nematode.unl.edu_2022_09_21\bepar4.jpg</t>
  </si>
  <si>
    <t>Z:\nemtode\general\website_mirrors\nematode.unl.edu_2022_09_21\bepar11.jpg</t>
  </si>
  <si>
    <t>Z:\nemtode\general\website_mirrors\nematode.unl.edu_2022_09_21\bepar5.jpg</t>
  </si>
  <si>
    <t>Z:\nemtode\general\website_mirrors\nematode.unl.edu_2022_09_21\bepar7.jpg</t>
  </si>
  <si>
    <t>Z:\nemtode\general\website_mirrors\nematode.unl.edu_2022_09_21\beparcmp.jpg</t>
  </si>
  <si>
    <t>Z:\nemtode\general\website_mirrors\nematode.unl.edu_2022_09_21\bepar10.jpg</t>
  </si>
  <si>
    <t>Z:\nemtode\general\website_mirrors\nematode.unl.edu_2022_09_21\bepar13.jpg</t>
  </si>
  <si>
    <t>Z:\nemtode\general\website_mirrors\nematode.unl.edu_2022_09_21\bepar16.jpg</t>
  </si>
  <si>
    <t>Z:\nemtode\general\website_mirrors\nematode.unl.edu_2022_09_21\bepar2.jpg</t>
  </si>
  <si>
    <t>Z:\nemtode\general\website_mirrors\nematode.unl.edu_2022_09_21\bepar21.jpg</t>
  </si>
  <si>
    <t>Z:\nemtode\general\website_mirrors\nematode.unl.edu_2022_09_21\bepar25.jpg</t>
  </si>
  <si>
    <t>Z:\nemtode\general\website_mirrors\nematode.unl.edu_2022_09_21\bepar27.jpg</t>
  </si>
  <si>
    <t>Z:\nemtode\general\website_mirrors\nematode.unl.edu_2022_09_21\bepar30.jpg</t>
  </si>
  <si>
    <t>Z:\nemtode\general\website_mirrors\nematode.unl.edu_2022_09_21\bepar12.jpg</t>
  </si>
  <si>
    <t>Z:\nemtode\general\website_mirrors\nematode.unl.edu_2022_09_21\bepar15.jpg</t>
  </si>
  <si>
    <t>Z:\nemtode\general\website_mirrors\nematode.unl.edu_2022_09_21\bepar18.jpg</t>
  </si>
  <si>
    <t>Z:\nemtode\general\website_mirrors\nematode.unl.edu_2022_09_21\bepar22.jpg</t>
  </si>
  <si>
    <t>Z:\nemtode\general\website_mirrors\nematode.unl.edu_2022_09_21\bepar6.jpg</t>
  </si>
  <si>
    <t>Z:\nemtode\general\website_mirrors\nematode.unl.edu_2022_09_21\bepar9.jpg</t>
  </si>
  <si>
    <t>Z:\nemtode\general\website_mirrors\nematode.unl.edu_2022_09_21\dacty7.jpg</t>
  </si>
  <si>
    <t>Z:\nemtode\general\website_mirrors\nematode.unl.edu_2022_09_21\dacty1.jpg</t>
  </si>
  <si>
    <t>Z:\nemtode\general\website_mirrors\nematode.unl.edu_2022_09_21\dacty2.jpg</t>
  </si>
  <si>
    <t>Z:\nemtode\general\website_mirrors\nematode.unl.edu_2022_09_21\dacty5.jpg</t>
  </si>
  <si>
    <t>Z:\nemtode\general\website_mirrors\nematode.unl.edu_2022_09_21\dacty4.jpg</t>
  </si>
  <si>
    <t>Z:\nemtode\general\website_mirrors\nematode.unl.edu_2022_09_21\dacty3.jpg</t>
  </si>
  <si>
    <t>Z:\nemtode\general\website_mirrors\nematode.unl.edu_2022_09_21\dacty6.jpg</t>
  </si>
  <si>
    <t>Z:\nemtode\general\website_mirrors\nematode.unl.edu_2022_09_21\dorae12.jpg</t>
  </si>
  <si>
    <t>Z:\nemtode\general\website_mirrors\nematode.unl.edu_2022_09_21\dorae13.jpg</t>
  </si>
  <si>
    <t>Z:\nemtode\general\website_mirrors\nematode.unl.edu_2022_09_21\dorae4.jpg</t>
  </si>
  <si>
    <t>Z:\nemtode\general\website_mirrors\nematode.unl.edu_2022_09_21\dorae6.jpg</t>
  </si>
  <si>
    <t>Z:\nemtode\general\website_mirrors\nematode.unl.edu_2022_09_21\dorae9.jpg</t>
  </si>
  <si>
    <t>Z:\nemtode\general\website_mirrors\nematode.unl.edu_2022_09_21\dorae1.jpg</t>
  </si>
  <si>
    <t>Z:\nemtode\general\website_mirrors\nematode.unl.edu_2022_09_21\dorae5.jpg</t>
  </si>
  <si>
    <t>Z:\nemtode\general\website_mirrors\nematode.unl.edu_2022_09_21\dorae7.jpg</t>
  </si>
  <si>
    <t>Z:\nemtode\general\website_mirrors\nematode.unl.edu_2022_09_21\dorae8.jpg</t>
  </si>
  <si>
    <t>Z:\nemtode\general\website_mirrors\nematode.unl.edu_2022_09_21\dorae10.jpg</t>
  </si>
  <si>
    <t>Z:\nemtode\general\website_mirrors\nematode.unl.edu_2022_09_21\dorae2.jpg</t>
  </si>
  <si>
    <t>Z:\nemtode\general\website_mirrors\nematode.unl.edu_2022_09_21\dorae11.jpg</t>
  </si>
  <si>
    <t>Z:\nemtode\general\website_mirrors\nematode.unl.edu_2022_09_21\dorae14.jpg</t>
  </si>
  <si>
    <t>Z:\nemtode\general\website_mirrors\nematode.unl.edu_2022_09_21\dorae3.jpg</t>
  </si>
  <si>
    <t>Z:\nemtode\general\website_mirrors\nematode.unl.edu_2022_09_21\dordem14.jpg</t>
  </si>
  <si>
    <t>Z:\nemtode\general\website_mirrors\nematode.unl.edu_2022_09_21\dordem15.jpg</t>
  </si>
  <si>
    <t>Z:\nemtode\general\website_mirrors\nematode.unl.edu_2022_09_21\dordem17.jpg</t>
  </si>
  <si>
    <t>Z:\nemtode\general\website_mirrors\nematode.unl.edu_2022_09_21\dordem3.jpg</t>
  </si>
  <si>
    <t>Z:\nemtode\general\website_mirrors\nematode.unl.edu_2022_09_21\dordem5.jpg</t>
  </si>
  <si>
    <t>Z:\nemtode\general\website_mirrors\nematode.unl.edu_2022_09_21\dordem8.jpg</t>
  </si>
  <si>
    <t>Z:\nemtode\general\website_mirrors\nematode.unl.edu_2022_09_21\dordem10.jpg</t>
  </si>
  <si>
    <t>Z:\nemtode\general\website_mirrors\nematode.unl.edu_2022_09_21\dordem4.jpg</t>
  </si>
  <si>
    <t>Z:\nemtode\general\website_mirrors\nematode.unl.edu_2022_09_21\dordem11.jpg</t>
  </si>
  <si>
    <t>Z:\nemtode\general\website_mirrors\nematode.unl.edu_2022_09_21\dordem1.jpg</t>
  </si>
  <si>
    <t>Z:\nemtode\general\website_mirrors\nematode.unl.edu_2022_09_21\dordem12.jpg</t>
  </si>
  <si>
    <t>Z:\nemtode\general\website_mirrors\nematode.unl.edu_2022_09_21\dordem16.jpg</t>
  </si>
  <si>
    <t>Z:\nemtode\general\website_mirrors\nematode.unl.edu_2022_09_21\dordem9.jpg</t>
  </si>
  <si>
    <t>Z:\nemtode\general\website_mirrors\nematode.unl.edu_2022_09_21\dordem7.jpg</t>
  </si>
  <si>
    <t>Z:\nemtode\general\website_mirrors\nematode.unl.edu_2022_09_21\dordem13.jpg</t>
  </si>
  <si>
    <t>Z:\nemtode\general\website_mirrors\nematode.unl.edu_2022_09_21\dordem2.jpg</t>
  </si>
  <si>
    <t>Z:\nemtode\general\website_mirrors\nematode.unl.edu_2022_09_21\dordem6.jpg</t>
  </si>
  <si>
    <t>Z:\nemtode\general\website_mirrors\nematode.unl.edu_2022_09_21\dordir2.jpg</t>
  </si>
  <si>
    <t>Z:\nemtode\general\website_mirrors\nematode.unl.edu_2022_09_21\dordir3.jpg</t>
  </si>
  <si>
    <t>Z:\nemtode\general\website_mirrors\nematode.unl.edu_2022_09_21\dordir6.jpg</t>
  </si>
  <si>
    <t>Z:\nemtode\general\website_mirrors\nematode.unl.edu_2022_09_21\dordir9.jpg</t>
  </si>
  <si>
    <t>Z:\nemtode\general\website_mirrors\nematode.unl.edu_2022_09_21\dordir1.jpg</t>
  </si>
  <si>
    <t>Z:\nemtode\general\website_mirrors\nematode.unl.edu_2022_09_21\dordir5.jpg</t>
  </si>
  <si>
    <t>Z:\nemtode\general\website_mirrors\nematode.unl.edu_2022_09_21\dordir8.jpg</t>
  </si>
  <si>
    <t>Z:\nemtode\general\website_mirrors\nematode.unl.edu_2022_09_21\dordir4.jpg</t>
  </si>
  <si>
    <t>Z:\nemtode\general\website_mirrors\nematode.unl.edu_2022_09_21\dordir7.jpg</t>
  </si>
  <si>
    <t>Z:\nemtode\general\website_mirrors\nematode.unl.edu_2022_09_21\dordisc2.jpg</t>
  </si>
  <si>
    <t>Z:\nemtode\general\website_mirrors\nematode.unl.edu_2022_09_21\dordisc5.jpg</t>
  </si>
  <si>
    <t>Z:\nemtode\general\website_mirrors\nematode.unl.edu_2022_09_21\dordisc1.jpg</t>
  </si>
  <si>
    <t>Z:\nemtode\general\website_mirrors\nematode.unl.edu_2022_09_21\dordisc4.jpg</t>
  </si>
  <si>
    <t>Z:\nemtode\general\website_mirrors\nematode.unl.edu_2022_09_21\dordisc3.jpg</t>
  </si>
  <si>
    <t>Z:\nemtode\general\website_mirrors\nematode.unl.edu_2022_09_21\dorgra2.jpg</t>
  </si>
  <si>
    <t>Z:\nemtode\general\website_mirrors\nematode.unl.edu_2022_09_21\dorgra1.jpg</t>
  </si>
  <si>
    <t>Z:\nemtode\general\website_mirrors\nematode.unl.edu_2022_09_21\dorgra4.jpg</t>
  </si>
  <si>
    <t>Z:\nemtode\general\website_mirrors\nematode.unl.edu_2022_09_21\dorgra3.jpg</t>
  </si>
  <si>
    <t>Z:\nemtode\general\website_mirrors\nematode.unl.edu_2022_09_21\dorlon1.jpg</t>
  </si>
  <si>
    <t>Z:\nemtode\general\website_mirrors\nematode.unl.edu_2022_09_21\dorlon4.jpg</t>
  </si>
  <si>
    <t>Z:\nemtode\general\website_mirrors\nematode.unl.edu_2022_09_21\dorlon3.jpg</t>
  </si>
  <si>
    <t>Z:\nemtode\general\website_mirrors\nematode.unl.edu_2022_09_21\dorlon2.jpg</t>
  </si>
  <si>
    <t>Z:\nemtode\general\website_mirrors\nematode.unl.edu_2022_09_21\dorlon5.jpg</t>
  </si>
  <si>
    <t>Z:\nemtode\general\website_mirrors\nematode.unl.edu_2022_09_21\dormont10.jpg</t>
  </si>
  <si>
    <t>Z:\nemtode\general\website_mirrors\nematode.unl.edu_2022_09_21\dormont12.jpg</t>
  </si>
  <si>
    <t>Z:\nemtode\general\website_mirrors\nematode.unl.edu_2022_09_21\dormont2.jpg</t>
  </si>
  <si>
    <t>Z:\nemtode\general\website_mirrors\nematode.unl.edu_2022_09_21\dormont5.jpg</t>
  </si>
  <si>
    <t>Z:\nemtode\general\website_mirrors\nematode.unl.edu_2022_09_21\dormont8.jpg</t>
  </si>
  <si>
    <t>Z:\nemtode\general\website_mirrors\nematode.unl.edu_2022_09_21\dormont1.jpg</t>
  </si>
  <si>
    <t>Z:\nemtode\general\website_mirrors\nematode.unl.edu_2022_09_21\dormont11.jpg</t>
  </si>
  <si>
    <t>Z:\nemtode\general\website_mirrors\nematode.unl.edu_2022_09_21\dormont4.jpg</t>
  </si>
  <si>
    <t>Z:\nemtode\general\website_mirrors\nematode.unl.edu_2022_09_21\dormont7.jpg</t>
  </si>
  <si>
    <t>Z:\nemtode\general\website_mirrors\nematode.unl.edu_2022_09_21\dormont3.jpg</t>
  </si>
  <si>
    <t>Z:\nemtode\general\website_mirrors\nematode.unl.edu_2022_09_21\dormont6.jpg</t>
  </si>
  <si>
    <t>Z:\nemtode\general\website_mirrors\nematode.unl.edu_2022_09_21\dormont9.jpg</t>
  </si>
  <si>
    <t>Z:\nemtode\general\website_mirrors\nematode.unl.edu_2022_09_21\docci1.jpg</t>
  </si>
  <si>
    <t>Z:\nemtode\general\website_mirrors\nematode.unl.edu_2022_09_21\dorocc1.jpg</t>
  </si>
  <si>
    <t>Z:\nemtode\general\website_mirrors\nematode.unl.edu_2022_09_21\docci6.jpg</t>
  </si>
  <si>
    <t>Z:\nemtode\general\website_mirrors\nematode.unl.edu_2022_09_21\docci10.jpg</t>
  </si>
  <si>
    <t>Z:\nemtode\general\website_mirrors\nematode.unl.edu_2022_09_21\docci7.jpg</t>
  </si>
  <si>
    <t>Z:\nemtode\general\website_mirrors\nematode.unl.edu_2022_09_21\dorocc4.jpg</t>
  </si>
  <si>
    <t>Z:\nemtode\general\website_mirrors\nematode.unl.edu_2022_09_21\doryo11.jpg</t>
  </si>
  <si>
    <t>Z:\nemtode\general\website_mirrors\nematode.unl.edu_2022_09_21\doryo13.jpg</t>
  </si>
  <si>
    <t>Z:\nemtode\general\website_mirrors\nematode.unl.edu_2022_09_21\doryo15.jpg</t>
  </si>
  <si>
    <t>Z:\nemtode\general\website_mirrors\nematode.unl.edu_2022_09_21\doryo19.jpg</t>
  </si>
  <si>
    <t>Z:\nemtode\general\website_mirrors\nematode.unl.edu_2022_09_21\doryo2.jpg</t>
  </si>
  <si>
    <t>Z:\nemtode\general\website_mirrors\nematode.unl.edu_2022_09_21\doryo5.jpg</t>
  </si>
  <si>
    <t>Z:\nemtode\general\website_mirrors\nematode.unl.edu_2022_09_21\doryo6.jpg</t>
  </si>
  <si>
    <t>Z:\nemtode\general\website_mirrors\nematode.unl.edu_2022_09_21\docci9.jpg</t>
  </si>
  <si>
    <t>Z:\nemtode\general\website_mirrors\nematode.unl.edu_2022_09_21\doryo14.jpg</t>
  </si>
  <si>
    <t>Z:\nemtode\general\website_mirrors\nematode.unl.edu_2022_09_21\doryo20.jpg</t>
  </si>
  <si>
    <t>Z:\nemtode\general\website_mirrors\nematode.unl.edu_2022_09_21\doryo22.jpg</t>
  </si>
  <si>
    <t>Z:\nemtode\general\website_mirrors\nematode.unl.edu_2022_09_21\doryo7.jpg</t>
  </si>
  <si>
    <t>Z:\nemtode\general\website_mirrors\nematode.unl.edu_2022_09_21\docci2.jpg</t>
  </si>
  <si>
    <t>Z:\nemtode\general\website_mirrors\nematode.unl.edu_2022_09_21\docci5.jpg</t>
  </si>
  <si>
    <t>Z:\nemtode\general\website_mirrors\nematode.unl.edu_2022_09_21\doryo1.jpg</t>
  </si>
  <si>
    <t>Z:\nemtode\general\website_mirrors\nematode.unl.edu_2022_09_21\doryo12.jpg</t>
  </si>
  <si>
    <t>Z:\nemtode\general\website_mirrors\nematode.unl.edu_2022_09_21\doryo10.jpg</t>
  </si>
  <si>
    <t>Z:\nemtode\general\website_mirrors\nematode.unl.edu_2022_09_21\docci3.jpg</t>
  </si>
  <si>
    <t>Z:\nemtode\general\website_mirrors\nematode.unl.edu_2022_09_21\docci8.jpg</t>
  </si>
  <si>
    <t>Z:\nemtode\general\website_mirrors\nematode.unl.edu_2022_09_21\dorocc3.jpg</t>
  </si>
  <si>
    <t>Z:\nemtode\general\website_mirrors\nematode.unl.edu_2022_09_21\dorocc6.jpg</t>
  </si>
  <si>
    <t>Z:\nemtode\general\website_mirrors\nematode.unl.edu_2022_09_21\doryo16.jpg</t>
  </si>
  <si>
    <t>Z:\nemtode\general\website_mirrors\nematode.unl.edu_2022_09_21\doryo21.jpg</t>
  </si>
  <si>
    <t>Z:\nemtode\general\website_mirrors\nematode.unl.edu_2022_09_21\doryo23.jpg</t>
  </si>
  <si>
    <t>Z:\nemtode\general\website_mirrors\nematode.unl.edu_2022_09_21\doryo4.jpg</t>
  </si>
  <si>
    <t>Z:\nemtode\general\website_mirrors\nematode.unl.edu_2022_09_21\doryo9.jpg</t>
  </si>
  <si>
    <t>Z:\nemtode\general\website_mirrors\nematode.unl.edu_2022_09_21\dorocc2.jpg</t>
  </si>
  <si>
    <t>Z:\nemtode\general\website_mirrors\nematode.unl.edu_2022_09_21\dorocc5.jpg</t>
  </si>
  <si>
    <t>Z:\nemtode\general\website_mirrors\nematode.unl.edu_2022_09_21\doryo17.jpg</t>
  </si>
  <si>
    <t>Z:\nemtode\general\website_mirrors\nematode.unl.edu_2022_09_21\doryo3.jpg</t>
  </si>
  <si>
    <t>Z:\nemtode\general\website_mirrors\nematode.unl.edu_2022_09_21\doryo8.jpg</t>
  </si>
  <si>
    <t>Z:\nemtode\general\website_mirrors\nematode.unl.edu_2022_09_21\dorpa1.jpg</t>
  </si>
  <si>
    <t>Z:\nemtode\general\website_mirrors\nematode.unl.edu_2022_09_21\dorpa10.jpg</t>
  </si>
  <si>
    <t>Z:\nemtode\general\website_mirrors\nematode.unl.edu_2022_09_21\dorpa6.jpg</t>
  </si>
  <si>
    <t>Z:\nemtode\general\website_mirrors\nematode.unl.edu_2022_09_21\dorpa8.jpg</t>
  </si>
  <si>
    <t>Z:\nemtode\general\website_mirrors\nematode.unl.edu_2022_09_21\dorpa2.jpg</t>
  </si>
  <si>
    <t>Z:\nemtode\general\website_mirrors\nematode.unl.edu_2022_09_21\dorpa5.jpg</t>
  </si>
  <si>
    <t>Z:\nemtode\general\website_mirrors\nematode.unl.edu_2022_09_21\dorpa7.jpg</t>
  </si>
  <si>
    <t>Z:\nemtode\general\website_mirrors\nematode.unl.edu_2022_09_21\dorpa3.jpg</t>
  </si>
  <si>
    <t>Z:\nemtode\general\website_mirrors\nematode.unl.edu_2022_09_21\dorpa4.jpg</t>
  </si>
  <si>
    <t>Z:\nemtode\general\website_mirrors\nematode.unl.edu_2022_09_21\dorpa9.jpg</t>
  </si>
  <si>
    <t>Z:\nemtode\general\website_mirrors\nematode.unl.edu_2022_09_21\dorten5.jpg</t>
  </si>
  <si>
    <t>Z:\nemtode\general\website_mirrors\nematode.unl.edu_2022_09_21\dorten9.jpg</t>
  </si>
  <si>
    <t>Z:\nemtode\general\website_mirrors\nematode.unl.edu_2022_09_21\dorten1.jpg</t>
  </si>
  <si>
    <t>Z:\nemtode\general\website_mirrors\nematode.unl.edu_2022_09_21\dorten11.jpg</t>
  </si>
  <si>
    <t>Z:\nemtode\general\website_mirrors\nematode.unl.edu_2022_09_21\dorten13.jpg</t>
  </si>
  <si>
    <t>Z:\nemtode\general\website_mirrors\nematode.unl.edu_2022_09_21\dorten4.jpg</t>
  </si>
  <si>
    <t>Z:\nemtode\general\website_mirrors\nematode.unl.edu_2022_09_21\dorten8.jpg</t>
  </si>
  <si>
    <t>Z:\nemtode\general\website_mirrors\nematode.unl.edu_2022_09_21\doryte2.jpg</t>
  </si>
  <si>
    <t>Z:\nemtode\general\website_mirrors\nematode.unl.edu_2022_09_21\doryte6.jpg</t>
  </si>
  <si>
    <t>Z:\nemtode\general\website_mirrors\nematode.unl.edu_2022_09_21\dotenu1.jpg</t>
  </si>
  <si>
    <t>Z:\nemtode\general\website_mirrors\nematode.unl.edu_2022_09_21\dotenu4.jpg</t>
  </si>
  <si>
    <t>Z:\nemtode\general\website_mirrors\nematode.unl.edu_2022_09_21\dotenu8.jpg</t>
  </si>
  <si>
    <t>Z:\nemtode\general\website_mirrors\nematode.unl.edu_2022_09_21\dorten2.jpg</t>
  </si>
  <si>
    <t>Z:\nemtode\general\website_mirrors\nematode.unl.edu_2022_09_21\doryte3.jpg</t>
  </si>
  <si>
    <t>Z:\nemtode\general\website_mirrors\nematode.unl.edu_2022_09_21\dotenu5.jpg</t>
  </si>
  <si>
    <t>Z:\nemtode\general\website_mirrors\nematode.unl.edu_2022_09_21\dorten6.jpg</t>
  </si>
  <si>
    <t>Z:\nemtode\general\website_mirrors\nematode.unl.edu_2022_09_21\doryte1.jpg</t>
  </si>
  <si>
    <t>Z:\nemtode\general\website_mirrors\nematode.unl.edu_2022_09_21\dorten14.jpg</t>
  </si>
  <si>
    <t>Z:\nemtode\general\website_mirrors\nematode.unl.edu_2022_09_21\dorten10.jpg</t>
  </si>
  <si>
    <t>Z:\nemtode\general\website_mirrors\nematode.unl.edu_2022_09_21\dorten12.jpg</t>
  </si>
  <si>
    <t>Z:\nemtode\general\website_mirrors\nematode.unl.edu_2022_09_21\dorten3.jpg</t>
  </si>
  <si>
    <t>Z:\nemtode\general\website_mirrors\nematode.unl.edu_2022_09_21\doryte5.jpg</t>
  </si>
  <si>
    <t>Z:\nemtode\general\website_mirrors\nematode.unl.edu_2022_09_21\dotenu3.jpg</t>
  </si>
  <si>
    <t>Z:\nemtode\general\website_mirrors\nematode.unl.edu_2022_09_21\dotenu7.jpg</t>
  </si>
  <si>
    <t>Z:\nemtode\general\website_mirrors\nematode.unl.edu_2022_09_21\dorten7.jpg</t>
  </si>
  <si>
    <t>Z:\nemtode\general\website_mirrors\nematode.unl.edu_2022_09_21\doryte4.jpg</t>
  </si>
  <si>
    <t>Z:\nemtode\general\website_mirrors\nematode.unl.edu_2022_09_21\dotenu2.jpg</t>
  </si>
  <si>
    <t>Z:\nemtode\general\website_mirrors\nematode.unl.edu_2022_09_21\dotenu6.jpg</t>
  </si>
  <si>
    <t>Z:\nemtode\general\website_mirrors\nematode.unl.edu_2022_09_21\dvirgin13.jpg</t>
  </si>
  <si>
    <t>Z:\nemtode\general\website_mirrors\nematode.unl.edu_2022_09_21\dvirgin2.jpg</t>
  </si>
  <si>
    <t>Z:\nemtode\general\website_mirrors\nematode.unl.edu_2022_09_21\dvirgin21.jpg</t>
  </si>
  <si>
    <t>Z:\nemtode\general\website_mirrors\nematode.unl.edu_2022_09_21\dvirgin24.jpg</t>
  </si>
  <si>
    <t>Z:\nemtode\general\website_mirrors\nematode.unl.edu_2022_09_21\dvirgin20.jpg</t>
  </si>
  <si>
    <t>Z:\nemtode\general\website_mirrors\nematode.unl.edu_2022_09_21\doryspr.jpg</t>
  </si>
  <si>
    <t>Z:\nemtode\general\website_mirrors\nematode.unl.edu_2022_09_21\doryv11.jpg</t>
  </si>
  <si>
    <t>Z:\nemtode\general\website_mirrors\nematode.unl.edu_2022_09_21\doryv16.jpg</t>
  </si>
  <si>
    <t>Z:\nemtode\general\website_mirrors\nematode.unl.edu_2022_09_21\doryv7.jpg</t>
  </si>
  <si>
    <t>Z:\nemtode\general\website_mirrors\nematode.unl.edu_2022_09_21\dvirgin12.jpg</t>
  </si>
  <si>
    <t>Z:\nemtode\general\website_mirrors\nematode.unl.edu_2022_09_21\dvirgin15.jpg</t>
  </si>
  <si>
    <t>Z:\nemtode\general\website_mirrors\nematode.unl.edu_2022_09_21\dvirgin23.jpg</t>
  </si>
  <si>
    <t>Z:\nemtode\general\website_mirrors\nematode.unl.edu_2022_09_21\dvirgin5.jpg</t>
  </si>
  <si>
    <t>Z:\nemtode\general\website_mirrors\nematode.unl.edu_2022_09_21\dvirgin7.jpg</t>
  </si>
  <si>
    <t>Z:\nemtode\general\website_mirrors\nematode.unl.edu_2022_09_21\dvirgin9.jpg</t>
  </si>
  <si>
    <t>Z:\nemtode\general\website_mirrors\nematode.unl.edu_2022_09_21\doryv6.jpg</t>
  </si>
  <si>
    <t>Z:\nemtode\general\website_mirrors\nematode.unl.edu_2022_09_21\dvirgin11.jpg</t>
  </si>
  <si>
    <t>Z:\nemtode\general\website_mirrors\nematode.unl.edu_2022_09_21\dvirgin16.jpg</t>
  </si>
  <si>
    <t>Z:\nemtode\general\website_mirrors\nematode.unl.edu_2022_09_21\dvirgin18.jpg</t>
  </si>
  <si>
    <t>Z:\nemtode\general\website_mirrors\nematode.unl.edu_2022_09_21\dvirgin19.jpg</t>
  </si>
  <si>
    <t>Z:\nemtode\general\website_mirrors\nematode.unl.edu_2022_09_21\dvirgin26.jpg</t>
  </si>
  <si>
    <t>Z:\nemtode\general\website_mirrors\nematode.unl.edu_2022_09_21\dvirgin27.jpg</t>
  </si>
  <si>
    <t>Z:\nemtode\general\website_mirrors\nematode.unl.edu_2022_09_21\dvirgin6.jpg</t>
  </si>
  <si>
    <t>Z:\nemtode\general\website_mirrors\nematode.unl.edu_2022_09_21\doryeso.jpg</t>
  </si>
  <si>
    <t>Z:\nemtode\general\website_mirrors\nematode.unl.edu_2022_09_21\doryv10.jpg</t>
  </si>
  <si>
    <t>Z:\nemtode\general\website_mirrors\nematode.unl.edu_2022_09_21\doryv12.jpg</t>
  </si>
  <si>
    <t>Z:\nemtode\general\website_mirrors\nematode.unl.edu_2022_09_21\doryv3.jpg</t>
  </si>
  <si>
    <t>Z:\nemtode\general\website_mirrors\nematode.unl.edu_2022_09_21\doryv4.jpg</t>
  </si>
  <si>
    <t>Z:\nemtode\general\website_mirrors\nematode.unl.edu_2022_09_21\doryv1.jpg</t>
  </si>
  <si>
    <t>Z:\nemtode\general\website_mirrors\nematode.unl.edu_2022_09_21\doryv15.jpg</t>
  </si>
  <si>
    <t>Z:\nemtode\general\website_mirrors\nematode.unl.edu_2022_09_21\dvirgin1.jpg</t>
  </si>
  <si>
    <t>Z:\nemtode\general\website_mirrors\nematode.unl.edu_2022_09_21\dorspic.jpg</t>
  </si>
  <si>
    <t>Z:\nemtode\general\website_mirrors\nematode.unl.edu_2022_09_21\doryv9.jpg</t>
  </si>
  <si>
    <t>Z:\nemtode\general\website_mirrors\nematode.unl.edu_2022_09_21\dorysup.jpg</t>
  </si>
  <si>
    <t>Z:\nemtode\general\website_mirrors\nematode.unl.edu_2022_09_21\doryv14.jpg</t>
  </si>
  <si>
    <t>Z:\nemtode\general\website_mirrors\nematode.unl.edu_2022_09_21\doryv2.jpg</t>
  </si>
  <si>
    <t>Z:\nemtode\general\website_mirrors\nematode.unl.edu_2022_09_21\doryv8.jpg</t>
  </si>
  <si>
    <t>Z:\nemtode\general\website_mirrors\nematode.unl.edu_2022_09_21\dvircmp.jpg</t>
  </si>
  <si>
    <t>Z:\nemtode\general\website_mirrors\nematode.unl.edu_2022_09_21\dvirgin10.jpg</t>
  </si>
  <si>
    <t>Z:\nemtode\general\website_mirrors\nematode.unl.edu_2022_09_21\dvirgin14.jpg</t>
  </si>
  <si>
    <t>Z:\nemtode\general\website_mirrors\nematode.unl.edu_2022_09_21\dvirgin22.jpg</t>
  </si>
  <si>
    <t>Z:\nemtode\general\website_mirrors\nematode.unl.edu_2022_09_21\dvirgin25.jpg</t>
  </si>
  <si>
    <t>Z:\nemtode\general\website_mirrors\nematode.unl.edu_2022_09_21\dvirgin28.jpg</t>
  </si>
  <si>
    <t>Z:\nemtode\general\website_mirrors\nematode.unl.edu_2022_09_21\dvirgin3.jpg</t>
  </si>
  <si>
    <t>Z:\nemtode\general\website_mirrors\nematode.unl.edu_2022_09_21\dvirgin4.jpg</t>
  </si>
  <si>
    <t>Z:\nemtode\general\website_mirrors\nematode.unl.edu_2022_09_21\dvirgin8.jpg</t>
  </si>
  <si>
    <t>Z:\nemtode\general\website_mirrors\nematode.unl.edu_2022_09_21\doryv13.jpg</t>
  </si>
  <si>
    <t>Z:\nemtode\general\website_mirrors\nematode.unl.edu_2022_09_21\doryv17.jpg</t>
  </si>
  <si>
    <t>Z:\nemtode\general\website_mirrors\nematode.unl.edu_2022_09_21\dvirgin17.jpg</t>
  </si>
  <si>
    <t>Z:\nemtode\general\website_mirrors\nematode.unl.edu_2022_09_21\oxydir2.jpg</t>
  </si>
  <si>
    <t>Z:\nemtode\general\website_mirrors\nematode.unl.edu_2022_09_21\oxydir4.jpg</t>
  </si>
  <si>
    <t>Z:\nemtode\general\website_mirrors\nematode.unl.edu_2022_09_21\oxydir6.jpg</t>
  </si>
  <si>
    <t>Z:\nemtode\general\website_mirrors\nematode.unl.edu_2022_09_21\oxydir1.jpg</t>
  </si>
  <si>
    <t>Z:\nemtode\general\website_mirrors\nematode.unl.edu_2022_09_21\oxydir5.jpg</t>
  </si>
  <si>
    <t>Z:\nemtode\general\website_mirrors\nematode.unl.edu_2022_09_21\oxydir3.jpg</t>
  </si>
  <si>
    <t>Z:\nemtode\general\website_mirrors\nematode.unl.edu_2022_09_21\oxydir7.jpg</t>
  </si>
  <si>
    <t>Z:\nemtode\general\website_mirrors\nematode.unl.edu_2022_09_21\calodo5.jpg</t>
  </si>
  <si>
    <t>Z:\nemtode\general\website_mirrors\nematode.unl.edu_2022_09_21\calodo2.jpg</t>
  </si>
  <si>
    <t>Z:\nemtode\general\website_mirrors\nematode.unl.edu_2022_09_21\calodo3.jpg</t>
  </si>
  <si>
    <t>Z:\nemtode\general\website_mirrors\nematode.unl.edu_2022_09_21\calodo4.jpg</t>
  </si>
  <si>
    <t>Z:\nemtode\general\website_mirrors\nematode.unl.edu_2022_09_21\calodo6.jpg</t>
  </si>
  <si>
    <t>Z:\nemtode\general\website_mirrors\nematode.unl.edu_2022_09_21\calodo1.jpg</t>
  </si>
  <si>
    <t>Z:\nemtode\general\website_mirrors\nematode.unl.edu_2022_09_21\calodo8.jpg</t>
  </si>
  <si>
    <t>Z:\nemtode\general\website_mirrors\nematode.unl.edu_2022_09_21\calodo7.jpg</t>
  </si>
  <si>
    <t>Z:\nemtode\general\website_mirrors\nematode.unl.edu_2022_09_21\takcul1.jpg</t>
  </si>
  <si>
    <t>Z:\nemtode\general\website_mirrors\nematode.unl.edu_2022_09_21\takcul6.jpg</t>
  </si>
  <si>
    <t>Z:\nemtode\general\website_mirrors\nematode.unl.edu_2022_09_21\takac34.jpg</t>
  </si>
  <si>
    <t>Z:\nemtode\general\website_mirrors\nematode.unl.edu_2022_09_21\takac37.jpg</t>
  </si>
  <si>
    <t>Z:\nemtode\general\website_mirrors\nematode.unl.edu_2022_09_21\takac9.jpg</t>
  </si>
  <si>
    <t>Z:\nemtode\general\website_mirrors\nematode.unl.edu_2022_09_21\takac13.jpg</t>
  </si>
  <si>
    <t>Z:\nemtode\general\website_mirrors\nematode.unl.edu_2022_09_21\takac18.jpg</t>
  </si>
  <si>
    <t>Z:\nemtode\general\website_mirrors\nematode.unl.edu_2022_09_21\takac22.jpg</t>
  </si>
  <si>
    <t>Z:\nemtode\general\website_mirrors\nematode.unl.edu_2022_09_21\takac27.jpg</t>
  </si>
  <si>
    <t>Z:\nemtode\general\website_mirrors\nematode.unl.edu_2022_09_21\takac32.jpg</t>
  </si>
  <si>
    <t>Z:\nemtode\general\website_mirrors\nematode.unl.edu_2022_09_21\takac33.jpg</t>
  </si>
  <si>
    <t>Z:\nemtode\general\website_mirrors\nematode.unl.edu_2022_09_21\takac36.jpg</t>
  </si>
  <si>
    <t>Z:\nemtode\general\website_mirrors\nematode.unl.edu_2022_09_21\takac38.jpg</t>
  </si>
  <si>
    <t>Z:\nemtode\general\website_mirrors\nematode.unl.edu_2022_09_21\takac39.jpg</t>
  </si>
  <si>
    <t>Z:\nemtode\general\website_mirrors\nematode.unl.edu_2022_09_21\takac5.jpg</t>
  </si>
  <si>
    <t>Z:\nemtode\general\website_mirrors\nematode.unl.edu_2022_09_21\takac7.jpg</t>
  </si>
  <si>
    <t>Z:\nemtode\general\website_mirrors\nematode.unl.edu_2022_09_21\takac8.jpg</t>
  </si>
  <si>
    <t>Z:\nemtode\general\website_mirrors\nematode.unl.edu_2022_09_21\takac14.jpg</t>
  </si>
  <si>
    <t>Z:\nemtode\general\website_mirrors\nematode.unl.edu_2022_09_21\takac19.jpg</t>
  </si>
  <si>
    <t>Z:\nemtode\general\website_mirrors\nematode.unl.edu_2022_09_21\takac23.jpg</t>
  </si>
  <si>
    <t>Z:\nemtode\general\website_mirrors\nematode.unl.edu_2022_09_21\takac25.jpg</t>
  </si>
  <si>
    <t>Z:\nemtode\general\website_mirrors\nematode.unl.edu_2022_09_21\takac31.jpg</t>
  </si>
  <si>
    <t>Z:\nemtode\general\website_mirrors\nematode.unl.edu_2022_09_21\takac4.jpg</t>
  </si>
  <si>
    <t>Z:\nemtode\general\website_mirrors\nematode.unl.edu_2022_09_21\takac1.jpg</t>
  </si>
  <si>
    <t>Z:\nemtode\general\website_mirrors\nematode.unl.edu_2022_09_21\takac12.jpg</t>
  </si>
  <si>
    <t>Z:\nemtode\general\website_mirrors\nematode.unl.edu_2022_09_21\takac17.jpg</t>
  </si>
  <si>
    <t>Z:\nemtode\general\website_mirrors\nematode.unl.edu_2022_09_21\takac28.jpg</t>
  </si>
  <si>
    <t>Z:\nemtode\general\website_mirrors\nematode.unl.edu_2022_09_21\takac6.jpg</t>
  </si>
  <si>
    <t>Z:\nemtode\general\website_mirrors\nematode.unl.edu_2022_09_21\takacmp.jpg</t>
  </si>
  <si>
    <t>Z:\nemtode\general\website_mirrors\nematode.unl.edu_2022_09_21\takac11.jpg</t>
  </si>
  <si>
    <t>Z:\nemtode\general\website_mirrors\nematode.unl.edu_2022_09_21\takac16.jpg</t>
  </si>
  <si>
    <t>Z:\nemtode\general\website_mirrors\nematode.unl.edu_2022_09_21\takac2.jpg</t>
  </si>
  <si>
    <t>Z:\nemtode\general\website_mirrors\nematode.unl.edu_2022_09_21\takac21.jpg</t>
  </si>
  <si>
    <t>Z:\nemtode\general\website_mirrors\nematode.unl.edu_2022_09_21\takac24.jpg</t>
  </si>
  <si>
    <t>Z:\nemtode\general\website_mirrors\nematode.unl.edu_2022_09_21\takac26.jpg</t>
  </si>
  <si>
    <t>Z:\nemtode\general\website_mirrors\nematode.unl.edu_2022_09_21\takac29.jpg</t>
  </si>
  <si>
    <t>Z:\nemtode\general\website_mirrors\nematode.unl.edu_2022_09_21\takac35.jpg</t>
  </si>
  <si>
    <t>Z:\nemtode\general\website_mirrors\nematode.unl.edu_2022_09_21\takac40.jpg</t>
  </si>
  <si>
    <t>Z:\nemtode\general\website_mirrors\nematode.unl.edu_2022_09_21\takcul3.jpg</t>
  </si>
  <si>
    <t>Z:\nemtode\general\website_mirrors\nematode.unl.edu_2022_09_21\takcul4.jpg</t>
  </si>
  <si>
    <t>Z:\nemtode\general\website_mirrors\nematode.unl.edu_2022_09_21\takac10.jpg</t>
  </si>
  <si>
    <t>Z:\nemtode\general\website_mirrors\nematode.unl.edu_2022_09_21\takac15.jpg</t>
  </si>
  <si>
    <t>Z:\nemtode\general\website_mirrors\nematode.unl.edu_2022_09_21\takac20.jpg</t>
  </si>
  <si>
    <t>Z:\nemtode\general\website_mirrors\nematode.unl.edu_2022_09_21\takac3.jpg</t>
  </si>
  <si>
    <t>Z:\nemtode\general\website_mirrors\nematode.unl.edu_2022_09_21\takac30.jpg</t>
  </si>
  <si>
    <t>Z:\nemtode\general\website_mirrors\nematode.unl.edu_2022_09_21\takcul2.jpg</t>
  </si>
  <si>
    <t>Z:\nemtode\general\website_mirrors\nematode.unl.edu_2022_09_21\takcul5.jpg</t>
  </si>
  <si>
    <t>Z:\nemtode\general\website_mirrors\nematode.unl.edu_2022_09_21\takco6.jpg</t>
  </si>
  <si>
    <t>Z:\nemtode\general\website_mirrors\nematode.unl.edu_2022_09_21\takco1.jpg</t>
  </si>
  <si>
    <t>Z:\nemtode\general\website_mirrors\nematode.unl.edu_2022_09_21\takco7.jpg</t>
  </si>
  <si>
    <t>Z:\nemtode\general\website_mirrors\nematode.unl.edu_2022_09_21\takco3.jpg</t>
  </si>
  <si>
    <t>Z:\nemtode\general\website_mirrors\nematode.unl.edu_2022_09_21\thocmp.jpg</t>
  </si>
  <si>
    <t>Z:\nemtode\general\website_mirrors\nematode.unl.edu_2022_09_21\takco2.jpg</t>
  </si>
  <si>
    <t>Z:\nemtode\general\website_mirrors\nematode.unl.edu_2022_09_21\takco4.jpg</t>
  </si>
  <si>
    <t>Z:\nemtode\general\website_mirrors\nematode.unl.edu_2022_09_21\takco5.jpg</t>
  </si>
  <si>
    <t>Z:\nemtode\general\website_mirrors\nematode.unl.edu_2022_09_21\takcyli8.jpg</t>
  </si>
  <si>
    <t>Z:\nemtode\general\website_mirrors\nematode.unl.edu_2022_09_21\takcyli4.jpg</t>
  </si>
  <si>
    <t>Z:\nemtode\general\website_mirrors\nematode.unl.edu_2022_09_21\takcy19.jpg</t>
  </si>
  <si>
    <t>Z:\nemtode\general\website_mirrors\nematode.unl.edu_2022_09_21\takcy10.jpg</t>
  </si>
  <si>
    <t>Z:\nemtode\general\website_mirrors\nematode.unl.edu_2022_09_21\takcy13.jpg</t>
  </si>
  <si>
    <t>Z:\nemtode\general\website_mirrors\nematode.unl.edu_2022_09_21\takcy16.jpg</t>
  </si>
  <si>
    <t>Z:\nemtode\general\website_mirrors\nematode.unl.edu_2022_09_21\takcy18.jpg</t>
  </si>
  <si>
    <t>Z:\nemtode\general\website_mirrors\nematode.unl.edu_2022_09_21\takcy3.jpg</t>
  </si>
  <si>
    <t>Z:\nemtode\general\website_mirrors\nematode.unl.edu_2022_09_21\takcy5.jpg</t>
  </si>
  <si>
    <t>Z:\nemtode\general\website_mirrors\nematode.unl.edu_2022_09_21\takcy7.jpg</t>
  </si>
  <si>
    <t>Z:\nemtode\general\website_mirrors\nematode.unl.edu_2022_09_21\takcyli7.jpg</t>
  </si>
  <si>
    <t>Z:\nemtode\general\website_mirrors\nematode.unl.edu_2022_09_21\takcy11.jpg</t>
  </si>
  <si>
    <t>Z:\nemtode\general\website_mirrors\nematode.unl.edu_2022_09_21\takcy14.jpg</t>
  </si>
  <si>
    <t>Z:\nemtode\general\website_mirrors\nematode.unl.edu_2022_09_21\takcy2.jpg</t>
  </si>
  <si>
    <t>Z:\nemtode\general\website_mirrors\nematode.unl.edu_2022_09_21\takcy4.jpg</t>
  </si>
  <si>
    <t>Z:\nemtode\general\website_mirrors\nematode.unl.edu_2022_09_21\takcy8.jpg</t>
  </si>
  <si>
    <t>Z:\nemtode\general\website_mirrors\nematode.unl.edu_2022_09_21\takcyli9.jpg</t>
  </si>
  <si>
    <t>Z:\nemtode\general\website_mirrors\nematode.unl.edu_2022_09_21\tycylindcmp.jpg</t>
  </si>
  <si>
    <t>Z:\nemtode\general\website_mirrors\nematode.unl.edu_2022_09_21\takcy1.jpg</t>
  </si>
  <si>
    <t>Z:\nemtode\general\website_mirrors\nematode.unl.edu_2022_09_21\takcy12.jpg</t>
  </si>
  <si>
    <t>Z:\nemtode\general\website_mirrors\nematode.unl.edu_2022_09_21\takcy15.jpg</t>
  </si>
  <si>
    <t>Z:\nemtode\general\website_mirrors\nematode.unl.edu_2022_09_21\takcy17.jpg</t>
  </si>
  <si>
    <t>Z:\nemtode\general\website_mirrors\nematode.unl.edu_2022_09_21\takcy6.jpg</t>
  </si>
  <si>
    <t>Z:\nemtode\general\website_mirrors\nematode.unl.edu_2022_09_21\takcy9.jpg</t>
  </si>
  <si>
    <t>Z:\nemtode\general\website_mirrors\nematode.unl.edu_2022_09_21\takcyli6.jpg</t>
  </si>
  <si>
    <t>Z:\nemtode\general\website_mirrors\nematode.unl.edu_2022_09_21\takcyli5.jpg</t>
  </si>
  <si>
    <t>Z:\nemtode\general\website_mirrors\nematode.unl.edu_2022_09_21\takel2.jpg</t>
  </si>
  <si>
    <t>Z:\nemtode\general\website_mirrors\nematode.unl.edu_2022_09_21\takel4.jpg</t>
  </si>
  <si>
    <t>Z:\nemtode\general\website_mirrors\nematode.unl.edu_2022_09_21\takel3.jpg</t>
  </si>
  <si>
    <t>Z:\nemtode\general\website_mirrors\nematode.unl.edu_2022_09_21\takalecmp.jpg</t>
  </si>
  <si>
    <t>Z:\nemtode\general\website_mirrors\nematode.unl.edu_2022_09_21\takel1.jpg</t>
  </si>
  <si>
    <t>Z:\nemtode\general\website_mirrors\nematode.unl.edu_2022_09_21\takel5.jpg</t>
  </si>
  <si>
    <t>Z:\nemtode\general\website_mirrors\nematode.unl.edu_2022_09_21\takama2.jpg</t>
  </si>
  <si>
    <t>Z:\nemtode\general\website_mirrors\nematode.unl.edu_2022_09_21\takama6.jpg</t>
  </si>
  <si>
    <t>Z:\nemtode\general\website_mirrors\nematode.unl.edu_2022_09_21\takama3.jpg</t>
  </si>
  <si>
    <t>Z:\nemtode\general\website_mirrors\nematode.unl.edu_2022_09_21\takama1.jpg</t>
  </si>
  <si>
    <t>Z:\nemtode\general\website_mirrors\nematode.unl.edu_2022_09_21\takama4.jpg</t>
  </si>
  <si>
    <t>Z:\nemtode\general\website_mirrors\nematode.unl.edu_2022_09_21\takama5.jpg</t>
  </si>
  <si>
    <t>Z:\nemtode\general\website_mirrors\nematode.unl.edu_2022_09_21\takan14.jpg</t>
  </si>
  <si>
    <t>Z:\nemtode\general\website_mirrors\nematode.unl.edu_2022_09_21\takan16.jpg</t>
  </si>
  <si>
    <t>Z:\nemtode\general\website_mirrors\nematode.unl.edu_2022_09_21\takan2.jpg</t>
  </si>
  <si>
    <t>Z:\nemtode\general\website_mirrors\nematode.unl.edu_2022_09_21\takan6.jpg</t>
  </si>
  <si>
    <t>Z:\nemtode\general\website_mirrors\nematode.unl.edu_2022_09_21\takan8.jpg</t>
  </si>
  <si>
    <t>Z:\nemtode\general\website_mirrors\nematode.unl.edu_2022_09_21\takan1.jpg</t>
  </si>
  <si>
    <t>Z:\nemtode\general\website_mirrors\nematode.unl.edu_2022_09_21\takan13.jpg</t>
  </si>
  <si>
    <t>Z:\nemtode\general\website_mirrors\nematode.unl.edu_2022_09_21\takan4.jpg</t>
  </si>
  <si>
    <t>Z:\nemtode\general\website_mirrors\nematode.unl.edu_2022_09_21\takan5.jpg</t>
  </si>
  <si>
    <t>Z:\nemtode\general\website_mirrors\nematode.unl.edu_2022_09_21\takan9.jpg</t>
  </si>
  <si>
    <t>Z:\nemtode\general\website_mirrors\nematode.unl.edu_2022_09_21\takan12.jpg</t>
  </si>
  <si>
    <t>Z:\nemtode\general\website_mirrors\nematode.unl.edu_2022_09_21\tnothuscmp.jpg</t>
  </si>
  <si>
    <t>Z:\nemtode\general\website_mirrors\nematode.unl.edu_2022_09_21\takan11.jpg</t>
  </si>
  <si>
    <t>Z:\nemtode\general\website_mirrors\nematode.unl.edu_2022_09_21\takan15.jpg</t>
  </si>
  <si>
    <t>Z:\nemtode\general\website_mirrors\nematode.unl.edu_2022_09_21\takan3.jpg</t>
  </si>
  <si>
    <t>Z:\nemtode\general\website_mirrors\nematode.unl.edu_2022_09_21\takan7.jpg</t>
  </si>
  <si>
    <t>Z:\nemtode\general\website_mirrors\nematode.unl.edu_2022_09_21\takan10.jpg</t>
  </si>
  <si>
    <t>Z:\nemtode\general\website_mirrors\nematode.unl.edu_2022_09_21\takas4.jpg</t>
  </si>
  <si>
    <t>Z:\nemtode\general\website_mirrors\nematode.unl.edu_2022_09_21\tsacca1.jpg</t>
  </si>
  <si>
    <t>Z:\nemtode\general\website_mirrors\nematode.unl.edu_2022_09_21\takas13.jpg</t>
  </si>
  <si>
    <t>Z:\nemtode\general\website_mirrors\nematode.unl.edu_2022_09_21\takas5.jpg</t>
  </si>
  <si>
    <t>Z:\nemtode\general\website_mirrors\nematode.unl.edu_2022_09_21\takas8.jpg</t>
  </si>
  <si>
    <t>Z:\nemtode\general\website_mirrors\nematode.unl.edu_2022_09_21\takas12.jpg</t>
  </si>
  <si>
    <t>Z:\nemtode\general\website_mirrors\nematode.unl.edu_2022_09_21\takas6.jpg</t>
  </si>
  <si>
    <t>Z:\nemtode\general\website_mirrors\nematode.unl.edu_2022_09_21\takas9.jpg</t>
  </si>
  <si>
    <t>Z:\nemtode\general\website_mirrors\nematode.unl.edu_2022_09_21\tsacca4.jpg</t>
  </si>
  <si>
    <t>Z:\nemtode\general\website_mirrors\nematode.unl.edu_2022_09_21\takas1.jpg</t>
  </si>
  <si>
    <t>Z:\nemtode\general\website_mirrors\nematode.unl.edu_2022_09_21\takasacmp.jpg</t>
  </si>
  <si>
    <t>Z:\nemtode\general\website_mirrors\nematode.unl.edu_2022_09_21\tsacca2.jpg</t>
  </si>
  <si>
    <t>Z:\nemtode\general\website_mirrors\nematode.unl.edu_2022_09_21\takas10.jpg</t>
  </si>
  <si>
    <t>Z:\nemtode\general\website_mirrors\nematode.unl.edu_2022_09_21\takas11.jpg</t>
  </si>
  <si>
    <t>Z:\nemtode\general\website_mirrors\nematode.unl.edu_2022_09_21\takas2.jpg</t>
  </si>
  <si>
    <t>Z:\nemtode\general\website_mirrors\nematode.unl.edu_2022_09_21\takas7.jpg</t>
  </si>
  <si>
    <t>Z:\nemtode\general\website_mirrors\nematode.unl.edu_2022_09_21\tsacca3.jpg</t>
  </si>
  <si>
    <t>Z:\nemtode\general\website_mirrors\nematode.unl.edu_2022_09_21\tsacca5.jpg</t>
  </si>
  <si>
    <t>Z:\nemtode\general\website_mirrors\nematode.unl.edu_2022_09_21\takas3.jpg</t>
  </si>
  <si>
    <t>Z:\nemtode\general\website_mirrors\nematode.unl.edu_2022_09_21\thoco1.jpg</t>
  </si>
  <si>
    <t>Z:\nemtode\general\website_mirrors\nematode.unl.edu_2022_09_21\crocop1.jpg</t>
  </si>
  <si>
    <t>Z:\nemtode\general\website_mirrors\nematode.unl.edu_2022_09_21\crocop2.jpg</t>
  </si>
  <si>
    <t>Z:\nemtode\general\website_mirrors\nematode.unl.edu_2022_09_21\crocop7.jpg</t>
  </si>
  <si>
    <t>Z:\nemtode\general\website_mirrors\nematode.unl.edu_2022_09_21\crocop5.jpg</t>
  </si>
  <si>
    <t>Z:\nemtode\general\website_mirrors\nematode.unl.edu_2022_09_21\crocop6.jpg</t>
  </si>
  <si>
    <t>Z:\nemtode\general\website_mirrors\nematode.unl.edu_2022_09_21\crocop3.jpg</t>
  </si>
  <si>
    <t>Z:\nemtode\general\website_mirrors\nematode.unl.edu_2022_09_21\crocop4.jpg</t>
  </si>
  <si>
    <t>Z:\nemtode\general\website_mirrors\nematode.unl.edu_2022_09_21\drefle17.jpg</t>
  </si>
  <si>
    <t>Z:\nemtode\general\website_mirrors\nematode.unl.edu_2022_09_21\dreflex3.jpg</t>
  </si>
  <si>
    <t>Z:\nemtode\general\website_mirrors\nematode.unl.edu_2022_09_21\drefle1.jpg</t>
  </si>
  <si>
    <t>Z:\nemtode\general\website_mirrors\nematode.unl.edu_2022_09_21\drefle11.jpg</t>
  </si>
  <si>
    <t>Z:\nemtode\general\website_mirrors\nematode.unl.edu_2022_09_21\drefle12.jpg</t>
  </si>
  <si>
    <t>Z:\nemtode\general\website_mirrors\nematode.unl.edu_2022_09_21\drefle14.jpg</t>
  </si>
  <si>
    <t>Z:\nemtode\general\website_mirrors\nematode.unl.edu_2022_09_21\drefle16.jpg</t>
  </si>
  <si>
    <t>Z:\nemtode\general\website_mirrors\nematode.unl.edu_2022_09_21\drefle21.jpg</t>
  </si>
  <si>
    <t>Z:\nemtode\general\website_mirrors\nematode.unl.edu_2022_09_21\drefle22.jpg</t>
  </si>
  <si>
    <t>Z:\nemtode\general\website_mirrors\nematode.unl.edu_2022_09_21\drefle27.jpg</t>
  </si>
  <si>
    <t>Z:\nemtode\general\website_mirrors\nematode.unl.edu_2022_09_21\drefle28.jpg</t>
  </si>
  <si>
    <t>Z:\nemtode\general\website_mirrors\nematode.unl.edu_2022_09_21\drefle3.jpg</t>
  </si>
  <si>
    <t>Z:\nemtode\general\website_mirrors\nematode.unl.edu_2022_09_21\drefle35.jpg</t>
  </si>
  <si>
    <t>Z:\nemtode\general\website_mirrors\nematode.unl.edu_2022_09_21\drefle8.jpg</t>
  </si>
  <si>
    <t>Z:\nemtode\general\website_mirrors\nematode.unl.edu_2022_09_21\drefle9.jpg</t>
  </si>
  <si>
    <t>Z:\nemtode\general\website_mirrors\nematode.unl.edu_2022_09_21\drefle5.jpg</t>
  </si>
  <si>
    <t>Z:\nemtode\general\website_mirrors\nematode.unl.edu_2022_09_21\drefle18.jpg</t>
  </si>
  <si>
    <t>Z:\nemtode\general\website_mirrors\nematode.unl.edu_2022_09_21\drefle31.jpg</t>
  </si>
  <si>
    <t>Z:\nemtode\general\website_mirrors\nematode.unl.edu_2022_09_21\drefle32.jpg</t>
  </si>
  <si>
    <t>Z:\nemtode\general\website_mirrors\nematode.unl.edu_2022_09_21\drefle19.jpg</t>
  </si>
  <si>
    <t>Z:\nemtode\general\website_mirrors\nematode.unl.edu_2022_09_21\drefle6.jpg</t>
  </si>
  <si>
    <t>Z:\nemtode\general\website_mirrors\nematode.unl.edu_2022_09_21\dreflex4.jpg</t>
  </si>
  <si>
    <t>Z:\nemtode\general\website_mirrors\nematode.unl.edu_2022_09_21\ecum1.jpg</t>
  </si>
  <si>
    <t>Z:\nemtode\general\website_mirrors\nematode.unl.edu_2022_09_21\drefle36.jpg</t>
  </si>
  <si>
    <t>Z:\nemtode\general\website_mirrors\nematode.unl.edu_2022_09_21\drefle30.jpg</t>
  </si>
  <si>
    <t>Z:\nemtode\general\website_mirrors\nematode.unl.edu_2022_09_21\drefle23.jpg</t>
  </si>
  <si>
    <t>Z:\nemtode\general\website_mirrors\nematode.unl.edu_2022_09_21\drefle10.jpg</t>
  </si>
  <si>
    <t>Z:\nemtode\general\website_mirrors\nematode.unl.edu_2022_09_21\drefle15.jpg</t>
  </si>
  <si>
    <t>Z:\nemtode\general\website_mirrors\nematode.unl.edu_2022_09_21\drefle20.jpg</t>
  </si>
  <si>
    <t>Z:\nemtode\general\website_mirrors\nematode.unl.edu_2022_09_21\drefle24.jpg</t>
  </si>
  <si>
    <t>Z:\nemtode\general\website_mirrors\nematode.unl.edu_2022_09_21\drefle25.jpg</t>
  </si>
  <si>
    <t>Z:\nemtode\general\website_mirrors\nematode.unl.edu_2022_09_21\drefle34.jpg</t>
  </si>
  <si>
    <t>Z:\nemtode\general\website_mirrors\nematode.unl.edu_2022_09_21\drefle37.jpg</t>
  </si>
  <si>
    <t>Z:\nemtode\general\website_mirrors\nematode.unl.edu_2022_09_21\drefle7.jpg</t>
  </si>
  <si>
    <t>Z:\nemtode\general\website_mirrors\nematode.unl.edu_2022_09_21\dreflecmp.jpg</t>
  </si>
  <si>
    <t>Z:\nemtode\general\website_mirrors\nematode.unl.edu_2022_09_21\dreflex1.jpg</t>
  </si>
  <si>
    <t>Z:\nemtode\general\website_mirrors\nematode.unl.edu_2022_09_21\dreflex5.jpg</t>
  </si>
  <si>
    <t>Z:\nemtode\general\website_mirrors\nematode.unl.edu_2022_09_21\drefle13.jpg</t>
  </si>
  <si>
    <t>Z:\nemtode\general\website_mirrors\nematode.unl.edu_2022_09_21\drefle2.jpg</t>
  </si>
  <si>
    <t>Z:\nemtode\general\website_mirrors\nematode.unl.edu_2022_09_21\drefle26.jpg</t>
  </si>
  <si>
    <t>Z:\nemtode\general\website_mirrors\nematode.unl.edu_2022_09_21\drefle29.jpg</t>
  </si>
  <si>
    <t>Z:\nemtode\general\website_mirrors\nematode.unl.edu_2022_09_21\drefle33.jpg</t>
  </si>
  <si>
    <t>Z:\nemtode\general\website_mirrors\nematode.unl.edu_2022_09_21\drefle4.jpg</t>
  </si>
  <si>
    <t>Z:\nemtode\general\website_mirrors\nematode.unl.edu_2022_09_21\dreflex2.jpg</t>
  </si>
  <si>
    <t>Z:\nemtode\general\website_mirrors\nematode.unl.edu_2022_09_21\laimy1.jpg</t>
  </si>
  <si>
    <t>Z:\nemtode\general\website_mirrors\nematode.unl.edu_2022_09_21\laimytex8.jpg</t>
  </si>
  <si>
    <t>Z:\nemtode\general\website_mirrors\nematode.unl.edu_2022_09_21\laimho1.jpg</t>
  </si>
  <si>
    <t>Z:\nemtode\general\website_mirrors\nematode.unl.edu_2022_09_21\laimho2.jpg</t>
  </si>
  <si>
    <t>Z:\nemtode\general\website_mirrors\nematode.unl.edu_2022_09_21\laimho3.jpg</t>
  </si>
  <si>
    <t>Z:\nemtode\general\website_mirrors\nematode.unl.edu_2022_09_21\laimy3.jpg</t>
  </si>
  <si>
    <t>Z:\nemtode\general\website_mirrors\nematode.unl.edu_2022_09_21\laimytex2.jpg</t>
  </si>
  <si>
    <t>Z:\nemtode\general\website_mirrors\nematode.unl.edu_2022_09_21\laimytex7.jpg</t>
  </si>
  <si>
    <t>Z:\nemtode\general\website_mirrors\nematode.unl.edu_2022_09_21\laimy4.jpg</t>
  </si>
  <si>
    <t>Z:\nemtode\general\website_mirrors\nematode.unl.edu_2022_09_21\laimytex3.jpg</t>
  </si>
  <si>
    <t>Z:\nemtode\general\website_mirrors\nematode.unl.edu_2022_09_21\laimytex1.jpg</t>
  </si>
  <si>
    <t>Z:\nemtode\general\website_mirrors\nematode.unl.edu_2022_09_21\laimytex6.jpg</t>
  </si>
  <si>
    <t>Z:\nemtode\general\website_mirrors\nematode.unl.edu_2022_09_21\laimy2.jpg</t>
  </si>
  <si>
    <t>Z:\nemtode\general\website_mirrors\nematode.unl.edu_2022_09_21\laimy5.jpg</t>
  </si>
  <si>
    <t>Z:\nemtode\general\website_mirrors\nematode.unl.edu_2022_09_21\laimytex10.jpg</t>
  </si>
  <si>
    <t>Z:\nemtode\general\website_mirrors\nematode.unl.edu_2022_09_21\laimytex5.jpg</t>
  </si>
  <si>
    <t>Z:\nemtode\general\website_mirrors\nematode.unl.edu_2022_09_21\laimytex9.jpg</t>
  </si>
  <si>
    <t>Z:\nemtode\general\website_mirrors\nematode.unl.edu_2022_09_21\laimytex4.jpg</t>
  </si>
  <si>
    <t>Z:\nemtode\general\website_mirrors\nematode.unl.edu_2022_09_21\laimyk2.jpg</t>
  </si>
  <si>
    <t>Z:\nemtode\general\website_mirrors\nematode.unl.edu_2022_09_21\laimyk1.jpg</t>
  </si>
  <si>
    <t>Z:\nemtode\general\website_mirrors\nematode.unl.edu_2022_09_21\laimyk3.jpg</t>
  </si>
  <si>
    <t>Z:\nemtode\general\website_mirrors\nematode.unl.edu_2022_09_21\laimyk4.jpg</t>
  </si>
  <si>
    <t>Z:\nemtode\general\website_mirrors\nematode.unl.edu_2022_09_21\lonchar1.jpg</t>
  </si>
  <si>
    <t>Z:\nemtode\general\website_mirrors\nematode.unl.edu_2022_09_21\mesod1.jpg</t>
  </si>
  <si>
    <t>Z:\nemtode\general\website_mirrors\nematode.unl.edu_2022_09_21\mesod5.jpg</t>
  </si>
  <si>
    <t>Z:\nemtode\general\website_mirrors\nematode.unl.edu_2022_09_21\mesod2.jpg</t>
  </si>
  <si>
    <t>Z:\nemtode\general\website_mirrors\nematode.unl.edu_2022_09_21\mesod7.jpg</t>
  </si>
  <si>
    <t>Z:\nemtode\general\website_mirrors\nematode.unl.edu_2022_09_21\mesod4.jpg</t>
  </si>
  <si>
    <t>Z:\nemtode\general\website_mirrors\nematode.unl.edu_2022_09_21\mesod6.jpg</t>
  </si>
  <si>
    <t>Z:\nemtode\general\website_mirrors\nematode.unl.edu_2022_09_21\mesod3.jpg</t>
  </si>
  <si>
    <t>Z:\nemtode\general\website_mirrors\nematode.unl.edu_2022_09_21\meliss2.jpg</t>
  </si>
  <si>
    <t>Z:\nemtode\general\website_mirrors\nematode.unl.edu_2022_09_21\meliss4.jpg</t>
  </si>
  <si>
    <t>Z:\nemtode\general\website_mirrors\nematode.unl.edu_2022_09_21\meliss5.jpg</t>
  </si>
  <si>
    <t>Z:\nemtode\general\website_mirrors\nematode.unl.edu_2022_09_21\meliss1.jpg</t>
  </si>
  <si>
    <t>Z:\nemtode\general\website_mirrors\nematode.unl.edu_2022_09_21\meliss3.jpg</t>
  </si>
  <si>
    <t>Z:\nemtode\general\website_mirrors\nematode.unl.edu_2022_09_21\melisscmp.jpg</t>
  </si>
  <si>
    <t>Z:\nemtode\general\website_mirrors\nematode.unl.edu_2022_09_21\mesolit9.jpg</t>
  </si>
  <si>
    <t>Z:\nemtode\general\website_mirrors\nematode.unl.edu_2022_09_21\mesolit3.jpg</t>
  </si>
  <si>
    <t>Z:\nemtode\general\website_mirrors\nematode.unl.edu_2022_09_21\mesolit8.jpg</t>
  </si>
  <si>
    <t>Z:\nemtode\general\website_mirrors\nematode.unl.edu_2022_09_21\mesolit4.jpg</t>
  </si>
  <si>
    <t>Z:\nemtode\general\website_mirrors\nematode.unl.edu_2022_09_21\mesolit7.jpg</t>
  </si>
  <si>
    <t>Z:\nemtode\general\website_mirrors\nematode.unl.edu_2022_09_21\mesolit2.jpg</t>
  </si>
  <si>
    <t>Z:\nemtode\general\website_mirrors\nematode.unl.edu_2022_09_21\mesolit6.jpg</t>
  </si>
  <si>
    <t>Z:\nemtode\general\website_mirrors\nematode.unl.edu_2022_09_21\mesolitdrw.jpg</t>
  </si>
  <si>
    <t>Z:\nemtode\general\website_mirrors\nematode.unl.edu_2022_09_21\mesolit1.jpg</t>
  </si>
  <si>
    <t>Z:\nemtode\general\website_mirrors\nematode.unl.edu_2022_09_21\mesolit5.jpg</t>
  </si>
  <si>
    <t>Z:\nemtode\general\website_mirrors\nematode.unl.edu_2022_09_21\mepseu7.jpg</t>
  </si>
  <si>
    <t>Z:\nemtode\general\website_mirrors\nematode.unl.edu_2022_09_21\mepseu12.jpg</t>
  </si>
  <si>
    <t>Z:\nemtode\general\website_mirrors\nematode.unl.edu_2022_09_21\mepseu10.jpg</t>
  </si>
  <si>
    <t>Z:\nemtode\general\website_mirrors\nematode.unl.edu_2022_09_21\mepseu11.jpg</t>
  </si>
  <si>
    <t>Z:\nemtode\general\website_mirrors\nematode.unl.edu_2022_09_21\mepseu20.jpg</t>
  </si>
  <si>
    <t>Z:\nemtode\general\website_mirrors\nematode.unl.edu_2022_09_21\mepseu21.jpg</t>
  </si>
  <si>
    <t>Z:\nemtode\general\website_mirrors\nematode.unl.edu_2022_09_21\mepseu5.jpg</t>
  </si>
  <si>
    <t>Z:\nemtode\general\website_mirrors\nematode.unl.edu_2022_09_21\mepseu19.jpg</t>
  </si>
  <si>
    <t>Z:\nemtode\general\website_mirrors\nematode.unl.edu_2022_09_21\mepseu4.jpg</t>
  </si>
  <si>
    <t>Z:\nemtode\general\website_mirrors\nematode.unl.edu_2022_09_21\mepseu6.jpg</t>
  </si>
  <si>
    <t>Z:\nemtode\general\website_mirrors\nematode.unl.edu_2022_09_21\mepseu1.jpg</t>
  </si>
  <si>
    <t>Z:\nemtode\general\website_mirrors\nematode.unl.edu_2022_09_21\mepseu15.jpg</t>
  </si>
  <si>
    <t>Z:\nemtode\general\website_mirrors\nematode.unl.edu_2022_09_21\mepseucmp.jpg</t>
  </si>
  <si>
    <t>Z:\nemtode\general\website_mirrors\nematode.unl.edu_2022_09_21\mepseu9.jpg</t>
  </si>
  <si>
    <t>Z:\nemtode\general\website_mirrors\nematode.unl.edu_2022_09_21\mepseu14.jpg</t>
  </si>
  <si>
    <t>Z:\nemtode\general\website_mirrors\nematode.unl.edu_2022_09_21\mepseu16.jpg</t>
  </si>
  <si>
    <t>Z:\nemtode\general\website_mirrors\nematode.unl.edu_2022_09_21\mepseu17.jpg</t>
  </si>
  <si>
    <t>Z:\nemtode\general\website_mirrors\nematode.unl.edu_2022_09_21\mepseu2.jpg</t>
  </si>
  <si>
    <t>Z:\nemtode\general\website_mirrors\nematode.unl.edu_2022_09_21\mepseu23.jpg</t>
  </si>
  <si>
    <t>Z:\nemtode\general\website_mirrors\nematode.unl.edu_2022_09_21\mepseu8.jpg</t>
  </si>
  <si>
    <t>Z:\nemtode\general\website_mirrors\nematode.unl.edu_2022_09_21\mepseu13.jpg</t>
  </si>
  <si>
    <t>Z:\nemtode\general\website_mirrors\nematode.unl.edu_2022_09_21\mepseu18.jpg</t>
  </si>
  <si>
    <t>Z:\nemtode\general\website_mirrors\nematode.unl.edu_2022_09_21\mepseu22.jpg</t>
  </si>
  <si>
    <t>Z:\nemtode\general\website_mirrors\nematode.unl.edu_2022_09_21\mepseu3.jpg</t>
  </si>
  <si>
    <t>Z:\nemtode\general\website_mirrors\nematode.unl.edu_2022_09_21\mereccmp.jpg</t>
  </si>
  <si>
    <t>Z:\nemtode\general\website_mirrors\nematode.unl.edu_2022_09_21\merec5.jpg</t>
  </si>
  <si>
    <t>Z:\nemtode\general\website_mirrors\nematode.unl.edu_2022_09_21\merec4.jpg</t>
  </si>
  <si>
    <t>Z:\nemtode\general\website_mirrors\nematode.unl.edu_2022_09_21\merec1.jpg</t>
  </si>
  <si>
    <t>Z:\nemtode\general\website_mirrors\nematode.unl.edu_2022_09_21\merec2.jpg</t>
  </si>
  <si>
    <t>Z:\nemtode\general\website_mirrors\nematode.unl.edu_2022_09_21\merec3.jpg</t>
  </si>
  <si>
    <t>Z:\nemtode\general\website_mirrors\nematode.unl.edu_2022_09_21\mesim2.jpg</t>
  </si>
  <si>
    <t>Z:\nemtode\general\website_mirrors\nematode.unl.edu_2022_09_21\mesim1.jpg</t>
  </si>
  <si>
    <t>Z:\nemtode\general\website_mirrors\nematode.unl.edu_2022_09_21\mesimcmp.jpg</t>
  </si>
  <si>
    <t>Z:\nemtode\general\website_mirrors\nematode.unl.edu_2022_09_21\mesim4.jpg</t>
  </si>
  <si>
    <t>Z:\nemtode\general\website_mirrors\nematode.unl.edu_2022_09_21\mesim3.jpg</t>
  </si>
  <si>
    <t>Z:\nemtode\general\website_mirrors\nematode.unl.edu_2022_09_21\laparafec13.jpg</t>
  </si>
  <si>
    <t>Z:\nemtode\general\website_mirrors\nematode.unl.edu_2022_09_21\laparafec3.jpg</t>
  </si>
  <si>
    <t>Z:\nemtode\general\website_mirrors\nematode.unl.edu_2022_09_21\laparafec11.jpg</t>
  </si>
  <si>
    <t>Z:\nemtode\general\website_mirrors\nematode.unl.edu_2022_09_21\laparafec20.jpg</t>
  </si>
  <si>
    <t>Z:\nemtode\general\website_mirrors\nematode.unl.edu_2022_09_21\laparafec22.jpg</t>
  </si>
  <si>
    <t>Z:\nemtode\general\website_mirrors\nematode.unl.edu_2022_09_21\laparafec14.jpg</t>
  </si>
  <si>
    <t>Z:\nemtode\general\website_mirrors\nematode.unl.edu_2022_09_21\laparafec2.jpg</t>
  </si>
  <si>
    <t>Z:\nemtode\general\website_mirrors\nematode.unl.edu_2022_09_21\laparafec24.jpg</t>
  </si>
  <si>
    <t>Z:\nemtode\general\website_mirrors\nematode.unl.edu_2022_09_21\laparafec6.jpg</t>
  </si>
  <si>
    <t>Z:\nemtode\general\website_mirrors\nematode.unl.edu_2022_09_21\laparafec12.jpg</t>
  </si>
  <si>
    <t>Z:\nemtode\general\website_mirrors\nematode.unl.edu_2022_09_21\laparafec1.jpg</t>
  </si>
  <si>
    <t>Z:\nemtode\general\website_mirrors\nematode.unl.edu_2022_09_21\laparafec10.jpg</t>
  </si>
  <si>
    <t>Z:\nemtode\general\website_mirrors\nematode.unl.edu_2022_09_21\laparafec19.jpg</t>
  </si>
  <si>
    <t>Z:\nemtode\general\website_mirrors\nematode.unl.edu_2022_09_21\laparafec21.jpg</t>
  </si>
  <si>
    <t>Z:\nemtode\general\website_mirrors\nematode.unl.edu_2022_09_21\laparafec16.jpg</t>
  </si>
  <si>
    <t>Z:\nemtode\general\website_mirrors\nematode.unl.edu_2022_09_21\laparafec5.jpg</t>
  </si>
  <si>
    <t>Z:\nemtode\general\website_mirrors\nematode.unl.edu_2022_09_21\laparafec15.jpg</t>
  </si>
  <si>
    <t>Z:\nemtode\general\website_mirrors\nematode.unl.edu_2022_09_21\laparafec4.jpg</t>
  </si>
  <si>
    <t>Z:\nemtode\general\website_mirrors\nematode.unl.edu_2022_09_21\laparafec7.jpg</t>
  </si>
  <si>
    <t>Z:\nemtode\general\website_mirrors\nematode.unl.edu_2022_09_21\laparafec18.jpg</t>
  </si>
  <si>
    <t>Z:\nemtode\general\website_mirrors\nematode.unl.edu_2022_09_21\laparafec23.jpg</t>
  </si>
  <si>
    <t>Z:\nemtode\general\website_mirrors\nematode.unl.edu_2022_09_21\laparafec26.jpg</t>
  </si>
  <si>
    <t>Z:\nemtode\general\website_mirrors\nematode.unl.edu_2022_09_21\laparafec27.jpg</t>
  </si>
  <si>
    <t>Z:\nemtode\general\website_mirrors\nematode.unl.edu_2022_09_21\laparafec28.jpg</t>
  </si>
  <si>
    <t>Z:\nemtode\general\website_mirrors\nematode.unl.edu_2022_09_21\laparafec9.jpg</t>
  </si>
  <si>
    <t>Z:\nemtode\general\website_mirrors\nematode.unl.edu_2022_09_21\laparafec17.jpg</t>
  </si>
  <si>
    <t>Z:\nemtode\general\website_mirrors\nematode.unl.edu_2022_09_21\laparafec25.jpg</t>
  </si>
  <si>
    <t>Z:\nemtode\general\website_mirrors\nematode.unl.edu_2022_09_21\laparafec8.jpg</t>
  </si>
  <si>
    <t>Z:\nemtode\general\website_mirrors\nematode.unl.edu_2022_09_21\prodo1.jpg</t>
  </si>
  <si>
    <t>Z:\nemtode\general\website_mirrors\nematode.unl.edu_2022_09_21\prodo3.jpg</t>
  </si>
  <si>
    <t>Z:\nemtode\general\website_mirrors\nematode.unl.edu_2022_09_21\prodo2.jpg</t>
  </si>
  <si>
    <t>Z:\nemtode\general\website_mirrors\nematode.unl.edu_2022_09_21\thorla6.jpg</t>
  </si>
  <si>
    <t>Z:\nemtode\general\website_mirrors\nematode.unl.edu_2022_09_21\thorla2.jpg</t>
  </si>
  <si>
    <t>Z:\nemtode\general\website_mirrors\nematode.unl.edu_2022_09_21\thorla5.jpg</t>
  </si>
  <si>
    <t>Z:\nemtode\general\website_mirrors\nematode.unl.edu_2022_09_21\thorla1.jpg</t>
  </si>
  <si>
    <t>Z:\nemtode\general\website_mirrors\nematode.unl.edu_2022_09_21\thorla10.jpg</t>
  </si>
  <si>
    <t>Z:\nemtode\general\website_mirrors\nematode.unl.edu_2022_09_21\thorla7.jpg</t>
  </si>
  <si>
    <t>Z:\nemtode\general\website_mirrors\nematode.unl.edu_2022_09_21\thorla4.jpg</t>
  </si>
  <si>
    <t>Z:\nemtode\general\website_mirrors\nematode.unl.edu_2022_09_21\thorla9.jpg</t>
  </si>
  <si>
    <t>Z:\nemtode\general\website_mirrors\nematode.unl.edu_2022_09_21\thorla8.jpg</t>
  </si>
  <si>
    <t>Z:\nemtode\general\website_mirrors\nematode.unl.edu_2022_09_21\thorla11.jpg</t>
  </si>
  <si>
    <t>Z:\nemtode\general\website_mirrors\nematode.unl.edu_2022_09_21\thorla3.jpg</t>
  </si>
  <si>
    <t>Z:\nemtode\general\website_mirrors\nematode.unl.edu_2022_09_21\oriver3.jpg</t>
  </si>
  <si>
    <t>Z:\nemtode\general\website_mirrors\nematode.unl.edu_2022_09_21\oriver10.jpg</t>
  </si>
  <si>
    <t>Z:\nemtode\general\website_mirrors\nematode.unl.edu_2022_09_21\oriver11.jpg</t>
  </si>
  <si>
    <t>Z:\nemtode\general\website_mirrors\nematode.unl.edu_2022_09_21\oriver13.jpg</t>
  </si>
  <si>
    <t>Z:\nemtode\general\website_mirrors\nematode.unl.edu_2022_09_21\oriver15.jpg</t>
  </si>
  <si>
    <t>Z:\nemtode\general\website_mirrors\nematode.unl.edu_2022_09_21\oriver2.jpg</t>
  </si>
  <si>
    <t>Z:\nemtode\general\website_mirrors\nematode.unl.edu_2022_09_21\oriver7.jpg</t>
  </si>
  <si>
    <t>Z:\nemtode\general\website_mirrors\nematode.unl.edu_2022_09_21\oriver9.jpg</t>
  </si>
  <si>
    <t>Z:\nemtode\general\website_mirrors\nematode.unl.edu_2022_09_21\oriver6.jpg</t>
  </si>
  <si>
    <t>Z:\nemtode\general\website_mirrors\nematode.unl.edu_2022_09_21\oriver1.jpg</t>
  </si>
  <si>
    <t>Z:\nemtode\general\website_mirrors\nematode.unl.edu_2022_09_21\oriver8.jpg</t>
  </si>
  <si>
    <t>Z:\nemtode\general\website_mirrors\nematode.unl.edu_2022_09_21\oriver14.jpg</t>
  </si>
  <si>
    <t>Z:\nemtode\general\website_mirrors\nematode.unl.edu_2022_09_21\oriver12.jpg</t>
  </si>
  <si>
    <t>Z:\nemtode\general\website_mirrors\nematode.unl.edu_2022_09_21\oriver5.jpg</t>
  </si>
  <si>
    <t>Z:\nemtode\general\website_mirrors\nematode.unl.edu_2022_09_21\oriver4.jpg</t>
  </si>
  <si>
    <t>Z:\nemtode\general\website_mirrors\nematode.unl.edu_2022_09_21\apole1.jpg</t>
  </si>
  <si>
    <t>Z:\nemtode\general\website_mirrors\nematode.unl.edu_2022_09_21\apole4.jpg</t>
  </si>
  <si>
    <t>Z:\nemtode\general\website_mirrors\nematode.unl.edu_2022_09_21\apole5.jpg</t>
  </si>
  <si>
    <t>Z:\nemtode\general\website_mirrors\nematode.unl.edu_2022_09_21\apole7.jpg</t>
  </si>
  <si>
    <t>Z:\nemtode\general\website_mirrors\nematode.unl.edu_2022_09_21\apole3.jpg</t>
  </si>
  <si>
    <t>Z:\nemtode\general\website_mirrors\nematode.unl.edu_2022_09_21\apole2.jpg</t>
  </si>
  <si>
    <t>Z:\nemtode\general\website_mirrors\nematode.unl.edu_2022_09_21\apole6.jpg</t>
  </si>
  <si>
    <t>Z:\nemtode\general\website_mirrors\nematode.unl.edu_2022_09_21\funca1.jpg</t>
  </si>
  <si>
    <t>Z:\nemtode\general\website_mirrors\nematode.unl.edu_2022_09_21\funca4.jpg</t>
  </si>
  <si>
    <t>Z:\nemtode\general\website_mirrors\nematode.unl.edu_2022_09_21\funca3.jpg</t>
  </si>
  <si>
    <t>Z:\nemtode\general\website_mirrors\nematode.unl.edu_2022_09_21\funca2.jpg</t>
  </si>
  <si>
    <t>Z:\nemtode\general\website_mirrors\nematode.unl.edu_2022_09_21\funca5.jpg</t>
  </si>
  <si>
    <t>Z:\nemtode\general\website_mirrors\nematode.unl.edu_2022_09_21\leptoncr3.jpg</t>
  </si>
  <si>
    <t>Z:\nemtode\general\website_mirrors\nematode.unl.edu_2022_09_21\legran19.jpg</t>
  </si>
  <si>
    <t>Z:\nemtode\general\website_mirrors\nematode.unl.edu_2022_09_21\legran21.jpg</t>
  </si>
  <si>
    <t>Z:\nemtode\general\website_mirrors\nematode.unl.edu_2022_09_21\leptog1.jpg</t>
  </si>
  <si>
    <t>Z:\nemtode\general\website_mirrors\nematode.unl.edu_2022_09_21\legra11.jpg</t>
  </si>
  <si>
    <t>Z:\nemtode\general\website_mirrors\nematode.unl.edu_2022_09_21\legra15.jpg</t>
  </si>
  <si>
    <t>Z:\nemtode\general\website_mirrors\nematode.unl.edu_2022_09_21\legra7.jpg</t>
  </si>
  <si>
    <t>Z:\nemtode\general\website_mirrors\nematode.unl.edu_2022_09_21\legra9.jpg</t>
  </si>
  <si>
    <t>Z:\nemtode\general\website_mirrors\nematode.unl.edu_2022_09_21\legran11.jpg</t>
  </si>
  <si>
    <t>Z:\nemtode\general\website_mirrors\nematode.unl.edu_2022_09_21\legran12.jpg</t>
  </si>
  <si>
    <t>Z:\nemtode\general\website_mirrors\nematode.unl.edu_2022_09_21\legran16.jpg</t>
  </si>
  <si>
    <t>Z:\nemtode\general\website_mirrors\nematode.unl.edu_2022_09_21\legran20.jpg</t>
  </si>
  <si>
    <t>Z:\nemtode\general\website_mirrors\nematode.unl.edu_2022_09_21\legran22.jpg</t>
  </si>
  <si>
    <t>Z:\nemtode\general\website_mirrors\nematode.unl.edu_2022_09_21\legran7.jpg</t>
  </si>
  <si>
    <t>Z:\nemtode\general\website_mirrors\nematode.unl.edu_2022_09_21\legran8.jpg</t>
  </si>
  <si>
    <t>Z:\nemtode\general\website_mirrors\nematode.unl.edu_2022_09_21\legran9.jpg</t>
  </si>
  <si>
    <t>Z:\nemtode\general\website_mirrors\nematode.unl.edu_2022_09_21\leptoncr2.jpg</t>
  </si>
  <si>
    <t>Z:\nemtode\general\website_mirrors\nematode.unl.edu_2022_09_21\legra12.jpg</t>
  </si>
  <si>
    <t>Z:\nemtode\general\website_mirrors\nematode.unl.edu_2022_09_21\legra3.jpg</t>
  </si>
  <si>
    <t>Z:\nemtode\general\website_mirrors\nematode.unl.edu_2022_09_21\legran1.jpg</t>
  </si>
  <si>
    <t>Z:\nemtode\general\website_mirrors\nematode.unl.edu_2022_09_21\legran6.jpg</t>
  </si>
  <si>
    <t>Z:\nemtode\general\website_mirrors\nematode.unl.edu_2022_09_21\legra14.jpg</t>
  </si>
  <si>
    <t>Z:\nemtode\general\website_mirrors\nematode.unl.edu_2022_09_21\legra6.jpg</t>
  </si>
  <si>
    <t>Z:\nemtode\general\website_mirrors\nematode.unl.edu_2022_09_21\legran15.jpg</t>
  </si>
  <si>
    <t>Z:\nemtode\general\website_mirrors\nematode.unl.edu_2022_09_21\leptoncr1.jpg</t>
  </si>
  <si>
    <t>Z:\nemtode\general\website_mirrors\nematode.unl.edu_2022_09_21\legra2.jpg</t>
  </si>
  <si>
    <t>Z:\nemtode\general\website_mirrors\nematode.unl.edu_2022_09_21\legracmp.jpg</t>
  </si>
  <si>
    <t>Z:\nemtode\general\website_mirrors\nematode.unl.edu_2022_09_21\legran18.jpg</t>
  </si>
  <si>
    <t>Z:\nemtode\general\website_mirrors\nematode.unl.edu_2022_09_21\leptoncr4.jpg</t>
  </si>
  <si>
    <t>Z:\nemtode\general\website_mirrors\nematode.unl.edu_2022_09_21\legra8.jpg</t>
  </si>
  <si>
    <t>Z:\nemtode\general\website_mirrors\nematode.unl.edu_2022_09_21\legra1.jpg</t>
  </si>
  <si>
    <t>Z:\nemtode\general\website_mirrors\nematode.unl.edu_2022_09_21\legra10.jpg</t>
  </si>
  <si>
    <t>Z:\nemtode\general\website_mirrors\nematode.unl.edu_2022_09_21\legra16.jpg</t>
  </si>
  <si>
    <t>Z:\nemtode\general\website_mirrors\nematode.unl.edu_2022_09_21\legra4.jpg</t>
  </si>
  <si>
    <t>Z:\nemtode\general\website_mirrors\nematode.unl.edu_2022_09_21\legran14.jpg</t>
  </si>
  <si>
    <t>Z:\nemtode\general\website_mirrors\nematode.unl.edu_2022_09_21\legran17.jpg</t>
  </si>
  <si>
    <t>Z:\nemtode\general\website_mirrors\nematode.unl.edu_2022_09_21\legran23.jpg</t>
  </si>
  <si>
    <t>Z:\nemtode\general\website_mirrors\nematode.unl.edu_2022_09_21\legran3.jpg</t>
  </si>
  <si>
    <t>Z:\nemtode\general\website_mirrors\nematode.unl.edu_2022_09_21\legran4.jpg</t>
  </si>
  <si>
    <t>Z:\nemtode\general\website_mirrors\nematode.unl.edu_2022_09_21\leptog2.jpg</t>
  </si>
  <si>
    <t>Z:\nemtode\general\website_mirrors\nematode.unl.edu_2022_09_21\leptoncr6.jpg</t>
  </si>
  <si>
    <t>Z:\nemtode\general\website_mirrors\nematode.unl.edu_2022_09_21\legra13.jpg</t>
  </si>
  <si>
    <t>Z:\nemtode\general\website_mirrors\nematode.unl.edu_2022_09_21\legra5.jpg</t>
  </si>
  <si>
    <t>Z:\nemtode\general\website_mirrors\nematode.unl.edu_2022_09_21\legran10.jpg</t>
  </si>
  <si>
    <t>Z:\nemtode\general\website_mirrors\nematode.unl.edu_2022_09_21\legran13.jpg</t>
  </si>
  <si>
    <t>Z:\nemtode\general\website_mirrors\nematode.unl.edu_2022_09_21\legran2.jpg</t>
  </si>
  <si>
    <t>Z:\nemtode\general\website_mirrors\nematode.unl.edu_2022_09_21\legran5.jpg</t>
  </si>
  <si>
    <t>Z:\nemtode\general\website_mirrors\nematode.unl.edu_2022_09_21\leptoncr5.jpg</t>
  </si>
  <si>
    <t>Z:\nemtode\general\website_mirrors\nematode.unl.edu_2022_09_21\lemic9.jpg</t>
  </si>
  <si>
    <t>Z:\nemtode\general\website_mirrors\nematode.unl.edu_2022_09_21\lemic1.jpg</t>
  </si>
  <si>
    <t>Z:\nemtode\general\website_mirrors\nematode.unl.edu_2022_09_21\lemic10.jpg</t>
  </si>
  <si>
    <t>Z:\nemtode\general\website_mirrors\nematode.unl.edu_2022_09_21\lemic4.jpg</t>
  </si>
  <si>
    <t>Z:\nemtode\general\website_mirrors\nematode.unl.edu_2022_09_21\lemic7.jpg</t>
  </si>
  <si>
    <t>Z:\nemtode\general\website_mirrors\nematode.unl.edu_2022_09_21\lemic2.jpg</t>
  </si>
  <si>
    <t>Z:\nemtode\general\website_mirrors\nematode.unl.edu_2022_09_21\lemic6.jpg</t>
  </si>
  <si>
    <t>Z:\nemtode\general\website_mirrors\nematode.unl.edu_2022_09_21\lemic8.jpg</t>
  </si>
  <si>
    <t>Z:\nemtode\general\website_mirrors\nematode.unl.edu_2022_09_21\lemiccmp.jpg</t>
  </si>
  <si>
    <t>Z:\nemtode\general\website_mirrors\nematode.unl.edu_2022_09_21\lemic3.jpg</t>
  </si>
  <si>
    <t>Z:\nemtode\general\website_mirrors\nematode.unl.edu_2022_09_21\lemic5.jpg</t>
  </si>
  <si>
    <t>Z:\nemtode\general\website_mirrors\nematode.unl.edu_2022_09_21\tylpec9.jpg</t>
  </si>
  <si>
    <t>Z:\nemtode\general\website_mirrors\nematode.unl.edu_2022_09_21\tylpec3.jpg</t>
  </si>
  <si>
    <t>Z:\nemtode\general\website_mirrors\nematode.unl.edu_2022_09_21\tylpec7.jpg</t>
  </si>
  <si>
    <t>Z:\nemtode\general\website_mirrors\nematode.unl.edu_2022_09_21\tylepro1.jpg</t>
  </si>
  <si>
    <t>Z:\nemtode\general\website_mirrors\nematode.unl.edu_2022_09_21\tylpec10.jpg</t>
  </si>
  <si>
    <t>Z:\nemtode\general\website_mirrors\nematode.unl.edu_2022_09_21\tylpec13.jpg</t>
  </si>
  <si>
    <t>Z:\nemtode\general\website_mirrors\nematode.unl.edu_2022_09_21\tylpec2.jpg</t>
  </si>
  <si>
    <t>Z:\nemtode\general\website_mirrors\nematode.unl.edu_2022_09_21\tylpec6.jpg</t>
  </si>
  <si>
    <t>Z:\nemtode\general\website_mirrors\nematode.unl.edu_2022_09_21\tylpro1.jpg</t>
  </si>
  <si>
    <t>Z:\nemtode\general\website_mirrors\nematode.unl.edu_2022_09_21\tylepro2.jpg</t>
  </si>
  <si>
    <t>Z:\nemtode\general\website_mirrors\nematode.unl.edu_2022_09_21\tylpec11.jpg</t>
  </si>
  <si>
    <t>Z:\nemtode\general\website_mirrors\nematode.unl.edu_2022_09_21\tylpec1.jpg</t>
  </si>
  <si>
    <t>Z:\nemtode\general\website_mirrors\nematode.unl.edu_2022_09_21\tylproj1.jpg</t>
  </si>
  <si>
    <t>Z:\nemtode\general\website_mirrors\nematode.unl.edu_2022_09_21\tylpec14.jpg</t>
  </si>
  <si>
    <t>Z:\nemtode\general\website_mirrors\nematode.unl.edu_2022_09_21\tylpec15.jpg</t>
  </si>
  <si>
    <t>Z:\nemtode\general\website_mirrors\nematode.unl.edu_2022_09_21\tylpec12.jpg</t>
  </si>
  <si>
    <t>Z:\nemtode\general\website_mirrors\nematode.unl.edu_2022_09_21\tylpec5.jpg</t>
  </si>
  <si>
    <t>Z:\nemtode\general\website_mirrors\nematode.unl.edu_2022_09_21\tylpec4.jpg</t>
  </si>
  <si>
    <t>Z:\nemtode\general\website_mirrors\nematode.unl.edu_2022_09_21\tylpec8.jpg</t>
  </si>
  <si>
    <t>Z:\nemtode\general\website_mirrors\nematode.unl.edu_2022_09_21\longmi3.jpg</t>
  </si>
  <si>
    <t>Z:\nemtode\general\website_mirrors\nematode.unl.edu_2022_09_21\longmi2.jpg</t>
  </si>
  <si>
    <t>Z:\nemtode\general\website_mirrors\nematode.unl.edu_2022_09_21\longsty.jpg</t>
  </si>
  <si>
    <t>Z:\nemtode\general\website_mirrors\nematode.unl.edu_2022_09_21\longmi1.jpg</t>
  </si>
  <si>
    <t>Z:\nemtode\general\website_mirrors\nematode.unl.edu_2022_09_21\longmi4.jpg</t>
  </si>
  <si>
    <t>Z:\nemtode\general\website_mirrors\nematode.unl.edu_2022_09_21\lobrevi2.jpg</t>
  </si>
  <si>
    <t>Z:\nemtode\general\website_mirrors\nematode.unl.edu_2022_09_21\lobrevi5.jpg</t>
  </si>
  <si>
    <t>Z:\nemtode\general\website_mirrors\nematode.unl.edu_2022_09_21\lobre1.jpg</t>
  </si>
  <si>
    <t>Z:\nemtode\general\website_mirrors\nematode.unl.edu_2022_09_21\lobrevi1.jpg</t>
  </si>
  <si>
    <t>Z:\nemtode\general\website_mirrors\nematode.unl.edu_2022_09_21\lobrevcmp.jpg</t>
  </si>
  <si>
    <t>Z:\nemtode\general\website_mirrors\nematode.unl.edu_2022_09_21\lobrevi4.jpg</t>
  </si>
  <si>
    <t>Z:\nemtode\general\website_mirrors\nematode.unl.edu_2022_09_21\lobrevi7.jpg</t>
  </si>
  <si>
    <t>Z:\nemtode\general\website_mirrors\nematode.unl.edu_2022_09_21\lobrevi3.jpg</t>
  </si>
  <si>
    <t>Z:\nemtode\general\website_mirrors\nematode.unl.edu_2022_09_21\lobrevi6.jpg</t>
  </si>
  <si>
    <t>Z:\nemtode\general\website_mirrors\nematode.unl.edu_2022_09_21\xiphis1.jpg</t>
  </si>
  <si>
    <t>Z:\nemtode\general\website_mirrors\nematode.unl.edu_2022_09_21\xiam6.jpg</t>
  </si>
  <si>
    <t>Z:\nemtode\general\website_mirrors\nematode.unl.edu_2022_09_21\xiam7.jpg</t>
  </si>
  <si>
    <t>Z:\nemtode\general\website_mirrors\nematode.unl.edu_2022_09_21\xiam2.jpg</t>
  </si>
  <si>
    <t>Z:\nemtode\general\website_mirrors\nematode.unl.edu_2022_09_21\xiagw2.jpg</t>
  </si>
  <si>
    <t>Z:\nemtode\general\website_mirrors\nematode.unl.edu_2022_09_21\xiam15.jpg</t>
  </si>
  <si>
    <t>Z:\nemtode\general\website_mirrors\nematode.unl.edu_2022_09_21\xiam18.jpg</t>
  </si>
  <si>
    <t>Z:\nemtode\general\website_mirrors\nematode.unl.edu_2022_09_21\xiam4.jpg</t>
  </si>
  <si>
    <t>Z:\nemtode\general\website_mirrors\nematode.unl.edu_2022_09_21\xiam9.jpg</t>
  </si>
  <si>
    <t>Z:\nemtode\general\website_mirrors\nematode.unl.edu_2022_09_21\xipham3.jpg</t>
  </si>
  <si>
    <t>Z:\nemtode\general\website_mirrors\nematode.unl.edu_2022_09_21\xiphamer2.jpg</t>
  </si>
  <si>
    <t>Z:\nemtode\general\website_mirrors\nematode.unl.edu_2022_09_21\xiagw3.jpg</t>
  </si>
  <si>
    <t>Z:\nemtode\general\website_mirrors\nematode.unl.edu_2022_09_21\xiphamer3.jpg</t>
  </si>
  <si>
    <t>Z:\nemtode\general\website_mirrors\nematode.unl.edu_2022_09_21\xiagw1.jpg</t>
  </si>
  <si>
    <t>Z:\nemtode\general\website_mirrors\nematode.unl.edu_2022_09_21\xiam5.jpg</t>
  </si>
  <si>
    <t>Z:\nemtode\general\website_mirrors\nematode.unl.edu_2022_09_21\xiam8.jpg</t>
  </si>
  <si>
    <t>Z:\nemtode\general\website_mirrors\nematode.unl.edu_2022_09_21\xipham1.jpg</t>
  </si>
  <si>
    <t>Z:\nemtode\general\website_mirrors\nematode.unl.edu_2022_09_21\xipham2.jpg</t>
  </si>
  <si>
    <t>Z:\nemtode\general\website_mirrors\nematode.unl.edu_2022_09_21\xiphamer1.jpg</t>
  </si>
  <si>
    <t>Z:\nemtode\general\website_mirrors\nematode.unl.edu_2022_09_21\xiam12.jpg</t>
  </si>
  <si>
    <t>Z:\nemtode\general\website_mirrors\nematode.unl.edu_2022_09_21\xiamcmp.jpg</t>
  </si>
  <si>
    <t>Z:\nemtode\general\website_mirrors\nematode.unl.edu_2022_09_21\xiam11.jpg</t>
  </si>
  <si>
    <t>Z:\nemtode\general\website_mirrors\nematode.unl.edu_2022_09_21\xipam1.jpg</t>
  </si>
  <si>
    <t>Z:\nemtode\general\website_mirrors\nematode.unl.edu_2022_09_21\xiam16.jpg</t>
  </si>
  <si>
    <t>Z:\nemtode\general\website_mirrors\nematode.unl.edu_2022_09_21\xiagw5.jpg</t>
  </si>
  <si>
    <t>Z:\nemtode\general\website_mirrors\nematode.unl.edu_2022_09_21\xiam10.jpg</t>
  </si>
  <si>
    <t>Z:\nemtode\general\website_mirrors\nematode.unl.edu_2022_09_21\xiam19.jpg</t>
  </si>
  <si>
    <t>Z:\nemtode\general\website_mirrors\nematode.unl.edu_2022_09_21\xiam3.jpg</t>
  </si>
  <si>
    <t>Z:\nemtode\general\website_mirrors\nematode.unl.edu_2022_09_21\xipham5.jpg</t>
  </si>
  <si>
    <t>Z:\nemtode\general\website_mirrors\nematode.unl.edu_2022_09_21\xiphamer5.jpg</t>
  </si>
  <si>
    <t>Z:\nemtode\general\website_mirrors\nematode.unl.edu_2022_09_21\xiagw4.jpg</t>
  </si>
  <si>
    <t>Z:\nemtode\general\website_mirrors\nematode.unl.edu_2022_09_21\xiam1.jpg</t>
  </si>
  <si>
    <t>Z:\nemtode\general\website_mirrors\nematode.unl.edu_2022_09_21\xiam13.jpg</t>
  </si>
  <si>
    <t>Z:\nemtode\general\website_mirrors\nematode.unl.edu_2022_09_21\xiam14.jpg</t>
  </si>
  <si>
    <t>Z:\nemtode\general\website_mirrors\nematode.unl.edu_2022_09_21\xipham4.jpg</t>
  </si>
  <si>
    <t>Z:\nemtode\general\website_mirrors\nematode.unl.edu_2022_09_21\xiphamer4.jpg</t>
  </si>
  <si>
    <t>Z:\nemtode\general\website_mirrors\nematode.unl.edu_2022_09_21\xibrasil13.jpg</t>
  </si>
  <si>
    <t>Z:\nemtode\general\website_mirrors\nematode.unl.edu_2022_09_21\xibrasil7.jpg</t>
  </si>
  <si>
    <t>Z:\nemtode\general\website_mirrors\nematode.unl.edu_2022_09_21\xibrasil2.jpg</t>
  </si>
  <si>
    <t>Z:\nemtode\general\website_mirrors\nematode.unl.edu_2022_09_21\xibrasil3.jpg</t>
  </si>
  <si>
    <t>Z:\nemtode\general\website_mirrors\nematode.unl.edu_2022_09_21\xibrasil9.jpg</t>
  </si>
  <si>
    <t>Z:\nemtode\general\website_mirrors\nematode.unl.edu_2022_09_21\xibrasil1.jpg</t>
  </si>
  <si>
    <t>Z:\nemtode\general\website_mirrors\nematode.unl.edu_2022_09_21\xibrasil14.jpg</t>
  </si>
  <si>
    <t>Z:\nemtode\general\website_mirrors\nematode.unl.edu_2022_09_21\xibrasil15.jpg</t>
  </si>
  <si>
    <t>Z:\nemtode\general\website_mirrors\nematode.unl.edu_2022_09_21\xibrasil8.jpg</t>
  </si>
  <si>
    <t>Z:\nemtode\general\website_mirrors\nematode.unl.edu_2022_09_21\xibrasil4.jpg</t>
  </si>
  <si>
    <t>Z:\nemtode\general\website_mirrors\nematode.unl.edu_2022_09_21\xibrasil10.jpg</t>
  </si>
  <si>
    <t>Z:\nemtode\general\website_mirrors\nematode.unl.edu_2022_09_21\xibrasil12.jpg</t>
  </si>
  <si>
    <t>Z:\nemtode\general\website_mirrors\nematode.unl.edu_2022_09_21\xibrasil6.jpg</t>
  </si>
  <si>
    <t>Z:\nemtode\general\website_mirrors\nematode.unl.edu_2022_09_21\xibrasil11.jpg</t>
  </si>
  <si>
    <t>Z:\nemtode\general\website_mirrors\nematode.unl.edu_2022_09_21\xibrasil5.jpg</t>
  </si>
  <si>
    <t>Z:\nemtode\general\website_mirrors\nematode.unl.edu_2022_09_21\xiphibe6.jpg</t>
  </si>
  <si>
    <t>Z:\nemtode\general\website_mirrors\nematode.unl.edu_2022_09_21\xiphibe2.jpg</t>
  </si>
  <si>
    <t>Z:\nemtode\general\website_mirrors\nematode.unl.edu_2022_09_21\xiphibe5.jpg</t>
  </si>
  <si>
    <t>Z:\nemtode\general\website_mirrors\nematode.unl.edu_2022_09_21\xiphibe1.jpg</t>
  </si>
  <si>
    <t>Z:\nemtode\general\website_mirrors\nematode.unl.edu_2022_09_21\xiphibe3.jpg</t>
  </si>
  <si>
    <t>Z:\nemtode\general\website_mirrors\nematode.unl.edu_2022_09_21\xiphibe4.jpg</t>
  </si>
  <si>
    <t>Z:\nemtode\general\website_mirrors\nematode.unl.edu_2022_09_21\xiphibe8.jpg</t>
  </si>
  <si>
    <t>Z:\nemtode\general\website_mirrors\nematode.unl.edu_2022_09_21\xiphibe7.jpg</t>
  </si>
  <si>
    <t>Z:\nemtode\general\website_mirrors\nematode.unl.edu_2022_09_21\xcost3.jpg</t>
  </si>
  <si>
    <t>Z:\nemtode\general\website_mirrors\nematode.unl.edu_2022_09_21\xcost8.jpg</t>
  </si>
  <si>
    <t>Z:\nemtode\general\website_mirrors\nematode.unl.edu_2022_09_21\xcost2.jpg</t>
  </si>
  <si>
    <t>Z:\nemtode\general\website_mirrors\nematode.unl.edu_2022_09_21\xcost9.jpg</t>
  </si>
  <si>
    <t>Z:\nemtode\general\website_mirrors\nematode.unl.edu_2022_09_21\xcost1.jpg</t>
  </si>
  <si>
    <t>Z:\nemtode\general\website_mirrors\nematode.unl.edu_2022_09_21\xcost7.jpg</t>
  </si>
  <si>
    <t>Z:\nemtode\general\website_mirrors\nematode.unl.edu_2022_09_21\xcost4.jpg</t>
  </si>
  <si>
    <t>Z:\nemtode\general\website_mirrors\nematode.unl.edu_2022_09_21\xcost10.jpg</t>
  </si>
  <si>
    <t>Z:\nemtode\general\website_mirrors\nematode.unl.edu_2022_09_21\xcost6.jpg</t>
  </si>
  <si>
    <t>Z:\nemtode\general\website_mirrors\nematode.unl.edu_2022_09_21\xcost5.jpg</t>
  </si>
  <si>
    <t>Z:\nemtode\general\website_mirrors\nematode.unl.edu_2022_09_21\xindexdrw.jpg</t>
  </si>
  <si>
    <t>Z:\nemtode\general\website_mirrors\nematode.unl.edu_2022_09_21\xiphiv8.jpg</t>
  </si>
  <si>
    <t>Z:\nemtode\general\website_mirrors\nematode.unl.edu_2022_09_21\xiphiv15.jpg</t>
  </si>
  <si>
    <t>Z:\nemtode\general\website_mirrors\nematode.unl.edu_2022_09_21\xiphiv22.jpg</t>
  </si>
  <si>
    <t>Z:\nemtode\general\website_mirrors\nematode.unl.edu_2022_09_21\xiphiv25.jpg</t>
  </si>
  <si>
    <t>Z:\nemtode\general\website_mirrors\nematode.unl.edu_2022_09_21\xiphiv29.jpg</t>
  </si>
  <si>
    <t>Z:\nemtode\general\website_mirrors\nematode.unl.edu_2022_09_21\xiphiv31.jpg</t>
  </si>
  <si>
    <t>Z:\nemtode\general\website_mirrors\nematode.unl.edu_2022_09_21\xiphiv36.jpg</t>
  </si>
  <si>
    <t>Z:\nemtode\general\website_mirrors\nematode.unl.edu_2022_09_21\xiphiv45.jpg</t>
  </si>
  <si>
    <t>Z:\nemtode\general\website_mirrors\nematode.unl.edu_2022_09_21\xiphiv50.jpg</t>
  </si>
  <si>
    <t>Z:\nemtode\general\website_mirrors\nematode.unl.edu_2022_09_21\xiphiv59.jpg</t>
  </si>
  <si>
    <t>Z:\nemtode\general\website_mirrors\nematode.unl.edu_2022_09_21\xiphiv61.jpg</t>
  </si>
  <si>
    <t>Z:\nemtode\general\website_mirrors\nematode.unl.edu_2022_09_21\xiphiv7.jpg</t>
  </si>
  <si>
    <t>Z:\nemtode\general\website_mirrors\nematode.unl.edu_2022_09_21\xiphiv47.jpg</t>
  </si>
  <si>
    <t>Z:\nemtode\general\website_mirrors\nematode.unl.edu_2022_09_21\xiphiv11.jpg</t>
  </si>
  <si>
    <t>Z:\nemtode\general\website_mirrors\nematode.unl.edu_2022_09_21\xiphiv37.jpg</t>
  </si>
  <si>
    <t>Z:\nemtode\general\website_mirrors\nematode.unl.edu_2022_09_21\xiphiv46.jpg</t>
  </si>
  <si>
    <t>Z:\nemtode\general\website_mirrors\nematode.unl.edu_2022_09_21\xiphiv51.jpg</t>
  </si>
  <si>
    <t>Z:\nemtode\general\website_mirrors\nematode.unl.edu_2022_09_21\xiphiv56.jpg</t>
  </si>
  <si>
    <t>Z:\nemtode\general\website_mirrors\nematode.unl.edu_2022_09_21\xiphiv63.jpg</t>
  </si>
  <si>
    <t>Z:\nemtode\general\website_mirrors\nematode.unl.edu_2022_09_21\xiphiv3.jpg</t>
  </si>
  <si>
    <t>Z:\nemtode\general\website_mirrors\nematode.unl.edu_2022_09_21\xiphiv38.jpg</t>
  </si>
  <si>
    <t>Z:\nemtode\general\website_mirrors\nematode.unl.edu_2022_09_21\xiphiv12.jpg</t>
  </si>
  <si>
    <t>Z:\nemtode\general\website_mirrors\nematode.unl.edu_2022_09_21\xiphiv14.jpg</t>
  </si>
  <si>
    <t>Z:\nemtode\general\website_mirrors\nematode.unl.edu_2022_09_21\xiphiv32.jpg</t>
  </si>
  <si>
    <t>Z:\nemtode\general\website_mirrors\nematode.unl.edu_2022_09_21\xiphiv34.jpg</t>
  </si>
  <si>
    <t>Z:\nemtode\general\website_mirrors\nematode.unl.edu_2022_09_21\xiphiv41.jpg</t>
  </si>
  <si>
    <t>Z:\nemtode\general\website_mirrors\nematode.unl.edu_2022_09_21\xiphiv43.jpg</t>
  </si>
  <si>
    <t>Z:\nemtode\general\website_mirrors\nematode.unl.edu_2022_09_21\xiphiv55.jpg</t>
  </si>
  <si>
    <t>Z:\nemtode\general\website_mirrors\nematode.unl.edu_2022_09_21\xiphivcmp.jpg</t>
  </si>
  <si>
    <t>Z:\nemtode\general\website_mirrors\nematode.unl.edu_2022_09_21\xiphiv13.jpg</t>
  </si>
  <si>
    <t>Z:\nemtode\general\website_mirrors\nematode.unl.edu_2022_09_21\xiphiv33.jpg</t>
  </si>
  <si>
    <t>Z:\nemtode\general\website_mirrors\nematode.unl.edu_2022_09_21\xiphiv35.jpg</t>
  </si>
  <si>
    <t>Z:\nemtode\general\website_mirrors\nematode.unl.edu_2022_09_21\xiphiv44.jpg</t>
  </si>
  <si>
    <t>Z:\nemtode\general\website_mirrors\nematode.unl.edu_2022_09_21\xiphiv62.jpg</t>
  </si>
  <si>
    <t>Z:\nemtode\general\website_mirrors\nematode.unl.edu_2022_09_21\xiphiv42.jpg</t>
  </si>
  <si>
    <t>Z:\nemtode\general\website_mirrors\nematode.unl.edu_2022_09_21\xiphiv2.jpg</t>
  </si>
  <si>
    <t>Z:\nemtode\general\website_mirrors\nematode.unl.edu_2022_09_21\xiphiv21.jpg</t>
  </si>
  <si>
    <t>Z:\nemtode\general\website_mirrors\nematode.unl.edu_2022_09_21\xiphiv26.jpg</t>
  </si>
  <si>
    <t>Z:\nemtode\general\website_mirrors\nematode.unl.edu_2022_09_21\xiphiv39.jpg</t>
  </si>
  <si>
    <t>Z:\nemtode\general\website_mirrors\nematode.unl.edu_2022_09_21\xiphiv40.jpg</t>
  </si>
  <si>
    <t>Z:\nemtode\general\website_mirrors\nematode.unl.edu_2022_09_21\xiphiv49.jpg</t>
  </si>
  <si>
    <t>Z:\nemtode\general\website_mirrors\nematode.unl.edu_2022_09_21\xiphiv52.jpg</t>
  </si>
  <si>
    <t>Z:\nemtode\general\website_mirrors\nematode.unl.edu_2022_09_21\xiphiv54.jpg</t>
  </si>
  <si>
    <t>Z:\nemtode\general\website_mirrors\nematode.unl.edu_2022_09_21\xiphiv58.jpg</t>
  </si>
  <si>
    <t>Z:\nemtode\general\website_mirrors\nematode.unl.edu_2022_09_21\xiphiv60.jpg</t>
  </si>
  <si>
    <t>Z:\nemtode\general\website_mirrors\nematode.unl.edu_2022_09_21\xiphiv64.jpg</t>
  </si>
  <si>
    <t>Z:\nemtode\general\website_mirrors\nematode.unl.edu_2022_09_21\xiphiv9.jpg</t>
  </si>
  <si>
    <t>Z:\nemtode\general\website_mirrors\nematode.unl.edu_2022_09_21\xiphiv48.jpg</t>
  </si>
  <si>
    <t>Z:\nemtode\general\website_mirrors\nematode.unl.edu_2022_09_21\xiphiv10.jpg</t>
  </si>
  <si>
    <t>Z:\nemtode\general\website_mirrors\nematode.unl.edu_2022_09_21\xiphiv20.jpg</t>
  </si>
  <si>
    <t>Z:\nemtode\general\website_mirrors\nematode.unl.edu_2022_09_21\xiphiv23.jpg</t>
  </si>
  <si>
    <t>Z:\nemtode\general\website_mirrors\nematode.unl.edu_2022_09_21\xiphiv27.jpg</t>
  </si>
  <si>
    <t>Z:\nemtode\general\website_mirrors\nematode.unl.edu_2022_09_21\xiphiv57.jpg</t>
  </si>
  <si>
    <t>Z:\nemtode\general\website_mirrors\nematode.unl.edu_2022_09_21\xiphiv24.jpg</t>
  </si>
  <si>
    <t>Z:\nemtode\general\website_mirrors\nematode.unl.edu_2022_09_21\xiphiv28.jpg</t>
  </si>
  <si>
    <t>Z:\nemtode\general\website_mirrors\nematode.unl.edu_2022_09_21\xiphiv30.jpg</t>
  </si>
  <si>
    <t>Z:\nemtode\general\website_mirrors\nematode.unl.edu_2022_09_21\dordehd.jpg</t>
  </si>
  <si>
    <t>Z:\nemtode\general\website_mirrors\nematode.unl.edu_2022_09_21\dordetl.jpg</t>
  </si>
  <si>
    <t>Z:\nemtode\general\website_mirrors\nematode.unl.edu_2022_09_21\dorele20.jpg</t>
  </si>
  <si>
    <t>Z:\nemtode\general\website_mirrors\nematode.unl.edu_2022_09_21\dorele11.jpg</t>
  </si>
  <si>
    <t>Z:\nemtode\general\website_mirrors\nematode.unl.edu_2022_09_21\dorele21.jpg</t>
  </si>
  <si>
    <t>Z:\nemtode\general\website_mirrors\nematode.unl.edu_2022_09_21\dorele9.jpg</t>
  </si>
  <si>
    <t>Z:\nemtode\general\website_mirrors\nematode.unl.edu_2022_09_21\deleg1.jpg</t>
  </si>
  <si>
    <t>Z:\nemtode\general\website_mirrors\nematode.unl.edu_2022_09_21\dorele1.jpg</t>
  </si>
  <si>
    <t>Z:\nemtode\general\website_mirrors\nematode.unl.edu_2022_09_21\dorele10.jpg</t>
  </si>
  <si>
    <t>Z:\nemtode\general\website_mirrors\nematode.unl.edu_2022_09_21\dorele12.jpg</t>
  </si>
  <si>
    <t>Z:\nemtode\general\website_mirrors\nematode.unl.edu_2022_09_21\dorele16.jpg</t>
  </si>
  <si>
    <t>Z:\nemtode\general\website_mirrors\nematode.unl.edu_2022_09_21\dorele7.jpg</t>
  </si>
  <si>
    <t>Z:\nemtode\general\website_mirrors\nematode.unl.edu_2022_09_21\dorele8.jpg</t>
  </si>
  <si>
    <t>Z:\nemtode\general\website_mirrors\nematode.unl.edu_2022_09_21\deleg2.jpg</t>
  </si>
  <si>
    <t>Z:\nemtode\general\website_mirrors\nematode.unl.edu_2022_09_21\dorele14.jpg</t>
  </si>
  <si>
    <t>Z:\nemtode\general\website_mirrors\nematode.unl.edu_2022_09_21\dorele6.jpg</t>
  </si>
  <si>
    <t>Z:\nemtode\general\website_mirrors\nematode.unl.edu_2022_09_21\dorele17.jpg</t>
  </si>
  <si>
    <t>Z:\nemtode\general\website_mirrors\nematode.unl.edu_2022_09_21\dorele2.jpg</t>
  </si>
  <si>
    <t>Z:\nemtode\general\website_mirrors\nematode.unl.edu_2022_09_21\dorele3.jpg</t>
  </si>
  <si>
    <t>Z:\nemtode\general\website_mirrors\nematode.unl.edu_2022_09_21\dorelecmp.jpg</t>
  </si>
  <si>
    <t>Z:\nemtode\general\website_mirrors\nematode.unl.edu_2022_09_21\dorele18.jpg</t>
  </si>
  <si>
    <t>Z:\nemtode\general\website_mirrors\nematode.unl.edu_2022_09_21\deleg4.jpg</t>
  </si>
  <si>
    <t>Z:\nemtode\general\website_mirrors\nematode.unl.edu_2022_09_21\dorele19.jpg</t>
  </si>
  <si>
    <t>Z:\nemtode\general\website_mirrors\nematode.unl.edu_2022_09_21\dorele4.jpg</t>
  </si>
  <si>
    <t>Z:\nemtode\general\website_mirrors\nematode.unl.edu_2022_09_21\deleg3.jpg</t>
  </si>
  <si>
    <t>Z:\nemtode\general\website_mirrors\nematode.unl.edu_2022_09_21\dorele13.jpg</t>
  </si>
  <si>
    <t>Z:\nemtode\general\website_mirrors\nematode.unl.edu_2022_09_21\dorele15.jpg</t>
  </si>
  <si>
    <t>Z:\nemtode\general\website_mirrors\nematode.unl.edu_2022_09_21\dorele5.jpg</t>
  </si>
  <si>
    <t>Z:\nemtode\general\website_mirrors\nematode.unl.edu_2022_09_21\domiletz10.jpg</t>
  </si>
  <si>
    <t>Z:\nemtode\general\website_mirrors\nematode.unl.edu_2022_09_21\domiletz13.jpg</t>
  </si>
  <si>
    <t>Z:\nemtode\general\website_mirrors\nematode.unl.edu_2022_09_21\domiletz2.jpg</t>
  </si>
  <si>
    <t>Z:\nemtode\general\website_mirrors\nematode.unl.edu_2022_09_21\domiletz6.jpg</t>
  </si>
  <si>
    <t>Z:\nemtode\general\website_mirrors\nematode.unl.edu_2022_09_21\domiletz7.jpg</t>
  </si>
  <si>
    <t>Z:\nemtode\general\website_mirrors\nematode.unl.edu_2022_09_21\domiletz1.jpg</t>
  </si>
  <si>
    <t>Z:\nemtode\general\website_mirrors\nematode.unl.edu_2022_09_21\domiletz5.jpg</t>
  </si>
  <si>
    <t>Z:\nemtode\general\website_mirrors\nematode.unl.edu_2022_09_21\domiletz12.jpg</t>
  </si>
  <si>
    <t>Z:\nemtode\general\website_mirrors\nematode.unl.edu_2022_09_21\domiletz14.jpg</t>
  </si>
  <si>
    <t>Z:\nemtode\general\website_mirrors\nematode.unl.edu_2022_09_21\domiletz4.jpg</t>
  </si>
  <si>
    <t>Z:\nemtode\general\website_mirrors\nematode.unl.edu_2022_09_21\domiletz9.jpg</t>
  </si>
  <si>
    <t>Z:\nemtode\general\website_mirrors\nematode.unl.edu_2022_09_21\domiletz11.jpg</t>
  </si>
  <si>
    <t>Z:\nemtode\general\website_mirrors\nematode.unl.edu_2022_09_21\domiletz3.jpg</t>
  </si>
  <si>
    <t>Z:\nemtode\general\website_mirrors\nematode.unl.edu_2022_09_21\domiletz8.jpg</t>
  </si>
  <si>
    <t>Z:\nemtode\general\website_mirrors\nematode.unl.edu_2022_09_21\calicy2.jpg</t>
  </si>
  <si>
    <t>Z:\nemtode\general\website_mirrors\nematode.unl.edu_2022_09_21\calicy5.jpg</t>
  </si>
  <si>
    <t>Z:\nemtode\general\website_mirrors\nematode.unl.edu_2022_09_21\calicy1.jpg</t>
  </si>
  <si>
    <t>Z:\nemtode\general\website_mirrors\nematode.unl.edu_2022_09_21\calicy3.jpg</t>
  </si>
  <si>
    <t>Z:\nemtode\general\website_mirrors\nematode.unl.edu_2022_09_21\calicy4.jpg</t>
  </si>
  <si>
    <t>Z:\nemtode\general\website_mirrors\nematode.unl.edu_2022_09_21\calicy7.jpg</t>
  </si>
  <si>
    <t>Z:\nemtode\general\website_mirrors\nematode.unl.edu_2022_09_21\calicy6.jpg</t>
  </si>
  <si>
    <t>Z:\nemtode\general\website_mirrors\nematode.unl.edu_2022_09_21\enchos2.jpg</t>
  </si>
  <si>
    <t>Z:\nemtode\general\website_mirrors\nematode.unl.edu_2022_09_21\enchos4.jpg</t>
  </si>
  <si>
    <t>Z:\nemtode\general\website_mirrors\nematode.unl.edu_2022_09_21\enchos5.jpg</t>
  </si>
  <si>
    <t>Z:\nemtode\general\website_mirrors\nematode.unl.edu_2022_09_21\enchos1.jpg</t>
  </si>
  <si>
    <t>Z:\nemtode\general\website_mirrors\nematode.unl.edu_2022_09_21\enchos3.jpg</t>
  </si>
  <si>
    <t>Z:\nemtode\general\website_mirrors\nematode.unl.edu_2022_09_21\enchos6.jpg</t>
  </si>
  <si>
    <t>Z:\nemtode\general\website_mirrors\nematode.unl.edu_2022_09_21\enchana9.jpg</t>
  </si>
  <si>
    <t>Z:\nemtode\general\website_mirrors\nematode.unl.edu_2022_09_21\enchana2.jpg</t>
  </si>
  <si>
    <t>Z:\nemtode\general\website_mirrors\nematode.unl.edu_2022_09_21\enchana3.jpg</t>
  </si>
  <si>
    <t>Z:\nemtode\general\website_mirrors\nematode.unl.edu_2022_09_21\enchana7.jpg</t>
  </si>
  <si>
    <t>Z:\nemtode\general\website_mirrors\nematode.unl.edu_2022_09_21\enchana1.jpg</t>
  </si>
  <si>
    <t>Z:\nemtode\general\website_mirrors\nematode.unl.edu_2022_09_21\enchana6.jpg</t>
  </si>
  <si>
    <t>Z:\nemtode\general\website_mirrors\nematode.unl.edu_2022_09_21\enchana5.jpg</t>
  </si>
  <si>
    <t>Z:\nemtode\general\website_mirrors\nematode.unl.edu_2022_09_21\enchana8.jpg</t>
  </si>
  <si>
    <t>Z:\nemtode\general\website_mirrors\nematode.unl.edu_2022_09_21\enchana4.jpg</t>
  </si>
  <si>
    <t>Z:\nemtode\general\website_mirrors\nematode.unl.edu_2022_09_21\encho1.jpg</t>
  </si>
  <si>
    <t>Z:\nemtode\general\website_mirrors\nematode.unl.edu_2022_09_21\encho21.jpg</t>
  </si>
  <si>
    <t>Z:\nemtode\general\website_mirrors\nematode.unl.edu_2022_09_21\encho12.jpg</t>
  </si>
  <si>
    <t>Z:\nemtode\general\website_mirrors\nematode.unl.edu_2022_09_21\encho17.jpg</t>
  </si>
  <si>
    <t>Z:\nemtode\general\website_mirrors\nematode.unl.edu_2022_09_21\encho3.jpg</t>
  </si>
  <si>
    <t>Z:\nemtode\general\website_mirrors\nematode.unl.edu_2022_09_21\elong10.jpg</t>
  </si>
  <si>
    <t>Z:\nemtode\general\website_mirrors\nematode.unl.edu_2022_09_21\encho10.jpg</t>
  </si>
  <si>
    <t>Z:\nemtode\general\website_mirrors\nematode.unl.edu_2022_09_21\encho16.jpg</t>
  </si>
  <si>
    <t>Z:\nemtode\general\website_mirrors\nematode.unl.edu_2022_09_21\encho18.jpg</t>
  </si>
  <si>
    <t>Z:\nemtode\general\website_mirrors\nematode.unl.edu_2022_09_21\encho19.jpg</t>
  </si>
  <si>
    <t>Z:\nemtode\general\website_mirrors\nematode.unl.edu_2022_09_21\encho2.jpg</t>
  </si>
  <si>
    <t>Z:\nemtode\general\website_mirrors\nematode.unl.edu_2022_09_21\encho26.jpg</t>
  </si>
  <si>
    <t>Z:\nemtode\general\website_mirrors\nematode.unl.edu_2022_09_21\ehope1.jpg</t>
  </si>
  <si>
    <t>Z:\nemtode\general\website_mirrors\nematode.unl.edu_2022_09_21\ehope5.jpg</t>
  </si>
  <si>
    <t>Z:\nemtode\general\website_mirrors\nematode.unl.edu_2022_09_21\elong1.jpg</t>
  </si>
  <si>
    <t>Z:\nemtode\general\website_mirrors\nematode.unl.edu_2022_09_21\elong5.jpg</t>
  </si>
  <si>
    <t>Z:\nemtode\general\website_mirrors\nematode.unl.edu_2022_09_21\elong9.jpg</t>
  </si>
  <si>
    <t>Z:\nemtode\general\website_mirrors\nematode.unl.edu_2022_09_21\encho15.jpg</t>
  </si>
  <si>
    <t>Z:\nemtode\general\website_mirrors\nematode.unl.edu_2022_09_21\ehope2.jpg</t>
  </si>
  <si>
    <t>Z:\nemtode\general\website_mirrors\nematode.unl.edu_2022_09_21\elong6.jpg</t>
  </si>
  <si>
    <t>Z:\nemtode\general\website_mirrors\nematode.unl.edu_2022_09_21\enchocmp.jpg</t>
  </si>
  <si>
    <t>Z:\nemtode\general\website_mirrors\nematode.unl.edu_2022_09_21\encho11.jpg</t>
  </si>
  <si>
    <t>Z:\nemtode\general\website_mirrors\nematode.unl.edu_2022_09_21\encho6.jpg</t>
  </si>
  <si>
    <t>Z:\nemtode\general\website_mirrors\nematode.unl.edu_2022_09_21\encho7.jpg</t>
  </si>
  <si>
    <t>Z:\nemtode\general\website_mirrors\nematode.unl.edu_2022_09_21\encho9.jpg</t>
  </si>
  <si>
    <t>Z:\nemtode\general\website_mirrors\nematode.unl.edu_2022_09_21\elong7.jpg</t>
  </si>
  <si>
    <t>Z:\nemtode\general\website_mirrors\nematode.unl.edu_2022_09_21\encho23.jpg</t>
  </si>
  <si>
    <t>Z:\nemtode\general\website_mirrors\nematode.unl.edu_2022_09_21\encho13.jpg</t>
  </si>
  <si>
    <t>Z:\nemtode\general\website_mirrors\nematode.unl.edu_2022_09_21\encho20.jpg</t>
  </si>
  <si>
    <t>Z:\nemtode\general\website_mirrors\nematode.unl.edu_2022_09_21\encho24.jpg</t>
  </si>
  <si>
    <t>Z:\nemtode\general\website_mirrors\nematode.unl.edu_2022_09_21\encho25.jpg</t>
  </si>
  <si>
    <t>Z:\nemtode\general\website_mirrors\nematode.unl.edu_2022_09_21\encho28.jpg</t>
  </si>
  <si>
    <t>Z:\nemtode\general\website_mirrors\nematode.unl.edu_2022_09_21\encho5.jpg</t>
  </si>
  <si>
    <t>Z:\nemtode\general\website_mirrors\nematode.unl.edu_2022_09_21\ehope4.jpg</t>
  </si>
  <si>
    <t>Z:\nemtode\general\website_mirrors\nematode.unl.edu_2022_09_21\ehope7.jpg</t>
  </si>
  <si>
    <t>Z:\nemtode\general\website_mirrors\nematode.unl.edu_2022_09_21\elong11.jpg</t>
  </si>
  <si>
    <t>Z:\nemtode\general\website_mirrors\nematode.unl.edu_2022_09_21\elong4.jpg</t>
  </si>
  <si>
    <t>Z:\nemtode\general\website_mirrors\nematode.unl.edu_2022_09_21\encho22.jpg</t>
  </si>
  <si>
    <t>Z:\nemtode\general\website_mirrors\nematode.unl.edu_2022_09_21\encho14.jpg</t>
  </si>
  <si>
    <t>Z:\nemtode\general\website_mirrors\nematode.unl.edu_2022_09_21\encho27.jpg</t>
  </si>
  <si>
    <t>Z:\nemtode\general\website_mirrors\nematode.unl.edu_2022_09_21\encho4.jpg</t>
  </si>
  <si>
    <t>Z:\nemtode\general\website_mirrors\nematode.unl.edu_2022_09_21\ehope3.jpg</t>
  </si>
  <si>
    <t>Z:\nemtode\general\website_mirrors\nematode.unl.edu_2022_09_21\ehope6.jpg</t>
  </si>
  <si>
    <t>Z:\nemtode\general\website_mirrors\nematode.unl.edu_2022_09_21\elong3.jpg</t>
  </si>
  <si>
    <t>Z:\nemtode\general\website_mirrors\nematode.unl.edu_2022_09_21\elong8.jpg</t>
  </si>
  <si>
    <t>Z:\nemtode\general\website_mirrors\nematode.unl.edu_2022_09_21\encha28.jpg</t>
  </si>
  <si>
    <t>Z:\nemtode\general\website_mirrors\nematode.unl.edu_2022_09_21\encha13.jpg</t>
  </si>
  <si>
    <t>Z:\nemtode\general\website_mirrors\nematode.unl.edu_2022_09_21\encha14.jpg</t>
  </si>
  <si>
    <t>Z:\nemtode\general\website_mirrors\nematode.unl.edu_2022_09_21\encha17.jpg</t>
  </si>
  <si>
    <t>Z:\nemtode\general\website_mirrors\nematode.unl.edu_2022_09_21\encha20.jpg</t>
  </si>
  <si>
    <t>Z:\nemtode\general\website_mirrors\nematode.unl.edu_2022_09_21\encha23.jpg</t>
  </si>
  <si>
    <t>Z:\nemtode\general\website_mirrors\nematode.unl.edu_2022_09_21\encha27.jpg</t>
  </si>
  <si>
    <t>Z:\nemtode\general\website_mirrors\nematode.unl.edu_2022_09_21\encha31.jpg</t>
  </si>
  <si>
    <t>Z:\nemtode\general\website_mirrors\nematode.unl.edu_2022_09_21\encha5.jpg</t>
  </si>
  <si>
    <t>Z:\nemtode\general\website_mirrors\nematode.unl.edu_2022_09_21\encha6.jpg</t>
  </si>
  <si>
    <t>Z:\nemtode\general\website_mirrors\nematode.unl.edu_2022_09_21\encha8.jpg</t>
  </si>
  <si>
    <t>Z:\nemtode\general\website_mirrors\nematode.unl.edu_2022_09_21\encha11.jpg</t>
  </si>
  <si>
    <t>Z:\nemtode\general\website_mirrors\nematode.unl.edu_2022_09_21\encha12.jpg</t>
  </si>
  <si>
    <t>Z:\nemtode\general\website_mirrors\nematode.unl.edu_2022_09_21\encha19.jpg</t>
  </si>
  <si>
    <t>Z:\nemtode\general\website_mirrors\nematode.unl.edu_2022_09_21\encha2.jpg</t>
  </si>
  <si>
    <t>Z:\nemtode\general\website_mirrors\nematode.unl.edu_2022_09_21\encha32.jpg</t>
  </si>
  <si>
    <t>Z:\nemtode\general\website_mirrors\nematode.unl.edu_2022_09_21\encha1.jpg</t>
  </si>
  <si>
    <t>Z:\nemtode\general\website_mirrors\nematode.unl.edu_2022_09_21\encha22.jpg</t>
  </si>
  <si>
    <t>Z:\nemtode\general\website_mirrors\nematode.unl.edu_2022_09_21\encha26.jpg</t>
  </si>
  <si>
    <t>Z:\nemtode\general\website_mirrors\nematode.unl.edu_2022_09_21\encha7.jpg</t>
  </si>
  <si>
    <t>Z:\nemtode\general\website_mirrors\nematode.unl.edu_2022_09_21\encha16.jpg</t>
  </si>
  <si>
    <t>Z:\nemtode\general\website_mirrors\nematode.unl.edu_2022_09_21\encha18.jpg</t>
  </si>
  <si>
    <t>Z:\nemtode\general\website_mirrors\nematode.unl.edu_2022_09_21\encha21.jpg</t>
  </si>
  <si>
    <t>Z:\nemtode\general\website_mirrors\nematode.unl.edu_2022_09_21\encha25.jpg</t>
  </si>
  <si>
    <t>Z:\nemtode\general\website_mirrors\nematode.unl.edu_2022_09_21\encha3.jpg</t>
  </si>
  <si>
    <t>Z:\nemtode\general\website_mirrors\nematode.unl.edu_2022_09_21\encha30.jpg</t>
  </si>
  <si>
    <t>Z:\nemtode\general\website_mirrors\nematode.unl.edu_2022_09_21\encha34.jpg</t>
  </si>
  <si>
    <t>Z:\nemtode\general\website_mirrors\nematode.unl.edu_2022_09_21\encha10.jpg</t>
  </si>
  <si>
    <t>Z:\nemtode\general\website_mirrors\nematode.unl.edu_2022_09_21\encha15.jpg</t>
  </si>
  <si>
    <t>Z:\nemtode\general\website_mirrors\nematode.unl.edu_2022_09_21\encha24.jpg</t>
  </si>
  <si>
    <t>Z:\nemtode\general\website_mirrors\nematode.unl.edu_2022_09_21\encha29.jpg</t>
  </si>
  <si>
    <t>Z:\nemtode\general\website_mirrors\nematode.unl.edu_2022_09_21\encha33.jpg</t>
  </si>
  <si>
    <t>Z:\nemtode\general\website_mirrors\nematode.unl.edu_2022_09_21\encha4.jpg</t>
  </si>
  <si>
    <t>Z:\nemtode\general\website_mirrors\nematode.unl.edu_2022_09_21\encha9.jpg</t>
  </si>
  <si>
    <t>Z:\nemtode\general\website_mirrors\nematode.unl.edu_2022_09_21\enchbr14.jpg</t>
  </si>
  <si>
    <t>Z:\nemtode\general\website_mirrors\nematode.unl.edu_2022_09_21\encb5.jpg</t>
  </si>
  <si>
    <t>Z:\nemtode\general\website_mirrors\nematode.unl.edu_2022_09_21\encb6.jpg</t>
  </si>
  <si>
    <t>Z:\nemtode\general\website_mirrors\nematode.unl.edu_2022_09_21\encbre1.jpg</t>
  </si>
  <si>
    <t>Z:\nemtode\general\website_mirrors\nematode.unl.edu_2022_09_21\encbre3.jpg</t>
  </si>
  <si>
    <t>Z:\nemtode\general\website_mirrors\nematode.unl.edu_2022_09_21\encbre5.jpg</t>
  </si>
  <si>
    <t>Z:\nemtode\general\website_mirrors\nematode.unl.edu_2022_09_21\encbre8.jpg</t>
  </si>
  <si>
    <t>Z:\nemtode\general\website_mirrors\nematode.unl.edu_2022_09_21\enchbr10.jpg</t>
  </si>
  <si>
    <t>Z:\nemtode\general\website_mirrors\nematode.unl.edu_2022_09_21\enchbr13.jpg</t>
  </si>
  <si>
    <t>Z:\nemtode\general\website_mirrors\nematode.unl.edu_2022_09_21\enchbr17.jpg</t>
  </si>
  <si>
    <t>Z:\nemtode\general\website_mirrors\nematode.unl.edu_2022_09_21\enchbr18.jpg</t>
  </si>
  <si>
    <t>Z:\nemtode\general\website_mirrors\nematode.unl.edu_2022_09_21\enchbr2.jpg</t>
  </si>
  <si>
    <t>Z:\nemtode\general\website_mirrors\nematode.unl.edu_2022_09_21\enchbr5.jpg</t>
  </si>
  <si>
    <t>Z:\nemtode\general\website_mirrors\nematode.unl.edu_2022_09_21\enchbr7.jpg</t>
  </si>
  <si>
    <t>Z:\nemtode\general\website_mirrors\nematode.unl.edu_2022_09_21\encb4.jpg</t>
  </si>
  <si>
    <t>Z:\nemtode\general\website_mirrors\nematode.unl.edu_2022_09_21\encbre4.jpg</t>
  </si>
  <si>
    <t>Z:\nemtode\general\website_mirrors\nematode.unl.edu_2022_09_21\encbre6.jpg</t>
  </si>
  <si>
    <t>Z:\nemtode\general\website_mirrors\nematode.unl.edu_2022_09_21\enchbr19.jpg</t>
  </si>
  <si>
    <t>Z:\nemtode\general\website_mirrors\nematode.unl.edu_2022_09_21\enchbr3.jpg</t>
  </si>
  <si>
    <t>Z:\nemtode\general\website_mirrors\nematode.unl.edu_2022_09_21\enchbr6.jpg</t>
  </si>
  <si>
    <t>Z:\nemtode\general\website_mirrors\nematode.unl.edu_2022_09_21\encb1.jpg</t>
  </si>
  <si>
    <t>Z:\nemtode\general\website_mirrors\nematode.unl.edu_2022_09_21\enchbr1.jpg</t>
  </si>
  <si>
    <t>Z:\nemtode\general\website_mirrors\nematode.unl.edu_2022_09_21\enchbr12.jpg</t>
  </si>
  <si>
    <t>Z:\nemtode\general\website_mirrors\nematode.unl.edu_2022_09_21\encb2.jpg</t>
  </si>
  <si>
    <t>Z:\nemtode\general\website_mirrors\nematode.unl.edu_2022_09_21\encbre2.jpg</t>
  </si>
  <si>
    <t>Z:\nemtode\general\website_mirrors\nematode.unl.edu_2022_09_21\encbre7.jpg</t>
  </si>
  <si>
    <t>Z:\nemtode\general\website_mirrors\nematode.unl.edu_2022_09_21\enchbr11.jpg</t>
  </si>
  <si>
    <t>Z:\nemtode\general\website_mirrors\nematode.unl.edu_2022_09_21\enchbr16.jpg</t>
  </si>
  <si>
    <t>Z:\nemtode\general\website_mirrors\nematode.unl.edu_2022_09_21\enchbr21.jpg</t>
  </si>
  <si>
    <t>Z:\nemtode\general\website_mirrors\nematode.unl.edu_2022_09_21\enchbr4.jpg</t>
  </si>
  <si>
    <t>Z:\nemtode\general\website_mirrors\nematode.unl.edu_2022_09_21\enchbr8.jpg</t>
  </si>
  <si>
    <t>Z:\nemtode\general\website_mirrors\nematode.unl.edu_2022_09_21\enchbr9.jpg</t>
  </si>
  <si>
    <t>Z:\nemtode\general\website_mirrors\nematode.unl.edu_2022_09_21\encb3.jpg</t>
  </si>
  <si>
    <t>Z:\nemtode\general\website_mirrors\nematode.unl.edu_2022_09_21\encb7.jpg</t>
  </si>
  <si>
    <t>Z:\nemtode\general\website_mirrors\nematode.unl.edu_2022_09_21\enchbr15.jpg</t>
  </si>
  <si>
    <t>Z:\nemtode\general\website_mirrors\nematode.unl.edu_2022_09_21\enchbr20.jpg</t>
  </si>
  <si>
    <t>Z:\nemtode\general\website_mirrors\nematode.unl.edu_2022_09_21\lore2.jpg</t>
  </si>
  <si>
    <t>Z:\nemtode\general\website_mirrors\nematode.unl.edu_2022_09_21\lore6.jpg</t>
  </si>
  <si>
    <t>Z:\nemtode\general\website_mirrors\nematode.unl.edu_2022_09_21\lore8.jpg</t>
  </si>
  <si>
    <t>Z:\nemtode\general\website_mirrors\nematode.unl.edu_2022_09_21\lore3.jpg</t>
  </si>
  <si>
    <t>Z:\nemtode\general\website_mirrors\nematode.unl.edu_2022_09_21\lore9.jpg</t>
  </si>
  <si>
    <t>Z:\nemtode\general\website_mirrors\nematode.unl.edu_2022_09_21\lore1.jpg</t>
  </si>
  <si>
    <t>Z:\nemtode\general\website_mirrors\nematode.unl.edu_2022_09_21\lore11.jpg</t>
  </si>
  <si>
    <t>Z:\nemtode\general\website_mirrors\nematode.unl.edu_2022_09_21\lore5.jpg</t>
  </si>
  <si>
    <t>Z:\nemtode\general\website_mirrors\nematode.unl.edu_2022_09_21\lore10.jpg</t>
  </si>
  <si>
    <t>Z:\nemtode\general\website_mirrors\nematode.unl.edu_2022_09_21\lore4.jpg</t>
  </si>
  <si>
    <t>Z:\nemtode\general\website_mirrors\nematode.unl.edu_2022_09_21\lore7.jpg</t>
  </si>
  <si>
    <t>Z:\nemtode\general\website_mirrors\nematode.unl.edu_2022_09_21\lonpa2.jpg</t>
  </si>
  <si>
    <t>Z:\nemtode\general\website_mirrors\nematode.unl.edu_2022_09_21\lonpacmp.jpg</t>
  </si>
  <si>
    <t>Z:\nemtode\general\website_mirrors\nematode.unl.edu_2022_09_21\lorelap2.jpg</t>
  </si>
  <si>
    <t>Z:\nemtode\general\website_mirrors\nematode.unl.edu_2022_09_21\lorelap6.jpg</t>
  </si>
  <si>
    <t>Z:\nemtode\general\website_mirrors\nematode.unl.edu_2022_09_21\lorelap7.jpg</t>
  </si>
  <si>
    <t>Z:\nemtode\general\website_mirrors\nematode.unl.edu_2022_09_21\lorelap8.jpg</t>
  </si>
  <si>
    <t>Z:\nemtode\general\website_mirrors\nematode.unl.edu_2022_09_21\lonpa3.jpg</t>
  </si>
  <si>
    <t>Z:\nemtode\general\website_mirrors\nematode.unl.edu_2022_09_21\lorelap5.jpg</t>
  </si>
  <si>
    <t>Z:\nemtode\general\website_mirrors\nematode.unl.edu_2022_09_21\lonpa1.jpg</t>
  </si>
  <si>
    <t>Z:\nemtode\general\website_mirrors\nematode.unl.edu_2022_09_21\lorelap1.jpg</t>
  </si>
  <si>
    <t>Z:\nemtode\general\website_mirrors\nematode.unl.edu_2022_09_21\lonpa5.jpg</t>
  </si>
  <si>
    <t>Z:\nemtode\general\website_mirrors\nematode.unl.edu_2022_09_21\lonpa6.jpg</t>
  </si>
  <si>
    <t>Z:\nemtode\general\website_mirrors\nematode.unl.edu_2022_09_21\lorelap10.jpg</t>
  </si>
  <si>
    <t>Z:\nemtode\general\website_mirrors\nematode.unl.edu_2022_09_21\lorelap4.jpg</t>
  </si>
  <si>
    <t>Z:\nemtode\general\website_mirrors\nematode.unl.edu_2022_09_21\lonpa4.jpg</t>
  </si>
  <si>
    <t>Z:\nemtode\general\website_mirrors\nematode.unl.edu_2022_09_21\lorelap3.jpg</t>
  </si>
  <si>
    <t>Z:\nemtode\general\website_mirrors\nematode.unl.edu_2022_09_21\lorelap9.jpg</t>
  </si>
  <si>
    <t>Z:\nemtode\general\website_mirrors\nematode.unl.edu_2022_09_21\pentus3.jpg</t>
  </si>
  <si>
    <t>Z:\nemtode\general\website_mirrors\nematode.unl.edu_2022_09_21\pentus2.jpg</t>
  </si>
  <si>
    <t>Z:\nemtode\general\website_mirrors\nematode.unl.edu_2022_09_21\pungho10.jpg</t>
  </si>
  <si>
    <t>Z:\nemtode\general\website_mirrors\nematode.unl.edu_2022_09_21\pungho11.jpg</t>
  </si>
  <si>
    <t>Z:\nemtode\general\website_mirrors\nematode.unl.edu_2022_09_21\pungho13.jpg</t>
  </si>
  <si>
    <t>Z:\nemtode\general\website_mirrors\nematode.unl.edu_2022_09_21\pungho2.jpg</t>
  </si>
  <si>
    <t>Z:\nemtode\general\website_mirrors\nematode.unl.edu_2022_09_21\pungho7.jpg</t>
  </si>
  <si>
    <t>Z:\nemtode\general\website_mirrors\nematode.unl.edu_2022_09_21\pungs2.jpg</t>
  </si>
  <si>
    <t>Z:\nemtode\general\website_mirrors\nematode.unl.edu_2022_09_21\puntus3.jpg</t>
  </si>
  <si>
    <t>Z:\nemtode\general\website_mirrors\nematode.unl.edu_2022_09_21\puntus4.jpg</t>
  </si>
  <si>
    <t>Z:\nemtode\general\website_mirrors\nematode.unl.edu_2022_09_21\puntus6.jpg</t>
  </si>
  <si>
    <t>Z:\nemtode\general\website_mirrors\nematode.unl.edu_2022_09_21\pungho3.jpg</t>
  </si>
  <si>
    <t>Z:\nemtode\general\website_mirrors\nematode.unl.edu_2022_09_21\pentus1.jpg</t>
  </si>
  <si>
    <t>Z:\nemtode\general\website_mirrors\nematode.unl.edu_2022_09_21\pungho1.jpg</t>
  </si>
  <si>
    <t>Z:\nemtode\general\website_mirrors\nematode.unl.edu_2022_09_21\pungho12.jpg</t>
  </si>
  <si>
    <t>Z:\nemtode\general\website_mirrors\nematode.unl.edu_2022_09_21\pungho6.jpg</t>
  </si>
  <si>
    <t>Z:\nemtode\general\website_mirrors\nematode.unl.edu_2022_09_21\pungho8.jpg</t>
  </si>
  <si>
    <t>Z:\nemtode\general\website_mirrors\nematode.unl.edu_2022_09_21\pungs1.jpg</t>
  </si>
  <si>
    <t>Z:\nemtode\general\website_mirrors\nematode.unl.edu_2022_09_21\pungho16.jpg</t>
  </si>
  <si>
    <t>Z:\nemtode\general\website_mirrors\nematode.unl.edu_2022_09_21\pentus5.jpg</t>
  </si>
  <si>
    <t>Z:\nemtode\general\website_mirrors\nematode.unl.edu_2022_09_21\pungho15.jpg</t>
  </si>
  <si>
    <t>Z:\nemtode\general\website_mirrors\nematode.unl.edu_2022_09_21\pungho5.jpg</t>
  </si>
  <si>
    <t>Z:\nemtode\general\website_mirrors\nematode.unl.edu_2022_09_21\pungho9.jpg</t>
  </si>
  <si>
    <t>Z:\nemtode\general\website_mirrors\nematode.unl.edu_2022_09_21\puntus1.jpg</t>
  </si>
  <si>
    <t>Z:\nemtode\general\website_mirrors\nematode.unl.edu_2022_09_21\puntus2.jpg</t>
  </si>
  <si>
    <t>Z:\nemtode\general\website_mirrors\nematode.unl.edu_2022_09_21\puntus5.jpg</t>
  </si>
  <si>
    <t>Z:\nemtode\general\website_mirrors\nematode.unl.edu_2022_09_21\pentus4.jpg</t>
  </si>
  <si>
    <t>Z:\nemtode\general\website_mirrors\nematode.unl.edu_2022_09_21\pungho14.jpg</t>
  </si>
  <si>
    <t>Z:\nemtode\general\website_mirrors\nematode.unl.edu_2022_09_21\pungho4.jpg</t>
  </si>
  <si>
    <t>Z:\nemtode\general\website_mirrors\nematode.unl.edu_2022_09_21\punan8.jpg</t>
  </si>
  <si>
    <t>Z:\nemtode\general\website_mirrors\nematode.unl.edu_2022_09_21\punan12.jpg</t>
  </si>
  <si>
    <t>Z:\nemtode\general\website_mirrors\nematode.unl.edu_2022_09_21\punan13.jpg</t>
  </si>
  <si>
    <t>Z:\nemtode\general\website_mirrors\nematode.unl.edu_2022_09_21\punan5.jpg</t>
  </si>
  <si>
    <t>Z:\nemtode\general\website_mirrors\nematode.unl.edu_2022_09_21\punan11.jpg</t>
  </si>
  <si>
    <t>Z:\nemtode\general\website_mirrors\nematode.unl.edu_2022_09_21\punan4.jpg</t>
  </si>
  <si>
    <t>Z:\nemtode\general\website_mirrors\nematode.unl.edu_2022_09_21\punan1.jpg</t>
  </si>
  <si>
    <t>Z:\nemtode\general\website_mirrors\nematode.unl.edu_2022_09_21\punan7.jpg</t>
  </si>
  <si>
    <t>Z:\nemtode\general\website_mirrors\nematode.unl.edu_2022_09_21\punan6.jpg</t>
  </si>
  <si>
    <t>Z:\nemtode\general\website_mirrors\nematode.unl.edu_2022_09_21\punan14.jpg</t>
  </si>
  <si>
    <t>Z:\nemtode\general\website_mirrors\nematode.unl.edu_2022_09_21\punan2.jpg</t>
  </si>
  <si>
    <t>Z:\nemtode\general\website_mirrors\nematode.unl.edu_2022_09_21\punan9.jpg</t>
  </si>
  <si>
    <t>Z:\nemtode\general\website_mirrors\nematode.unl.edu_2022_09_21\punancmp.jpg</t>
  </si>
  <si>
    <t>Z:\nemtode\general\website_mirrors\nematode.unl.edu_2022_09_21\punan10.jpg</t>
  </si>
  <si>
    <t>Z:\nemtode\general\website_mirrors\nematode.unl.edu_2022_09_21\punan3.jpg</t>
  </si>
  <si>
    <t>Z:\nemtode\general\website_mirrors\nematode.unl.edu_2022_09_21\punbre2.jpg</t>
  </si>
  <si>
    <t>Z:\nemtode\general\website_mirrors\nematode.unl.edu_2022_09_21\punbre3.jpg</t>
  </si>
  <si>
    <t>Z:\nemtode\general\website_mirrors\nematode.unl.edu_2022_09_21\punbre1.jpg</t>
  </si>
  <si>
    <t>Z:\nemtode\general\website_mirrors\nematode.unl.edu_2022_09_21\punbrecmp.jpg</t>
  </si>
  <si>
    <t>Z:\nemtode\general\website_mirrors\nematode.unl.edu_2022_09_21\punbre5.jpg</t>
  </si>
  <si>
    <t>Z:\nemtode\general\website_mirrors\nematode.unl.edu_2022_09_21\punbre4.jpg</t>
  </si>
  <si>
    <t>Z:\nemtode\general\website_mirrors\nematode.unl.edu_2022_09_21\pucras2.jpg</t>
  </si>
  <si>
    <t>Z:\nemtode\general\website_mirrors\nematode.unl.edu_2022_09_21\pucras10.jpg</t>
  </si>
  <si>
    <t>Z:\nemtode\general\website_mirrors\nematode.unl.edu_2022_09_21\pucras11.jpg</t>
  </si>
  <si>
    <t>Z:\nemtode\general\website_mirrors\nematode.unl.edu_2022_09_21\pucras3.jpg</t>
  </si>
  <si>
    <t>Z:\nemtode\general\website_mirrors\nematode.unl.edu_2022_09_21\pucras1.jpg</t>
  </si>
  <si>
    <t>Z:\nemtode\general\website_mirrors\nematode.unl.edu_2022_09_21\pucras4.jpg</t>
  </si>
  <si>
    <t>Z:\nemtode\general\website_mirrors\nematode.unl.edu_2022_09_21\pungmogw2.jpg</t>
  </si>
  <si>
    <t>Z:\nemtode\general\website_mirrors\nematode.unl.edu_2022_09_21\pumo1.jpg</t>
  </si>
  <si>
    <t>Z:\nemtode\general\website_mirrors\nematode.unl.edu_2022_09_21\pumo13.jpg</t>
  </si>
  <si>
    <t>Z:\nemtode\general\website_mirrors\nematode.unl.edu_2022_09_21\pumo14.jpg</t>
  </si>
  <si>
    <t>Z:\nemtode\general\website_mirrors\nematode.unl.edu_2022_09_21\pumo21.jpg</t>
  </si>
  <si>
    <t>Z:\nemtode\general\website_mirrors\nematode.unl.edu_2022_09_21\pumo26.jpg</t>
  </si>
  <si>
    <t>Z:\nemtode\general\website_mirrors\nematode.unl.edu_2022_09_21\pumo32.jpg</t>
  </si>
  <si>
    <t>Z:\nemtode\general\website_mirrors\nematode.unl.edu_2022_09_21\pumo34.jpg</t>
  </si>
  <si>
    <t>Z:\nemtode\general\website_mirrors\nematode.unl.edu_2022_09_21\pumo36.jpg</t>
  </si>
  <si>
    <t>Z:\nemtode\general\website_mirrors\nematode.unl.edu_2022_09_21\pumo7.jpg</t>
  </si>
  <si>
    <t>Z:\nemtode\general\website_mirrors\nematode.unl.edu_2022_09_21\pumo9.jpg</t>
  </si>
  <si>
    <t>Z:\nemtode\general\website_mirrors\nematode.unl.edu_2022_09_21\pungmogw5.jpg</t>
  </si>
  <si>
    <t>Z:\nemtode\general\website_mirrors\nematode.unl.edu_2022_09_21\punmon3.jpg</t>
  </si>
  <si>
    <t>Z:\nemtode\general\website_mirrors\nematode.unl.edu_2022_09_21\pumo20.jpg</t>
  </si>
  <si>
    <t>Z:\nemtode\general\website_mirrors\nematode.unl.edu_2022_09_21\pumo25.jpg</t>
  </si>
  <si>
    <t>Z:\nemtode\general\website_mirrors\nematode.unl.edu_2022_09_21\pumo28.jpg</t>
  </si>
  <si>
    <t>Z:\nemtode\general\website_mirrors\nematode.unl.edu_2022_09_21\pumo31.jpg</t>
  </si>
  <si>
    <t>Z:\nemtode\general\website_mirrors\nematode.unl.edu_2022_09_21\pumo6.jpg</t>
  </si>
  <si>
    <t>Z:\nemtode\general\website_mirrors\nematode.unl.edu_2022_09_21\punmon4.jpg</t>
  </si>
  <si>
    <t>Z:\nemtode\general\website_mirrors\nematode.unl.edu_2022_09_21\pumo10.jpg</t>
  </si>
  <si>
    <t>Z:\nemtode\general\website_mirrors\nematode.unl.edu_2022_09_21\pumo17.jpg</t>
  </si>
  <si>
    <t>Z:\nemtode\general\website_mirrors\nematode.unl.edu_2022_09_21\pumo2.jpg</t>
  </si>
  <si>
    <t>Z:\nemtode\general\website_mirrors\nematode.unl.edu_2022_09_21\pumo22.jpg</t>
  </si>
  <si>
    <t>Z:\nemtode\general\website_mirrors\nematode.unl.edu_2022_09_21\pumo35.jpg</t>
  </si>
  <si>
    <t>Z:\nemtode\general\website_mirrors\nematode.unl.edu_2022_09_21\pungmogw1.jpg</t>
  </si>
  <si>
    <t>Z:\nemtode\general\website_mirrors\nematode.unl.edu_2022_09_21\punmon1.jpg</t>
  </si>
  <si>
    <t>Z:\nemtode\general\website_mirrors\nematode.unl.edu_2022_09_21\pumo29.jpg</t>
  </si>
  <si>
    <t>Z:\nemtode\general\website_mirrors\nematode.unl.edu_2022_09_21\punmon2.jpg</t>
  </si>
  <si>
    <t>Z:\nemtode\general\website_mirrors\nematode.unl.edu_2022_09_21\pungmogw6.jpg</t>
  </si>
  <si>
    <t>Z:\nemtode\general\website_mirrors\nematode.unl.edu_2022_09_21\pumo3.jpg</t>
  </si>
  <si>
    <t>Z:\nemtode\general\website_mirrors\nematode.unl.edu_2022_09_21\pumo11.jpg</t>
  </si>
  <si>
    <t>Z:\nemtode\general\website_mirrors\nematode.unl.edu_2022_09_21\pumo16.jpg</t>
  </si>
  <si>
    <t>Z:\nemtode\general\website_mirrors\nematode.unl.edu_2022_09_21\pumo18.jpg</t>
  </si>
  <si>
    <t>Z:\nemtode\general\website_mirrors\nematode.unl.edu_2022_09_21\pumo24.jpg</t>
  </si>
  <si>
    <t>Z:\nemtode\general\website_mirrors\nematode.unl.edu_2022_09_21\pumo30.jpg</t>
  </si>
  <si>
    <t>Z:\nemtode\general\website_mirrors\nematode.unl.edu_2022_09_21\pumo33.jpg</t>
  </si>
  <si>
    <t>Z:\nemtode\general\website_mirrors\nematode.unl.edu_2022_09_21\pumo38.jpg</t>
  </si>
  <si>
    <t>Z:\nemtode\general\website_mirrors\nematode.unl.edu_2022_09_21\pumo4.jpg</t>
  </si>
  <si>
    <t>Z:\nemtode\general\website_mirrors\nematode.unl.edu_2022_09_21\pumocmp.jpg</t>
  </si>
  <si>
    <t>Z:\nemtode\general\website_mirrors\nematode.unl.edu_2022_09_21\pungmogw4.jpg</t>
  </si>
  <si>
    <t>Z:\nemtode\general\website_mirrors\nematode.unl.edu_2022_09_21\pungmogw8.jpg</t>
  </si>
  <si>
    <t>Z:\nemtode\general\website_mirrors\nematode.unl.edu_2022_09_21\punmon6.jpg</t>
  </si>
  <si>
    <t>Z:\nemtode\general\website_mirrors\nematode.unl.edu_2022_09_21\pumo12.jpg</t>
  </si>
  <si>
    <t>Z:\nemtode\general\website_mirrors\nematode.unl.edu_2022_09_21\pumo15.jpg</t>
  </si>
  <si>
    <t>Z:\nemtode\general\website_mirrors\nematode.unl.edu_2022_09_21\pumo19.jpg</t>
  </si>
  <si>
    <t>Z:\nemtode\general\website_mirrors\nematode.unl.edu_2022_09_21\pumo23.jpg</t>
  </si>
  <si>
    <t>Z:\nemtode\general\website_mirrors\nematode.unl.edu_2022_09_21\pumo27.jpg</t>
  </si>
  <si>
    <t>Z:\nemtode\general\website_mirrors\nematode.unl.edu_2022_09_21\pumo37.jpg</t>
  </si>
  <si>
    <t>Z:\nemtode\general\website_mirrors\nematode.unl.edu_2022_09_21\pumo5.jpg</t>
  </si>
  <si>
    <t>Z:\nemtode\general\website_mirrors\nematode.unl.edu_2022_09_21\pumo8.jpg</t>
  </si>
  <si>
    <t>Z:\nemtode\general\website_mirrors\nematode.unl.edu_2022_09_21\pungmogw3.jpg</t>
  </si>
  <si>
    <t>Z:\nemtode\general\website_mirrors\nematode.unl.edu_2022_09_21\pungmogw7.jpg</t>
  </si>
  <si>
    <t>Z:\nemtode\general\website_mirrors\nematode.unl.edu_2022_09_21\punmon5.jpg</t>
  </si>
  <si>
    <t>Z:\nemtode\general\website_mirrors\nematode.unl.edu_2022_09_21\pungob1.jpg</t>
  </si>
  <si>
    <t>Z:\nemtode\general\website_mirrors\nematode.unl.edu_2022_09_21\pungob7.jpg</t>
  </si>
  <si>
    <t>Z:\nemtode\general\website_mirrors\nematode.unl.edu_2022_09_21\punob11.jpg</t>
  </si>
  <si>
    <t>Z:\nemtode\general\website_mirrors\nematode.unl.edu_2022_09_21\punob2.jpg</t>
  </si>
  <si>
    <t>Z:\nemtode\general\website_mirrors\nematode.unl.edu_2022_09_21\punob3.jpg</t>
  </si>
  <si>
    <t>Z:\nemtode\general\website_mirrors\nematode.unl.edu_2022_09_21\punob6.jpg</t>
  </si>
  <si>
    <t>Z:\nemtode\general\website_mirrors\nematode.unl.edu_2022_09_21\punob9.jpg</t>
  </si>
  <si>
    <t>Z:\nemtode\general\website_mirrors\nematode.unl.edu_2022_09_21\punob12.jpg</t>
  </si>
  <si>
    <t>Z:\nemtode\general\website_mirrors\nematode.unl.edu_2022_09_21\pungob3.jpg</t>
  </si>
  <si>
    <t>Z:\nemtode\general\website_mirrors\nematode.unl.edu_2022_09_21\punob1.jpg</t>
  </si>
  <si>
    <t>Z:\nemtode\general\website_mirrors\nematode.unl.edu_2022_09_21\punob15.jpg</t>
  </si>
  <si>
    <t>Z:\nemtode\general\website_mirrors\nematode.unl.edu_2022_09_21\pungob4.jpg</t>
  </si>
  <si>
    <t>Z:\nemtode\general\website_mirrors\nematode.unl.edu_2022_09_21\pungob2.jpg</t>
  </si>
  <si>
    <t>Z:\nemtode\general\website_mirrors\nematode.unl.edu_2022_09_21\pungob6.jpg</t>
  </si>
  <si>
    <t>Z:\nemtode\general\website_mirrors\nematode.unl.edu_2022_09_21\punob14.jpg</t>
  </si>
  <si>
    <t>Z:\nemtode\general\website_mirrors\nematode.unl.edu_2022_09_21\punob5.jpg</t>
  </si>
  <si>
    <t>Z:\nemtode\general\website_mirrors\nematode.unl.edu_2022_09_21\punob7.jpg</t>
  </si>
  <si>
    <t>Z:\nemtode\general\website_mirrors\nematode.unl.edu_2022_09_21\punobcmp.jpg</t>
  </si>
  <si>
    <t>Z:\nemtode\general\website_mirrors\nematode.unl.edu_2022_09_21\pungob5.jpg</t>
  </si>
  <si>
    <t>Z:\nemtode\general\website_mirrors\nematode.unl.edu_2022_09_21\punob10.jpg</t>
  </si>
  <si>
    <t>Z:\nemtode\general\website_mirrors\nematode.unl.edu_2022_09_21\punob13.jpg</t>
  </si>
  <si>
    <t>Z:\nemtode\general\website_mirrors\nematode.unl.edu_2022_09_21\punob4.jpg</t>
  </si>
  <si>
    <t>Z:\nemtode\general\website_mirrors\nematode.unl.edu_2022_09_21\punob8.jpg</t>
  </si>
  <si>
    <t>Z:\nemtode\general\website_mirrors\nematode.unl.edu_2022_09_21\pungen2.jpg</t>
  </si>
  <si>
    <t>Z:\nemtode\general\website_mirrors\nematode.unl.edu_2022_09_21\pungen3.jpg</t>
  </si>
  <si>
    <t>Z:\nemtode\general\website_mirrors\nematode.unl.edu_2022_09_21\punpun15.jpg</t>
  </si>
  <si>
    <t>Z:\nemtode\general\website_mirrors\nematode.unl.edu_2022_09_21\punpun5.jpg</t>
  </si>
  <si>
    <t>Z:\nemtode\general\website_mirrors\nematode.unl.edu_2022_09_21\pupu1.jpg</t>
  </si>
  <si>
    <t>Z:\nemtode\general\website_mirrors\nematode.unl.edu_2022_09_21\pupu9.jpg</t>
  </si>
  <si>
    <t>Z:\nemtode\general\website_mirrors\nematode.unl.edu_2022_09_21\punpun11.jpg</t>
  </si>
  <si>
    <t>Z:\nemtode\general\website_mirrors\nematode.unl.edu_2022_09_21\punpun16.jpg</t>
  </si>
  <si>
    <t>Z:\nemtode\general\website_mirrors\nematode.unl.edu_2022_09_21\punpun6.jpg</t>
  </si>
  <si>
    <t>Z:\nemtode\general\website_mirrors\nematode.unl.edu_2022_09_21\pupu2.jpg</t>
  </si>
  <si>
    <t>Z:\nemtode\general\website_mirrors\nematode.unl.edu_2022_09_21\pupu8.jpg</t>
  </si>
  <si>
    <t>Z:\nemtode\general\website_mirrors\nematode.unl.edu_2022_09_21\punpun2.jpg</t>
  </si>
  <si>
    <t>Z:\nemtode\general\website_mirrors\nematode.unl.edu_2022_09_21\pupu3.jpg</t>
  </si>
  <si>
    <t>Z:\nemtode\general\website_mirrors\nematode.unl.edu_2022_09_21\punpun1.jpg</t>
  </si>
  <si>
    <t>Z:\nemtode\general\website_mirrors\nematode.unl.edu_2022_09_21\pupu6.jpg</t>
  </si>
  <si>
    <t>Z:\nemtode\general\website_mirrors\nematode.unl.edu_2022_09_21\pungen1.jpg</t>
  </si>
  <si>
    <t>Z:\nemtode\general\website_mirrors\nematode.unl.edu_2022_09_21\punpun14.jpg</t>
  </si>
  <si>
    <t>Z:\nemtode\general\website_mirrors\nematode.unl.edu_2022_09_21\punpun7.jpg</t>
  </si>
  <si>
    <t>Z:\nemtode\general\website_mirrors\nematode.unl.edu_2022_09_21\punpun10.jpg</t>
  </si>
  <si>
    <t>Z:\nemtode\general\website_mirrors\nematode.unl.edu_2022_09_21\pungen5.jpg</t>
  </si>
  <si>
    <t>Z:\nemtode\general\website_mirrors\nematode.unl.edu_2022_09_21\punpun13.jpg</t>
  </si>
  <si>
    <t>Z:\nemtode\general\website_mirrors\nematode.unl.edu_2022_09_21\punpun4.jpg</t>
  </si>
  <si>
    <t>Z:\nemtode\general\website_mirrors\nematode.unl.edu_2022_09_21\punpun9.jpg</t>
  </si>
  <si>
    <t>Z:\nemtode\general\website_mirrors\nematode.unl.edu_2022_09_21\punpuncmp.jpg</t>
  </si>
  <si>
    <t>Z:\nemtode\general\website_mirrors\nematode.unl.edu_2022_09_21\pupu11.jpg</t>
  </si>
  <si>
    <t>Z:\nemtode\general\website_mirrors\nematode.unl.edu_2022_09_21\pupu5.jpg</t>
  </si>
  <si>
    <t>Z:\nemtode\general\website_mirrors\nematode.unl.edu_2022_09_21\pungen4.jpg</t>
  </si>
  <si>
    <t>Z:\nemtode\general\website_mirrors\nematode.unl.edu_2022_09_21\punpun12.jpg</t>
  </si>
  <si>
    <t>Z:\nemtode\general\website_mirrors\nematode.unl.edu_2022_09_21\punpun3.jpg</t>
  </si>
  <si>
    <t>Z:\nemtode\general\website_mirrors\nematode.unl.edu_2022_09_21\punpun8.jpg</t>
  </si>
  <si>
    <t>Z:\nemtode\general\website_mirrors\nematode.unl.edu_2022_09_21\pupu10.jpg</t>
  </si>
  <si>
    <t>Z:\nemtode\general\website_mirrors\nematode.unl.edu_2022_09_21\pupu4.jpg</t>
  </si>
  <si>
    <t>Z:\nemtode\general\website_mirrors\nematode.unl.edu_2022_09_21\pupu7.jpg</t>
  </si>
  <si>
    <t>Z:\nemtode\general\website_mirrors\nematode.unl.edu_2022_09_21\nygomel14.jpg</t>
  </si>
  <si>
    <t>Z:\nemtode\general\website_mirrors\nematode.unl.edu_2022_09_21\nygomel8.jpg</t>
  </si>
  <si>
    <t>Z:\nemtode\general\website_mirrors\nematode.unl.edu_2022_09_21\nygomel11.jpg</t>
  </si>
  <si>
    <t>Z:\nemtode\general\website_mirrors\nematode.unl.edu_2022_09_21\nygomel2.jpg</t>
  </si>
  <si>
    <t>Z:\nemtode\general\website_mirrors\nematode.unl.edu_2022_09_21\nygomel13.jpg</t>
  </si>
  <si>
    <t>Z:\nemtode\general\website_mirrors\nematode.unl.edu_2022_09_21\nygomel5.jpg</t>
  </si>
  <si>
    <t>Z:\nemtode\general\website_mirrors\nematode.unl.edu_2022_09_21\nymell1.jpg</t>
  </si>
  <si>
    <t>Z:\nemtode\general\website_mirrors\nematode.unl.edu_2022_09_21\nygomel1.jpg</t>
  </si>
  <si>
    <t>Z:\nemtode\general\website_mirrors\nematode.unl.edu_2022_09_21\nygomel10.jpg</t>
  </si>
  <si>
    <t>Z:\nemtode\general\website_mirrors\nematode.unl.edu_2022_09_21\nygomel15.jpg</t>
  </si>
  <si>
    <t>Z:\nemtode\general\website_mirrors\nematode.unl.edu_2022_09_21\nymell3.jpg</t>
  </si>
  <si>
    <t>Z:\nemtode\general\website_mirrors\nematode.unl.edu_2022_09_21\nymell2.jpg</t>
  </si>
  <si>
    <t>Z:\nemtode\general\website_mirrors\nematode.unl.edu_2022_09_21\nygomel12.jpg</t>
  </si>
  <si>
    <t>Z:\nemtode\general\website_mirrors\nematode.unl.edu_2022_09_21\nygomel16.jpg</t>
  </si>
  <si>
    <t>Z:\nemtode\general\website_mirrors\nematode.unl.edu_2022_09_21\nygomel4.jpg</t>
  </si>
  <si>
    <t>Z:\nemtode\general\website_mirrors\nematode.unl.edu_2022_09_21\nygomel7.jpg</t>
  </si>
  <si>
    <t>Z:\nemtode\general\website_mirrors\nematode.unl.edu_2022_09_21\nygomel3.jpg</t>
  </si>
  <si>
    <t>Z:\nemtode\general\website_mirrors\nematode.unl.edu_2022_09_21\nygomel6.jpg</t>
  </si>
  <si>
    <t>Z:\nemtode\general\website_mirrors\nematode.unl.edu_2022_09_21\nygob1.jpg</t>
  </si>
  <si>
    <t>Z:\nemtode\general\website_mirrors\nematode.unl.edu_2022_09_21\nygob5.jpg</t>
  </si>
  <si>
    <t>Z:\nemtode\general\website_mirrors\nematode.unl.edu_2022_09_21\nygob2.jpg</t>
  </si>
  <si>
    <t>Z:\nemtode\general\website_mirrors\nematode.unl.edu_2022_09_21\nygobcmp.jpg</t>
  </si>
  <si>
    <t>Z:\nemtode\general\website_mirrors\nematode.unl.edu_2022_09_21\nygob4.jpg</t>
  </si>
  <si>
    <t>Z:\nemtode\general\website_mirrors\nematode.unl.edu_2022_09_21\nygob3.jpg</t>
  </si>
  <si>
    <t>Z:\nemtode\general\website_mirrors\nematode.unl.edu_2022_09_21\nygop2.jpg</t>
  </si>
  <si>
    <t>Z:\nemtode\general\website_mirrors\nematode.unl.edu_2022_09_21\nygop21.jpg</t>
  </si>
  <si>
    <t>Z:\nemtode\general\website_mirrors\nematode.unl.edu_2022_09_21\nygop22.jpg</t>
  </si>
  <si>
    <t>Z:\nemtode\general\website_mirrors\nematode.unl.edu_2022_09_21\nygop27.jpg</t>
  </si>
  <si>
    <t>Z:\nemtode\general\website_mirrors\nematode.unl.edu_2022_09_21\nygop33.jpg</t>
  </si>
  <si>
    <t>Z:\nemtode\general\website_mirrors\nematode.unl.edu_2022_09_21\nygop40.jpg</t>
  </si>
  <si>
    <t>Z:\nemtode\general\website_mirrors\nematode.unl.edu_2022_09_21\nygop6.jpg</t>
  </si>
  <si>
    <t>Z:\nemtode\general\website_mirrors\nematode.unl.edu_2022_09_21\nygop31.jpg</t>
  </si>
  <si>
    <t>Z:\nemtode\general\website_mirrors\nematode.unl.edu_2022_09_21\nygop10.jpg</t>
  </si>
  <si>
    <t>Z:\nemtode\general\website_mirrors\nematode.unl.edu_2022_09_21\nygop11.jpg</t>
  </si>
  <si>
    <t>Z:\nemtode\general\website_mirrors\nematode.unl.edu_2022_09_21\nygop12.jpg</t>
  </si>
  <si>
    <t>Z:\nemtode\general\website_mirrors\nematode.unl.edu_2022_09_21\nygop15.jpg</t>
  </si>
  <si>
    <t>Z:\nemtode\general\website_mirrors\nematode.unl.edu_2022_09_21\nygop24.jpg</t>
  </si>
  <si>
    <t>Z:\nemtode\general\website_mirrors\nematode.unl.edu_2022_09_21\nygop25.jpg</t>
  </si>
  <si>
    <t>Z:\nemtode\general\website_mirrors\nematode.unl.edu_2022_09_21\nygop34.jpg</t>
  </si>
  <si>
    <t>Z:\nemtode\general\website_mirrors\nematode.unl.edu_2022_09_21\nygop35.jpg</t>
  </si>
  <si>
    <t>Z:\nemtode\general\website_mirrors\nematode.unl.edu_2022_09_21\nygop39.jpg</t>
  </si>
  <si>
    <t>Z:\nemtode\general\website_mirrors\nematode.unl.edu_2022_09_21\nygop41.jpg</t>
  </si>
  <si>
    <t>Z:\nemtode\general\website_mirrors\nematode.unl.edu_2022_09_21\nygop7.jpg</t>
  </si>
  <si>
    <t>Z:\nemtode\general\website_mirrors\nematode.unl.edu_2022_09_21\nygop9.jpg</t>
  </si>
  <si>
    <t>Z:\nemtode\general\website_mirrors\nematode.unl.edu_2022_09_21\nygop13.jpg</t>
  </si>
  <si>
    <t>Z:\nemtode\general\website_mirrors\nematode.unl.edu_2022_09_21\nygop23.jpg</t>
  </si>
  <si>
    <t>Z:\nemtode\general\website_mirrors\nematode.unl.edu_2022_09_21\nygop32.jpg</t>
  </si>
  <si>
    <t>Z:\nemtode\general\website_mirrors\nematode.unl.edu_2022_09_21\nygop36.jpg</t>
  </si>
  <si>
    <t>Z:\nemtode\general\website_mirrors\nematode.unl.edu_2022_09_21\nygop5.jpg</t>
  </si>
  <si>
    <t>Z:\nemtode\general\website_mirrors\nematode.unl.edu_2022_09_21\nygop1.jpg</t>
  </si>
  <si>
    <t>Z:\nemtode\general\website_mirrors\nematode.unl.edu_2022_09_21\nygop17.jpg</t>
  </si>
  <si>
    <t>Z:\nemtode\general\website_mirrors\nematode.unl.edu_2022_09_21\nygop28.jpg</t>
  </si>
  <si>
    <t>Z:\nemtode\general\website_mirrors\nematode.unl.edu_2022_09_21\nygop19.jpg</t>
  </si>
  <si>
    <t>Z:\nemtode\general\website_mirrors\nematode.unl.edu_2022_09_21\nygop37.jpg</t>
  </si>
  <si>
    <t>Z:\nemtode\general\website_mirrors\nematode.unl.edu_2022_09_21\nygop8.jpg</t>
  </si>
  <si>
    <t>Z:\nemtode\general\website_mirrors\nematode.unl.edu_2022_09_21\nygop14.jpg</t>
  </si>
  <si>
    <t>Z:\nemtode\general\website_mirrors\nematode.unl.edu_2022_09_21\nygop16.jpg</t>
  </si>
  <si>
    <t>Z:\nemtode\general\website_mirrors\nematode.unl.edu_2022_09_21\nygop18.jpg</t>
  </si>
  <si>
    <t>Z:\nemtode\general\website_mirrors\nematode.unl.edu_2022_09_21\nygop29.jpg</t>
  </si>
  <si>
    <t>Z:\nemtode\general\website_mirrors\nematode.unl.edu_2022_09_21\nygop3.jpg</t>
  </si>
  <si>
    <t>Z:\nemtode\general\website_mirrors\nematode.unl.edu_2022_09_21\nygop38.jpg</t>
  </si>
  <si>
    <t>Z:\nemtode\general\website_mirrors\nematode.unl.edu_2022_09_21\nygop20.jpg</t>
  </si>
  <si>
    <t>Z:\nemtode\general\website_mirrors\nematode.unl.edu_2022_09_21\nygop26.jpg</t>
  </si>
  <si>
    <t>Z:\nemtode\general\website_mirrors\nematode.unl.edu_2022_09_21\nygop30.jpg</t>
  </si>
  <si>
    <t>Z:\nemtode\general\website_mirrors\nematode.unl.edu_2022_09_21\nygop4.jpg</t>
  </si>
  <si>
    <t>Z:\nemtode\general\website_mirrors\nematode.unl.edu_2022_09_21\aquac16.jpg</t>
  </si>
  <si>
    <t>Z:\nemtode\general\website_mirrors\nematode.unl.edu_2022_09_21\aquac1.jpg</t>
  </si>
  <si>
    <t>Z:\nemtode\general\website_mirrors\nematode.unl.edu_2022_09_21\aquac13.jpg</t>
  </si>
  <si>
    <t>Z:\nemtode\general\website_mirrors\nematode.unl.edu_2022_09_21\aquac17.jpg</t>
  </si>
  <si>
    <t>Z:\nemtode\general\website_mirrors\nematode.unl.edu_2022_09_21\aquac22.jpg</t>
  </si>
  <si>
    <t>Z:\nemtode\general\website_mirrors\nematode.unl.edu_2022_09_21\aquac3.jpg</t>
  </si>
  <si>
    <t>Z:\nemtode\general\website_mirrors\nematode.unl.edu_2022_09_21\aquac7.jpg</t>
  </si>
  <si>
    <t>Z:\nemtode\general\website_mirrors\nematode.unl.edu_2022_09_21\aquac8.jpg</t>
  </si>
  <si>
    <t>Z:\nemtode\general\website_mirrors\nematode.unl.edu_2022_09_21\aquac12.jpg</t>
  </si>
  <si>
    <t>Z:\nemtode\general\website_mirrors\nematode.unl.edu_2022_09_21\aquac21.jpg</t>
  </si>
  <si>
    <t>Z:\nemtode\general\website_mirrors\nematode.unl.edu_2022_09_21\aquac6.jpg</t>
  </si>
  <si>
    <t>Z:\nemtode\general\website_mirrors\nematode.unl.edu_2022_09_21\aquac9.jpg</t>
  </si>
  <si>
    <t>Z:\nemtode\general\website_mirrors\nematode.unl.edu_2022_09_21\aquac11.jpg</t>
  </si>
  <si>
    <t>Z:\nemtode\general\website_mirrors\nematode.unl.edu_2022_09_21\aquac19.jpg</t>
  </si>
  <si>
    <t>Z:\nemtode\general\website_mirrors\nematode.unl.edu_2022_09_21\aquac4.jpg</t>
  </si>
  <si>
    <t>Z:\nemtode\general\website_mirrors\nematode.unl.edu_2022_09_21\aquac14.jpg</t>
  </si>
  <si>
    <t>Z:\nemtode\general\website_mirrors\nematode.unl.edu_2022_09_21\aquaccmp.jpg</t>
  </si>
  <si>
    <t>Z:\nemtode\general\website_mirrors\nematode.unl.edu_2022_09_21\aquac10.jpg</t>
  </si>
  <si>
    <t>Z:\nemtode\general\website_mirrors\nematode.unl.edu_2022_09_21\aquac15.jpg</t>
  </si>
  <si>
    <t>Z:\nemtode\general\website_mirrors\nematode.unl.edu_2022_09_21\aquac18.jpg</t>
  </si>
  <si>
    <t>Z:\nemtode\general\website_mirrors\nematode.unl.edu_2022_09_21\aquac2.jpg</t>
  </si>
  <si>
    <t>Z:\nemtode\general\website_mirrors\nematode.unl.edu_2022_09_21\aquac5.jpg</t>
  </si>
  <si>
    <t>Z:\nemtode\general\website_mirrors\nematode.unl.edu_2022_09_21\aquac20.jpg</t>
  </si>
  <si>
    <t>Z:\nemtode\general\website_mirrors\nematode.unl.edu_2022_09_21\aquar11.jpg</t>
  </si>
  <si>
    <t>Z:\nemtode\general\website_mirrors\nematode.unl.edu_2022_09_21\aquar4.jpg</t>
  </si>
  <si>
    <t>Z:\nemtode\general\website_mirrors\nematode.unl.edu_2022_09_21\aquar5.jpg</t>
  </si>
  <si>
    <t>Z:\nemtode\general\website_mirrors\nematode.unl.edu_2022_09_21\aquar7.jpg</t>
  </si>
  <si>
    <t>Z:\nemtode\general\website_mirrors\nematode.unl.edu_2022_09_21\aquar8.jpg</t>
  </si>
  <si>
    <t>Z:\nemtode\general\website_mirrors\nematode.unl.edu_2022_09_21\aquar10.jpg</t>
  </si>
  <si>
    <t>Z:\nemtode\general\website_mirrors\nematode.unl.edu_2022_09_21\aquar3.jpg</t>
  </si>
  <si>
    <t>Z:\nemtode\general\website_mirrors\nematode.unl.edu_2022_09_21\aquar6.jpg</t>
  </si>
  <si>
    <t>Z:\nemtode\general\website_mirrors\nematode.unl.edu_2022_09_21\aquarcmp.jpg</t>
  </si>
  <si>
    <t>Z:\nemtode\general\website_mirrors\nematode.unl.edu_2022_09_21\aquar1.jpg</t>
  </si>
  <si>
    <t>Z:\nemtode\general\website_mirrors\nematode.unl.edu_2022_09_21\aquar9.jpg</t>
  </si>
  <si>
    <t>Z:\nemtode\general\website_mirrors\nematode.unl.edu_2022_09_21\aquar2.jpg</t>
  </si>
  <si>
    <t>Z:\nemtode\general\website_mirrors\nematode.unl.edu_2022_09_21\clavoid1.jpg</t>
  </si>
  <si>
    <t>Z:\nemtode\general\website_mirrors\nematode.unl.edu_2022_09_21\clavoid6.jpg</t>
  </si>
  <si>
    <t>Z:\nemtode\general\website_mirrors\nematode.unl.edu_2022_09_21\clavoid2.jpg</t>
  </si>
  <si>
    <t>Z:\nemtode\general\website_mirrors\nematode.unl.edu_2022_09_21\clavoid7.jpg</t>
  </si>
  <si>
    <t>Z:\nemtode\general\website_mirrors\nematode.unl.edu_2022_09_21\clavoid9.jpg</t>
  </si>
  <si>
    <t>Z:\nemtode\general\website_mirrors\nematode.unl.edu_2022_09_21\clavoid4.jpg</t>
  </si>
  <si>
    <t>Z:\nemtode\general\website_mirrors\nematode.unl.edu_2022_09_21\clavoid5.jpg</t>
  </si>
  <si>
    <t>Z:\nemtode\general\website_mirrors\nematode.unl.edu_2022_09_21\clavoid3.jpg</t>
  </si>
  <si>
    <t>Z:\nemtode\general\website_mirrors\nematode.unl.edu_2022_09_21\clavoid8.jpg</t>
  </si>
  <si>
    <t>Z:\nemtode\general\website_mirrors\nematode.unl.edu_2022_09_21\laevila1.jpg</t>
  </si>
  <si>
    <t>Z:\nemtode\general\website_mirrors\nematode.unl.edu_2022_09_21\laevila4.jpg</t>
  </si>
  <si>
    <t>Z:\nemtode\general\website_mirrors\nematode.unl.edu_2022_09_21\laevila5.jpg</t>
  </si>
  <si>
    <t>Z:\nemtode\general\website_mirrors\nematode.unl.edu_2022_09_21\laevilaedraw.jpg</t>
  </si>
  <si>
    <t>Z:\nemtode\general\website_mirrors\nematode.unl.edu_2022_09_21\laevila3.jpg</t>
  </si>
  <si>
    <t>Z:\nemtode\general\website_mirrors\nematode.unl.edu_2022_09_21\laevila2.jpg</t>
  </si>
  <si>
    <t>Z:\nemtode\general\website_mirrors\nematode.unl.edu_2022_09_21\nygols1.jpg</t>
  </si>
  <si>
    <t>Z:\nemtode\general\website_mirrors\nematode.unl.edu_2022_09_21\nygols3.jpg</t>
  </si>
  <si>
    <t>Z:\nemtode\general\website_mirrors\nematode.unl.edu_2022_09_21\nygols2.jpg</t>
  </si>
  <si>
    <t>Z:\nemtode\general\website_mirrors\nematode.unl.edu_2022_09_21\nypar4.jpg</t>
  </si>
  <si>
    <t>Z:\nemtode\general\website_mirrors\nematode.unl.edu_2022_09_21\nypten7.jpg</t>
  </si>
  <si>
    <t>Z:\nemtode\general\website_mirrors\nematode.unl.edu_2022_09_21\nypar1.jpg</t>
  </si>
  <si>
    <t>Z:\nemtode\general\website_mirrors\nematode.unl.edu_2022_09_21\nypar6.jpg</t>
  </si>
  <si>
    <t>Z:\nemtode\general\website_mirrors\nematode.unl.edu_2022_09_21\nypar7.jpg</t>
  </si>
  <si>
    <t>Z:\nemtode\general\website_mirrors\nematode.unl.edu_2022_09_21\nypten1.jpg</t>
  </si>
  <si>
    <t>Z:\nemtode\general\website_mirrors\nematode.unl.edu_2022_09_21\nypten2.jpg</t>
  </si>
  <si>
    <t>Z:\nemtode\general\website_mirrors\nematode.unl.edu_2022_09_21\nypten6.jpg</t>
  </si>
  <si>
    <t>Z:\nemtode\general\website_mirrors\nematode.unl.edu_2022_09_21\nypar2.jpg</t>
  </si>
  <si>
    <t>Z:\nemtode\general\website_mirrors\nematode.unl.edu_2022_09_21\nyparcmp.jpg</t>
  </si>
  <si>
    <t>Z:\nemtode\general\website_mirrors\nematode.unl.edu_2022_09_21\nypar5.jpg</t>
  </si>
  <si>
    <t>Z:\nemtode\general\website_mirrors\nematode.unl.edu_2022_09_21\nypten5.jpg</t>
  </si>
  <si>
    <t>Z:\nemtode\general\website_mirrors\nematode.unl.edu_2022_09_21\nypten3.jpg</t>
  </si>
  <si>
    <t>Z:\nemtode\general\website_mirrors\nematode.unl.edu_2022_09_21\nypten4.jpg</t>
  </si>
  <si>
    <t>Z:\nemtode\general\website_mirrors\nematode.unl.edu_2022_09_21\nypar3.jpg</t>
  </si>
  <si>
    <t>Z:\nemtode\general\website_mirrors\nematode.unl.edu_2022_09_21\nypten8.jpg</t>
  </si>
  <si>
    <t>Z:\nemtode\general\website_mirrors\nematode.unl.edu_2022_09_21\nyparv14.jpg</t>
  </si>
  <si>
    <t>Z:\nemtode\general\website_mirrors\nematode.unl.edu_2022_09_21\nypus3.jpg</t>
  </si>
  <si>
    <t>Z:\nemtode\general\website_mirrors\nematode.unl.edu_2022_09_21\nypa1.jpg</t>
  </si>
  <si>
    <t>Z:\nemtode\general\website_mirrors\nematode.unl.edu_2022_09_21\nypa5.jpg</t>
  </si>
  <si>
    <t>Z:\nemtode\general\website_mirrors\nematode.unl.edu_2022_09_21\nyparv12.jpg</t>
  </si>
  <si>
    <t>Z:\nemtode\general\website_mirrors\nematode.unl.edu_2022_09_21\nyparv16.jpg</t>
  </si>
  <si>
    <t>Z:\nemtode\general\website_mirrors\nematode.unl.edu_2022_09_21\nyparv17.jpg</t>
  </si>
  <si>
    <t>Z:\nemtode\general\website_mirrors\nematode.unl.edu_2022_09_21\nyparv2.jpg</t>
  </si>
  <si>
    <t>Z:\nemtode\general\website_mirrors\nematode.unl.edu_2022_09_21\nyparv6.jpg</t>
  </si>
  <si>
    <t>Z:\nemtode\general\website_mirrors\nematode.unl.edu_2022_09_21\nyparv8.jpg</t>
  </si>
  <si>
    <t>Z:\nemtode\general\website_mirrors\nematode.unl.edu_2022_09_21\nypus2.jpg</t>
  </si>
  <si>
    <t>Z:\nemtode\general\website_mirrors\nematode.unl.edu_2022_09_21\nypus6.jpg</t>
  </si>
  <si>
    <t>Z:\nemtode\general\website_mirrors\nematode.unl.edu_2022_09_21\nypa4.jpg</t>
  </si>
  <si>
    <t>Z:\nemtode\general\website_mirrors\nematode.unl.edu_2022_09_21\nyparv10.jpg</t>
  </si>
  <si>
    <t>Z:\nemtode\general\website_mirrors\nematode.unl.edu_2022_09_21\nyparv3.jpg</t>
  </si>
  <si>
    <t>Z:\nemtode\general\website_mirrors\nematode.unl.edu_2022_09_21\nypus7.jpg</t>
  </si>
  <si>
    <t>Z:\nemtode\general\website_mirrors\nematode.unl.edu_2022_09_21\nyparv1.jpg</t>
  </si>
  <si>
    <t>Z:\nemtode\general\website_mirrors\nematode.unl.edu_2022_09_21\nyparv7.jpg</t>
  </si>
  <si>
    <t>Z:\nemtode\general\website_mirrors\nematode.unl.edu_2022_09_21\nypus1.jpg</t>
  </si>
  <si>
    <t>Z:\nemtode\general\website_mirrors\nematode.unl.edu_2022_09_21\nypa3.jpg</t>
  </si>
  <si>
    <t>Z:\nemtode\general\website_mirrors\nematode.unl.edu_2022_09_21\nypus4.jpg</t>
  </si>
  <si>
    <t>Z:\nemtode\general\website_mirrors\nematode.unl.edu_2022_09_21\nypa2.jpg</t>
  </si>
  <si>
    <t>Z:\nemtode\general\website_mirrors\nematode.unl.edu_2022_09_21\nyparv11.jpg</t>
  </si>
  <si>
    <t>Z:\nemtode\general\website_mirrors\nematode.unl.edu_2022_09_21\nyparv15.jpg</t>
  </si>
  <si>
    <t>Z:\nemtode\general\website_mirrors\nematode.unl.edu_2022_09_21\nyparv5.jpg</t>
  </si>
  <si>
    <t>Z:\nemtode\general\website_mirrors\nematode.unl.edu_2022_09_21\nyparv9.jpg</t>
  </si>
  <si>
    <t>Z:\nemtode\general\website_mirrors\nematode.unl.edu_2022_09_21\nyparvcmp.jpg</t>
  </si>
  <si>
    <t>Z:\nemtode\general\website_mirrors\nematode.unl.edu_2022_09_21\nypus5.jpg</t>
  </si>
  <si>
    <t>Z:\nemtode\general\website_mirrors\nematode.unl.edu_2022_09_21\nyparv13.jpg</t>
  </si>
  <si>
    <t>Z:\nemtode\general\website_mirrors\nematode.unl.edu_2022_09_21\nyparv4.jpg</t>
  </si>
  <si>
    <t>Z:\nemtode\general\website_mirrors\nematode.unl.edu_2022_09_21\nypus8.jpg</t>
  </si>
  <si>
    <t>Z:\nemtode\general\website_mirrors\nematode.unl.edu_2022_09_21\nyten11.jpg</t>
  </si>
  <si>
    <t>Z:\nemtode\general\website_mirrors\nematode.unl.edu_2022_09_21\nyten13.jpg</t>
  </si>
  <si>
    <t>Z:\nemtode\general\website_mirrors\nematode.unl.edu_2022_09_21\nyten2.jpg</t>
  </si>
  <si>
    <t>Z:\nemtode\general\website_mirrors\nematode.unl.edu_2022_09_21\nyten6.jpg</t>
  </si>
  <si>
    <t>Z:\nemtode\general\website_mirrors\nematode.unl.edu_2022_09_21\nyten10.jpg</t>
  </si>
  <si>
    <t>Z:\nemtode\general\website_mirrors\nematode.unl.edu_2022_09_21\nyten12.jpg</t>
  </si>
  <si>
    <t>Z:\nemtode\general\website_mirrors\nematode.unl.edu_2022_09_21\nyten5.jpg</t>
  </si>
  <si>
    <t>Z:\nemtode\general\website_mirrors\nematode.unl.edu_2022_09_21\nyten1.jpg</t>
  </si>
  <si>
    <t>Z:\nemtode\general\website_mirrors\nematode.unl.edu_2022_09_21\nyten8.jpg</t>
  </si>
  <si>
    <t>Z:\nemtode\general\website_mirrors\nematode.unl.edu_2022_09_21\nyten14.jpg</t>
  </si>
  <si>
    <t>Z:\nemtode\general\website_mirrors\nematode.unl.edu_2022_09_21\nyten3.jpg</t>
  </si>
  <si>
    <t>Z:\nemtode\general\website_mirrors\nematode.unl.edu_2022_09_21\nyten4.jpg</t>
  </si>
  <si>
    <t>Z:\nemtode\general\website_mirrors\nematode.unl.edu_2022_09_21\nyten9.jpg</t>
  </si>
  <si>
    <t>Z:\nemtode\general\website_mirrors\nematode.unl.edu_2022_09_21\nyten7.jpg</t>
  </si>
  <si>
    <t>Z:\nemtode\general\website_mirrors\nematode.unl.edu_2022_09_21\parav10.jpg</t>
  </si>
  <si>
    <t>Z:\nemtode\general\website_mirrors\nematode.unl.edu_2022_09_21\parav12.jpg</t>
  </si>
  <si>
    <t>Z:\nemtode\general\website_mirrors\nematode.unl.edu_2022_09_21\parav2.jpg</t>
  </si>
  <si>
    <t>Z:\nemtode\general\website_mirrors\nematode.unl.edu_2022_09_21\parav6.jpg</t>
  </si>
  <si>
    <t>Z:\nemtode\general\website_mirrors\nematode.unl.edu_2022_09_21\parav7.jpg</t>
  </si>
  <si>
    <t>Z:\nemtode\general\website_mirrors\nematode.unl.edu_2022_09_21\parav1.jpg</t>
  </si>
  <si>
    <t>Z:\nemtode\general\website_mirrors\nematode.unl.edu_2022_09_21\parav5.jpg</t>
  </si>
  <si>
    <t>Z:\nemtode\general\website_mirrors\nematode.unl.edu_2022_09_21\parav4.jpg</t>
  </si>
  <si>
    <t>Z:\nemtode\general\website_mirrors\nematode.unl.edu_2022_09_21\parav9.jpg</t>
  </si>
  <si>
    <t>Z:\nemtode\general\website_mirrors\nematode.unl.edu_2022_09_21\parav11.jpg</t>
  </si>
  <si>
    <t>Z:\nemtode\general\website_mirrors\nematode.unl.edu_2022_09_21\parav13.jpg</t>
  </si>
  <si>
    <t>Z:\nemtode\general\website_mirrors\nematode.unl.edu_2022_09_21\parav3.jpg</t>
  </si>
  <si>
    <t>Z:\nemtode\general\website_mirrors\nematode.unl.edu_2022_09_21\parav8.jpg</t>
  </si>
  <si>
    <t>Z:\nemtode\general\website_mirrors\nematode.unl.edu_2022_09_21\pharti3.jpg</t>
  </si>
  <si>
    <t>Z:\nemtode\general\website_mirrors\nematode.unl.edu_2022_09_21\parhar12.jpg</t>
  </si>
  <si>
    <t>Z:\nemtode\general\website_mirrors\nematode.unl.edu_2022_09_21\parhar11.jpg</t>
  </si>
  <si>
    <t>Z:\nemtode\general\website_mirrors\nematode.unl.edu_2022_09_21\parhar14.jpg</t>
  </si>
  <si>
    <t>Z:\nemtode\general\website_mirrors\nematode.unl.edu_2022_09_21\parhar19.jpg</t>
  </si>
  <si>
    <t>Z:\nemtode\general\website_mirrors\nematode.unl.edu_2022_09_21\parhar22.jpg</t>
  </si>
  <si>
    <t>Z:\nemtode\general\website_mirrors\nematode.unl.edu_2022_09_21\parhar26.jpg</t>
  </si>
  <si>
    <t>Z:\nemtode\general\website_mirrors\nematode.unl.edu_2022_09_21\parhar27.jpg</t>
  </si>
  <si>
    <t>Z:\nemtode\general\website_mirrors\nematode.unl.edu_2022_09_21\parhar4.jpg</t>
  </si>
  <si>
    <t>Z:\nemtode\general\website_mirrors\nematode.unl.edu_2022_09_21\parhar8.jpg</t>
  </si>
  <si>
    <t>Z:\nemtode\general\website_mirrors\nematode.unl.edu_2022_09_21\pharti2.jpg</t>
  </si>
  <si>
    <t>Z:\nemtode\general\website_mirrors\nematode.unl.edu_2022_09_21\parhar10.jpg</t>
  </si>
  <si>
    <t>Z:\nemtode\general\website_mirrors\nematode.unl.edu_2022_09_21\parhar2.jpg</t>
  </si>
  <si>
    <t>Z:\nemtode\general\website_mirrors\nematode.unl.edu_2022_09_21\parhar20.jpg</t>
  </si>
  <si>
    <t>Z:\nemtode\general\website_mirrors\nematode.unl.edu_2022_09_21\parhar23.jpg</t>
  </si>
  <si>
    <t>Z:\nemtode\general\website_mirrors\nematode.unl.edu_2022_09_21\parhar25.jpg</t>
  </si>
  <si>
    <t>Z:\nemtode\general\website_mirrors\nematode.unl.edu_2022_09_21\parhar28.jpg</t>
  </si>
  <si>
    <t>Z:\nemtode\general\website_mirrors\nematode.unl.edu_2022_09_21\parhar7.jpg</t>
  </si>
  <si>
    <t>Z:\nemtode\general\website_mirrors\nematode.unl.edu_2022_09_21\parhar1.jpg</t>
  </si>
  <si>
    <t>Z:\nemtode\general\website_mirrors\nematode.unl.edu_2022_09_21\parhar13.jpg</t>
  </si>
  <si>
    <t>Z:\nemtode\general\website_mirrors\nematode.unl.edu_2022_09_21\pharti1.jpg</t>
  </si>
  <si>
    <t>Z:\nemtode\general\website_mirrors\nematode.unl.edu_2022_09_21\parhar18.jpg</t>
  </si>
  <si>
    <t>Z:\nemtode\general\website_mirrors\nematode.unl.edu_2022_09_21\pharti5.jpg</t>
  </si>
  <si>
    <t>Z:\nemtode\general\website_mirrors\nematode.unl.edu_2022_09_21\phart.jpg</t>
  </si>
  <si>
    <t>Z:\nemtode\general\website_mirrors\nematode.unl.edu_2022_09_21\pharti4.jpg</t>
  </si>
  <si>
    <t>Z:\nemtode\general\website_mirrors\nematode.unl.edu_2022_09_21\parhar16.jpg</t>
  </si>
  <si>
    <t>Z:\nemtode\general\website_mirrors\nematode.unl.edu_2022_09_21\parhar30.jpg</t>
  </si>
  <si>
    <t>Z:\nemtode\general\website_mirrors\nematode.unl.edu_2022_09_21\parhar5.jpg</t>
  </si>
  <si>
    <t>Z:\nemtode\general\website_mirrors\nematode.unl.edu_2022_09_21\parhar15.jpg</t>
  </si>
  <si>
    <t>Z:\nemtode\general\website_mirrors\nematode.unl.edu_2022_09_21\parhar17.jpg</t>
  </si>
  <si>
    <t>Z:\nemtode\general\website_mirrors\nematode.unl.edu_2022_09_21\parhar21.jpg</t>
  </si>
  <si>
    <t>Z:\nemtode\general\website_mirrors\nematode.unl.edu_2022_09_21\parhar24.jpg</t>
  </si>
  <si>
    <t>Z:\nemtode\general\website_mirrors\nematode.unl.edu_2022_09_21\parhar29.jpg</t>
  </si>
  <si>
    <t>Z:\nemtode\general\website_mirrors\nematode.unl.edu_2022_09_21\parhar3.jpg</t>
  </si>
  <si>
    <t>Z:\nemtode\general\website_mirrors\nematode.unl.edu_2022_09_21\parhar6.jpg</t>
  </si>
  <si>
    <t>Z:\nemtode\general\website_mirrors\nematode.unl.edu_2022_09_21\parhar9.jpg</t>
  </si>
  <si>
    <t>Z:\nemtode\general\website_mirrors\nematode.unl.edu_2022_09_21\pharti6.jpg</t>
  </si>
  <si>
    <t>Z:\nemtode\general\website_mirrors\nematode.unl.edu_2022_09_21\sovul2.jpg</t>
  </si>
  <si>
    <t>Z:\nemtode\general\website_mirrors\nematode.unl.edu_2022_09_21\sovul10.jpg</t>
  </si>
  <si>
    <t>Z:\nemtode\general\website_mirrors\nematode.unl.edu_2022_09_21\sovul14.jpg</t>
  </si>
  <si>
    <t>Z:\nemtode\general\website_mirrors\nematode.unl.edu_2022_09_21\sovul18.jpg</t>
  </si>
  <si>
    <t>Z:\nemtode\general\website_mirrors\nematode.unl.edu_2022_09_21\sovul21.jpg</t>
  </si>
  <si>
    <t>Z:\nemtode\general\website_mirrors\nematode.unl.edu_2022_09_21\sovul4.jpg</t>
  </si>
  <si>
    <t>Z:\nemtode\general\website_mirrors\nematode.unl.edu_2022_09_21\sovul6.jpg</t>
  </si>
  <si>
    <t>Z:\nemtode\general\website_mirrors\nematode.unl.edu_2022_09_21\sovul7.jpg</t>
  </si>
  <si>
    <t>Z:\nemtode\general\website_mirrors\nematode.unl.edu_2022_09_21\sovul5.jpg</t>
  </si>
  <si>
    <t>Z:\nemtode\general\website_mirrors\nematode.unl.edu_2022_09_21\sovul9.jpg</t>
  </si>
  <si>
    <t>Z:\nemtode\general\website_mirrors\nematode.unl.edu_2022_09_21\sovul1.jpg</t>
  </si>
  <si>
    <t>Z:\nemtode\general\website_mirrors\nematode.unl.edu_2022_09_21\sovul17.jpg</t>
  </si>
  <si>
    <t>Z:\nemtode\general\website_mirrors\nematode.unl.edu_2022_09_21\sovul8.jpg</t>
  </si>
  <si>
    <t>Z:\nemtode\general\website_mirrors\nematode.unl.edu_2022_09_21\sovul13.jpg</t>
  </si>
  <si>
    <t>Z:\nemtode\general\website_mirrors\nematode.unl.edu_2022_09_21\sovulcmp.jpg</t>
  </si>
  <si>
    <t>Z:\nemtode\general\website_mirrors\nematode.unl.edu_2022_09_21\sovul12.jpg</t>
  </si>
  <si>
    <t>Z:\nemtode\general\website_mirrors\nematode.unl.edu_2022_09_21\sovul16.jpg</t>
  </si>
  <si>
    <t>Z:\nemtode\general\website_mirrors\nematode.unl.edu_2022_09_21\sovul20.jpg</t>
  </si>
  <si>
    <t>Z:\nemtode\general\website_mirrors\nematode.unl.edu_2022_09_21\sovul3.jpg</t>
  </si>
  <si>
    <t>Z:\nemtode\general\website_mirrors\nematode.unl.edu_2022_09_21\sovul11.jpg</t>
  </si>
  <si>
    <t>Z:\nemtode\general\website_mirrors\nematode.unl.edu_2022_09_21\sovul15.jpg</t>
  </si>
  <si>
    <t>Z:\nemtode\general\website_mirrors\nematode.unl.edu_2022_09_21\sovul19.jpg</t>
  </si>
  <si>
    <t>Z:\nemtode\general\website_mirrors\nematode.unl.edu_2022_09_21\alloall9.jpg</t>
  </si>
  <si>
    <t>Z:\nemtode\general\website_mirrors\nematode.unl.edu_2022_09_21\alloall11.jpg</t>
  </si>
  <si>
    <t>Z:\nemtode\general\website_mirrors\nematode.unl.edu_2022_09_21\alloall5.jpg</t>
  </si>
  <si>
    <t>Z:\nemtode\general\website_mirrors\nematode.unl.edu_2022_09_21\alloall6.jpg</t>
  </si>
  <si>
    <t>Z:\nemtode\general\website_mirrors\nematode.unl.edu_2022_09_21\alloall7.jpg</t>
  </si>
  <si>
    <t>Z:\nemtode\general\website_mirrors\nematode.unl.edu_2022_09_21\alloall4.jpg</t>
  </si>
  <si>
    <t>Z:\nemtode\general\website_mirrors\nematode.unl.edu_2022_09_21\alloall1.jpg</t>
  </si>
  <si>
    <t>Z:\nemtode\general\website_mirrors\nematode.unl.edu_2022_09_21\alloall10.jpg</t>
  </si>
  <si>
    <t>Z:\nemtode\general\website_mirrors\nematode.unl.edu_2022_09_21\alloallcmp.jpg</t>
  </si>
  <si>
    <t>Z:\nemtode\general\website_mirrors\nematode.unl.edu_2022_09_21\alloall2.jpg</t>
  </si>
  <si>
    <t>Z:\nemtode\general\website_mirrors\nematode.unl.edu_2022_09_21\alloall8.jpg</t>
  </si>
  <si>
    <t>Z:\nemtode\general\website_mirrors\nematode.unl.edu_2022_09_21\alloall3.jpg</t>
  </si>
  <si>
    <t>Z:\nemtode\general\website_mirrors\nematode.unl.edu_2022_09_21\allou4.jpg</t>
  </si>
  <si>
    <t>Z:\nemtode\general\website_mirrors\nematode.unl.edu_2022_09_21\allou3.jpg</t>
  </si>
  <si>
    <t>Z:\nemtode\general\website_mirrors\nematode.unl.edu_2022_09_21\alloucmp.jpg</t>
  </si>
  <si>
    <t>Z:\nemtode\general\website_mirrors\nematode.unl.edu_2022_09_21\allou1.jpg</t>
  </si>
  <si>
    <t>Z:\nemtode\general\website_mirrors\nematode.unl.edu_2022_09_21\allou2.jpg</t>
  </si>
  <si>
    <t>Z:\nemtode\general\website_mirrors\nematode.unl.edu_2022_09_21\eudan2.jpg</t>
  </si>
  <si>
    <t>Z:\nemtode\general\website_mirrors\nematode.unl.edu_2022_09_21\eudan3.jpg</t>
  </si>
  <si>
    <t>Z:\nemtode\general\website_mirrors\nematode.unl.edu_2022_09_21\eudan1.jpg</t>
  </si>
  <si>
    <t>Z:\nemtode\general\website_mirrors\nematode.unl.edu_2022_09_21\eudan5.jpg</t>
  </si>
  <si>
    <t>Z:\nemtode\general\website_mirrors\nematode.unl.edu_2022_09_21\eudan4.jpg</t>
  </si>
  <si>
    <t>Z:\nemtode\general\website_mirrors\nematode.unl.edu_2022_09_21\eurob3.jpg</t>
  </si>
  <si>
    <t>Z:\nemtode\general\website_mirrors\nematode.unl.edu_2022_09_21\eurob1.jpg</t>
  </si>
  <si>
    <t>Z:\nemtode\general\website_mirrors\nematode.unl.edu_2022_09_21\eurob2.jpg</t>
  </si>
  <si>
    <t>Z:\nemtode\general\website_mirrors\nematode.unl.edu_2022_09_21\eurob5.jpg</t>
  </si>
  <si>
    <t>Z:\nemtode\general\website_mirrors\nematode.unl.edu_2022_09_21\eurob4.jpg</t>
  </si>
  <si>
    <t>Z:\nemtode\general\website_mirrors\nematode.unl.edu_2022_09_21\eudenc1.jpg</t>
  </si>
  <si>
    <t>Z:\nemtode\general\website_mirrors\nematode.unl.edu_2022_09_21\eudenc2.jpg</t>
  </si>
  <si>
    <t>Z:\nemtode\general\website_mirrors\nematode.unl.edu_2022_09_21\cater10.jpg</t>
  </si>
  <si>
    <t>Z:\nemtode\general\website_mirrors\nematode.unl.edu_2022_09_21\cater1.jpg</t>
  </si>
  <si>
    <t>Z:\nemtode\general\website_mirrors\nematode.unl.edu_2022_09_21\carcharolaimus_head2.jpg</t>
  </si>
  <si>
    <t>Z:\nemtode\general\website_mirrors\nematode.unl.edu_2022_09_21\carter2.jpg</t>
  </si>
  <si>
    <t>Z:\nemtode\general\website_mirrors\nematode.unl.edu_2022_09_21\cater4.jpg</t>
  </si>
  <si>
    <t>Z:\nemtode\general\website_mirrors\nematode.unl.edu_2022_09_21\carter3.jpg</t>
  </si>
  <si>
    <t>Z:\nemtode\general\website_mirrors\nematode.unl.edu_2022_09_21\carter1.jpg</t>
  </si>
  <si>
    <t>Z:\nemtode\general\website_mirrors\nematode.unl.edu_2022_09_21\cater9.jpg</t>
  </si>
  <si>
    <t>Z:\nemtode\general\website_mirrors\nematode.unl.edu_2022_09_21\cater6.jpg</t>
  </si>
  <si>
    <t>Z:\nemtode\general\website_mirrors\nematode.unl.edu_2022_09_21\cater5.jpg</t>
  </si>
  <si>
    <t>Z:\nemtode\general\website_mirrors\nematode.unl.edu_2022_09_21\cater2.jpg</t>
  </si>
  <si>
    <t>Z:\nemtode\general\website_mirrors\nematode.unl.edu_2022_09_21\carter5.jpg</t>
  </si>
  <si>
    <t>Z:\nemtode\general\website_mirrors\nematode.unl.edu_2022_09_21\cater3.jpg</t>
  </si>
  <si>
    <t>Z:\nemtode\general\website_mirrors\nematode.unl.edu_2022_09_21\cater7.jpg</t>
  </si>
  <si>
    <t>Z:\nemtode\general\website_mirrors\nematode.unl.edu_2022_09_21\cater8.jpg</t>
  </si>
  <si>
    <t>Z:\nemtode\general\website_mirrors\nematode.unl.edu_2022_09_21\carter4.jpg</t>
  </si>
  <si>
    <t>Z:\nemtode\general\website_mirrors\nematode.unl.edu_2022_09_21\chraur.jpg</t>
  </si>
  <si>
    <t>Z:\nemtode\general\website_mirrors\nematode.unl.edu_2022_09_21\apdu1.jpg</t>
  </si>
  <si>
    <t>Z:\nemtode\general\website_mirrors\nematode.unl.edu_2022_09_21\apdu4.jpg</t>
  </si>
  <si>
    <t>Z:\nemtode\general\website_mirrors\nematode.unl.edu_2022_09_21\apdu2.jpg</t>
  </si>
  <si>
    <t>Z:\nemtode\general\website_mirrors\nematode.unl.edu_2022_09_21\apdu5.jpg</t>
  </si>
  <si>
    <t>Z:\nemtode\general\website_mirrors\nematode.unl.edu_2022_09_21\apdu3.jpg</t>
  </si>
  <si>
    <t>Z:\nemtode\general\website_mirrors\nematode.unl.edu_2022_09_21\discom2.jpg</t>
  </si>
  <si>
    <t>Z:\nemtode\general\website_mirrors\nematode.unl.edu_2022_09_21\discom1.jpg</t>
  </si>
  <si>
    <t>Z:\nemtode\general\website_mirrors\nematode.unl.edu_2022_09_21\discom4.jpg</t>
  </si>
  <si>
    <t>Z:\nemtode\general\website_mirrors\nematode.unl.edu_2022_09_21\discom3.jpg</t>
  </si>
  <si>
    <t>Z:\nemtode\general\website_mirrors\nematode.unl.edu_2022_09_21\dibulb2.jpg</t>
  </si>
  <si>
    <t>Z:\nemtode\general\website_mirrors\nematode.unl.edu_2022_09_21\dibulb4.jpg</t>
  </si>
  <si>
    <t>Z:\nemtode\general\website_mirrors\nematode.unl.edu_2022_09_21\dibulb8.jpg</t>
  </si>
  <si>
    <t>Z:\nemtode\general\website_mirrors\nematode.unl.edu_2022_09_21\dibulb5.jpg</t>
  </si>
  <si>
    <t>Z:\nemtode\general\website_mirrors\nematode.unl.edu_2022_09_21\dibulb9.jpg</t>
  </si>
  <si>
    <t>Z:\nemtode\general\website_mirrors\nematode.unl.edu_2022_09_21\dibulb1.jpg</t>
  </si>
  <si>
    <t>Z:\nemtode\general\website_mirrors\nematode.unl.edu_2022_09_21\dibulb3.jpg</t>
  </si>
  <si>
    <t>Z:\nemtode\general\website_mirrors\nematode.unl.edu_2022_09_21\dibulb7.jpg</t>
  </si>
  <si>
    <t>Z:\nemtode\general\website_mirrors\nematode.unl.edu_2022_09_21\dibulb10.jpg</t>
  </si>
  <si>
    <t>Z:\nemtode\general\website_mirrors\nematode.unl.edu_2022_09_21\dibulb6.jpg</t>
  </si>
  <si>
    <t>Z:\nemtode\general\website_mirrors\nematode.unl.edu_2022_09_21\disccy3.jpg</t>
  </si>
  <si>
    <t>Z:\nemtode\general\website_mirrors\nematode.unl.edu_2022_09_21\disccy4.jpg</t>
  </si>
  <si>
    <t>Z:\nemtode\general\website_mirrors\nematode.unl.edu_2022_09_21\disccy2.jpg</t>
  </si>
  <si>
    <t>Z:\nemtode\general\website_mirrors\nematode.unl.edu_2022_09_21\disccy5.jpg</t>
  </si>
  <si>
    <t>Z:\nemtode\general\website_mirrors\nematode.unl.edu_2022_09_21\disccy1.jpg</t>
  </si>
  <si>
    <t>Z:\nemtode\general\website_mirrors\nematode.unl.edu_2022_09_21\digra2.jpg</t>
  </si>
  <si>
    <t>Z:\nemtode\general\website_mirrors\nematode.unl.edu_2022_09_21\digra10.jpg</t>
  </si>
  <si>
    <t>Z:\nemtode\general\website_mirrors\nematode.unl.edu_2022_09_21\digra14.jpg</t>
  </si>
  <si>
    <t>Z:\nemtode\general\website_mirrors\nematode.unl.edu_2022_09_21\digra19.jpg</t>
  </si>
  <si>
    <t>Z:\nemtode\general\website_mirrors\nematode.unl.edu_2022_09_21\digra22.jpg</t>
  </si>
  <si>
    <t>Z:\nemtode\general\website_mirrors\nematode.unl.edu_2022_09_21\digra24.jpg</t>
  </si>
  <si>
    <t>Z:\nemtode\general\website_mirrors\nematode.unl.edu_2022_09_21\digra29.jpg</t>
  </si>
  <si>
    <t>Z:\nemtode\general\website_mirrors\nematode.unl.edu_2022_09_21\digra3.jpg</t>
  </si>
  <si>
    <t>Z:\nemtode\general\website_mirrors\nematode.unl.edu_2022_09_21\digra33.jpg</t>
  </si>
  <si>
    <t>Z:\nemtode\general\website_mirrors\nematode.unl.edu_2022_09_21\digra35.jpg</t>
  </si>
  <si>
    <t>Z:\nemtode\general\website_mirrors\nematode.unl.edu_2022_09_21\digra7.jpg</t>
  </si>
  <si>
    <t>Z:\nemtode\general\website_mirrors\nematode.unl.edu_2022_09_21\digra38.jpg</t>
  </si>
  <si>
    <t>Z:\nemtode\general\website_mirrors\nematode.unl.edu_2022_09_21\digra11.jpg</t>
  </si>
  <si>
    <t>Z:\nemtode\general\website_mirrors\nematode.unl.edu_2022_09_21\digra15.jpg</t>
  </si>
  <si>
    <t>Z:\nemtode\general\website_mirrors\nematode.unl.edu_2022_09_21\digra18.jpg</t>
  </si>
  <si>
    <t>Z:\nemtode\general\website_mirrors\nematode.unl.edu_2022_09_21\digra21.jpg</t>
  </si>
  <si>
    <t>Z:\nemtode\general\website_mirrors\nematode.unl.edu_2022_09_21\digra25.jpg</t>
  </si>
  <si>
    <t>Z:\nemtode\general\website_mirrors\nematode.unl.edu_2022_09_21\digra30.jpg</t>
  </si>
  <si>
    <t>Z:\nemtode\general\website_mirrors\nematode.unl.edu_2022_09_21\digra39.jpg</t>
  </si>
  <si>
    <t>Z:\nemtode\general\website_mirrors\nematode.unl.edu_2022_09_21\digra4.jpg</t>
  </si>
  <si>
    <t>Z:\nemtode\general\website_mirrors\nematode.unl.edu_2022_09_21\digra1.jpg</t>
  </si>
  <si>
    <t>Z:\nemtode\general\website_mirrors\nematode.unl.edu_2022_09_21\digra23.jpg</t>
  </si>
  <si>
    <t>Z:\nemtode\general\website_mirrors\nematode.unl.edu_2022_09_21\digra28.jpg</t>
  </si>
  <si>
    <t>Z:\nemtode\general\website_mirrors\nematode.unl.edu_2022_09_21\digra34.jpg</t>
  </si>
  <si>
    <t>Z:\nemtode\general\website_mirrors\nematode.unl.edu_2022_09_21\digra9.jpg</t>
  </si>
  <si>
    <t>Z:\nemtode\general\website_mirrors\nematode.unl.edu_2022_09_21\digra8.jpg</t>
  </si>
  <si>
    <t>Z:\nemtode\general\website_mirrors\nematode.unl.edu_2022_09_21\digra13.jpg</t>
  </si>
  <si>
    <t>Z:\nemtode\general\website_mirrors\nematode.unl.edu_2022_09_21\digra16.jpg</t>
  </si>
  <si>
    <t>Z:\nemtode\general\website_mirrors\nematode.unl.edu_2022_09_21\digra27.jpg</t>
  </si>
  <si>
    <t>Z:\nemtode\general\website_mirrors\nematode.unl.edu_2022_09_21\digra32.jpg</t>
  </si>
  <si>
    <t>Z:\nemtode\general\website_mirrors\nematode.unl.edu_2022_09_21\digra37.jpg</t>
  </si>
  <si>
    <t>Z:\nemtode\general\website_mirrors\nematode.unl.edu_2022_09_21\digra6.jpg</t>
  </si>
  <si>
    <t>Z:\nemtode\general\website_mirrors\nematode.unl.edu_2022_09_21\digra12.jpg</t>
  </si>
  <si>
    <t>Z:\nemtode\general\website_mirrors\nematode.unl.edu_2022_09_21\digra17.jpg</t>
  </si>
  <si>
    <t>Z:\nemtode\general\website_mirrors\nematode.unl.edu_2022_09_21\digra20.jpg</t>
  </si>
  <si>
    <t>Z:\nemtode\general\website_mirrors\nematode.unl.edu_2022_09_21\digra26.jpg</t>
  </si>
  <si>
    <t>Z:\nemtode\general\website_mirrors\nematode.unl.edu_2022_09_21\digra31.jpg</t>
  </si>
  <si>
    <t>Z:\nemtode\general\website_mirrors\nematode.unl.edu_2022_09_21\digra36.jpg</t>
  </si>
  <si>
    <t>Z:\nemtode\general\website_mirrors\nematode.unl.edu_2022_09_21\digra5.jpg</t>
  </si>
  <si>
    <t>Z:\nemtode\general\website_mirrors\nematode.unl.edu_2022_09_21\discos1.jpg</t>
  </si>
  <si>
    <t>Z:\nemtode\general\website_mirrors\nematode.unl.edu_2022_09_21\discos2.jpg</t>
  </si>
  <si>
    <t>Z:\nemtode\general\website_mirrors\nematode.unl.edu_2022_09_21\discos3.jpg</t>
  </si>
  <si>
    <t>Z:\nemtode\general\website_mirrors\nematode.unl.edu_2022_09_21\discaur2.jpg</t>
  </si>
  <si>
    <t>Z:\nemtode\general\website_mirrors\nematode.unl.edu_2022_09_21\discaur5.jpg</t>
  </si>
  <si>
    <t>Z:\nemtode\general\website_mirrors\nematode.unl.edu_2022_09_21\discaur3.jpg</t>
  </si>
  <si>
    <t>Z:\nemtode\general\website_mirrors\nematode.unl.edu_2022_09_21\discaur6.jpg</t>
  </si>
  <si>
    <t>Z:\nemtode\general\website_mirrors\nematode.unl.edu_2022_09_21\discaur1.jpg</t>
  </si>
  <si>
    <t>Z:\nemtode\general\website_mirrors\nematode.unl.edu_2022_09_21\discaudrw.jpg</t>
  </si>
  <si>
    <t>Z:\nemtode\general\website_mirrors\nematode.unl.edu_2022_09_21\discaur4.jpg</t>
  </si>
  <si>
    <t>Z:\nemtode\general\website_mirrors\nematode.unl.edu_2022_09_21\discaur8.jpg</t>
  </si>
  <si>
    <t>Z:\nemtode\general\website_mirrors\nematode.unl.edu_2022_09_21\discaur7.jpg</t>
  </si>
  <si>
    <t>Z:\nemtode\general\website_mirrors\nematode.unl.edu_2022_09_21\dissi1.jpg</t>
  </si>
  <si>
    <t>Z:\nemtode\general\website_mirrors\nematode.unl.edu_2022_09_21\dissi2.jpg</t>
  </si>
  <si>
    <t>Z:\nemtode\general\website_mirrors\nematode.unl.edu_2022_09_21\dissi4.jpg</t>
  </si>
  <si>
    <t>Z:\nemtode\general\website_mirrors\nematode.unl.edu_2022_09_21\dissi7.jpg</t>
  </si>
  <si>
    <t>Z:\nemtode\general\website_mirrors\nematode.unl.edu_2022_09_21\dissi5.jpg</t>
  </si>
  <si>
    <t>Z:\nemtode\general\website_mirrors\nematode.unl.edu_2022_09_21\dissi6.jpg</t>
  </si>
  <si>
    <t>Z:\nemtode\general\website_mirrors\nematode.unl.edu_2022_09_21\dissicmp.jpg</t>
  </si>
  <si>
    <t>Z:\nemtode\general\website_mirrors\nematode.unl.edu_2022_09_21\dissi3.jpg</t>
  </si>
  <si>
    <t>Z:\nemtode\general\website_mirrors\nematode.unl.edu_2022_09_21\dissi8.jpg</t>
  </si>
  <si>
    <t>Z:\nemtode\general\website_mirrors\nematode.unl.edu_2022_09_21\discotex2.jpg</t>
  </si>
  <si>
    <t>Z:\nemtode\general\website_mirrors\nematode.unl.edu_2022_09_21\distex10.jpg</t>
  </si>
  <si>
    <t>Z:\nemtode\general\website_mirrors\nematode.unl.edu_2022_09_21\distex16.jpg</t>
  </si>
  <si>
    <t>Z:\nemtode\general\website_mirrors\nematode.unl.edu_2022_09_21\distex5.jpg</t>
  </si>
  <si>
    <t>Z:\nemtode\general\website_mirrors\nematode.unl.edu_2022_09_21\distex7.jpg</t>
  </si>
  <si>
    <t>Z:\nemtode\general\website_mirrors\nematode.unl.edu_2022_09_21\distex9.jpg</t>
  </si>
  <si>
    <t>Z:\nemtode\general\website_mirrors\nematode.unl.edu_2022_09_21\distex6.jpg</t>
  </si>
  <si>
    <t>Z:\nemtode\general\website_mirrors\nematode.unl.edu_2022_09_21\distex8.jpg</t>
  </si>
  <si>
    <t>Z:\nemtode\general\website_mirrors\nematode.unl.edu_2022_09_21\distex15.jpg</t>
  </si>
  <si>
    <t>Z:\nemtode\general\website_mirrors\nematode.unl.edu_2022_09_21\distex4.jpg</t>
  </si>
  <si>
    <t>Z:\nemtode\general\website_mirrors\nematode.unl.edu_2022_09_21\distex1.jpg</t>
  </si>
  <si>
    <t>Z:\nemtode\general\website_mirrors\nematode.unl.edu_2022_09_21\distex13.jpg</t>
  </si>
  <si>
    <t>Z:\nemtode\general\website_mirrors\nematode.unl.edu_2022_09_21\distexcmp.jpg</t>
  </si>
  <si>
    <t>Z:\nemtode\general\website_mirrors\nematode.unl.edu_2022_09_21\discotex4.jpg</t>
  </si>
  <si>
    <t>Z:\nemtode\general\website_mirrors\nematode.unl.edu_2022_09_21\distex12.jpg</t>
  </si>
  <si>
    <t>Z:\nemtode\general\website_mirrors\nematode.unl.edu_2022_09_21\distex14.jpg</t>
  </si>
  <si>
    <t>Z:\nemtode\general\website_mirrors\nematode.unl.edu_2022_09_21\distex2.jpg</t>
  </si>
  <si>
    <t>Z:\nemtode\general\website_mirrors\nematode.unl.edu_2022_09_21\discotex3.jpg</t>
  </si>
  <si>
    <t>Z:\nemtode\general\website_mirrors\nematode.unl.edu_2022_09_21\distex11.jpg</t>
  </si>
  <si>
    <t>Z:\nemtode\general\website_mirrors\nematode.unl.edu_2022_09_21\distex3.jpg</t>
  </si>
  <si>
    <t>Z:\nemtode\general\website_mirrors\nematode.unl.edu_2022_09_21\dorybryo.jpg</t>
  </si>
  <si>
    <t>Z:\nemtode\general\website_mirrors\nematode.unl.edu_2022_09_21\ecumo21.jpg</t>
  </si>
  <si>
    <t>Z:\nemtode\general\website_mirrors\nematode.unl.edu_2022_09_21\ecumon3.jpg</t>
  </si>
  <si>
    <t>Z:\nemtode\general\website_mirrors\nematode.unl.edu_2022_09_21\ecumo12.jpg</t>
  </si>
  <si>
    <t>Z:\nemtode\general\website_mirrors\nematode.unl.edu_2022_09_21\ecumo15.jpg</t>
  </si>
  <si>
    <t>Z:\nemtode\general\website_mirrors\nematode.unl.edu_2022_09_21\ecumo16.jpg</t>
  </si>
  <si>
    <t>Z:\nemtode\general\website_mirrors\nematode.unl.edu_2022_09_21\ecumo24.jpg</t>
  </si>
  <si>
    <t>Z:\nemtode\general\website_mirrors\nematode.unl.edu_2022_09_21\ecumo6.jpg</t>
  </si>
  <si>
    <t>Z:\nemtode\general\website_mirrors\nematode.unl.edu_2022_09_21\ecumo7.jpg</t>
  </si>
  <si>
    <t>Z:\nemtode\general\website_mirrors\nematode.unl.edu_2022_09_21\ecumo9.jpg</t>
  </si>
  <si>
    <t>Z:\nemtode\general\website_mirrors\nematode.unl.edu_2022_09_21\ecumon2.jpg</t>
  </si>
  <si>
    <t>Z:\nemtode\general\website_mirrors\nematode.unl.edu_2022_09_21\ecumo11.jpg</t>
  </si>
  <si>
    <t>Z:\nemtode\general\website_mirrors\nematode.unl.edu_2022_09_21\ecumo13.jpg</t>
  </si>
  <si>
    <t>Z:\nemtode\general\website_mirrors\nematode.unl.edu_2022_09_21\ecumo2.jpg</t>
  </si>
  <si>
    <t>Z:\nemtode\general\website_mirrors\nematode.unl.edu_2022_09_21\ecumo25.jpg</t>
  </si>
  <si>
    <t>Z:\nemtode\general\website_mirrors\nematode.unl.edu_2022_09_21\ecumo1.jpg</t>
  </si>
  <si>
    <t>Z:\nemtode\general\website_mirrors\nematode.unl.edu_2022_09_21\ecumo17.jpg</t>
  </si>
  <si>
    <t>Z:\nemtode\general\website_mirrors\nematode.unl.edu_2022_09_21\ecumon1.jpg</t>
  </si>
  <si>
    <t>Z:\nemtode\general\website_mirrors\nematode.unl.edu_2022_09_21\ecumdraw.jpg</t>
  </si>
  <si>
    <t>Z:\nemtode\general\website_mirrors\nematode.unl.edu_2022_09_21\ecumocmp.jpg</t>
  </si>
  <si>
    <t>Z:\nemtode\general\website_mirrors\nematode.unl.edu_2022_09_21\ecumo4.jpg</t>
  </si>
  <si>
    <t>Z:\nemtode\general\website_mirrors\nematode.unl.edu_2022_09_21\ecumo14.jpg</t>
  </si>
  <si>
    <t>Z:\nemtode\general\website_mirrors\nematode.unl.edu_2022_09_21\ecumo20.jpg</t>
  </si>
  <si>
    <t>Z:\nemtode\general\website_mirrors\nematode.unl.edu_2022_09_21\ecumo23.jpg</t>
  </si>
  <si>
    <t>Z:\nemtode\general\website_mirrors\nematode.unl.edu_2022_09_21\ecumo27.jpg</t>
  </si>
  <si>
    <t>Z:\nemtode\general\website_mirrors\nematode.unl.edu_2022_09_21\ecumo5.jpg</t>
  </si>
  <si>
    <t>Z:\nemtode\general\website_mirrors\nematode.unl.edu_2022_09_21\ecumon5.jpg</t>
  </si>
  <si>
    <t>Z:\nemtode\general\website_mirrors\nematode.unl.edu_2022_09_21\ecumo10.jpg</t>
  </si>
  <si>
    <t>Z:\nemtode\general\website_mirrors\nematode.unl.edu_2022_09_21\ecumo18.jpg</t>
  </si>
  <si>
    <t>Z:\nemtode\general\website_mirrors\nematode.unl.edu_2022_09_21\ecumo22.jpg</t>
  </si>
  <si>
    <t>Z:\nemtode\general\website_mirrors\nematode.unl.edu_2022_09_21\ecumo26.jpg</t>
  </si>
  <si>
    <t>Z:\nemtode\general\website_mirrors\nematode.unl.edu_2022_09_21\ecumo3.jpg</t>
  </si>
  <si>
    <t>Z:\nemtode\general\website_mirrors\nematode.unl.edu_2022_09_21\ecumo8.jpg</t>
  </si>
  <si>
    <t>Z:\nemtode\general\website_mirrors\nematode.unl.edu_2022_09_21\ecumon4.jpg</t>
  </si>
  <si>
    <t>Z:\nemtode\general\website_mirrors\nematode.unl.edu_2022_09_21\encarc1.jpg</t>
  </si>
  <si>
    <t>Z:\nemtode\general\website_mirrors\nematode.unl.edu_2022_09_21\emono1.jpg</t>
  </si>
  <si>
    <t>Z:\nemtode\general\website_mirrors\nematode.unl.edu_2022_09_21\encarc2.jpg</t>
  </si>
  <si>
    <t>Z:\nemtode\general\website_mirrors\nematode.unl.edu_2022_09_21\emono2.jpg</t>
  </si>
  <si>
    <t>Z:\nemtode\general\website_mirrors\nematode.unl.edu_2022_09_21\encarc4.jpg</t>
  </si>
  <si>
    <t>Z:\nemtode\general\website_mirrors\nematode.unl.edu_2022_09_21\emono4.jpg</t>
  </si>
  <si>
    <t>Z:\nemtode\general\website_mirrors\nematode.unl.edu_2022_09_21\encarc3.jpg</t>
  </si>
  <si>
    <t>Z:\nemtode\general\website_mirrors\nematode.unl.edu_2022_09_21\emono3.jpg</t>
  </si>
  <si>
    <t>Z:\nemtode\general\website_mirrors\nematode.unl.edu_2022_09_21\epidosa6.jpg</t>
  </si>
  <si>
    <t>Z:\nemtode\general\website_mirrors\nematode.unl.edu_2022_09_21\epidosa2.jpg</t>
  </si>
  <si>
    <t>Z:\nemtode\general\website_mirrors\nematode.unl.edu_2022_09_21\epidosa5.jpg</t>
  </si>
  <si>
    <t>Z:\nemtode\general\website_mirrors\nematode.unl.edu_2022_09_21\epidosa3.jpg</t>
  </si>
  <si>
    <t>Z:\nemtode\general\website_mirrors\nematode.unl.edu_2022_09_21\epidosa1.jpg</t>
  </si>
  <si>
    <t>Z:\nemtode\general\website_mirrors\nematode.unl.edu_2022_09_21\epidosa4.jpg</t>
  </si>
  <si>
    <t>Z:\nemtode\general\website_mirrors\nematode.unl.edu_2022_09_21\ethmos2.jpg</t>
  </si>
  <si>
    <t>Z:\nemtode\general\website_mirrors\nematode.unl.edu_2022_09_21\ethmos4.jpg</t>
  </si>
  <si>
    <t>Z:\nemtode\general\website_mirrors\nematode.unl.edu_2022_09_21\ecepha24.jpg</t>
  </si>
  <si>
    <t>Z:\nemtode\general\website_mirrors\nematode.unl.edu_2022_09_21\epilu11.jpg</t>
  </si>
  <si>
    <t>Z:\nemtode\general\website_mirrors\nematode.unl.edu_2022_09_21\epilu26.jpg</t>
  </si>
  <si>
    <t>Z:\nemtode\general\website_mirrors\nematode.unl.edu_2022_09_21\epilu6.jpg</t>
  </si>
  <si>
    <t>Z:\nemtode\general\website_mirrors\nematode.unl.edu_2022_09_21\epilu4.jpg</t>
  </si>
  <si>
    <t>Z:\nemtode\general\website_mirrors\nematode.unl.edu_2022_09_21\ethmos1.jpg</t>
  </si>
  <si>
    <t>Z:\nemtode\general\website_mirrors\nematode.unl.edu_2022_09_21\ecepha26.jpg</t>
  </si>
  <si>
    <t>Z:\nemtode\general\website_mirrors\nematode.unl.edu_2022_09_21\ecepha28.jpg</t>
  </si>
  <si>
    <t>Z:\nemtode\general\website_mirrors\nematode.unl.edu_2022_09_21\ecepha33.jpg</t>
  </si>
  <si>
    <t>Z:\nemtode\general\website_mirrors\nematode.unl.edu_2022_09_21\ecepha34.jpg</t>
  </si>
  <si>
    <t>Z:\nemtode\general\website_mirrors\nematode.unl.edu_2022_09_21\epilu13.jpg</t>
  </si>
  <si>
    <t>Z:\nemtode\general\website_mirrors\nematode.unl.edu_2022_09_21\epilu14.jpg</t>
  </si>
  <si>
    <t>Z:\nemtode\general\website_mirrors\nematode.unl.edu_2022_09_21\epilu17.jpg</t>
  </si>
  <si>
    <t>Z:\nemtode\general\website_mirrors\nematode.unl.edu_2022_09_21\epilu25.jpg</t>
  </si>
  <si>
    <t>Z:\nemtode\general\website_mirrors\nematode.unl.edu_2022_09_21\epilu5.jpg</t>
  </si>
  <si>
    <t>Z:\nemtode\general\website_mirrors\nematode.unl.edu_2022_09_21\epilu9.jpg</t>
  </si>
  <si>
    <t>Z:\nemtode\general\website_mirrors\nematode.unl.edu_2022_09_21\eplug1.jpg</t>
  </si>
  <si>
    <t>Z:\nemtode\general\website_mirrors\nematode.unl.edu_2022_09_21\epilu24.jpg</t>
  </si>
  <si>
    <t>Z:\nemtode\general\website_mirrors\nematode.unl.edu_2022_09_21\ethmos3.jpg</t>
  </si>
  <si>
    <t>Z:\nemtode\general\website_mirrors\nematode.unl.edu_2022_09_21\ecepha23.jpg</t>
  </si>
  <si>
    <t>Z:\nemtode\general\website_mirrors\nematode.unl.edu_2022_09_21\ecepha32.jpg</t>
  </si>
  <si>
    <t>Z:\nemtode\general\website_mirrors\nematode.unl.edu_2022_09_21\epilu1.jpg</t>
  </si>
  <si>
    <t>Z:\nemtode\general\website_mirrors\nematode.unl.edu_2022_09_21\epilu10.jpg</t>
  </si>
  <si>
    <t>Z:\nemtode\general\website_mirrors\nematode.unl.edu_2022_09_21\epilu16.jpg</t>
  </si>
  <si>
    <t>Z:\nemtode\general\website_mirrors\nematode.unl.edu_2022_09_21\epilu19.jpg</t>
  </si>
  <si>
    <t>Z:\nemtode\general\website_mirrors\nematode.unl.edu_2022_09_21\ecepha20.jpg</t>
  </si>
  <si>
    <t>Z:\nemtode\general\website_mirrors\nematode.unl.edu_2022_09_21\ecepha21.jpg</t>
  </si>
  <si>
    <t>Z:\nemtode\general\website_mirrors\nematode.unl.edu_2022_09_21\ecepha31.jpg</t>
  </si>
  <si>
    <t>Z:\nemtode\general\website_mirrors\nematode.unl.edu_2022_09_21\ecepha35.jpg</t>
  </si>
  <si>
    <t>Z:\nemtode\general\website_mirrors\nematode.unl.edu_2022_09_21\ecepha22.jpg</t>
  </si>
  <si>
    <t>Z:\nemtode\general\website_mirrors\nematode.unl.edu_2022_09_21\ethmos5.jpg</t>
  </si>
  <si>
    <t>Z:\nemtode\general\website_mirrors\nematode.unl.edu_2022_09_21\ethmos6.jpg</t>
  </si>
  <si>
    <t>Z:\nemtode\general\website_mirrors\nematode.unl.edu_2022_09_21\ecepha25.jpg</t>
  </si>
  <si>
    <t>Z:\nemtode\general\website_mirrors\nematode.unl.edu_2022_09_21\ecepha30.jpg</t>
  </si>
  <si>
    <t>Z:\nemtode\general\website_mirrors\nematode.unl.edu_2022_09_21\ecepha36.jpg</t>
  </si>
  <si>
    <t>Z:\nemtode\general\website_mirrors\nematode.unl.edu_2022_09_21\epilu12.jpg</t>
  </si>
  <si>
    <t>Z:\nemtode\general\website_mirrors\nematode.unl.edu_2022_09_21\epilu18.jpg</t>
  </si>
  <si>
    <t>Z:\nemtode\general\website_mirrors\nematode.unl.edu_2022_09_21\epilu2.jpg</t>
  </si>
  <si>
    <t>Z:\nemtode\general\website_mirrors\nematode.unl.edu_2022_09_21\epilu20.jpg</t>
  </si>
  <si>
    <t>Z:\nemtode\general\website_mirrors\nematode.unl.edu_2022_09_21\epilu22.jpg</t>
  </si>
  <si>
    <t>Z:\nemtode\general\website_mirrors\nematode.unl.edu_2022_09_21\epilu27.jpg</t>
  </si>
  <si>
    <t>Z:\nemtode\general\website_mirrors\nematode.unl.edu_2022_09_21\epilu8.jpg</t>
  </si>
  <si>
    <t>Z:\nemtode\general\website_mirrors\nematode.unl.edu_2022_09_21\epilucmp.jpg</t>
  </si>
  <si>
    <t>Z:\nemtode\general\website_mirrors\nematode.unl.edu_2022_09_21\eplug3.jpg</t>
  </si>
  <si>
    <t>Z:\nemtode\general\website_mirrors\nematode.unl.edu_2022_09_21\ecepha29.jpg</t>
  </si>
  <si>
    <t>Z:\nemtode\general\website_mirrors\nematode.unl.edu_2022_09_21\epilu21.jpg</t>
  </si>
  <si>
    <t>Z:\nemtode\general\website_mirrors\nematode.unl.edu_2022_09_21\epilu23.jpg</t>
  </si>
  <si>
    <t>Z:\nemtode\general\website_mirrors\nematode.unl.edu_2022_09_21\epilu3.jpg</t>
  </si>
  <si>
    <t>Z:\nemtode\general\website_mirrors\nematode.unl.edu_2022_09_21\epilu7.jpg</t>
  </si>
  <si>
    <t>Z:\nemtode\general\website_mirrors\nematode.unl.edu_2022_09_21\eplug2.jpg</t>
  </si>
  <si>
    <t>Z:\nemtode\general\website_mirrors\nematode.unl.edu_2022_09_21\eudorg1.jpg</t>
  </si>
  <si>
    <t>Z:\nemtode\general\website_mirrors\nematode.unl.edu_2022_09_21\eudorg6.jpg</t>
  </si>
  <si>
    <t>Z:\nemtode\general\website_mirrors\nematode.unl.edu_2022_09_21\eudoreso.jpg</t>
  </si>
  <si>
    <t>Z:\nemtode\general\website_mirrors\nematode.unl.edu_2022_09_21\eudorga3.jpg</t>
  </si>
  <si>
    <t>Z:\nemtode\general\website_mirrors\nematode.unl.edu_2022_09_21\eudorga7.jpg</t>
  </si>
  <si>
    <t>Z:\nemtode\general\website_mirrors\nematode.unl.edu_2022_09_21\eudorga2.jpg</t>
  </si>
  <si>
    <t>Z:\nemtode\general\website_mirrors\nematode.unl.edu_2022_09_21\eudorga8.jpg</t>
  </si>
  <si>
    <t>Z:\nemtode\general\website_mirrors\nematode.unl.edu_2022_09_21\eudorlp.jpg</t>
  </si>
  <si>
    <t>Z:\nemtode\general\website_mirrors\nematode.unl.edu_2022_09_21\eudorsp2.jpg</t>
  </si>
  <si>
    <t>Z:\nemtode\general\website_mirrors\nematode.unl.edu_2022_09_21\eudorsp4.jpg</t>
  </si>
  <si>
    <t>Z:\nemtode\general\website_mirrors\nematode.unl.edu_2022_09_21\eudorspr.jpg</t>
  </si>
  <si>
    <t>Z:\nemtode\general\website_mirrors\nematode.unl.edu_2022_09_21\eudorga1.jpg</t>
  </si>
  <si>
    <t>Z:\nemtode\general\website_mirrors\nematode.unl.edu_2022_09_21\eudorsp1.jpg</t>
  </si>
  <si>
    <t>Z:\nemtode\general\website_mirrors\nematode.unl.edu_2022_09_21\eudorg2.jpg</t>
  </si>
  <si>
    <t>Z:\nemtode\general\website_mirrors\nematode.unl.edu_2022_09_21\eudorg4.jpg</t>
  </si>
  <si>
    <t>Z:\nemtode\general\website_mirrors\nematode.unl.edu_2022_09_21\eudorg3.jpg</t>
  </si>
  <si>
    <t>Z:\nemtode\general\website_mirrors\nematode.unl.edu_2022_09_21\eudorg7.jpg</t>
  </si>
  <si>
    <t>Z:\nemtode\general\website_mirrors\nematode.unl.edu_2022_09_21\eudorga5.jpg</t>
  </si>
  <si>
    <t>Z:\nemtode\general\website_mirrors\nematode.unl.edu_2022_09_21\eudorsp3.jpg</t>
  </si>
  <si>
    <t>Z:\nemtode\general\website_mirrors\nematode.unl.edu_2022_09_21\eudorsp5.jpg</t>
  </si>
  <si>
    <t>Z:\nemtode\general\website_mirrors\nematode.unl.edu_2022_09_21\eudortl.jpg</t>
  </si>
  <si>
    <t>Z:\nemtode\general\website_mirrors\nematode.unl.edu_2022_09_21\eudorg5.jpg</t>
  </si>
  <si>
    <t>Z:\nemtode\general\website_mirrors\nematode.unl.edu_2022_09_21\eudorga4.jpg</t>
  </si>
  <si>
    <t>Z:\nemtode\general\website_mirrors\nematode.unl.edu_2022_09_21\eudorga6.jpg</t>
  </si>
  <si>
    <t>Z:\nemtode\general\website_mirrors\nematode.unl.edu_2022_09_21\eacutid2.jpg</t>
  </si>
  <si>
    <t>Z:\nemtode\general\website_mirrors\nematode.unl.edu_2022_09_21\eacutid7.jpg</t>
  </si>
  <si>
    <t>Z:\nemtode\general\website_mirrors\nematode.unl.edu_2022_09_21\eacutid8.jpg</t>
  </si>
  <si>
    <t>Z:\nemtode\general\website_mirrors\nematode.unl.edu_2022_09_21\eacutid1.jpg</t>
  </si>
  <si>
    <t>Z:\nemtode\general\website_mirrors\nematode.unl.edu_2022_09_21\eacutidadraw.jpg</t>
  </si>
  <si>
    <t>Z:\nemtode\general\website_mirrors\nematode.unl.edu_2022_09_21\eacutid6.jpg</t>
  </si>
  <si>
    <t>Z:\nemtode\general\website_mirrors\nematode.unl.edu_2022_09_21\eacutid3.jpg</t>
  </si>
  <si>
    <t>Z:\nemtode\general\website_mirrors\nematode.unl.edu_2022_09_21\eacutid4.jpg</t>
  </si>
  <si>
    <t>Z:\nemtode\general\website_mirrors\nematode.unl.edu_2022_09_21\eacutid5.jpg</t>
  </si>
  <si>
    <t>Z:\nemtode\general\website_mirrors\nematode.unl.edu_2022_09_21\eacutid9.jpg</t>
  </si>
  <si>
    <t>Z:\nemtode\general\website_mirrors\nematode.unl.edu_2022_09_21\euacu2.jpg</t>
  </si>
  <si>
    <t>Z:\nemtode\general\website_mirrors\nematode.unl.edu_2022_09_21\euarc3.jpg</t>
  </si>
  <si>
    <t>Z:\nemtode\general\website_mirrors\nematode.unl.edu_2022_09_21\euacu3.jpg</t>
  </si>
  <si>
    <t>Z:\nemtode\general\website_mirrors\nematode.unl.edu_2022_09_21\euacu1.jpg</t>
  </si>
  <si>
    <t>Z:\nemtode\general\website_mirrors\nematode.unl.edu_2022_09_21\euarc1.jpg</t>
  </si>
  <si>
    <t>Z:\nemtode\general\website_mirrors\nematode.unl.edu_2022_09_21\euacu5.jpg</t>
  </si>
  <si>
    <t>Z:\nemtode\general\website_mirrors\nematode.unl.edu_2022_09_21\euacu4.jpg</t>
  </si>
  <si>
    <t>Z:\nemtode\general\website_mirrors\nematode.unl.edu_2022_09_21\euarc2.jpg</t>
  </si>
  <si>
    <t>Z:\nemtode\general\website_mirrors\nematode.unl.edu_2022_09_21\eudoralt2.jpg</t>
  </si>
  <si>
    <t>Z:\nemtode\general\website_mirrors\nematode.unl.edu_2022_09_21\eudoralt3.jpg</t>
  </si>
  <si>
    <t>Z:\nemtode\general\website_mirrors\nematode.unl.edu_2022_09_21\eudoralt5.jpg</t>
  </si>
  <si>
    <t>Z:\nemtode\general\website_mirrors\nematode.unl.edu_2022_09_21\eudal10.jpg</t>
  </si>
  <si>
    <t>Z:\nemtode\general\website_mirrors\nematode.unl.edu_2022_09_21\eudal13.jpg</t>
  </si>
  <si>
    <t>Z:\nemtode\general\website_mirrors\nematode.unl.edu_2022_09_21\eudal2.jpg</t>
  </si>
  <si>
    <t>Z:\nemtode\general\website_mirrors\nematode.unl.edu_2022_09_21\eudal8.jpg</t>
  </si>
  <si>
    <t>Z:\nemtode\general\website_mirrors\nematode.unl.edu_2022_09_21\eudoralt4.jpg</t>
  </si>
  <si>
    <t>Z:\nemtode\general\website_mirrors\nematode.unl.edu_2022_09_21\eudoralt6.jpg</t>
  </si>
  <si>
    <t>Z:\nemtode\general\website_mirrors\nematode.unl.edu_2022_09_21\eudal15.jpg</t>
  </si>
  <si>
    <t>Z:\nemtode\general\website_mirrors\nematode.unl.edu_2022_09_21\eudal3.jpg</t>
  </si>
  <si>
    <t>Z:\nemtode\general\website_mirrors\nematode.unl.edu_2022_09_21\eudal7.jpg</t>
  </si>
  <si>
    <t>Z:\nemtode\general\website_mirrors\nematode.unl.edu_2022_09_21\eudal1.jpg</t>
  </si>
  <si>
    <t>Z:\nemtode\general\website_mirrors\nematode.unl.edu_2022_09_21\eudal9.jpg</t>
  </si>
  <si>
    <t>Z:\nemtode\general\website_mirrors\nematode.unl.edu_2022_09_21\eudoralt1.jpg</t>
  </si>
  <si>
    <t>Z:\nemtode\general\website_mirrors\nematode.unl.edu_2022_09_21\eudal14.jpg</t>
  </si>
  <si>
    <t>Z:\nemtode\general\website_mirrors\nematode.unl.edu_2022_09_21\eudal12.jpg</t>
  </si>
  <si>
    <t>Z:\nemtode\general\website_mirrors\nematode.unl.edu_2022_09_21\eudal5.jpg</t>
  </si>
  <si>
    <t>Z:\nemtode\general\website_mirrors\nematode.unl.edu_2022_09_21\eudal6.jpg</t>
  </si>
  <si>
    <t>Z:\nemtode\general\website_mirrors\nematode.unl.edu_2022_09_21\eudal11.jpg</t>
  </si>
  <si>
    <t>Z:\nemtode\general\website_mirrors\nematode.unl.edu_2022_09_21\eudal4.jpg</t>
  </si>
  <si>
    <t>Z:\nemtode\general\website_mirrors\nematode.unl.edu_2022_09_21\eudaq14.jpg</t>
  </si>
  <si>
    <t>Z:\nemtode\general\website_mirrors\nematode.unl.edu_2022_09_21\eudaq16.jpg</t>
  </si>
  <si>
    <t>Z:\nemtode\general\website_mirrors\nematode.unl.edu_2022_09_21\eudaq2.jpg</t>
  </si>
  <si>
    <t>Z:\nemtode\general\website_mirrors\nematode.unl.edu_2022_09_21\eudaq6.jpg</t>
  </si>
  <si>
    <t>Z:\nemtode\general\website_mirrors\nematode.unl.edu_2022_09_21\eudaq7.jpg</t>
  </si>
  <si>
    <t>Z:\nemtode\general\website_mirrors\nematode.unl.edu_2022_09_21\eudaq9.jpg</t>
  </si>
  <si>
    <t>Z:\nemtode\general\website_mirrors\nematode.unl.edu_2022_09_21\eudaq11.jpg</t>
  </si>
  <si>
    <t>Z:\nemtode\general\website_mirrors\nematode.unl.edu_2022_09_21\eudaq3.jpg</t>
  </si>
  <si>
    <t>Z:\nemtode\general\website_mirrors\nematode.unl.edu_2022_09_21\eudaq8.jpg</t>
  </si>
  <si>
    <t>Z:\nemtode\general\website_mirrors\nematode.unl.edu_2022_09_21\eudaq1.jpg</t>
  </si>
  <si>
    <t>Z:\nemtode\general\website_mirrors\nematode.unl.edu_2022_09_21\eudaq13.jpg</t>
  </si>
  <si>
    <t>Z:\nemtode\general\website_mirrors\nematode.unl.edu_2022_09_21\eudaq10.jpg</t>
  </si>
  <si>
    <t>Z:\nemtode\general\website_mirrors\nematode.unl.edu_2022_09_21\eudaq12.jpg</t>
  </si>
  <si>
    <t>Z:\nemtode\general\website_mirrors\nematode.unl.edu_2022_09_21\eudaq15.jpg</t>
  </si>
  <si>
    <t>Z:\nemtode\general\website_mirrors\nematode.unl.edu_2022_09_21\eudaq5.jpg</t>
  </si>
  <si>
    <t>Z:\nemtode\general\website_mirrors\nematode.unl.edu_2022_09_21\eudaq4.jpg</t>
  </si>
  <si>
    <t>Z:\nemtode\general\website_mirrors\nematode.unl.edu_2022_09_21\eubre5.jpg</t>
  </si>
  <si>
    <t>Z:\nemtode\general\website_mirrors\nematode.unl.edu_2022_09_21\eubre1.jpg</t>
  </si>
  <si>
    <t>Z:\nemtode\general\website_mirrors\nematode.unl.edu_2022_09_21\eubre10.jpg</t>
  </si>
  <si>
    <t>Z:\nemtode\general\website_mirrors\nematode.unl.edu_2022_09_21\eubre11.jpg</t>
  </si>
  <si>
    <t>Z:\nemtode\general\website_mirrors\nematode.unl.edu_2022_09_21\eubre13.jpg</t>
  </si>
  <si>
    <t>Z:\nemtode\general\website_mirrors\nematode.unl.edu_2022_09_21\eubre6.jpg</t>
  </si>
  <si>
    <t>Z:\nemtode\general\website_mirrors\nematode.unl.edu_2022_09_21\eubre2.jpg</t>
  </si>
  <si>
    <t>Z:\nemtode\general\website_mirrors\nematode.unl.edu_2022_09_21\eubre9.jpg</t>
  </si>
  <si>
    <t>Z:\nemtode\general\website_mirrors\nematode.unl.edu_2022_09_21\eubre14.jpg</t>
  </si>
  <si>
    <t>Z:\nemtode\general\website_mirrors\nematode.unl.edu_2022_09_21\eubre12.jpg</t>
  </si>
  <si>
    <t>Z:\nemtode\general\website_mirrors\nematode.unl.edu_2022_09_21\eubre4.jpg</t>
  </si>
  <si>
    <t>Z:\nemtode\general\website_mirrors\nematode.unl.edu_2022_09_21\eubre7.jpg</t>
  </si>
  <si>
    <t>Z:\nemtode\general\website_mirrors\nematode.unl.edu_2022_09_21\eubre15.jpg</t>
  </si>
  <si>
    <t>Z:\nemtode\general\website_mirrors\nematode.unl.edu_2022_09_21\eubre3.jpg</t>
  </si>
  <si>
    <t>Z:\nemtode\general\website_mirrors\nematode.unl.edu_2022_09_21\eubre8.jpg</t>
  </si>
  <si>
    <t>Z:\nemtode\general\website_mirrors\nematode.unl.edu_2022_09_21\eucarte14.jpg</t>
  </si>
  <si>
    <t>Z:\nemtode\general\website_mirrors\nematode.unl.edu_2022_09_21\eucarte15.jpg</t>
  </si>
  <si>
    <t>Z:\nemtode\general\website_mirrors\nematode.unl.edu_2022_09_21\ecart3.jpg</t>
  </si>
  <si>
    <t>Z:\nemtode\general\website_mirrors\nematode.unl.edu_2022_09_21\ecart6.jpg</t>
  </si>
  <si>
    <t>Z:\nemtode\general\website_mirrors\nematode.unl.edu_2022_09_21\eucarte5.jpg</t>
  </si>
  <si>
    <t>Z:\nemtode\general\website_mirrors\nematode.unl.edu_2022_09_21\eucarte8.jpg</t>
  </si>
  <si>
    <t>Z:\nemtode\general\website_mirrors\nematode.unl.edu_2022_09_21\ecart2.jpg</t>
  </si>
  <si>
    <t>Z:\nemtode\general\website_mirrors\nematode.unl.edu_2022_09_21\ecart5.jpg</t>
  </si>
  <si>
    <t>Z:\nemtode\general\website_mirrors\nematode.unl.edu_2022_09_21\eucar12.jpg</t>
  </si>
  <si>
    <t>Z:\nemtode\general\website_mirrors\nematode.unl.edu_2022_09_21\eucar2.jpg</t>
  </si>
  <si>
    <t>Z:\nemtode\general\website_mirrors\nematode.unl.edu_2022_09_21\eucar8.jpg</t>
  </si>
  <si>
    <t>Z:\nemtode\general\website_mirrors\nematode.unl.edu_2022_09_21\eucarte1.jpg</t>
  </si>
  <si>
    <t>Z:\nemtode\general\website_mirrors\nematode.unl.edu_2022_09_21\eucarte11.jpg</t>
  </si>
  <si>
    <t>Z:\nemtode\general\website_mirrors\nematode.unl.edu_2022_09_21\eucarte12.jpg</t>
  </si>
  <si>
    <t>Z:\nemtode\general\website_mirrors\nematode.unl.edu_2022_09_21\eucarte13.jpg</t>
  </si>
  <si>
    <t>Z:\nemtode\general\website_mirrors\nematode.unl.edu_2022_09_21\eucarte16.jpg</t>
  </si>
  <si>
    <t>Z:\nemtode\general\website_mirrors\nematode.unl.edu_2022_09_21\eucarte18.jpg</t>
  </si>
  <si>
    <t>Z:\nemtode\general\website_mirrors\nematode.unl.edu_2022_09_21\eucarte20.jpg</t>
  </si>
  <si>
    <t>Z:\nemtode\general\website_mirrors\nematode.unl.edu_2022_09_21\eucarte22.jpg</t>
  </si>
  <si>
    <t>Z:\nemtode\general\website_mirrors\nematode.unl.edu_2022_09_21\eucarte24.jpg</t>
  </si>
  <si>
    <t>Z:\nemtode\general\website_mirrors\nematode.unl.edu_2022_09_21\eucarte3.jpg</t>
  </si>
  <si>
    <t>Z:\nemtode\general\website_mirrors\nematode.unl.edu_2022_09_21\eucar3.jpg</t>
  </si>
  <si>
    <t>Z:\nemtode\general\website_mirrors\nematode.unl.edu_2022_09_21\eucarte25.jpg</t>
  </si>
  <si>
    <t>Z:\nemtode\general\website_mirrors\nematode.unl.edu_2022_09_21\ecart1.jpg</t>
  </si>
  <si>
    <t>Z:\nemtode\general\website_mirrors\nematode.unl.edu_2022_09_21\eucar1.jpg</t>
  </si>
  <si>
    <t>Z:\nemtode\general\website_mirrors\nematode.unl.edu_2022_09_21\eucarte10.jpg</t>
  </si>
  <si>
    <t>Z:\nemtode\general\website_mirrors\nematode.unl.edu_2022_09_21\eucarte4.jpg</t>
  </si>
  <si>
    <t>Z:\nemtode\general\website_mirrors\nematode.unl.edu_2022_09_21\eucarte23.jpg</t>
  </si>
  <si>
    <t>Z:\nemtode\general\website_mirrors\nematode.unl.edu_2022_09_21\eucar10.jpg</t>
  </si>
  <si>
    <t>Z:\nemtode\general\website_mirrors\nematode.unl.edu_2022_09_21\eucar11.jpg</t>
  </si>
  <si>
    <t>Z:\nemtode\general\website_mirrors\nematode.unl.edu_2022_09_21\eucar7.jpg</t>
  </si>
  <si>
    <t>Z:\nemtode\general\website_mirrors\nematode.unl.edu_2022_09_21\ecart8.jpg</t>
  </si>
  <si>
    <t>Z:\nemtode\general\website_mirrors\nematode.unl.edu_2022_09_21\eucar5.jpg</t>
  </si>
  <si>
    <t>Z:\nemtode\general\website_mirrors\nematode.unl.edu_2022_09_21\eucar6.jpg</t>
  </si>
  <si>
    <t>Z:\nemtode\general\website_mirrors\nematode.unl.edu_2022_09_21\eucar9.jpg</t>
  </si>
  <si>
    <t>Z:\nemtode\general\website_mirrors\nematode.unl.edu_2022_09_21\eucarcmp.jpg</t>
  </si>
  <si>
    <t>Z:\nemtode\general\website_mirrors\nematode.unl.edu_2022_09_21\eucarte17.jpg</t>
  </si>
  <si>
    <t>Z:\nemtode\general\website_mirrors\nematode.unl.edu_2022_09_21\eucarte19.jpg</t>
  </si>
  <si>
    <t>Z:\nemtode\general\website_mirrors\nematode.unl.edu_2022_09_21\eucarte2.jpg</t>
  </si>
  <si>
    <t>Z:\nemtode\general\website_mirrors\nematode.unl.edu_2022_09_21\eucarte21.jpg</t>
  </si>
  <si>
    <t>Z:\nemtode\general\website_mirrors\nematode.unl.edu_2022_09_21\eucarte26.jpg</t>
  </si>
  <si>
    <t>Z:\nemtode\general\website_mirrors\nematode.unl.edu_2022_09_21\eucarte7.jpg</t>
  </si>
  <si>
    <t>Z:\nemtode\general\website_mirrors\nematode.unl.edu_2022_09_21\eucarte9.jpg</t>
  </si>
  <si>
    <t>Z:\nemtode\general\website_mirrors\nematode.unl.edu_2022_09_21\ecart4.jpg</t>
  </si>
  <si>
    <t>Z:\nemtode\general\website_mirrors\nematode.unl.edu_2022_09_21\ecart7.jpg</t>
  </si>
  <si>
    <t>Z:\nemtode\general\website_mirrors\nematode.unl.edu_2022_09_21\eucar4.jpg</t>
  </si>
  <si>
    <t>Z:\nemtode\general\website_mirrors\nematode.unl.edu_2022_09_21\eucarte6.jpg</t>
  </si>
  <si>
    <t>Z:\nemtode\general\website_mirrors\nematode.unl.edu_2022_09_21\eucol15.jpg</t>
  </si>
  <si>
    <t>Z:\nemtode\general\website_mirrors\nematode.unl.edu_2022_09_21\eucol18.jpg</t>
  </si>
  <si>
    <t>Z:\nemtode\general\website_mirrors\nematode.unl.edu_2022_09_21\eucol2.jpg</t>
  </si>
  <si>
    <t>Z:\nemtode\general\website_mirrors\nematode.unl.edu_2022_09_21\eucol22.jpg</t>
  </si>
  <si>
    <t>Z:\nemtode\general\website_mirrors\nematode.unl.edu_2022_09_21\eucol7.jpg</t>
  </si>
  <si>
    <t>Z:\nemtode\general\website_mirrors\nematode.unl.edu_2022_09_21\eucol8.jpg</t>
  </si>
  <si>
    <t>Z:\nemtode\general\website_mirrors\nematode.unl.edu_2022_09_21\eucol3.jpg</t>
  </si>
  <si>
    <t>Z:\nemtode\general\website_mirrors\nematode.unl.edu_2022_09_21\eucol9.jpg</t>
  </si>
  <si>
    <t>Z:\nemtode\general\website_mirrors\nematode.unl.edu_2022_09_21\eucol14.jpg</t>
  </si>
  <si>
    <t>Z:\nemtode\general\website_mirrors\nematode.unl.edu_2022_09_21\eucol21.jpg</t>
  </si>
  <si>
    <t>Z:\nemtode\general\website_mirrors\nematode.unl.edu_2022_09_21\eucol20.jpg</t>
  </si>
  <si>
    <t>Z:\nemtode\general\website_mirrors\nematode.unl.edu_2022_09_21\eucol13.jpg</t>
  </si>
  <si>
    <t>Z:\nemtode\general\website_mirrors\nematode.unl.edu_2022_09_21\eucol5.jpg</t>
  </si>
  <si>
    <t>Z:\nemtode\general\website_mirrors\nematode.unl.edu_2022_09_21\eucol6.jpg</t>
  </si>
  <si>
    <t>Z:\nemtode\general\website_mirrors\nematode.unl.edu_2022_09_21\eucol11.jpg</t>
  </si>
  <si>
    <t>Z:\nemtode\general\website_mirrors\nematode.unl.edu_2022_09_21\eucol1.jpg</t>
  </si>
  <si>
    <t>Z:\nemtode\general\website_mirrors\nematode.unl.edu_2022_09_21\eucol10.jpg</t>
  </si>
  <si>
    <t>Z:\nemtode\general\website_mirrors\nematode.unl.edu_2022_09_21\eucol12.jpg</t>
  </si>
  <si>
    <t>Z:\nemtode\general\website_mirrors\nematode.unl.edu_2022_09_21\eucol17.jpg</t>
  </si>
  <si>
    <t>Z:\nemtode\general\website_mirrors\nematode.unl.edu_2022_09_21\eucol19.jpg</t>
  </si>
  <si>
    <t>Z:\nemtode\general\website_mirrors\nematode.unl.edu_2022_09_21\eucol23.jpg</t>
  </si>
  <si>
    <t>Z:\nemtode\general\website_mirrors\nematode.unl.edu_2022_09_21\eucol4.jpg</t>
  </si>
  <si>
    <t>Z:\nemtode\general\website_mirrors\nematode.unl.edu_2022_09_21\eucol16.jpg</t>
  </si>
  <si>
    <t>Z:\nemtode\general\website_mirrors\nematode.unl.edu_2022_09_21\eucuti2.jpg</t>
  </si>
  <si>
    <t>Z:\nemtode\general\website_mirrors\nematode.unl.edu_2022_09_21\euconf2.jpg</t>
  </si>
  <si>
    <t>Z:\nemtode\general\website_mirrors\nematode.unl.edu_2022_09_21\euconf6.jpg</t>
  </si>
  <si>
    <t>Z:\nemtode\general\website_mirrors\nematode.unl.edu_2022_09_21\euconf7.jpg</t>
  </si>
  <si>
    <t>Z:\nemtode\general\website_mirrors\nematode.unl.edu_2022_09_21\euconf9.jpg</t>
  </si>
  <si>
    <t>Z:\nemtode\general\website_mirrors\nematode.unl.edu_2022_09_21\eucuti1.jpg</t>
  </si>
  <si>
    <t>Z:\nemtode\general\website_mirrors\nematode.unl.edu_2022_09_21\euconf3.jpg</t>
  </si>
  <si>
    <t>Z:\nemtode\general\website_mirrors\nematode.unl.edu_2022_09_21\euconf1.jpg</t>
  </si>
  <si>
    <t>Z:\nemtode\general\website_mirrors\nematode.unl.edu_2022_09_21\eucuti4.jpg</t>
  </si>
  <si>
    <t>Z:\nemtode\general\website_mirrors\nematode.unl.edu_2022_09_21\euconf5.jpg</t>
  </si>
  <si>
    <t>Z:\nemtode\general\website_mirrors\nematode.unl.edu_2022_09_21\euconf8.jpg</t>
  </si>
  <si>
    <t>Z:\nemtode\general\website_mirrors\nematode.unl.edu_2022_09_21\eucuti3.jpg</t>
  </si>
  <si>
    <t>Z:\nemtode\general\website_mirrors\nematode.unl.edu_2022_09_21\euconf4.jpg</t>
  </si>
  <si>
    <t>Z:\nemtode\general\website_mirrors\nematode.unl.edu_2022_09_21\eucon11.jpg</t>
  </si>
  <si>
    <t>Z:\nemtode\general\website_mirrors\nematode.unl.edu_2022_09_21\eucon2.jpg</t>
  </si>
  <si>
    <t>Z:\nemtode\general\website_mirrors\nematode.unl.edu_2022_09_21\eucon7.jpg</t>
  </si>
  <si>
    <t>Z:\nemtode\general\website_mirrors\nematode.unl.edu_2022_09_21\eucon9.jpg</t>
  </si>
  <si>
    <t>Z:\nemtode\general\website_mirrors\nematode.unl.edu_2022_09_21\eudocon1.jpg</t>
  </si>
  <si>
    <t>Z:\nemtode\general\website_mirrors\nematode.unl.edu_2022_09_21\eudocr2.jpg</t>
  </si>
  <si>
    <t>Z:\nemtode\general\website_mirrors\nematode.unl.edu_2022_09_21\eucon3.jpg</t>
  </si>
  <si>
    <t>Z:\nemtode\general\website_mirrors\nematode.unl.edu_2022_09_21\eudocon2.jpg</t>
  </si>
  <si>
    <t>Z:\nemtode\general\website_mirrors\nematode.unl.edu_2022_09_21\eudocr3.jpg</t>
  </si>
  <si>
    <t>Z:\nemtode\general\website_mirrors\nematode.unl.edu_2022_09_21\eucon1.jpg</t>
  </si>
  <si>
    <t>Z:\nemtode\general\website_mirrors\nematode.unl.edu_2022_09_21\eucon6.jpg</t>
  </si>
  <si>
    <t>Z:\nemtode\general\website_mirrors\nematode.unl.edu_2022_09_21\eudocr1.jpg</t>
  </si>
  <si>
    <t>Z:\nemtode\general\website_mirrors\nematode.unl.edu_2022_09_21\eucon10.jpg</t>
  </si>
  <si>
    <t>Z:\nemtode\general\website_mirrors\nematode.unl.edu_2022_09_21\eucon12.jpg</t>
  </si>
  <si>
    <t>Z:\nemtode\general\website_mirrors\nematode.unl.edu_2022_09_21\eucon5.jpg</t>
  </si>
  <si>
    <t>Z:\nemtode\general\website_mirrors\nematode.unl.edu_2022_09_21\eucon8.jpg</t>
  </si>
  <si>
    <t>Z:\nemtode\general\website_mirrors\nematode.unl.edu_2022_09_21\eudocon3.jpg</t>
  </si>
  <si>
    <t>Z:\nemtode\general\website_mirrors\nematode.unl.edu_2022_09_21\eudocr4.jpg</t>
  </si>
  <si>
    <t>Z:\nemtode\general\website_mirrors\nematode.unl.edu_2022_09_21\eucon4.jpg</t>
  </si>
  <si>
    <t>Z:\nemtode\general\website_mirrors\nematode.unl.edu_2022_09_21\eudim5.jpg</t>
  </si>
  <si>
    <t>Z:\nemtode\general\website_mirrors\nematode.unl.edu_2022_09_21\eudim4.jpg</t>
  </si>
  <si>
    <t>Z:\nemtode\general\website_mirrors\nematode.unl.edu_2022_09_21\eudim1.jpg</t>
  </si>
  <si>
    <t>Z:\nemtode\general\website_mirrors\nematode.unl.edu_2022_09_21\eudim2.jpg</t>
  </si>
  <si>
    <t>Z:\nemtode\general\website_mirrors\nematode.unl.edu_2022_09_21\eudim3.jpg</t>
  </si>
  <si>
    <t>Z:\nemtode\general\website_mirrors\nematode.unl.edu_2022_09_21\eujun5.jpg</t>
  </si>
  <si>
    <t>Z:\nemtode\general\website_mirrors\nematode.unl.edu_2022_09_21\eujun1.jpg</t>
  </si>
  <si>
    <t>Z:\nemtode\general\website_mirrors\nematode.unl.edu_2022_09_21\eujun4.jpg</t>
  </si>
  <si>
    <t>Z:\nemtode\general\website_mirrors\nematode.unl.edu_2022_09_21\eujun3.jpg</t>
  </si>
  <si>
    <t>Z:\nemtode\general\website_mirrors\nematode.unl.edu_2022_09_21\eujun7.jpg</t>
  </si>
  <si>
    <t>Z:\nemtode\general\website_mirrors\nematode.unl.edu_2022_09_21\eujun2.jpg</t>
  </si>
  <si>
    <t>Z:\nemtode\general\website_mirrors\nematode.unl.edu_2022_09_21\eujun6.jpg</t>
  </si>
  <si>
    <t>Z:\nemtode\general\website_mirrors\nematode.unl.edu_2022_09_21\elong2.jpg</t>
  </si>
  <si>
    <t>Z:\nemtode\general\website_mirrors\nematode.unl.edu_2022_09_21\eumeri6.jpg</t>
  </si>
  <si>
    <t>Z:\nemtode\general\website_mirrors\nematode.unl.edu_2022_09_21\eumeri2.jpg</t>
  </si>
  <si>
    <t>Z:\nemtode\general\website_mirrors\nematode.unl.edu_2022_09_21\eudormer20.jpg</t>
  </si>
  <si>
    <t>Z:\nemtode\general\website_mirrors\nematode.unl.edu_2022_09_21\eudormer11.jpg</t>
  </si>
  <si>
    <t>Z:\nemtode\general\website_mirrors\nematode.unl.edu_2022_09_21\eudormer15.jpg</t>
  </si>
  <si>
    <t>Z:\nemtode\general\website_mirrors\nematode.unl.edu_2022_09_21\eudormer19.jpg</t>
  </si>
  <si>
    <t>Z:\nemtode\general\website_mirrors\nematode.unl.edu_2022_09_21\eudormer22.jpg</t>
  </si>
  <si>
    <t>Z:\nemtode\general\website_mirrors\nematode.unl.edu_2022_09_21\eudormer4.jpg</t>
  </si>
  <si>
    <t>Z:\nemtode\general\website_mirrors\nematode.unl.edu_2022_09_21\eudormer6.jpg</t>
  </si>
  <si>
    <t>Z:\nemtode\general\website_mirrors\nematode.unl.edu_2022_09_21\eudormer8.jpg</t>
  </si>
  <si>
    <t>Z:\nemtode\general\website_mirrors\nematode.unl.edu_2022_09_21\eumer3.jpg</t>
  </si>
  <si>
    <t>Z:\nemtode\general\website_mirrors\nematode.unl.edu_2022_09_21\eumer5.jpg</t>
  </si>
  <si>
    <t>Z:\nemtode\general\website_mirrors\nematode.unl.edu_2022_09_21\eumeri10.jpg</t>
  </si>
  <si>
    <t>Z:\nemtode\general\website_mirrors\nematode.unl.edu_2022_09_21\eumeri15.jpg</t>
  </si>
  <si>
    <t>Z:\nemtode\general\website_mirrors\nematode.unl.edu_2022_09_21\eumeri5.jpg</t>
  </si>
  <si>
    <t>Z:\nemtode\general\website_mirrors\nematode.unl.edu_2022_09_21\eumeri8.jpg</t>
  </si>
  <si>
    <t>Z:\nemtode\general\website_mirrors\nematode.unl.edu_2022_09_21\eudormer16.jpg</t>
  </si>
  <si>
    <t>Z:\nemtode\general\website_mirrors\nematode.unl.edu_2022_09_21\eudormer5.jpg</t>
  </si>
  <si>
    <t>Z:\nemtode\general\website_mirrors\nematode.unl.edu_2022_09_21\eudormer1.jpg</t>
  </si>
  <si>
    <t>Z:\nemtode\general\website_mirrors\nematode.unl.edu_2022_09_21\eudormer14.jpg</t>
  </si>
  <si>
    <t>Z:\nemtode\general\website_mirrors\nematode.unl.edu_2022_09_21\eudormer7.jpg</t>
  </si>
  <si>
    <t>Z:\nemtode\general\website_mirrors\nematode.unl.edu_2022_09_21\eumer4.jpg</t>
  </si>
  <si>
    <t>Z:\nemtode\general\website_mirrors\nematode.unl.edu_2022_09_21\eumeri1.jpg</t>
  </si>
  <si>
    <t>Z:\nemtode\general\website_mirrors\nematode.unl.edu_2022_09_21\eumeri14.jpg</t>
  </si>
  <si>
    <t>Z:\nemtode\general\website_mirrors\nematode.unl.edu_2022_09_21\eumeri11.jpg</t>
  </si>
  <si>
    <t>Z:\nemtode\general\website_mirrors\nematode.unl.edu_2022_09_21\eumeri7.jpg</t>
  </si>
  <si>
    <t>Z:\nemtode\general\website_mirrors\nematode.unl.edu_2022_09_21\eudormer10.jpg</t>
  </si>
  <si>
    <t>Z:\nemtode\general\website_mirrors\nematode.unl.edu_2022_09_21\eudormer13.jpg</t>
  </si>
  <si>
    <t>Z:\nemtode\general\website_mirrors\nematode.unl.edu_2022_09_21\eudormer18.jpg</t>
  </si>
  <si>
    <t>Z:\nemtode\general\website_mirrors\nematode.unl.edu_2022_09_21\eudormer21.jpg</t>
  </si>
  <si>
    <t>Z:\nemtode\general\website_mirrors\nematode.unl.edu_2022_09_21\eudormer23.jpg</t>
  </si>
  <si>
    <t>Z:\nemtode\general\website_mirrors\nematode.unl.edu_2022_09_21\eudormer3.jpg</t>
  </si>
  <si>
    <t>Z:\nemtode\general\website_mirrors\nematode.unl.edu_2022_09_21\eumer1.jpg</t>
  </si>
  <si>
    <t>Z:\nemtode\general\website_mirrors\nematode.unl.edu_2022_09_21\eumer6.jpg</t>
  </si>
  <si>
    <t>Z:\nemtode\general\website_mirrors\nematode.unl.edu_2022_09_21\eumer7.jpg</t>
  </si>
  <si>
    <t>Z:\nemtode\general\website_mirrors\nematode.unl.edu_2022_09_21\eumeri4.jpg</t>
  </si>
  <si>
    <t>Z:\nemtode\general\website_mirrors\nematode.unl.edu_2022_09_21\eumeri9.jpg</t>
  </si>
  <si>
    <t>Z:\nemtode\general\website_mirrors\nematode.unl.edu_2022_09_21\eudormer12.jpg</t>
  </si>
  <si>
    <t>Z:\nemtode\general\website_mirrors\nematode.unl.edu_2022_09_21\eudormer17.jpg</t>
  </si>
  <si>
    <t>Z:\nemtode\general\website_mirrors\nematode.unl.edu_2022_09_21\eudormer2.jpg</t>
  </si>
  <si>
    <t>Z:\nemtode\general\website_mirrors\nematode.unl.edu_2022_09_21\eumer2.jpg</t>
  </si>
  <si>
    <t>Z:\nemtode\general\website_mirrors\nematode.unl.edu_2022_09_21\eumeri12.jpg</t>
  </si>
  <si>
    <t>Z:\nemtode\general\website_mirrors\nematode.unl.edu_2022_09_21\eumeri13.jpg</t>
  </si>
  <si>
    <t>Z:\nemtode\general\website_mirrors\nematode.unl.edu_2022_09_21\eumeri16.jpg</t>
  </si>
  <si>
    <t>Z:\nemtode\general\website_mirrors\nematode.unl.edu_2022_09_21\eumeri3.jpg</t>
  </si>
  <si>
    <t>Z:\nemtode\general\website_mirrors\nematode.unl.edu_2022_09_21\euno2.jpg</t>
  </si>
  <si>
    <t>Z:\nemtode\general\website_mirrors\nematode.unl.edu_2022_09_21\euno1.jpg</t>
  </si>
  <si>
    <t>Z:\nemtode\general\website_mirrors\nematode.unl.edu_2022_09_21\euno4.jpg</t>
  </si>
  <si>
    <t>Z:\nemtode\general\website_mirrors\nematode.unl.edu_2022_09_21\euno3.jpg</t>
  </si>
  <si>
    <t>Z:\nemtode\general\website_mirrors\nematode.unl.edu_2022_09_21\eudorp2.jpg</t>
  </si>
  <si>
    <t>Z:\nemtode\general\website_mirrors\nematode.unl.edu_2022_09_21\eudorp3.jpg</t>
  </si>
  <si>
    <t>Z:\nemtode\general\website_mirrors\nematode.unl.edu_2022_09_21\eudorp1.jpg</t>
  </si>
  <si>
    <t>Z:\nemtode\general\website_mirrors\nematode.unl.edu_2022_09_21\eudorp5.jpg</t>
  </si>
  <si>
    <t>Z:\nemtode\general\website_mirrors\nematode.unl.edu_2022_09_21\eudorp4.jpg</t>
  </si>
  <si>
    <t>Z:\nemtode\general\website_mirrors\nematode.unl.edu_2022_09_21\eusab2.jpg</t>
  </si>
  <si>
    <t>Z:\nemtode\general\website_mirrors\nematode.unl.edu_2022_09_21\eusab7.jpg</t>
  </si>
  <si>
    <t>Z:\nemtode\general\website_mirrors\nematode.unl.edu_2022_09_21\eusab1.jpg</t>
  </si>
  <si>
    <t>Z:\nemtode\general\website_mirrors\nematode.unl.edu_2022_09_21\eusab3.jpg</t>
  </si>
  <si>
    <t>Z:\nemtode\general\website_mirrors\nematode.unl.edu_2022_09_21\eusab6.jpg</t>
  </si>
  <si>
    <t>Z:\nemtode\general\website_mirrors\nematode.unl.edu_2022_09_21\eusab4.jpg</t>
  </si>
  <si>
    <t>Z:\nemtode\general\website_mirrors\nematode.unl.edu_2022_09_21\eusab5.jpg</t>
  </si>
  <si>
    <t>Z:\nemtode\general\website_mirrors\nematode.unl.edu_2022_09_21\eusil2.jpg</t>
  </si>
  <si>
    <t>Z:\nemtode\general\website_mirrors\nematode.unl.edu_2022_09_21\esilva3.jpg</t>
  </si>
  <si>
    <t>Z:\nemtode\general\website_mirrors\nematode.unl.edu_2022_09_21\eusil27.jpg</t>
  </si>
  <si>
    <t>Z:\nemtode\general\website_mirrors\nematode.unl.edu_2022_09_21\eusil9.jpg</t>
  </si>
  <si>
    <t>Z:\nemtode\general\website_mirrors\nematode.unl.edu_2022_09_21\esilva2.jpg</t>
  </si>
  <si>
    <t>Z:\nemtode\general\website_mirrors\nematode.unl.edu_2022_09_21\euds1.jpg</t>
  </si>
  <si>
    <t>Z:\nemtode\general\website_mirrors\nematode.unl.edu_2022_09_21\euds4.jpg</t>
  </si>
  <si>
    <t>Z:\nemtode\general\website_mirrors\nematode.unl.edu_2022_09_21\eusil13.jpg</t>
  </si>
  <si>
    <t>Z:\nemtode\general\website_mirrors\nematode.unl.edu_2022_09_21\eusil17.jpg</t>
  </si>
  <si>
    <t>Z:\nemtode\general\website_mirrors\nematode.unl.edu_2022_09_21\eusil19.jpg</t>
  </si>
  <si>
    <t>Z:\nemtode\general\website_mirrors\nematode.unl.edu_2022_09_21\eusil21.jpg</t>
  </si>
  <si>
    <t>Z:\nemtode\general\website_mirrors\nematode.unl.edu_2022_09_21\eusil24.jpg</t>
  </si>
  <si>
    <t>Z:\nemtode\general\website_mirrors\nematode.unl.edu_2022_09_21\eusil8.jpg</t>
  </si>
  <si>
    <t>Z:\nemtode\general\website_mirrors\nematode.unl.edu_2022_09_21\eusil14.jpg</t>
  </si>
  <si>
    <t>Z:\nemtode\general\website_mirrors\nematode.unl.edu_2022_09_21\eusil25.jpg</t>
  </si>
  <si>
    <t>Z:\nemtode\general\website_mirrors\nematode.unl.edu_2022_09_21\esilva1.jpg</t>
  </si>
  <si>
    <t>Z:\nemtode\general\website_mirrors\nematode.unl.edu_2022_09_21\eusil1.jpg</t>
  </si>
  <si>
    <t>Z:\nemtode\general\website_mirrors\nematode.unl.edu_2022_09_21\eusil12.jpg</t>
  </si>
  <si>
    <t>Z:\nemtode\general\website_mirrors\nematode.unl.edu_2022_09_21\eusil23.jpg</t>
  </si>
  <si>
    <t>Z:\nemtode\general\website_mirrors\nematode.unl.edu_2022_09_21\euds5.jpg</t>
  </si>
  <si>
    <t>Z:\nemtode\general\website_mirrors\nematode.unl.edu_2022_09_21\eusil5.jpg</t>
  </si>
  <si>
    <t>Z:\nemtode\general\website_mirrors\nematode.unl.edu_2022_09_21\esilva5.jpg</t>
  </si>
  <si>
    <t>Z:\nemtode\general\website_mirrors\nematode.unl.edu_2022_09_21\euds3.jpg</t>
  </si>
  <si>
    <t>Z:\nemtode\general\website_mirrors\nematode.unl.edu_2022_09_21\eusil11.jpg</t>
  </si>
  <si>
    <t>Z:\nemtode\general\website_mirrors\nematode.unl.edu_2022_09_21\eusil16.jpg</t>
  </si>
  <si>
    <t>Z:\nemtode\general\website_mirrors\nematode.unl.edu_2022_09_21\eusil18.jpg</t>
  </si>
  <si>
    <t>Z:\nemtode\general\website_mirrors\nematode.unl.edu_2022_09_21\eusil20.jpg</t>
  </si>
  <si>
    <t>Z:\nemtode\general\website_mirrors\nematode.unl.edu_2022_09_21\eusil26.jpg</t>
  </si>
  <si>
    <t>Z:\nemtode\general\website_mirrors\nematode.unl.edu_2022_09_21\eusil29.jpg</t>
  </si>
  <si>
    <t>Z:\nemtode\general\website_mirrors\nematode.unl.edu_2022_09_21\eusil4.jpg</t>
  </si>
  <si>
    <t>Z:\nemtode\general\website_mirrors\nematode.unl.edu_2022_09_21\eusil7.jpg</t>
  </si>
  <si>
    <t>Z:\nemtode\general\website_mirrors\nematode.unl.edu_2022_09_21\eusil22.jpg</t>
  </si>
  <si>
    <t>Z:\nemtode\general\website_mirrors\nematode.unl.edu_2022_09_21\esilva4.jpg</t>
  </si>
  <si>
    <t>Z:\nemtode\general\website_mirrors\nematode.unl.edu_2022_09_21\euds2.jpg</t>
  </si>
  <si>
    <t>Z:\nemtode\general\website_mirrors\nematode.unl.edu_2022_09_21\eusil10.jpg</t>
  </si>
  <si>
    <t>Z:\nemtode\general\website_mirrors\nematode.unl.edu_2022_09_21\eusil15.jpg</t>
  </si>
  <si>
    <t>Z:\nemtode\general\website_mirrors\nematode.unl.edu_2022_09_21\eusil28.jpg</t>
  </si>
  <si>
    <t>Z:\nemtode\general\website_mirrors\nematode.unl.edu_2022_09_21\eusil3.jpg</t>
  </si>
  <si>
    <t>Z:\nemtode\general\website_mirrors\nematode.unl.edu_2022_09_21\eusil6.jpg</t>
  </si>
  <si>
    <t>Z:\nemtode\general\website_mirrors\nematode.unl.edu_2022_09_21\eusoda11.jpg</t>
  </si>
  <si>
    <t>Z:\nemtode\general\website_mirrors\nematode.unl.edu_2022_09_21\eusoda27.jpg</t>
  </si>
  <si>
    <t>Z:\nemtode\general\website_mirrors\nematode.unl.edu_2022_09_21\eusoda36.jpg</t>
  </si>
  <si>
    <t>Z:\nemtode\general\website_mirrors\nematode.unl.edu_2022_09_21\eusoda7.jpg</t>
  </si>
  <si>
    <t>Z:\nemtode\general\website_mirrors\nematode.unl.edu_2022_09_21\eusoda1.jpg</t>
  </si>
  <si>
    <t>Z:\nemtode\general\website_mirrors\nematode.unl.edu_2022_09_21\eusoda12.jpg</t>
  </si>
  <si>
    <t>Z:\nemtode\general\website_mirrors\nematode.unl.edu_2022_09_21\eusoda14.jpg</t>
  </si>
  <si>
    <t>Z:\nemtode\general\website_mirrors\nematode.unl.edu_2022_09_21\eusoda18.jpg</t>
  </si>
  <si>
    <t>Z:\nemtode\general\website_mirrors\nematode.unl.edu_2022_09_21\eusoda22.jpg</t>
  </si>
  <si>
    <t>Z:\nemtode\general\website_mirrors\nematode.unl.edu_2022_09_21\eusoda26.jpg</t>
  </si>
  <si>
    <t>Z:\nemtode\general\website_mirrors\nematode.unl.edu_2022_09_21\eusoda3.jpg</t>
  </si>
  <si>
    <t>Z:\nemtode\general\website_mirrors\nematode.unl.edu_2022_09_21\eusoda34.jpg</t>
  </si>
  <si>
    <t>Z:\nemtode\general\website_mirrors\nematode.unl.edu_2022_09_21\eusoda35.jpg</t>
  </si>
  <si>
    <t>Z:\nemtode\general\website_mirrors\nematode.unl.edu_2022_09_21\eusoda40.jpg</t>
  </si>
  <si>
    <t>Z:\nemtode\general\website_mirrors\nematode.unl.edu_2022_09_21\eusoda43.jpg</t>
  </si>
  <si>
    <t>Z:\nemtode\general\website_mirrors\nematode.unl.edu_2022_09_21\eusoda48.jpg</t>
  </si>
  <si>
    <t>Z:\nemtode\general\website_mirrors\nematode.unl.edu_2022_09_21\eusoda6.jpg</t>
  </si>
  <si>
    <t>Z:\nemtode\general\website_mirrors\nematode.unl.edu_2022_09_21\eusoda8.jpg</t>
  </si>
  <si>
    <t>Z:\nemtode\general\website_mirrors\nematode.unl.edu_2022_09_21\eusoda13.jpg</t>
  </si>
  <si>
    <t>Z:\nemtode\general\website_mirrors\nematode.unl.edu_2022_09_21\eusoda15.jpg</t>
  </si>
  <si>
    <t>Z:\nemtode\general\website_mirrors\nematode.unl.edu_2022_09_21\eusoda23.jpg</t>
  </si>
  <si>
    <t>Z:\nemtode\general\website_mirrors\nematode.unl.edu_2022_09_21\eusoda28.jpg</t>
  </si>
  <si>
    <t>Z:\nemtode\general\website_mirrors\nematode.unl.edu_2022_09_21\eusoda33.jpg</t>
  </si>
  <si>
    <t>Z:\nemtode\general\website_mirrors\nematode.unl.edu_2022_09_21\eusoda4.jpg</t>
  </si>
  <si>
    <t>Z:\nemtode\general\website_mirrors\nematode.unl.edu_2022_09_21\eusoda41.jpg</t>
  </si>
  <si>
    <t>Z:\nemtode\general\website_mirrors\nematode.unl.edu_2022_09_21\eusoda44.jpg</t>
  </si>
  <si>
    <t>Z:\nemtode\general\website_mirrors\nematode.unl.edu_2022_09_21\eusoda25.jpg</t>
  </si>
  <si>
    <t>Z:\nemtode\general\website_mirrors\nematode.unl.edu_2022_09_21\eusoda30.jpg</t>
  </si>
  <si>
    <t>Z:\nemtode\general\website_mirrors\nematode.unl.edu_2022_09_21\eusoda5.jpg</t>
  </si>
  <si>
    <t>Z:\nemtode\general\website_mirrors\nematode.unl.edu_2022_09_21\eusoda19.jpg</t>
  </si>
  <si>
    <t>Z:\nemtode\general\website_mirrors\nematode.unl.edu_2022_09_21\eusoda47.jpg</t>
  </si>
  <si>
    <t>Z:\nemtode\general\website_mirrors\nematode.unl.edu_2022_09_21\eusoda10.jpg</t>
  </si>
  <si>
    <t>Z:\nemtode\general\website_mirrors\nematode.unl.edu_2022_09_21\eusoda17.jpg</t>
  </si>
  <si>
    <t>Z:\nemtode\general\website_mirrors\nematode.unl.edu_2022_09_21\eusoda2.jpg</t>
  </si>
  <si>
    <t>Z:\nemtode\general\website_mirrors\nematode.unl.edu_2022_09_21\eusoda21.jpg</t>
  </si>
  <si>
    <t>Z:\nemtode\general\website_mirrors\nematode.unl.edu_2022_09_21\eusoda24.jpg</t>
  </si>
  <si>
    <t>Z:\nemtode\general\website_mirrors\nematode.unl.edu_2022_09_21\eusoda29.jpg</t>
  </si>
  <si>
    <t>Z:\nemtode\general\website_mirrors\nematode.unl.edu_2022_09_21\eusoda31.jpg</t>
  </si>
  <si>
    <t>Z:\nemtode\general\website_mirrors\nematode.unl.edu_2022_09_21\eusoda39.jpg</t>
  </si>
  <si>
    <t>Z:\nemtode\general\website_mirrors\nematode.unl.edu_2022_09_21\eusoda46.jpg</t>
  </si>
  <si>
    <t>Z:\nemtode\general\website_mirrors\nematode.unl.edu_2022_09_21\eusoda16.jpg</t>
  </si>
  <si>
    <t>Z:\nemtode\general\website_mirrors\nematode.unl.edu_2022_09_21\eusoda20.jpg</t>
  </si>
  <si>
    <t>Z:\nemtode\general\website_mirrors\nematode.unl.edu_2022_09_21\eusoda32.jpg</t>
  </si>
  <si>
    <t>Z:\nemtode\general\website_mirrors\nematode.unl.edu_2022_09_21\eusoda42.jpg</t>
  </si>
  <si>
    <t>Z:\nemtode\general\website_mirrors\nematode.unl.edu_2022_09_21\eusoda45.jpg</t>
  </si>
  <si>
    <t>Z:\nemtode\general\website_mirrors\nematode.unl.edu_2022_09_21\eusoda9.jpg</t>
  </si>
  <si>
    <t>Z:\nemtode\general\website_mirrors\nematode.unl.edu_2022_09_21\eudos18.jpg</t>
  </si>
  <si>
    <t>Z:\nemtode\general\website_mirrors\nematode.unl.edu_2022_09_21\eusub1.jpg</t>
  </si>
  <si>
    <t>Z:\nemtode\general\website_mirrors\nematode.unl.edu_2022_09_21\eusubis2.jpg</t>
  </si>
  <si>
    <t>Z:\nemtode\general\website_mirrors\nematode.unl.edu_2022_09_21\eudos15.jpg</t>
  </si>
  <si>
    <t>Z:\nemtode\general\website_mirrors\nematode.unl.edu_2022_09_21\eudos11.jpg</t>
  </si>
  <si>
    <t>Z:\nemtode\general\website_mirrors\nematode.unl.edu_2022_09_21\eudos14.jpg</t>
  </si>
  <si>
    <t>Z:\nemtode\general\website_mirrors\nematode.unl.edu_2022_09_21\eudos2.jpg</t>
  </si>
  <si>
    <t>Z:\nemtode\general\website_mirrors\nematode.unl.edu_2022_09_21\eudos21.jpg</t>
  </si>
  <si>
    <t>Z:\nemtode\general\website_mirrors\nematode.unl.edu_2022_09_21\eudos24.jpg</t>
  </si>
  <si>
    <t>Z:\nemtode\general\website_mirrors\nematode.unl.edu_2022_09_21\eudos27.jpg</t>
  </si>
  <si>
    <t>Z:\nemtode\general\website_mirrors\nematode.unl.edu_2022_09_21\eudos7.jpg</t>
  </si>
  <si>
    <t>Z:\nemtode\general\website_mirrors\nematode.unl.edu_2022_09_21\eusubis11.jpg</t>
  </si>
  <si>
    <t>Z:\nemtode\general\website_mirrors\nematode.unl.edu_2022_09_21\eusubis14.jpg</t>
  </si>
  <si>
    <t>Z:\nemtode\general\website_mirrors\nematode.unl.edu_2022_09_21\eusubis15.jpg</t>
  </si>
  <si>
    <t>Z:\nemtode\general\website_mirrors\nematode.unl.edu_2022_09_21\eusubis16.jpg</t>
  </si>
  <si>
    <t>Z:\nemtode\general\website_mirrors\nematode.unl.edu_2022_09_21\eusubis21.jpg</t>
  </si>
  <si>
    <t>Z:\nemtode\general\website_mirrors\nematode.unl.edu_2022_09_21\eusubis25.jpg</t>
  </si>
  <si>
    <t>Z:\nemtode\general\website_mirrors\nematode.unl.edu_2022_09_21\eusubis29.jpg</t>
  </si>
  <si>
    <t>Z:\nemtode\general\website_mirrors\nematode.unl.edu_2022_09_21\eusubis32.jpg</t>
  </si>
  <si>
    <t>Z:\nemtode\general\website_mirrors\nematode.unl.edu_2022_09_21\eusubis4.jpg</t>
  </si>
  <si>
    <t>Z:\nemtode\general\website_mirrors\nematode.unl.edu_2022_09_21\eudos28.jpg</t>
  </si>
  <si>
    <t>Z:\nemtode\general\website_mirrors\nematode.unl.edu_2022_09_21\eudos3.jpg</t>
  </si>
  <si>
    <t>Z:\nemtode\general\website_mirrors\nematode.unl.edu_2022_09_21\eusubis10.jpg</t>
  </si>
  <si>
    <t>Z:\nemtode\general\website_mirrors\nematode.unl.edu_2022_09_21\eusubis17.jpg</t>
  </si>
  <si>
    <t>Z:\nemtode\general\website_mirrors\nematode.unl.edu_2022_09_21\eusubis5.jpg</t>
  </si>
  <si>
    <t>Z:\nemtode\general\website_mirrors\nematode.unl.edu_2022_09_21\eudos1.jpg</t>
  </si>
  <si>
    <t>Z:\nemtode\general\website_mirrors\nematode.unl.edu_2022_09_21\eudos6.jpg</t>
  </si>
  <si>
    <t>Z:\nemtode\general\website_mirrors\nematode.unl.edu_2022_09_21\eusubis1.jpg</t>
  </si>
  <si>
    <t>Z:\nemtode\general\website_mirrors\nematode.unl.edu_2022_09_21\eusubis20.jpg</t>
  </si>
  <si>
    <t>Z:\nemtode\general\website_mirrors\nematode.unl.edu_2022_09_21\eusubis28.jpg</t>
  </si>
  <si>
    <t>Z:\nemtode\general\website_mirrors\nematode.unl.edu_2022_09_21\eusubis7.jpg</t>
  </si>
  <si>
    <t>Z:\nemtode\general\website_mirrors\nematode.unl.edu_2022_09_21\eudos8.jpg</t>
  </si>
  <si>
    <t>Z:\nemtode\general\website_mirrors\nematode.unl.edu_2022_09_21\eusubis18.jpg</t>
  </si>
  <si>
    <t>Z:\nemtode\general\website_mirrors\nematode.unl.edu_2022_09_21\eusubis22.jpg</t>
  </si>
  <si>
    <t>Z:\nemtode\general\website_mirrors\nematode.unl.edu_2022_09_21\eudos19.jpg</t>
  </si>
  <si>
    <t>Z:\nemtode\general\website_mirrors\nematode.unl.edu_2022_09_21\eusubis3.jpg</t>
  </si>
  <si>
    <t>Z:\nemtode\general\website_mirrors\nematode.unl.edu_2022_09_21\eudos10.jpg</t>
  </si>
  <si>
    <t>Z:\nemtode\general\website_mirrors\nematode.unl.edu_2022_09_21\eudos13.jpg</t>
  </si>
  <si>
    <t>Z:\nemtode\general\website_mirrors\nematode.unl.edu_2022_09_21\eudos17.jpg</t>
  </si>
  <si>
    <t>Z:\nemtode\general\website_mirrors\nematode.unl.edu_2022_09_21\eudos20.jpg</t>
  </si>
  <si>
    <t>Z:\nemtode\general\website_mirrors\nematode.unl.edu_2022_09_21\eudos23.jpg</t>
  </si>
  <si>
    <t>Z:\nemtode\general\website_mirrors\nematode.unl.edu_2022_09_21\eudos26.jpg</t>
  </si>
  <si>
    <t>Z:\nemtode\general\website_mirrors\nematode.unl.edu_2022_09_21\eudos30.jpg</t>
  </si>
  <si>
    <t>Z:\nemtode\general\website_mirrors\nematode.unl.edu_2022_09_21\eudos5.jpg</t>
  </si>
  <si>
    <t>Z:\nemtode\general\website_mirrors\nematode.unl.edu_2022_09_21\eusubis12.jpg</t>
  </si>
  <si>
    <t>Z:\nemtode\general\website_mirrors\nematode.unl.edu_2022_09_21\eusubis19.jpg</t>
  </si>
  <si>
    <t>Z:\nemtode\general\website_mirrors\nematode.unl.edu_2022_09_21\eusubis24.jpg</t>
  </si>
  <si>
    <t>Z:\nemtode\general\website_mirrors\nematode.unl.edu_2022_09_21\eusubis26.jpg</t>
  </si>
  <si>
    <t>Z:\nemtode\general\website_mirrors\nematode.unl.edu_2022_09_21\eusubis27.jpg</t>
  </si>
  <si>
    <t>Z:\nemtode\general\website_mirrors\nematode.unl.edu_2022_09_21\eusubis31.jpg</t>
  </si>
  <si>
    <t>Z:\nemtode\general\website_mirrors\nematode.unl.edu_2022_09_21\eusubis34.jpg</t>
  </si>
  <si>
    <t>Z:\nemtode\general\website_mirrors\nematode.unl.edu_2022_09_21\eusubis8.jpg</t>
  </si>
  <si>
    <t>Z:\nemtode\general\website_mirrors\nematode.unl.edu_2022_09_21\eudos12.jpg</t>
  </si>
  <si>
    <t>Z:\nemtode\general\website_mirrors\nematode.unl.edu_2022_09_21\eudos16.jpg</t>
  </si>
  <si>
    <t>Z:\nemtode\general\website_mirrors\nematode.unl.edu_2022_09_21\eudos22.jpg</t>
  </si>
  <si>
    <t>Z:\nemtode\general\website_mirrors\nematode.unl.edu_2022_09_21\eudos25.jpg</t>
  </si>
  <si>
    <t>Z:\nemtode\general\website_mirrors\nematode.unl.edu_2022_09_21\eudos29.jpg</t>
  </si>
  <si>
    <t>Z:\nemtode\general\website_mirrors\nematode.unl.edu_2022_09_21\eudos4.jpg</t>
  </si>
  <si>
    <t>Z:\nemtode\general\website_mirrors\nematode.unl.edu_2022_09_21\eudos9.jpg</t>
  </si>
  <si>
    <t>Z:\nemtode\general\website_mirrors\nematode.unl.edu_2022_09_21\eusubis13.jpg</t>
  </si>
  <si>
    <t>Z:\nemtode\general\website_mirrors\nematode.unl.edu_2022_09_21\eusubis23.jpg</t>
  </si>
  <si>
    <t>Z:\nemtode\general\website_mirrors\nematode.unl.edu_2022_09_21\eusubis30.jpg</t>
  </si>
  <si>
    <t>Z:\nemtode\general\website_mirrors\nematode.unl.edu_2022_09_21\eusubis33.jpg</t>
  </si>
  <si>
    <t>Z:\nemtode\general\website_mirrors\nematode.unl.edu_2022_09_21\eusubis6.jpg</t>
  </si>
  <si>
    <t>Z:\nemtode\general\website_mirrors\nematode.unl.edu_2022_09_21\eusubis9.jpg</t>
  </si>
  <si>
    <t>Z:\nemtode\general\website_mirrors\nematode.unl.edu_2022_09_21\etrunc3.jpg</t>
  </si>
  <si>
    <t>Z:\nemtode\general\website_mirrors\nematode.unl.edu_2022_09_21\etrunc2.jpg</t>
  </si>
  <si>
    <t>Z:\nemtode\general\website_mirrors\nematode.unl.edu_2022_09_21\eutrun4.jpg</t>
  </si>
  <si>
    <t>Z:\nemtode\general\website_mirrors\nematode.unl.edu_2022_09_21\eutrun8.jpg</t>
  </si>
  <si>
    <t>Z:\nemtode\general\website_mirrors\nematode.unl.edu_2022_09_21\eutrun3.jpg</t>
  </si>
  <si>
    <t>Z:\nemtode\general\website_mirrors\nematode.unl.edu_2022_09_21\eutrun7.jpg</t>
  </si>
  <si>
    <t>Z:\nemtode\general\website_mirrors\nematode.unl.edu_2022_09_21\etrunc1.jpg</t>
  </si>
  <si>
    <t>Z:\nemtode\general\website_mirrors\nematode.unl.edu_2022_09_21\eutrun1.jpg</t>
  </si>
  <si>
    <t>Z:\nemtode\general\website_mirrors\nematode.unl.edu_2022_09_21\etrunc5.jpg</t>
  </si>
  <si>
    <t>Z:\nemtode\general\website_mirrors\nematode.unl.edu_2022_09_21\eutrun5.jpg</t>
  </si>
  <si>
    <t>Z:\nemtode\general\website_mirrors\nematode.unl.edu_2022_09_21\etrunc4.jpg</t>
  </si>
  <si>
    <t>Z:\nemtode\general\website_mirrors\nematode.unl.edu_2022_09_21\eutrun2.jpg</t>
  </si>
  <si>
    <t>Z:\nemtode\general\website_mirrors\nematode.unl.edu_2022_09_21\eutrun6.jpg</t>
  </si>
  <si>
    <t>Z:\nemtode\general\website_mirrors\nematode.unl.edu_2022_09_21\eudovest.jpg</t>
  </si>
  <si>
    <t>Z:\nemtode\general\website_mirrors\nematode.unl.edu_2022_09_21\labros10.jpg</t>
  </si>
  <si>
    <t>Z:\nemtode\general\website_mirrors\nematode.unl.edu_2022_09_21\labros5.jpg</t>
  </si>
  <si>
    <t>Z:\nemtode\general\website_mirrors\nematode.unl.edu_2022_09_21\labros12.jpg</t>
  </si>
  <si>
    <t>Z:\nemtode\general\website_mirrors\nematode.unl.edu_2022_09_21\labros20.jpg</t>
  </si>
  <si>
    <t>Z:\nemtode\general\website_mirrors\nematode.unl.edu_2022_09_21\labros3.jpg</t>
  </si>
  <si>
    <t>Z:\nemtode\general\website_mirrors\nematode.unl.edu_2022_09_21\labros6.jpg</t>
  </si>
  <si>
    <t>Z:\nemtode\general\website_mirrors\nematode.unl.edu_2022_09_21\labros7.jpg</t>
  </si>
  <si>
    <t>Z:\nemtode\general\website_mirrors\nematode.unl.edu_2022_09_21\labros13.jpg</t>
  </si>
  <si>
    <t>Z:\nemtode\general\website_mirrors\nematode.unl.edu_2022_09_21\labros14.jpg</t>
  </si>
  <si>
    <t>Z:\nemtode\general\website_mirrors\nematode.unl.edu_2022_09_21\labros19.jpg</t>
  </si>
  <si>
    <t>Z:\nemtode\general\website_mirrors\nematode.unl.edu_2022_09_21\labros9.jpg</t>
  </si>
  <si>
    <t>Z:\nemtode\general\website_mirrors\nematode.unl.edu_2022_09_21\labros1.jpg</t>
  </si>
  <si>
    <t>Z:\nemtode\general\website_mirrors\nematode.unl.edu_2022_09_21\labros15.jpg</t>
  </si>
  <si>
    <t>Z:\nemtode\general\website_mirrors\nematode.unl.edu_2022_09_21\labros16.jpg</t>
  </si>
  <si>
    <t>Z:\nemtode\general\website_mirrors\nematode.unl.edu_2022_09_21\labros4.jpg</t>
  </si>
  <si>
    <t>Z:\nemtode\general\website_mirrors\nematode.unl.edu_2022_09_21\labros8.jpg</t>
  </si>
  <si>
    <t>Z:\nemtode\general\website_mirrors\nematode.unl.edu_2022_09_21\labros11.jpg</t>
  </si>
  <si>
    <t>Z:\nemtode\general\website_mirrors\nematode.unl.edu_2022_09_21\labros17.jpg</t>
  </si>
  <si>
    <t>Z:\nemtode\general\website_mirrors\nematode.unl.edu_2022_09_21\labros18.jpg</t>
  </si>
  <si>
    <t>Z:\nemtode\general\website_mirrors\nematode.unl.edu_2022_09_21\labros2.jpg</t>
  </si>
  <si>
    <t>Z:\nemtode\general\website_mirrors\nematode.unl.edu_2022_09_21\lafox16.jpg</t>
  </si>
  <si>
    <t>Z:\nemtode\general\website_mirrors\nematode.unl.edu_2022_09_21\labfer10.jpg</t>
  </si>
  <si>
    <t>Z:\nemtode\general\website_mirrors\nematode.unl.edu_2022_09_21\labfer5.jpg</t>
  </si>
  <si>
    <t>Z:\nemtode\general\website_mirrors\nematode.unl.edu_2022_09_21\labrox1.jpg</t>
  </si>
  <si>
    <t>Z:\nemtode\general\website_mirrors\nematode.unl.edu_2022_09_21\lafox2.jpg</t>
  </si>
  <si>
    <t>Z:\nemtode\general\website_mirrors\nematode.unl.edu_2022_09_21\lafox4.jpg</t>
  </si>
  <si>
    <t>Z:\nemtode\general\website_mirrors\nematode.unl.edu_2022_09_21\labfer1.jpg</t>
  </si>
  <si>
    <t>Z:\nemtode\general\website_mirrors\nematode.unl.edu_2022_09_21\labfer11.jpg</t>
  </si>
  <si>
    <t>Z:\nemtode\general\website_mirrors\nematode.unl.edu_2022_09_21\labfer6.jpg</t>
  </si>
  <si>
    <t>Z:\nemtode\general\website_mirrors\nematode.unl.edu_2022_09_21\labfer9.jpg</t>
  </si>
  <si>
    <t>Z:\nemtode\general\website_mirrors\nematode.unl.edu_2022_09_21\labrox3.jpg</t>
  </si>
  <si>
    <t>Z:\nemtode\general\website_mirrors\nematode.unl.edu_2022_09_21\lafox10.jpg</t>
  </si>
  <si>
    <t>Z:\nemtode\general\website_mirrors\nematode.unl.edu_2022_09_21\lafox3.jpg</t>
  </si>
  <si>
    <t>Z:\nemtode\general\website_mirrors\nematode.unl.edu_2022_09_21\labfer12.jpg</t>
  </si>
  <si>
    <t>Z:\nemtode\general\website_mirrors\nematode.unl.edu_2022_09_21\labfer2.jpg</t>
  </si>
  <si>
    <t>Z:\nemtode\general\website_mirrors\nematode.unl.edu_2022_09_21\labfer7.jpg</t>
  </si>
  <si>
    <t>Z:\nemtode\general\website_mirrors\nematode.unl.edu_2022_09_21\lafox15.jpg</t>
  </si>
  <si>
    <t>Z:\nemtode\general\website_mirrors\nematode.unl.edu_2022_09_21\lafox1.jpg</t>
  </si>
  <si>
    <t>Z:\nemtode\general\website_mirrors\nematode.unl.edu_2022_09_21\lafox14.jpg</t>
  </si>
  <si>
    <t>Z:\nemtode\general\website_mirrors\nematode.unl.edu_2022_09_21\lafox9.jpg</t>
  </si>
  <si>
    <t>Z:\nemtode\general\website_mirrors\nematode.unl.edu_2022_09_21\lafox11.jpg</t>
  </si>
  <si>
    <t>Z:\nemtode\general\website_mirrors\nematode.unl.edu_2022_09_21\labrox4.jpg</t>
  </si>
  <si>
    <t>Z:\nemtode\general\website_mirrors\nematode.unl.edu_2022_09_21\lafox12.jpg</t>
  </si>
  <si>
    <t>Z:\nemtode\general\website_mirrors\nematode.unl.edu_2022_09_21\lafox13.jpg</t>
  </si>
  <si>
    <t>Z:\nemtode\general\website_mirrors\nematode.unl.edu_2022_09_21\lafox17.jpg</t>
  </si>
  <si>
    <t>Z:\nemtode\general\website_mirrors\nematode.unl.edu_2022_09_21\lafox7.jpg</t>
  </si>
  <si>
    <t>Z:\nemtode\general\website_mirrors\nematode.unl.edu_2022_09_21\labfer13.jpg</t>
  </si>
  <si>
    <t>Z:\nemtode\general\website_mirrors\nematode.unl.edu_2022_09_21\labfer3.jpg</t>
  </si>
  <si>
    <t>Z:\nemtode\general\website_mirrors\nematode.unl.edu_2022_09_21\labfer4.jpg</t>
  </si>
  <si>
    <t>Z:\nemtode\general\website_mirrors\nematode.unl.edu_2022_09_21\labfer8.jpg</t>
  </si>
  <si>
    <t>Z:\nemtode\general\website_mirrors\nematode.unl.edu_2022_09_21\labrox2.jpg</t>
  </si>
  <si>
    <t>Z:\nemtode\general\website_mirrors\nematode.unl.edu_2022_09_21\lafox18.jpg</t>
  </si>
  <si>
    <t>Z:\nemtode\general\website_mirrors\nematode.unl.edu_2022_09_21\lafox6.jpg</t>
  </si>
  <si>
    <t>Z:\nemtode\general\website_mirrors\nematode.unl.edu_2022_09_21\lafox8.jpg</t>
  </si>
  <si>
    <t>Z:\nemtode\general\website_mirrors\nematode.unl.edu_2022_09_21\lafox5.jpg</t>
  </si>
  <si>
    <t>Z:\nemtode\general\website_mirrors\nematode.unl.edu_2022_09_21\labrun2.jpg</t>
  </si>
  <si>
    <t>Z:\nemtode\general\website_mirrors\nematode.unl.edu_2022_09_21\labrun5.jpg</t>
  </si>
  <si>
    <t>Z:\nemtode\general\website_mirrors\nematode.unl.edu_2022_09_21\labrun6.jpg</t>
  </si>
  <si>
    <t>Z:\nemtode\general\website_mirrors\nematode.unl.edu_2022_09_21\labrun7.jpg</t>
  </si>
  <si>
    <t>Z:\nemtode\general\website_mirrors\nematode.unl.edu_2022_09_21\labrun1.jpg</t>
  </si>
  <si>
    <t>Z:\nemtode\general\website_mirrors\nematode.unl.edu_2022_09_21\labrun3.jpg</t>
  </si>
  <si>
    <t>Z:\nemtode\general\website_mirrors\nematode.unl.edu_2022_09_21\labrun4.jpg</t>
  </si>
  <si>
    <t>Z:\nemtode\general\website_mirrors\nematode.unl.edu_2022_09_21\labrun9.jpg</t>
  </si>
  <si>
    <t>Z:\nemtode\general\website_mirrors\nematode.unl.edu_2022_09_21\labrun8.jpg</t>
  </si>
  <si>
    <t>Z:\nemtode\general\website_mirrors\nematode.unl.edu_2022_09_21\lobes1.jpg</t>
  </si>
  <si>
    <t>Z:\nemtode\general\website_mirrors\nematode.unl.edu_2022_09_21\lobes2.jpg</t>
  </si>
  <si>
    <t>Z:\nemtode\general\website_mirrors\nematode.unl.edu_2022_09_21\lobes10.jpg</t>
  </si>
  <si>
    <t>Z:\nemtode\general\website_mirrors\nematode.unl.edu_2022_09_21\labro1.jpg</t>
  </si>
  <si>
    <t>Z:\nemtode\general\website_mirrors\nematode.unl.edu_2022_09_21\labro4.jpg</t>
  </si>
  <si>
    <t>Z:\nemtode\general\website_mirrors\nematode.unl.edu_2022_09_21\labro7.jpg</t>
  </si>
  <si>
    <t>Z:\nemtode\general\website_mirrors\nematode.unl.edu_2022_09_21\labrob1.jpg</t>
  </si>
  <si>
    <t>Z:\nemtode\general\website_mirrors\nematode.unl.edu_2022_09_21\labrob5.jpg</t>
  </si>
  <si>
    <t>Z:\nemtode\general\website_mirrors\nematode.unl.edu_2022_09_21\labrob8.jpg</t>
  </si>
  <si>
    <t>Z:\nemtode\general\website_mirrors\nematode.unl.edu_2022_09_21\lobes5.jpg</t>
  </si>
  <si>
    <t>Z:\nemtode\general\website_mirrors\nematode.unl.edu_2022_09_21\lobes9.jpg</t>
  </si>
  <si>
    <t>Z:\nemtode\general\website_mirrors\nematode.unl.edu_2022_09_21\labro3.jpg</t>
  </si>
  <si>
    <t>Z:\nemtode\general\website_mirrors\nematode.unl.edu_2022_09_21\labro5.jpg</t>
  </si>
  <si>
    <t>Z:\nemtode\general\website_mirrors\nematode.unl.edu_2022_09_21\labrob2.jpg</t>
  </si>
  <si>
    <t>Z:\nemtode\general\website_mirrors\nematode.unl.edu_2022_09_21\labrob7.jpg</t>
  </si>
  <si>
    <t>Z:\nemtode\general\website_mirrors\nematode.unl.edu_2022_09_21\lobes6.jpg</t>
  </si>
  <si>
    <t>Z:\nemtode\general\website_mirrors\nematode.unl.edu_2022_09_21\lobes3.jpg</t>
  </si>
  <si>
    <t>Z:\nemtode\general\website_mirrors\nematode.unl.edu_2022_09_21\lobes4.jpg</t>
  </si>
  <si>
    <t>Z:\nemtode\general\website_mirrors\nematode.unl.edu_2022_09_21\labro2.jpg</t>
  </si>
  <si>
    <t>Z:\nemtode\general\website_mirrors\nematode.unl.edu_2022_09_21\labro6.jpg</t>
  </si>
  <si>
    <t>Z:\nemtode\general\website_mirrors\nematode.unl.edu_2022_09_21\labro8.jpg</t>
  </si>
  <si>
    <t>Z:\nemtode\general\website_mirrors\nematode.unl.edu_2022_09_21\labrob4.jpg</t>
  </si>
  <si>
    <t>Z:\nemtode\general\website_mirrors\nematode.unl.edu_2022_09_21\labrob6.jpg</t>
  </si>
  <si>
    <t>Z:\nemtode\general\website_mirrors\nematode.unl.edu_2022_09_21\labrob9.jpg</t>
  </si>
  <si>
    <t>Z:\nemtode\general\website_mirrors\nematode.unl.edu_2022_09_21\lobes12.jpg</t>
  </si>
  <si>
    <t>Z:\nemtode\general\website_mirrors\nematode.unl.edu_2022_09_21\lobes8.jpg</t>
  </si>
  <si>
    <t>Z:\nemtode\general\website_mirrors\nematode.unl.edu_2022_09_21\labrob3.jpg</t>
  </si>
  <si>
    <t>Z:\nemtode\general\website_mirrors\nematode.unl.edu_2022_09_21\lobes11.jpg</t>
  </si>
  <si>
    <t>Z:\nemtode\general\website_mirrors\nematode.unl.edu_2022_09_21\lobes7.jpg</t>
  </si>
  <si>
    <t>Z:\nemtode\general\website_mirrors\nematode.unl.edu_2022_09_21\labra1.jpg</t>
  </si>
  <si>
    <t>Z:\nemtode\general\website_mirrors\nematode.unl.edu_2022_09_21\labra3.jpg</t>
  </si>
  <si>
    <t>Z:\nemtode\general\website_mirrors\nematode.unl.edu_2022_09_21\labrap2.jpg</t>
  </si>
  <si>
    <t>Z:\nemtode\general\website_mirrors\nematode.unl.edu_2022_09_21\labrap3.jpg</t>
  </si>
  <si>
    <t>Z:\nemtode\general\website_mirrors\nematode.unl.edu_2022_09_21\labracmp.jpg</t>
  </si>
  <si>
    <t>Z:\nemtode\general\website_mirrors\nematode.unl.edu_2022_09_21\labra2.jpg</t>
  </si>
  <si>
    <t>Z:\nemtode\general\website_mirrors\nematode.unl.edu_2022_09_21\labrap1.jpg</t>
  </si>
  <si>
    <t>Z:\nemtode\general\website_mirrors\nematode.unl.edu_2022_09_21\labrap4.jpg</t>
  </si>
  <si>
    <t>Z:\nemtode\general\website_mirrors\nematode.unl.edu_2022_09_21\labva1.jpg</t>
  </si>
  <si>
    <t>Z:\nemtode\general\website_mirrors\nematode.unl.edu_2022_09_21\labva6.jpg</t>
  </si>
  <si>
    <t>Z:\nemtode\general\website_mirrors\nematode.unl.edu_2022_09_21\labva5.jpg</t>
  </si>
  <si>
    <t>Z:\nemtode\general\website_mirrors\nematode.unl.edu_2022_09_21\labva7.jpg</t>
  </si>
  <si>
    <t>Z:\nemtode\general\website_mirrors\nematode.unl.edu_2022_09_21\labva8.jpg</t>
  </si>
  <si>
    <t>Z:\nemtode\general\website_mirrors\nematode.unl.edu_2022_09_21\labva2.jpg</t>
  </si>
  <si>
    <t>Z:\nemtode\general\website_mirrors\nematode.unl.edu_2022_09_21\labva3.jpg</t>
  </si>
  <si>
    <t>Z:\nemtode\general\website_mirrors\nematode.unl.edu_2022_09_21\labva9.jpg</t>
  </si>
  <si>
    <t>Z:\nemtode\general\website_mirrors\nematode.unl.edu_2022_09_21\labvacmp.jpg</t>
  </si>
  <si>
    <t>Z:\nemtode\general\website_mirrors\nematode.unl.edu_2022_09_21\labva4.jpg</t>
  </si>
  <si>
    <t>Z:\nemtode\general\website_mirrors\nematode.unl.edu_2022_09_21\labrel2.jpg</t>
  </si>
  <si>
    <t>Z:\nemtode\general\website_mirrors\nematode.unl.edu_2022_09_21\labrel3.jpg</t>
  </si>
  <si>
    <t>Z:\nemtode\general\website_mirrors\nematode.unl.edu_2022_09_21\labrel1.jpg</t>
  </si>
  <si>
    <t>Z:\nemtode\general\website_mirrors\nematode.unl.edu_2022_09_21\labrel4.jpg</t>
  </si>
  <si>
    <t>Z:\nemtode\general\website_mirrors\nematode.unl.edu_2022_09_21\labrut12.jpg</t>
  </si>
  <si>
    <t>Z:\nemtode\general\website_mirrors\nematode.unl.edu_2022_09_21\labrut11.jpg</t>
  </si>
  <si>
    <t>Z:\nemtode\general\website_mirrors\nematode.unl.edu_2022_09_21\labrut5.jpg</t>
  </si>
  <si>
    <t>Z:\nemtode\general\website_mirrors\nematode.unl.edu_2022_09_21\labrut6.jpg</t>
  </si>
  <si>
    <t>Z:\nemtode\general\website_mirrors\nematode.unl.edu_2022_09_21\labrut8.jpg</t>
  </si>
  <si>
    <t>Z:\nemtode\general\website_mirrors\nematode.unl.edu_2022_09_21\labrut4.jpg</t>
  </si>
  <si>
    <t>Z:\nemtode\general\website_mirrors\nematode.unl.edu_2022_09_21\labrut9.jpg</t>
  </si>
  <si>
    <t>Z:\nemtode\general\website_mirrors\nematode.unl.edu_2022_09_21\labrut1.jpg</t>
  </si>
  <si>
    <t>Z:\nemtode\general\website_mirrors\nematode.unl.edu_2022_09_21\labrut7.jpg</t>
  </si>
  <si>
    <t>Z:\nemtode\general\website_mirrors\nematode.unl.edu_2022_09_21\labrut14.jpg</t>
  </si>
  <si>
    <t>Z:\nemtode\general\website_mirrors\nematode.unl.edu_2022_09_21\labrut10.jpg</t>
  </si>
  <si>
    <t>Z:\nemtode\general\website_mirrors\nematode.unl.edu_2022_09_21\labrut15.jpg</t>
  </si>
  <si>
    <t>Z:\nemtode\general\website_mirrors\nematode.unl.edu_2022_09_21\labrut2.jpg</t>
  </si>
  <si>
    <t>Z:\nemtode\general\website_mirrors\nematode.unl.edu_2022_09_21\labrut13.jpg</t>
  </si>
  <si>
    <t>Z:\nemtode\general\website_mirrors\nematode.unl.edu_2022_09_21\labrut3.jpg</t>
  </si>
  <si>
    <t>Z:\nemtode\general\website_mirrors\nematode.unl.edu_2022_09_21\lordell18.jpg</t>
  </si>
  <si>
    <t>Z:\nemtode\general\website_mirrors\nematode.unl.edu_2022_09_21\lordell14.jpg</t>
  </si>
  <si>
    <t>Z:\nemtode\general\website_mirrors\nematode.unl.edu_2022_09_21\lordell2.jpg</t>
  </si>
  <si>
    <t>Z:\nemtode\general\website_mirrors\nematode.unl.edu_2022_09_21\lordell3.jpg</t>
  </si>
  <si>
    <t>Z:\nemtode\general\website_mirrors\nematode.unl.edu_2022_09_21\lordell1.jpg</t>
  </si>
  <si>
    <t>Z:\nemtode\general\website_mirrors\nematode.unl.edu_2022_09_21\lordell15.jpg</t>
  </si>
  <si>
    <t>Z:\nemtode\general\website_mirrors\nematode.unl.edu_2022_09_21\lordell19.jpg</t>
  </si>
  <si>
    <t>Z:\nemtode\general\website_mirrors\nematode.unl.edu_2022_09_21\lordell4.jpg</t>
  </si>
  <si>
    <t>Z:\nemtode\general\website_mirrors\nematode.unl.edu_2022_09_21\lordell17.jpg</t>
  </si>
  <si>
    <t>Z:\nemtode\general\website_mirrors\nematode.unl.edu_2022_09_21\lordell5.jpg</t>
  </si>
  <si>
    <t>Z:\nemtode\general\website_mirrors\nematode.unl.edu_2022_09_21\lordell16.jpg</t>
  </si>
  <si>
    <t>Z:\nemtode\general\website_mirrors\nematode.unl.edu_2022_09_21\lordpar10.jpg</t>
  </si>
  <si>
    <t>Z:\nemtode\general\website_mirrors\nematode.unl.edu_2022_09_21\lordpar13.jpg</t>
  </si>
  <si>
    <t>Z:\nemtode\general\website_mirrors\nematode.unl.edu_2022_09_21\lordpar2.jpg</t>
  </si>
  <si>
    <t>Z:\nemtode\general\website_mirrors\nematode.unl.edu_2022_09_21\lordpar9.jpg</t>
  </si>
  <si>
    <t>Z:\nemtode\general\website_mirrors\nematode.unl.edu_2022_09_21\lordpar3.jpg</t>
  </si>
  <si>
    <t>Z:\nemtode\general\website_mirrors\nematode.unl.edu_2022_09_21\lordpar8.jpg</t>
  </si>
  <si>
    <t>Z:\nemtode\general\website_mirrors\nematode.unl.edu_2022_09_21\lordpar1.jpg</t>
  </si>
  <si>
    <t>Z:\nemtode\general\website_mirrors\nematode.unl.edu_2022_09_21\lordpar12.jpg</t>
  </si>
  <si>
    <t>Z:\nemtode\general\website_mirrors\nematode.unl.edu_2022_09_21\lordpar15.jpg</t>
  </si>
  <si>
    <t>Z:\nemtode\general\website_mirrors\nematode.unl.edu_2022_09_21\lordpar5.jpg</t>
  </si>
  <si>
    <t>Z:\nemtode\general\website_mirrors\nematode.unl.edu_2022_09_21\lordpar6.jpg</t>
  </si>
  <si>
    <t>Z:\nemtode\general\website_mirrors\nematode.unl.edu_2022_09_21\lordpar11.jpg</t>
  </si>
  <si>
    <t>Z:\nemtode\general\website_mirrors\nematode.unl.edu_2022_09_21\lordpar14.jpg</t>
  </si>
  <si>
    <t>Z:\nemtode\general\website_mirrors\nematode.unl.edu_2022_09_21\lordpar4.jpg</t>
  </si>
  <si>
    <t>Z:\nemtode\general\website_mirrors\nematode.unl.edu_2022_09_21\lordpar7.jpg</t>
  </si>
  <si>
    <t>Z:\nemtode\general\website_mirrors\nematode.unl.edu_2022_09_21\micang15.jpg</t>
  </si>
  <si>
    <t>Z:\nemtode\general\website_mirrors\nematode.unl.edu_2022_09_21\micang3.jpg</t>
  </si>
  <si>
    <t>Z:\nemtode\general\website_mirrors\nematode.unl.edu_2022_09_21\micang10.jpg</t>
  </si>
  <si>
    <t>Z:\nemtode\general\website_mirrors\nematode.unl.edu_2022_09_21\micang13.jpg</t>
  </si>
  <si>
    <t>Z:\nemtode\general\website_mirrors\nematode.unl.edu_2022_09_21\micang2.jpg</t>
  </si>
  <si>
    <t>Z:\nemtode\general\website_mirrors\nematode.unl.edu_2022_09_21\micang6.jpg</t>
  </si>
  <si>
    <t>Z:\nemtode\general\website_mirrors\nematode.unl.edu_2022_09_21\micang7.jpg</t>
  </si>
  <si>
    <t>Z:\nemtode\general\website_mirrors\nematode.unl.edu_2022_09_21\micang11.jpg</t>
  </si>
  <si>
    <t>Z:\nemtode\general\website_mirrors\nematode.unl.edu_2022_09_21\micang1.jpg</t>
  </si>
  <si>
    <t>Z:\nemtode\general\website_mirrors\nematode.unl.edu_2022_09_21\micang14.jpg</t>
  </si>
  <si>
    <t>Z:\nemtode\general\website_mirrors\nematode.unl.edu_2022_09_21\micang12.jpg</t>
  </si>
  <si>
    <t>Z:\nemtode\general\website_mirrors\nematode.unl.edu_2022_09_21\micang17.jpg</t>
  </si>
  <si>
    <t>Z:\nemtode\general\website_mirrors\nematode.unl.edu_2022_09_21\micang5.jpg</t>
  </si>
  <si>
    <t>Z:\nemtode\general\website_mirrors\nematode.unl.edu_2022_09_21\micang8.jpg</t>
  </si>
  <si>
    <t>Z:\nemtode\general\website_mirrors\nematode.unl.edu_2022_09_21\micang16.jpg</t>
  </si>
  <si>
    <t>Z:\nemtode\general\website_mirrors\nematode.unl.edu_2022_09_21\micang18.jpg</t>
  </si>
  <si>
    <t>Z:\nemtode\general\website_mirrors\nematode.unl.edu_2022_09_21\micang4.jpg</t>
  </si>
  <si>
    <t>Z:\nemtode\general\website_mirrors\nematode.unl.edu_2022_09_21\micang9.jpg</t>
  </si>
  <si>
    <t>Z:\nemtode\general\website_mirrors\nematode.unl.edu_2022_09_21\miclo2.jpg</t>
  </si>
  <si>
    <t>Z:\nemtode\general\website_mirrors\nematode.unl.edu_2022_09_21\miclo4.jpg</t>
  </si>
  <si>
    <t>Z:\nemtode\general\website_mirrors\nematode.unl.edu_2022_09_21\miclo1.jpg</t>
  </si>
  <si>
    <t>Z:\nemtode\general\website_mirrors\nematode.unl.edu_2022_09_21\miclo7.jpg</t>
  </si>
  <si>
    <t>Z:\nemtode\general\website_mirrors\nematode.unl.edu_2022_09_21\miclo6.jpg</t>
  </si>
  <si>
    <t>Z:\nemtode\general\website_mirrors\nematode.unl.edu_2022_09_21\miclo9.jpg</t>
  </si>
  <si>
    <t>Z:\nemtode\general\website_mirrors\nematode.unl.edu_2022_09_21\miclo3.jpg</t>
  </si>
  <si>
    <t>Z:\nemtode\general\website_mirrors\nematode.unl.edu_2022_09_21\miclo5.jpg</t>
  </si>
  <si>
    <t>Z:\nemtode\general\website_mirrors\nematode.unl.edu_2022_09_21\miclo8.jpg</t>
  </si>
  <si>
    <t>Z:\nemtode\general\website_mirrors\nematode.unl.edu_2022_09_21\mimis5.jpg</t>
  </si>
  <si>
    <t>Z:\nemtode\general\website_mirrors\nematode.unl.edu_2022_09_21\mimiser2.jpg</t>
  </si>
  <si>
    <t>Z:\nemtode\general\website_mirrors\nematode.unl.edu_2022_09_21\mimis2.jpg</t>
  </si>
  <si>
    <t>Z:\nemtode\general\website_mirrors\nematode.unl.edu_2022_09_21\mimis8.jpg</t>
  </si>
  <si>
    <t>Z:\nemtode\general\website_mirrors\nematode.unl.edu_2022_09_21\mimiser13.jpg</t>
  </si>
  <si>
    <t>Z:\nemtode\general\website_mirrors\nematode.unl.edu_2022_09_21\mimiser16.jpg</t>
  </si>
  <si>
    <t>Z:\nemtode\general\website_mirrors\nematode.unl.edu_2022_09_21\mimiser18.jpg</t>
  </si>
  <si>
    <t>Z:\nemtode\general\website_mirrors\nematode.unl.edu_2022_09_21\mimiser7.jpg</t>
  </si>
  <si>
    <t>Z:\nemtode\general\website_mirrors\nematode.unl.edu_2022_09_21\mimiser9.jpg</t>
  </si>
  <si>
    <t>Z:\nemtode\general\website_mirrors\nematode.unl.edu_2022_09_21\mimis1.jpg</t>
  </si>
  <si>
    <t>Z:\nemtode\general\website_mirrors\nematode.unl.edu_2022_09_21\mimiser1.jpg</t>
  </si>
  <si>
    <t>Z:\nemtode\general\website_mirrors\nematode.unl.edu_2022_09_21\mimiser5.jpg</t>
  </si>
  <si>
    <t>Z:\nemtode\general\website_mirrors\nematode.unl.edu_2022_09_21\mimiser8.jpg</t>
  </si>
  <si>
    <t>Z:\nemtode\general\website_mirrors\nematode.unl.edu_2022_09_21\mimis4.jpg</t>
  </si>
  <si>
    <t>Z:\nemtode\general\website_mirrors\nematode.unl.edu_2022_09_21\mimis7.jpg</t>
  </si>
  <si>
    <t>Z:\nemtode\general\website_mirrors\nematode.unl.edu_2022_09_21\mimiser11.jpg</t>
  </si>
  <si>
    <t>Z:\nemtode\general\website_mirrors\nematode.unl.edu_2022_09_21\mimiser15.jpg</t>
  </si>
  <si>
    <t>Z:\nemtode\general\website_mirrors\nematode.unl.edu_2022_09_21\mimiser17.jpg</t>
  </si>
  <si>
    <t>Z:\nemtode\general\website_mirrors\nematode.unl.edu_2022_09_21\mimiser19.jpg</t>
  </si>
  <si>
    <t>Z:\nemtode\general\website_mirrors\nematode.unl.edu_2022_09_21\mimiser4.jpg</t>
  </si>
  <si>
    <t>Z:\nemtode\general\website_mirrors\nematode.unl.edu_2022_09_21\mimis3.jpg</t>
  </si>
  <si>
    <t>Z:\nemtode\general\website_mirrors\nematode.unl.edu_2022_09_21\mimis6.jpg</t>
  </si>
  <si>
    <t>Z:\nemtode\general\website_mirrors\nematode.unl.edu_2022_09_21\mimiser10.jpg</t>
  </si>
  <si>
    <t>Z:\nemtode\general\website_mirrors\nematode.unl.edu_2022_09_21\mimiser14.jpg</t>
  </si>
  <si>
    <t>Z:\nemtode\general\website_mirrors\nematode.unl.edu_2022_09_21\mimiser3.jpg</t>
  </si>
  <si>
    <t>Z:\nemtode\general\website_mirrors\nematode.unl.edu_2022_09_21\mimiser6.jpg</t>
  </si>
  <si>
    <t>Z:\nemtode\general\website_mirrors\nematode.unl.edu_2022_09_21\microm12.jpg</t>
  </si>
  <si>
    <t>Z:\nemtode\general\website_mirrors\nematode.unl.edu_2022_09_21\microm4.jpg</t>
  </si>
  <si>
    <t>Z:\nemtode\general\website_mirrors\nematode.unl.edu_2022_09_21\microm11.jpg</t>
  </si>
  <si>
    <t>Z:\nemtode\general\website_mirrors\nematode.unl.edu_2022_09_21\microm14.jpg</t>
  </si>
  <si>
    <t>Z:\nemtode\general\website_mirrors\nematode.unl.edu_2022_09_21\microm2.jpg</t>
  </si>
  <si>
    <t>Z:\nemtode\general\website_mirrors\nematode.unl.edu_2022_09_21\microm7.jpg</t>
  </si>
  <si>
    <t>Z:\nemtode\general\website_mirrors\nematode.unl.edu_2022_09_21\microm1.jpg</t>
  </si>
  <si>
    <t>Z:\nemtode\general\website_mirrors\nematode.unl.edu_2022_09_21\microm10.jpg</t>
  </si>
  <si>
    <t>Z:\nemtode\general\website_mirrors\nematode.unl.edu_2022_09_21\microm6.jpg</t>
  </si>
  <si>
    <t>Z:\nemtode\general\website_mirrors\nematode.unl.edu_2022_09_21\microm5.jpg</t>
  </si>
  <si>
    <t>Z:\nemtode\general\website_mirrors\nematode.unl.edu_2022_09_21\microm9.jpg</t>
  </si>
  <si>
    <t>Z:\nemtode\general\website_mirrors\nematode.unl.edu_2022_09_21\microm13.jpg</t>
  </si>
  <si>
    <t>Z:\nemtode\general\website_mirrors\nematode.unl.edu_2022_09_21\microm3.jpg</t>
  </si>
  <si>
    <t>Z:\nemtode\general\website_mirrors\nematode.unl.edu_2022_09_21\microm8.jpg</t>
  </si>
  <si>
    <t>Z:\nemtode\general\website_mirrors\nematode.unl.edu_2022_09_21\mimod2.jpg</t>
  </si>
  <si>
    <t>Z:\nemtode\general\website_mirrors\nematode.unl.edu_2022_09_21\mimod5.jpg</t>
  </si>
  <si>
    <t>Z:\nemtode\general\website_mirrors\nematode.unl.edu_2022_09_21\mimod7.jpg</t>
  </si>
  <si>
    <t>Z:\nemtode\general\website_mirrors\nematode.unl.edu_2022_09_21\mimod8.jpg</t>
  </si>
  <si>
    <t>Z:\nemtode\general\website_mirrors\nematode.unl.edu_2022_09_21\mimod1.jpg</t>
  </si>
  <si>
    <t>Z:\nemtode\general\website_mirrors\nematode.unl.edu_2022_09_21\mimod6.jpg</t>
  </si>
  <si>
    <t>Z:\nemtode\general\website_mirrors\nematode.unl.edu_2022_09_21\mimod10.jpg</t>
  </si>
  <si>
    <t>Z:\nemtode\general\website_mirrors\nematode.unl.edu_2022_09_21\mimod4.jpg</t>
  </si>
  <si>
    <t>Z:\nemtode\general\website_mirrors\nematode.unl.edu_2022_09_21\mimod3.jpg</t>
  </si>
  <si>
    <t>Z:\nemtode\general\website_mirrors\nematode.unl.edu_2022_09_21\mimod9.jpg</t>
  </si>
  <si>
    <t>Z:\nemtode\general\website_mirrors\nematode.unl.edu_2022_09_21\microp2.jpg</t>
  </si>
  <si>
    <t>Z:\nemtode\general\website_mirrors\nematode.unl.edu_2022_09_21\microp1.jpg</t>
  </si>
  <si>
    <t>Z:\nemtode\general\website_mirrors\nematode.unl.edu_2022_09_21\microp4.jpg</t>
  </si>
  <si>
    <t>Z:\nemtode\general\website_mirrors\nematode.unl.edu_2022_09_21\microp3.jpg</t>
  </si>
  <si>
    <t>Z:\nemtode\general\website_mirrors\nematode.unl.edu_2022_09_21\miparv2.jpg</t>
  </si>
  <si>
    <t>Z:\nemtode\general\website_mirrors\nematode.unl.edu_2022_09_21\miparv1.jpg</t>
  </si>
  <si>
    <t>Z:\nemtode\general\website_mirrors\nematode.unl.edu_2022_09_21\miparv6.jpg</t>
  </si>
  <si>
    <t>Z:\nemtode\general\website_mirrors\nematode.unl.edu_2022_09_21\miparv4.jpg</t>
  </si>
  <si>
    <t>Z:\nemtode\general\website_mirrors\nematode.unl.edu_2022_09_21\miparv3.jpg</t>
  </si>
  <si>
    <t>Z:\nemtode\general\website_mirrors\nematode.unl.edu_2022_09_21\miparv5.jpg</t>
  </si>
  <si>
    <t>Z:\nemtode\general\website_mirrors\nematode.unl.edu_2022_09_21\micrap2.jpg</t>
  </si>
  <si>
    <t>Z:\nemtode\general\website_mirrors\nematode.unl.edu_2022_09_21\micrap6.jpg</t>
  </si>
  <si>
    <t>Z:\nemtode\general\website_mirrors\nematode.unl.edu_2022_09_21\micrap3.jpg</t>
  </si>
  <si>
    <t>Z:\nemtode\general\website_mirrors\nematode.unl.edu_2022_09_21\micrap7.jpg</t>
  </si>
  <si>
    <t>Z:\nemtode\general\website_mirrors\nematode.unl.edu_2022_09_21\micrap1.jpg</t>
  </si>
  <si>
    <t>Z:\nemtode\general\website_mirrors\nematode.unl.edu_2022_09_21\micrap5.jpg</t>
  </si>
  <si>
    <t>Z:\nemtode\general\website_mirrors\nematode.unl.edu_2022_09_21\micrap8.jpg</t>
  </si>
  <si>
    <t>Z:\nemtode\general\website_mirrors\nematode.unl.edu_2022_09_21\micrap4.jpg</t>
  </si>
  <si>
    <t>Z:\nemtode\general\website_mirrors\nematode.unl.edu_2022_09_21\microth1.jpg</t>
  </si>
  <si>
    <t>Z:\nemtode\general\website_mirrors\nematode.unl.edu_2022_09_21\microth3.jpg</t>
  </si>
  <si>
    <t>Z:\nemtode\general\website_mirrors\nematode.unl.edu_2022_09_21\microth2.jpg</t>
  </si>
  <si>
    <t>Z:\nemtode\general\website_mirrors\nematode.unl.edu_2022_09_21\microth4.jpg</t>
  </si>
  <si>
    <t>Z:\nemtode\general\website_mirrors\nematode.unl.edu_2022_09_21\talesp13.jpg</t>
  </si>
  <si>
    <t>Z:\nemtode\general\website_mirrors\nematode.unl.edu_2022_09_21\talesp6.jpg</t>
  </si>
  <si>
    <t>Z:\nemtode\general\website_mirrors\nematode.unl.edu_2022_09_21\talesp2.jpg</t>
  </si>
  <si>
    <t>Z:\nemtode\general\website_mirrors\nematode.unl.edu_2022_09_21\talamau3.jpg</t>
  </si>
  <si>
    <t>Z:\nemtode\general\website_mirrors\nematode.unl.edu_2022_09_21\talesp12.jpg</t>
  </si>
  <si>
    <t>Z:\nemtode\general\website_mirrors\nematode.unl.edu_2022_09_21\talesp5.jpg</t>
  </si>
  <si>
    <t>Z:\nemtode\general\website_mirrors\nematode.unl.edu_2022_09_21\talamau4.jpg</t>
  </si>
  <si>
    <t>Z:\nemtode\general\website_mirrors\nematode.unl.edu_2022_09_21\talesp7.jpg</t>
  </si>
  <si>
    <t>Z:\nemtode\general\website_mirrors\nematode.unl.edu_2022_09_21\talamau1.jpg</t>
  </si>
  <si>
    <t>Z:\nemtode\general\website_mirrors\nematode.unl.edu_2022_09_21\talesp1.jpg</t>
  </si>
  <si>
    <t>Z:\nemtode\general\website_mirrors\nematode.unl.edu_2022_09_21\talesp11.jpg</t>
  </si>
  <si>
    <t>Z:\nemtode\general\website_mirrors\nematode.unl.edu_2022_09_21\talamau2.jpg</t>
  </si>
  <si>
    <t>Z:\nemtode\general\website_mirrors\nematode.unl.edu_2022_09_21\talesp3.jpg</t>
  </si>
  <si>
    <t>Z:\nemtode\general\website_mirrors\nematode.unl.edu_2022_09_21\talamau7.jpg</t>
  </si>
  <si>
    <t>Z:\nemtode\general\website_mirrors\nematode.unl.edu_2022_09_21\talesp10.jpg</t>
  </si>
  <si>
    <t>Z:\nemtode\general\website_mirrors\nematode.unl.edu_2022_09_21\talesp15.jpg</t>
  </si>
  <si>
    <t>Z:\nemtode\general\website_mirrors\nematode.unl.edu_2022_09_21\talesp4.jpg</t>
  </si>
  <si>
    <t>Z:\nemtode\general\website_mirrors\nematode.unl.edu_2022_09_21\talesp9.jpg</t>
  </si>
  <si>
    <t>Z:\nemtode\general\website_mirrors\nematode.unl.edu_2022_09_21\talamau5.jpg</t>
  </si>
  <si>
    <t>Z:\nemtode\general\website_mirrors\nematode.unl.edu_2022_09_21\talamau6.jpg</t>
  </si>
  <si>
    <t>Z:\nemtode\general\website_mirrors\nematode.unl.edu_2022_09_21\talesp14.jpg</t>
  </si>
  <si>
    <t>Z:\nemtode\general\website_mirrors\nematode.unl.edu_2022_09_21\talesp8.jpg</t>
  </si>
  <si>
    <t>Z:\nemtode\general\website_mirrors\nematode.unl.edu_2022_09_21\tymin1.jpg</t>
  </si>
  <si>
    <t>Z:\nemtode\general\website_mirrors\nematode.unl.edu_2022_09_21\tylemi4.jpg</t>
  </si>
  <si>
    <t>Z:\nemtode\general\website_mirrors\nematode.unl.edu_2022_09_21\tylemi1.jpg</t>
  </si>
  <si>
    <t>Z:\nemtode\general\website_mirrors\nematode.unl.edu_2022_09_21\tymin4.jpg</t>
  </si>
  <si>
    <t>Z:\nemtode\general\website_mirrors\nematode.unl.edu_2022_09_21\tymin8.jpg</t>
  </si>
  <si>
    <t>Z:\nemtode\general\website_mirrors\nematode.unl.edu_2022_09_21\tylemi3.jpg</t>
  </si>
  <si>
    <t>Z:\nemtode\general\website_mirrors\nematode.unl.edu_2022_09_21\tymin9.jpg</t>
  </si>
  <si>
    <t>Z:\nemtode\general\website_mirrors\nematode.unl.edu_2022_09_21\tymin5.jpg</t>
  </si>
  <si>
    <t>Z:\nemtode\general\website_mirrors\nematode.unl.edu_2022_09_21\tylemi2.jpg</t>
  </si>
  <si>
    <t>Z:\nemtode\general\website_mirrors\nematode.unl.edu_2022_09_21\tymin3.jpg</t>
  </si>
  <si>
    <t>Z:\nemtode\general\website_mirrors\nematode.unl.edu_2022_09_21\tymin7.jpg</t>
  </si>
  <si>
    <t>Z:\nemtode\general\website_mirrors\nematode.unl.edu_2022_09_21\tymin2.jpg</t>
  </si>
  <si>
    <t>Z:\nemtode\general\website_mirrors\nematode.unl.edu_2022_09_21\tymin6.jpg</t>
  </si>
  <si>
    <t>Z:\nemtode\general\website_mirrors\nematode.unl.edu_2022_09_21\tylep1.jpg</t>
  </si>
  <si>
    <t>Z:\nemtode\general\website_mirrors\nematode.unl.edu_2022_09_21\typho1.jpg</t>
  </si>
  <si>
    <t>Z:\nemtode\general\website_mirrors\nematode.unl.edu_2022_09_21\typho2.jpg</t>
  </si>
  <si>
    <t>Z:\nemtode\general\website_mirrors\nematode.unl.edu_2022_09_21\typro1.jpg</t>
  </si>
  <si>
    <t>Z:\nemtode\general\website_mirrors\nematode.unl.edu_2022_09_21\typro14.jpg</t>
  </si>
  <si>
    <t>Z:\nemtode\general\website_mirrors\nematode.unl.edu_2022_09_21\typro16.jpg</t>
  </si>
  <si>
    <t>Z:\nemtode\general\website_mirrors\nematode.unl.edu_2022_09_21\typro9.jpg</t>
  </si>
  <si>
    <t>Z:\nemtode\general\website_mirrors\nematode.unl.edu_2022_09_21\typrocmp.jpg</t>
  </si>
  <si>
    <t>Z:\nemtode\general\website_mirrors\nematode.unl.edu_2022_09_21\tylep6.jpg</t>
  </si>
  <si>
    <t>Z:\nemtode\general\website_mirrors\nematode.unl.edu_2022_09_21\typro11.jpg</t>
  </si>
  <si>
    <t>Z:\nemtode\general\website_mirrors\nematode.unl.edu_2022_09_21\tylep4.jpg</t>
  </si>
  <si>
    <t>Z:\nemtode\general\website_mirrors\nematode.unl.edu_2022_09_21\typho5.jpg</t>
  </si>
  <si>
    <t>Z:\nemtode\general\website_mirrors\nematode.unl.edu_2022_09_21\typro10.jpg</t>
  </si>
  <si>
    <t>Z:\nemtode\general\website_mirrors\nematode.unl.edu_2022_09_21\typro15.jpg</t>
  </si>
  <si>
    <t>Z:\nemtode\general\website_mirrors\nematode.unl.edu_2022_09_21\typro6.jpg</t>
  </si>
  <si>
    <t>Z:\nemtode\general\website_mirrors\nematode.unl.edu_2022_09_21\typro13.jpg</t>
  </si>
  <si>
    <t>Z:\nemtode\general\website_mirrors\nematode.unl.edu_2022_09_21\typro4.jpg</t>
  </si>
  <si>
    <t>Z:\nemtode\general\website_mirrors\nematode.unl.edu_2022_09_21\tylep3.jpg</t>
  </si>
  <si>
    <t>Z:\nemtode\general\website_mirrors\nematode.unl.edu_2022_09_21\typho4.jpg</t>
  </si>
  <si>
    <t>Z:\nemtode\general\website_mirrors\nematode.unl.edu_2022_09_21\typro18.jpg</t>
  </si>
  <si>
    <t>Z:\nemtode\general\website_mirrors\nematode.unl.edu_2022_09_21\typro3.jpg</t>
  </si>
  <si>
    <t>Z:\nemtode\general\website_mirrors\nematode.unl.edu_2022_09_21\typro7.jpg</t>
  </si>
  <si>
    <t>Z:\nemtode\general\website_mirrors\nematode.unl.edu_2022_09_21\tylep2.jpg</t>
  </si>
  <si>
    <t>Z:\nemtode\general\website_mirrors\nematode.unl.edu_2022_09_21\tylep5.jpg</t>
  </si>
  <si>
    <t>Z:\nemtode\general\website_mirrors\nematode.unl.edu_2022_09_21\typho3.jpg</t>
  </si>
  <si>
    <t>Z:\nemtode\general\website_mirrors\nematode.unl.edu_2022_09_21\typro12.jpg</t>
  </si>
  <si>
    <t>Z:\nemtode\general\website_mirrors\nematode.unl.edu_2022_09_21\typro17.jpg</t>
  </si>
  <si>
    <t>Z:\nemtode\general\website_mirrors\nematode.unl.edu_2022_09_21\typro2.jpg</t>
  </si>
  <si>
    <t>Z:\nemtode\general\website_mirrors\nematode.unl.edu_2022_09_21\typro5.jpg</t>
  </si>
  <si>
    <t>Z:\nemtode\general\website_mirrors\nematode.unl.edu_2022_09_21\typro8.jpg</t>
  </si>
  <si>
    <t>Z:\nemtode\general\website_mirrors\nematode.unl.edu_2022_09_21\tystec9.jpg</t>
  </si>
  <si>
    <t>Z:\nemtode\general\website_mirrors\nematode.unl.edu_2022_09_21\tystec2.jpg</t>
  </si>
  <si>
    <t>Z:\nemtode\general\website_mirrors\nematode.unl.edu_2022_09_21\tystec5.jpg</t>
  </si>
  <si>
    <t>Z:\nemtode\general\website_mirrors\nematode.unl.edu_2022_09_21\tystec6.jpg</t>
  </si>
  <si>
    <t>Z:\nemtode\general\website_mirrors\nematode.unl.edu_2022_09_21\tystec1.jpg</t>
  </si>
  <si>
    <t>Z:\nemtode\general\website_mirrors\nematode.unl.edu_2022_09_21\tystec4.jpg</t>
  </si>
  <si>
    <t>Z:\nemtode\general\website_mirrors\nematode.unl.edu_2022_09_21\tystec8.jpg</t>
  </si>
  <si>
    <t>Z:\nemtode\general\website_mirrors\nematode.unl.edu_2022_09_21\tystec3.jpg</t>
  </si>
  <si>
    <t>Z:\nemtode\general\website_mirrors\nematode.unl.edu_2022_09_21\tystec7.jpg</t>
  </si>
  <si>
    <t>Z:\nemtode\general\website_mirrors\nematode.unl.edu_2022_09_21\tyter1.jpg</t>
  </si>
  <si>
    <t>Z:\nemtode\general\website_mirrors\nematode.unl.edu_2022_09_21\tyter8.jpg</t>
  </si>
  <si>
    <t>Z:\nemtode\general\website_mirrors\nematode.unl.edu_2022_09_21\tyter9.jpg</t>
  </si>
  <si>
    <t>Z:\nemtode\general\website_mirrors\nematode.unl.edu_2022_09_21\tyter4.jpg</t>
  </si>
  <si>
    <t>Z:\nemtode\general\website_mirrors\nematode.unl.edu_2022_09_21\tyter7.jpg</t>
  </si>
  <si>
    <t>Z:\nemtode\general\website_mirrors\nematode.unl.edu_2022_09_21\tyter2.jpg</t>
  </si>
  <si>
    <t>Z:\nemtode\general\website_mirrors\nematode.unl.edu_2022_09_21\tyter5.jpg</t>
  </si>
  <si>
    <t>Z:\nemtode\general\website_mirrors\nematode.unl.edu_2022_09_21\tyter3.jpg</t>
  </si>
  <si>
    <t>Z:\nemtode\general\website_mirrors\nematode.unl.edu_2022_09_21\tyter6.jpg</t>
  </si>
  <si>
    <t>Z:\nemtode\general\website_mirrors\nematode.unl.edu_2022_09_21\coomb17.jpg</t>
  </si>
  <si>
    <t>Z:\nemtode\general\website_mirrors\nematode.unl.edu_2022_09_21\coomb8.jpg</t>
  </si>
  <si>
    <t>Z:\nemtode\general\website_mirrors\nematode.unl.edu_2022_09_21\coomb13.jpg</t>
  </si>
  <si>
    <t>Z:\nemtode\general\website_mirrors\nematode.unl.edu_2022_09_21\coomb3.jpg</t>
  </si>
  <si>
    <t>Z:\nemtode\general\website_mirrors\nematode.unl.edu_2022_09_21\coomb16.jpg</t>
  </si>
  <si>
    <t>Z:\nemtode\general\website_mirrors\nematode.unl.edu_2022_09_21\coomb6.jpg</t>
  </si>
  <si>
    <t>Z:\nemtode\general\website_mirrors\nematode.unl.edu_2022_09_21\coomb7.jpg</t>
  </si>
  <si>
    <t>Z:\nemtode\general\website_mirrors\nematode.unl.edu_2022_09_21\coomb11.jpg</t>
  </si>
  <si>
    <t>Z:\nemtode\general\website_mirrors\nematode.unl.edu_2022_09_21\coomb1.jpg</t>
  </si>
  <si>
    <t>Z:\nemtode\general\website_mirrors\nematode.unl.edu_2022_09_21\coomb12.jpg</t>
  </si>
  <si>
    <t>Z:\nemtode\general\website_mirrors\nematode.unl.edu_2022_09_21\coomb2.jpg</t>
  </si>
  <si>
    <t>Z:\nemtode\general\website_mirrors\nematode.unl.edu_2022_09_21\coomb9.jpg</t>
  </si>
  <si>
    <t>Z:\nemtode\general\website_mirrors\nematode.unl.edu_2022_09_21\coomb14.jpg</t>
  </si>
  <si>
    <t>Z:\nemtode\general\website_mirrors\nematode.unl.edu_2022_09_21\coomb4.jpg</t>
  </si>
  <si>
    <t>Z:\nemtode\general\website_mirrors\nematode.unl.edu_2022_09_21\coomb19.jpg</t>
  </si>
  <si>
    <t>Z:\nemtode\general\website_mirrors\nematode.unl.edu_2022_09_21\coomb5.jpg</t>
  </si>
  <si>
    <t>Z:\nemtode\general\website_mirrors\nematode.unl.edu_2022_09_21\coomb15.jpg</t>
  </si>
  <si>
    <t>Z:\nemtode\general\website_mirrors\nematode.unl.edu_2022_09_21\coomb20.jpg</t>
  </si>
  <si>
    <t>Z:\nemtode\general\website_mirrors\nematode.unl.edu_2022_09_21\coomb10.jpg</t>
  </si>
  <si>
    <t>Z:\nemtode\general\website_mirrors\nematode.unl.edu_2022_09_21\coomb18.jpg</t>
  </si>
  <si>
    <t>Z:\nemtode\general\website_mirrors\nematode.unl.edu_2022_09_21\thornen3.jpg</t>
  </si>
  <si>
    <t>Z:\nemtode\general\website_mirrors\nematode.unl.edu_2022_09_21\thornec2.jpg</t>
  </si>
  <si>
    <t>Z:\nemtode\general\website_mirrors\nematode.unl.edu_2022_09_21\thornen2.jpg</t>
  </si>
  <si>
    <t>Z:\nemtode\general\website_mirrors\nematode.unl.edu_2022_09_21\thornen5.jpg</t>
  </si>
  <si>
    <t>Z:\nemtode\general\website_mirrors\nematode.unl.edu_2022_09_21\thornen7.jpg</t>
  </si>
  <si>
    <t>Z:\nemtode\general\website_mirrors\nematode.unl.edu_2022_09_21\thornen8.jpg</t>
  </si>
  <si>
    <t>Z:\nemtode\general\website_mirrors\nematode.unl.edu_2022_09_21\thornec4.jpg</t>
  </si>
  <si>
    <t>Z:\nemtode\general\website_mirrors\nematode.unl.edu_2022_09_21\thornec1.jpg</t>
  </si>
  <si>
    <t>Z:\nemtode\general\website_mirrors\nematode.unl.edu_2022_09_21\thornen1.jpg</t>
  </si>
  <si>
    <t>Z:\nemtode\general\website_mirrors\nematode.unl.edu_2022_09_21\thornec3.jpg</t>
  </si>
  <si>
    <t>Z:\nemtode\general\website_mirrors\nematode.unl.edu_2022_09_21\thornen4.jpg</t>
  </si>
  <si>
    <t>Z:\nemtode\general\website_mirrors\nematode.unl.edu_2022_09_21\thornen6.jpg</t>
  </si>
  <si>
    <t>Z:\nemtode\general\website_mirrors\nematode.unl.edu_2022_09_21\willin1.jpg</t>
  </si>
  <si>
    <t>Z:\nemtode\general\website_mirrors\nematode.unl.edu_2022_09_21\willin2.jpg</t>
  </si>
  <si>
    <t>Z:\nemtode\general\website_mirrors\nematode.unl.edu_2022_09_21\theella1.jpg</t>
  </si>
  <si>
    <t>Z:\nemtode\general\website_mirrors\nematode.unl.edu_2022_09_21\theella4.jpg</t>
  </si>
  <si>
    <t>Z:\nemtode\general\website_mirrors\nematode.unl.edu_2022_09_21\theella6.jpg</t>
  </si>
  <si>
    <t>Z:\nemtode\general\website_mirrors\nematode.unl.edu_2022_09_21\theella3.jpg</t>
  </si>
  <si>
    <t>Z:\nemtode\general\website_mirrors\nematode.unl.edu_2022_09_21\theella2.jpg</t>
  </si>
  <si>
    <t>Z:\nemtode\general\website_mirrors\nematode.unl.edu_2022_09_21\theella5.jpg</t>
  </si>
  <si>
    <t>Z:\nemtode\general\website_mirrors\nematode.unl.edu_2022_09_21\theella7.jpg</t>
  </si>
  <si>
    <t>Z:\nemtode\general\website_mirrors\nematode.unl.edu_2022_09_21\teella1.jpg</t>
  </si>
  <si>
    <t>Z:\nemtode\general\website_mirrors\nematode.unl.edu_2022_09_21\teella11.jpg</t>
  </si>
  <si>
    <t>Z:\nemtode\general\website_mirrors\nematode.unl.edu_2022_09_21\teella16.jpg</t>
  </si>
  <si>
    <t>Z:\nemtode\general\website_mirrors\nematode.unl.edu_2022_09_21\teella6.jpg</t>
  </si>
  <si>
    <t>Z:\nemtode\general\website_mirrors\nematode.unl.edu_2022_09_21\teella13.jpg</t>
  </si>
  <si>
    <t>Z:\nemtode\general\website_mirrors\nematode.unl.edu_2022_09_21\teella10.jpg</t>
  </si>
  <si>
    <t>Z:\nemtode\general\website_mirrors\nematode.unl.edu_2022_09_21\teella15.jpg</t>
  </si>
  <si>
    <t>Z:\nemtode\general\website_mirrors\nematode.unl.edu_2022_09_21\teella14.jpg</t>
  </si>
  <si>
    <t>Z:\nemtode\general\website_mirrors\nematode.unl.edu_2022_09_21\teella17.jpg</t>
  </si>
  <si>
    <t>Z:\nemtode\general\website_mirrors\nematode.unl.edu_2022_09_21\teella3.jpg</t>
  </si>
  <si>
    <t>Z:\nemtode\general\website_mirrors\nematode.unl.edu_2022_09_21\teella5.jpg</t>
  </si>
  <si>
    <t>Z:\nemtode\general\website_mirrors\nematode.unl.edu_2022_09_21\teella8.jpg</t>
  </si>
  <si>
    <t>Z:\nemtode\general\website_mirrors\nematode.unl.edu_2022_09_21\teella9.jpg</t>
  </si>
  <si>
    <t>Z:\nemtode\general\website_mirrors\nematode.unl.edu_2022_09_21\teella12.jpg</t>
  </si>
  <si>
    <t>Z:\nemtode\general\website_mirrors\nematode.unl.edu_2022_09_21\teella2.jpg</t>
  </si>
  <si>
    <t>Z:\nemtode\general\website_mirrors\nematode.unl.edu_2022_09_21\teella4.jpg</t>
  </si>
  <si>
    <t>Z:\nemtode\general\website_mirrors\nematode.unl.edu_2022_09_21\teella7.jpg</t>
  </si>
  <si>
    <t>Z:\nemtode\general\website_mirrors\nematode.unl.edu_2022_09_21\thorni1.jpg</t>
  </si>
  <si>
    <t>Z:\nemtode\general\website_mirrors\nematode.unl.edu_2022_09_21\thorni2.jpg</t>
  </si>
  <si>
    <t>Z:\nemtode\general\website_mirrors\nematode.unl.edu_2022_09_21\doryll1.jpg</t>
  </si>
  <si>
    <t>Z:\nemtode\general\website_mirrors\nematode.unl.edu_2022_09_21\doryll4.jpg</t>
  </si>
  <si>
    <t>Z:\nemtode\general\website_mirrors\nematode.unl.edu_2022_09_21\doryll3.jpg</t>
  </si>
  <si>
    <t>Z:\nemtode\general\website_mirrors\nematode.unl.edu_2022_09_21\doryll2.jpg</t>
  </si>
  <si>
    <t>Z:\nemtode\general\website_mirrors\nematode.unl.edu_2022_09_21\doryll5.jpg</t>
  </si>
  <si>
    <t>Z:\nemtode\general\website_mirrors\nematode.unl.edu_2022_09_21\dorycor11.jpg</t>
  </si>
  <si>
    <t>Z:\nemtode\general\website_mirrors\nematode.unl.edu_2022_09_21\dorycor2.jpg</t>
  </si>
  <si>
    <t>Z:\nemtode\general\website_mirrors\nematode.unl.edu_2022_09_21\dorycor20.jpg</t>
  </si>
  <si>
    <t>Z:\nemtode\general\website_mirrors\nematode.unl.edu_2022_09_21\dorycor12.jpg</t>
  </si>
  <si>
    <t>Z:\nemtode\general\website_mirrors\nematode.unl.edu_2022_09_21\dorycor15.jpg</t>
  </si>
  <si>
    <t>Z:\nemtode\general\website_mirrors\nematode.unl.edu_2022_09_21\dorycor17.jpg</t>
  </si>
  <si>
    <t>Z:\nemtode\general\website_mirrors\nematode.unl.edu_2022_09_21\dorycor21.jpg</t>
  </si>
  <si>
    <t>Z:\nemtode\general\website_mirrors\nematode.unl.edu_2022_09_21\dorycor22.jpg</t>
  </si>
  <si>
    <t>Z:\nemtode\general\website_mirrors\nematode.unl.edu_2022_09_21\dorycor5.jpg</t>
  </si>
  <si>
    <t>Z:\nemtode\general\website_mirrors\nematode.unl.edu_2022_09_21\dorycor8.jpg</t>
  </si>
  <si>
    <t>Z:\nemtode\general\website_mirrors\nematode.unl.edu_2022_09_21\dorycor14.jpg</t>
  </si>
  <si>
    <t>Z:\nemtode\general\website_mirrors\nematode.unl.edu_2022_09_21\dorycor1.jpg</t>
  </si>
  <si>
    <t>Z:\nemtode\general\website_mirrors\nematode.unl.edu_2022_09_21\dorycor16.jpg</t>
  </si>
  <si>
    <t>Z:\nemtode\general\website_mirrors\nematode.unl.edu_2022_09_21\dorycor18.jpg</t>
  </si>
  <si>
    <t>Z:\nemtode\general\website_mirrors\nematode.unl.edu_2022_09_21\dorycor4.jpg</t>
  </si>
  <si>
    <t>Z:\nemtode\general\website_mirrors\nematode.unl.edu_2022_09_21\dorycor7.jpg</t>
  </si>
  <si>
    <t>Z:\nemtode\general\website_mirrors\nematode.unl.edu_2022_09_21\dorycor9.jpg</t>
  </si>
  <si>
    <t>Z:\nemtode\general\website_mirrors\nematode.unl.edu_2022_09_21\dorycor10.jpg</t>
  </si>
  <si>
    <t>Z:\nemtode\general\website_mirrors\nematode.unl.edu_2022_09_21\dorycor13.jpg</t>
  </si>
  <si>
    <t>Z:\nemtode\general\website_mirrors\nematode.unl.edu_2022_09_21\dorycor19.jpg</t>
  </si>
  <si>
    <t>Z:\nemtode\general\website_mirrors\nematode.unl.edu_2022_09_21\dorycor3.jpg</t>
  </si>
  <si>
    <t>Z:\nemtode\general\website_mirrors\nematode.unl.edu_2022_09_21\dorycor6.jpg</t>
  </si>
  <si>
    <t>Z:\nemtode\general\website_mirrors\nematode.unl.edu_2022_09_21\dorymi3.jpg</t>
  </si>
  <si>
    <t>Z:\nemtode\general\website_mirrors\nematode.unl.edu_2022_09_21\dorymi10.jpg</t>
  </si>
  <si>
    <t>Z:\nemtode\general\website_mirrors\nematode.unl.edu_2022_09_21\dorymi15.jpg</t>
  </si>
  <si>
    <t>Z:\nemtode\general\website_mirrors\nematode.unl.edu_2022_09_21\dorymi16.jpg</t>
  </si>
  <si>
    <t>Z:\nemtode\general\website_mirrors\nematode.unl.edu_2022_09_21\dorymi4.jpg</t>
  </si>
  <si>
    <t>Z:\nemtode\general\website_mirrors\nematode.unl.edu_2022_09_21\dorymi5.jpg</t>
  </si>
  <si>
    <t>Z:\nemtode\general\website_mirrors\nematode.unl.edu_2022_09_21\dorymi9.jpg</t>
  </si>
  <si>
    <t>Z:\nemtode\general\website_mirrors\nematode.unl.edu_2022_09_21\dorymi11.jpg</t>
  </si>
  <si>
    <t>Z:\nemtode\general\website_mirrors\nematode.unl.edu_2022_09_21\dorymi14.jpg</t>
  </si>
  <si>
    <t>Z:\nemtode\general\website_mirrors\nematode.unl.edu_2022_09_21\dorymi6.jpg</t>
  </si>
  <si>
    <t>Z:\nemtode\general\website_mirrors\nematode.unl.edu_2022_09_21\dorymi1.jpg</t>
  </si>
  <si>
    <t>Z:\nemtode\general\website_mirrors\nematode.unl.edu_2022_09_21\dorymi12.jpg</t>
  </si>
  <si>
    <t>Z:\nemtode\general\website_mirrors\nematode.unl.edu_2022_09_21\dorymi7.jpg</t>
  </si>
  <si>
    <t>Z:\nemtode\general\website_mirrors\nematode.unl.edu_2022_09_21\dorymi13.jpg</t>
  </si>
  <si>
    <t>Z:\nemtode\general\website_mirrors\nematode.unl.edu_2022_09_21\dorymi2.jpg</t>
  </si>
  <si>
    <t>Z:\nemtode\general\website_mirrors\nematode.unl.edu_2022_09_21\dorymi8.jpg</t>
  </si>
  <si>
    <t>Z:\nemtode\general\website_mirrors\nematode.unl.edu_2022_09_21\tylaff16.jpg</t>
  </si>
  <si>
    <t>Z:\nemtode\general\website_mirrors\nematode.unl.edu_2022_09_21\tylenaf1.jpg</t>
  </si>
  <si>
    <t>Z:\nemtode\general\website_mirrors\nematode.unl.edu_2022_09_21\tylaff1.jpg</t>
  </si>
  <si>
    <t>Z:\nemtode\general\website_mirrors\nematode.unl.edu_2022_09_21\tylaff13.jpg</t>
  </si>
  <si>
    <t>Z:\nemtode\general\website_mirrors\nematode.unl.edu_2022_09_21\tylaff17.jpg</t>
  </si>
  <si>
    <t>Z:\nemtode\general\website_mirrors\nematode.unl.edu_2022_09_21\tylaff8.jpg</t>
  </si>
  <si>
    <t>Z:\nemtode\general\website_mirrors\nematode.unl.edu_2022_09_21\tylenaf5.jpg</t>
  </si>
  <si>
    <t>Z:\nemtode\general\website_mirrors\nematode.unl.edu_2022_09_21\tylaff9.jpg</t>
  </si>
  <si>
    <t>Z:\nemtode\general\website_mirrors\nematode.unl.edu_2022_09_21\tylenaf7.jpg</t>
  </si>
  <si>
    <t>Z:\nemtode\general\website_mirrors\nematode.unl.edu_2022_09_21\tylenaf2.jpg</t>
  </si>
  <si>
    <t>Z:\nemtode\general\website_mirrors\nematode.unl.edu_2022_09_21\tylaff12.jpg</t>
  </si>
  <si>
    <t>Z:\nemtode\general\website_mirrors\nematode.unl.edu_2022_09_21\tylaff18.jpg</t>
  </si>
  <si>
    <t>Z:\nemtode\general\website_mirrors\nematode.unl.edu_2022_09_21\tylenaf6.jpg</t>
  </si>
  <si>
    <t>Z:\nemtode\general\website_mirrors\nematode.unl.edu_2022_09_21\tylaff10.jpg</t>
  </si>
  <si>
    <t>Z:\nemtode\general\website_mirrors\nematode.unl.edu_2022_09_21\tylaff14.jpg</t>
  </si>
  <si>
    <t>Z:\nemtode\general\website_mirrors\nematode.unl.edu_2022_09_21\tylaff4.jpg</t>
  </si>
  <si>
    <t>Z:\nemtode\general\website_mirrors\nematode.unl.edu_2022_09_21\tylaff7.jpg</t>
  </si>
  <si>
    <t>Z:\nemtode\general\website_mirrors\nematode.unl.edu_2022_09_21\tylaffcmp.jpg</t>
  </si>
  <si>
    <t>Z:\nemtode\general\website_mirrors\nematode.unl.edu_2022_09_21\tylenaf3.jpg</t>
  </si>
  <si>
    <t>Z:\nemtode\general\website_mirrors\nematode.unl.edu_2022_09_21\tylenaf8.jpg</t>
  </si>
  <si>
    <t>Z:\nemtode\general\website_mirrors\nematode.unl.edu_2022_09_21\tylaff11.jpg</t>
  </si>
  <si>
    <t>Z:\nemtode\general\website_mirrors\nematode.unl.edu_2022_09_21\tylaff15.jpg</t>
  </si>
  <si>
    <t>Z:\nemtode\general\website_mirrors\nematode.unl.edu_2022_09_21\tylaff20.jpg</t>
  </si>
  <si>
    <t>Z:\nemtode\general\website_mirrors\nematode.unl.edu_2022_09_21\tylaff3.jpg</t>
  </si>
  <si>
    <t>Z:\nemtode\general\website_mirrors\nematode.unl.edu_2022_09_21\tylaff5.jpg</t>
  </si>
  <si>
    <t>Z:\nemtode\general\website_mirrors\nematode.unl.edu_2022_09_21\tylenaf4.jpg</t>
  </si>
  <si>
    <t>Z:\nemtode\general\website_mirrors\nematode.unl.edu_2022_09_21\tylaff19.jpg</t>
  </si>
  <si>
    <t>Z:\nemtode\general\website_mirrors\nematode.unl.edu_2022_09_21\tylaff2.jpg</t>
  </si>
  <si>
    <t>Z:\nemtode\general\website_mirrors\nematode.unl.edu_2022_09_21\tylaff6.jpg</t>
  </si>
  <si>
    <t>Z:\nemtode\general\website_mirrors\nematode.unl.edu_2022_09_21\tylenaf9.jpg</t>
  </si>
  <si>
    <t>Z:\nemtode\general\website_mirrors\nematode.unl.edu_2022_09_21\tyleg2.jpg</t>
  </si>
  <si>
    <t>Z:\nemtode\general\website_mirrors\nematode.unl.edu_2022_09_21\tyleg5.jpg</t>
  </si>
  <si>
    <t>Z:\nemtode\general\website_mirrors\nematode.unl.edu_2022_09_21\tyleg7.jpg</t>
  </si>
  <si>
    <t>Z:\nemtode\general\website_mirrors\nematode.unl.edu_2022_09_21\tylec1.jpg</t>
  </si>
  <si>
    <t>Z:\nemtode\general\website_mirrors\nematode.unl.edu_2022_09_21\tyleg11.jpg</t>
  </si>
  <si>
    <t>Z:\nemtode\general\website_mirrors\nematode.unl.edu_2022_09_21\tyleg14.jpg</t>
  </si>
  <si>
    <t>Z:\nemtode\general\website_mirrors\nematode.unl.edu_2022_09_21\tyleg17.jpg</t>
  </si>
  <si>
    <t>Z:\nemtode\general\website_mirrors\nematode.unl.edu_2022_09_21\tyleg21.jpg</t>
  </si>
  <si>
    <t>Z:\nemtode\general\website_mirrors\nematode.unl.edu_2022_09_21\tyleg24.jpg</t>
  </si>
  <si>
    <t>Z:\nemtode\general\website_mirrors\nematode.unl.edu_2022_09_21\tyleg26.jpg</t>
  </si>
  <si>
    <t>Z:\nemtode\general\website_mirrors\nematode.unl.edu_2022_09_21\tyleg29.jpg</t>
  </si>
  <si>
    <t>Z:\nemtode\general\website_mirrors\nematode.unl.edu_2022_09_21\tyleg22.jpg</t>
  </si>
  <si>
    <t>Z:\nemtode\general\website_mirrors\nematode.unl.edu_2022_09_21\tyleg15.jpg</t>
  </si>
  <si>
    <t>Z:\nemtode\general\website_mirrors\nematode.unl.edu_2022_09_21\tyleg18.jpg</t>
  </si>
  <si>
    <t>Z:\nemtode\general\website_mirrors\nematode.unl.edu_2022_09_21\tyleg28.jpg</t>
  </si>
  <si>
    <t>Z:\nemtode\general\website_mirrors\nematode.unl.edu_2022_09_21\tyleg1.jpg</t>
  </si>
  <si>
    <t>Z:\nemtode\general\website_mirrors\nematode.unl.edu_2022_09_21\tyleg16.jpg</t>
  </si>
  <si>
    <t>Z:\nemtode\general\website_mirrors\nematode.unl.edu_2022_09_21\tyleg8.jpg</t>
  </si>
  <si>
    <t>Z:\nemtode\general\website_mirrors\nematode.unl.edu_2022_09_21\tyleg19.jpg</t>
  </si>
  <si>
    <t>Z:\nemtode\general\website_mirrors\nematode.unl.edu_2022_09_21\tylec2.jpg</t>
  </si>
  <si>
    <t>Z:\nemtode\general\website_mirrors\nematode.unl.edu_2022_09_21\tyleg12.jpg</t>
  </si>
  <si>
    <t>Z:\nemtode\general\website_mirrors\nematode.unl.edu_2022_09_21\tyleg20.jpg</t>
  </si>
  <si>
    <t>Z:\nemtode\general\website_mirrors\nematode.unl.edu_2022_09_21\tyleg23.jpg</t>
  </si>
  <si>
    <t>Z:\nemtode\general\website_mirrors\nematode.unl.edu_2022_09_21\tyleg25.jpg</t>
  </si>
  <si>
    <t>Z:\nemtode\general\website_mirrors\nematode.unl.edu_2022_09_21\tyleg27.jpg</t>
  </si>
  <si>
    <t>Z:\nemtode\general\website_mirrors\nematode.unl.edu_2022_09_21\tyleg4.jpg</t>
  </si>
  <si>
    <t>Z:\nemtode\general\website_mirrors\nematode.unl.edu_2022_09_21\tyleg6.jpg</t>
  </si>
  <si>
    <t>Z:\nemtode\general\website_mirrors\nematode.unl.edu_2022_09_21\tyleg9.jpg</t>
  </si>
  <si>
    <t>Z:\nemtode\general\website_mirrors\nematode.unl.edu_2022_09_21\tyleg10.jpg</t>
  </si>
  <si>
    <t>Z:\nemtode\general\website_mirrors\nematode.unl.edu_2022_09_21\tyleg13.jpg</t>
  </si>
  <si>
    <t>Z:\nemtode\general\website_mirrors\nematode.unl.edu_2022_09_21\tyleg3.jpg</t>
  </si>
  <si>
    <t>Z:\nemtode\general\website_mirrors\nematode.unl.edu_2022_09_21\tylegcmp.jpg</t>
  </si>
  <si>
    <t>Z:\nemtode\general\website_mirrors\nematode.unl.edu_2022_09_21\tylem10.jpg</t>
  </si>
  <si>
    <t>Z:\nemtode\general\website_mirrors\nematode.unl.edu_2022_09_21\tylem12.jpg</t>
  </si>
  <si>
    <t>Z:\nemtode\general\website_mirrors\nematode.unl.edu_2022_09_21\tylem2.jpg</t>
  </si>
  <si>
    <t>Z:\nemtode\general\website_mirrors\nematode.unl.edu_2022_09_21\tylem7.jpg</t>
  </si>
  <si>
    <t>Z:\nemtode\general\website_mirrors\nematode.unl.edu_2022_09_21\tylem11.jpg</t>
  </si>
  <si>
    <t>Z:\nemtode\general\website_mirrors\nematode.unl.edu_2022_09_21\tylem3.jpg</t>
  </si>
  <si>
    <t>Z:\nemtode\general\website_mirrors\nematode.unl.edu_2022_09_21\tylem1.jpg</t>
  </si>
  <si>
    <t>Z:\nemtode\general\website_mirrors\nematode.unl.edu_2022_09_21\tylem6.jpg</t>
  </si>
  <si>
    <t>Z:\nemtode\general\website_mirrors\nematode.unl.edu_2022_09_21\tylem13.jpg</t>
  </si>
  <si>
    <t>Z:\nemtode\general\website_mirrors\nematode.unl.edu_2022_09_21\tylem5.jpg</t>
  </si>
  <si>
    <t>Z:\nemtode\general\website_mirrors\nematode.unl.edu_2022_09_21\tylem9.jpg</t>
  </si>
  <si>
    <t>Z:\nemtode\general\website_mirrors\nematode.unl.edu_2022_09_21\tylem4.jpg</t>
  </si>
  <si>
    <t>Z:\nemtode\general\website_mirrors\nematode.unl.edu_2022_09_21\tylem8.jpg</t>
  </si>
  <si>
    <t>Z:\nemtode\general\website_mirrors\nematode.unl.edu_2022_09_21\tyles1.jpg</t>
  </si>
  <si>
    <t>Z:\nemtode\general\website_mirrors\nematode.unl.edu_2022_09_21\tyles2.jpg</t>
  </si>
  <si>
    <t>Z:\nemtode\general\website_mirrors\nematode.unl.edu_2022_09_21\tyles5.jpg</t>
  </si>
  <si>
    <t>Z:\nemtode\general\website_mirrors\nematode.unl.edu_2022_09_21\tyls2.jpg</t>
  </si>
  <si>
    <t>Z:\nemtode\general\website_mirrors\nematode.unl.edu_2022_09_21\tystri2.jpg</t>
  </si>
  <si>
    <t>Z:\nemtode\general\website_mirrors\nematode.unl.edu_2022_09_21\tystri4.jpg</t>
  </si>
  <si>
    <t>Z:\nemtode\general\website_mirrors\nematode.unl.edu_2022_09_21\tystri7.jpg</t>
  </si>
  <si>
    <t>Z:\nemtode\general\website_mirrors\nematode.unl.edu_2022_09_21\tyles11.jpg</t>
  </si>
  <si>
    <t>Z:\nemtode\general\website_mirrors\nematode.unl.edu_2022_09_21\tyles12.jpg</t>
  </si>
  <si>
    <t>Z:\nemtode\general\website_mirrors\nematode.unl.edu_2022_09_21\tyles15.jpg</t>
  </si>
  <si>
    <t>Z:\nemtode\general\website_mirrors\nematode.unl.edu_2022_09_21\tyles6.jpg</t>
  </si>
  <si>
    <t>Z:\nemtode\general\website_mirrors\nematode.unl.edu_2022_09_21\tyles7.jpg</t>
  </si>
  <si>
    <t>Z:\nemtode\general\website_mirrors\nematode.unl.edu_2022_09_21\tyles8.jpg</t>
  </si>
  <si>
    <t>Z:\nemtode\general\website_mirrors\nematode.unl.edu_2022_09_21\tyles9.jpg</t>
  </si>
  <si>
    <t>Z:\nemtode\general\website_mirrors\nematode.unl.edu_2022_09_21\tyls6.jpg</t>
  </si>
  <si>
    <t>Z:\nemtode\general\website_mirrors\nematode.unl.edu_2022_09_21\tyls9.jpg</t>
  </si>
  <si>
    <t>Z:\nemtode\general\website_mirrors\nematode.unl.edu_2022_09_21\tystri6.jpg</t>
  </si>
  <si>
    <t>Z:\nemtode\general\website_mirrors\nematode.unl.edu_2022_09_21\tyls5.jpg</t>
  </si>
  <si>
    <t>Z:\nemtode\general\website_mirrors\nematode.unl.edu_2022_09_21\tystri1.jpg</t>
  </si>
  <si>
    <t>Z:\nemtode\general\website_mirrors\nematode.unl.edu_2022_09_21\tylescmp.jpg</t>
  </si>
  <si>
    <t>Z:\nemtode\general\website_mirrors\nematode.unl.edu_2022_09_21\tyles10.jpg</t>
  </si>
  <si>
    <t>Z:\nemtode\general\website_mirrors\nematode.unl.edu_2022_09_21\tyles3.jpg</t>
  </si>
  <si>
    <t>Z:\nemtode\general\website_mirrors\nematode.unl.edu_2022_09_21\tyles4.jpg</t>
  </si>
  <si>
    <t>Z:\nemtode\general\website_mirrors\nematode.unl.edu_2022_09_21\tystri3.jpg</t>
  </si>
  <si>
    <t>Z:\nemtode\general\website_mirrors\nematode.unl.edu_2022_09_21\tystri5.jpg</t>
  </si>
  <si>
    <t>Z:\nemtode\general\website_mirrors\nematode.unl.edu_2022_09_21\tyles14.jpg</t>
  </si>
  <si>
    <t>Z:\nemtode\general\website_mirrors\nematode.unl.edu_2022_09_21\tyls1.jpg</t>
  </si>
  <si>
    <t>Z:\nemtode\general\website_mirrors\nematode.unl.edu_2022_09_21\tyls4.jpg</t>
  </si>
  <si>
    <t>Z:\nemtode\general\website_mirrors\nematode.unl.edu_2022_09_21\tyls8.jpg</t>
  </si>
  <si>
    <t>Z:\nemtode\general\website_mirrors\nematode.unl.edu_2022_09_21\tystri8.jpg</t>
  </si>
  <si>
    <t>Z:\nemtode\general\website_mirrors\nematode.unl.edu_2022_09_21\tyles13.jpg</t>
  </si>
  <si>
    <t>Z:\nemtode\general\website_mirrors\nematode.unl.edu_2022_09_21\tyls3.jpg</t>
  </si>
  <si>
    <t>Z:\nemtode\general\website_mirrors\nematode.unl.edu_2022_09_21\tyls7.jpg</t>
  </si>
  <si>
    <t>Z:\nemtode\general\website_mirrors\nematode.unl.edu_2022_09_21\capilo2.jpg</t>
  </si>
  <si>
    <t>Z:\nemtode\general\website_mirrors\nematode.unl.edu_2022_09_21\capilo5.jpg</t>
  </si>
  <si>
    <t>Z:\nemtode\general\website_mirrors\nematode.unl.edu_2022_09_21\capilo1.jpg</t>
  </si>
  <si>
    <t>Z:\nemtode\general\website_mirrors\nematode.unl.edu_2022_09_21\capilo4.jpg</t>
  </si>
  <si>
    <t>Z:\nemtode\general\website_mirrors\nematode.unl.edu_2022_09_21\capilo3.jpg</t>
  </si>
  <si>
    <t>Z:\nemtode\general\website_mirrors\nematode.unl.edu_2022_09_21\tynan2.jpg</t>
  </si>
  <si>
    <t>Z:\nemtode\general\website_mirrors\nematode.unl.edu_2022_09_21\tynan5.jpg</t>
  </si>
  <si>
    <t>Z:\nemtode\general\website_mirrors\nematode.unl.edu_2022_09_21\tynan1.jpg</t>
  </si>
  <si>
    <t>Z:\nemtode\general\website_mirrors\nematode.unl.edu_2022_09_21\tynancmp.jpg</t>
  </si>
  <si>
    <t>Z:\nemtode\general\website_mirrors\nematode.unl.edu_2022_09_21\tynan4.jpg</t>
  </si>
  <si>
    <t>Z:\nemtode\general\website_mirrors\nematode.unl.edu_2022_09_21\tynan7.jpg</t>
  </si>
  <si>
    <t>Z:\nemtode\general\website_mirrors\nematode.unl.edu_2022_09_21\tynan3.jpg</t>
  </si>
  <si>
    <t>Z:\nemtode\general\website_mirrors\nematode.unl.edu_2022_09_21\tynan6.jpg</t>
  </si>
  <si>
    <t>Z:\nemtode\general\website_mirrors\nematode.unl.edu_2022_09_21\alaisp2.jpg</t>
  </si>
  <si>
    <t>Z:\nemtode\general\website_mirrors\nematode.unl.edu_2022_09_21\alaisp5.jpg</t>
  </si>
  <si>
    <t>Z:\nemtode\general\website_mirrors\nematode.unl.edu_2022_09_21\alaisp3.jpg</t>
  </si>
  <si>
    <t>Z:\nemtode\general\website_mirrors\nematode.unl.edu_2022_09_21\alaisp1.jpg</t>
  </si>
  <si>
    <t>Z:\nemtode\general\website_mirrors\nematode.unl.edu_2022_09_21\alaisp6.jpg</t>
  </si>
  <si>
    <t>Z:\nemtode\general\website_mirrors\nematode.unl.edu_2022_09_21\alaisp4.jpg</t>
  </si>
  <si>
    <t>Z:\nemtode\general\website_mirrors\nematode.unl.edu_2022_09_21\alacut2.jpg</t>
  </si>
  <si>
    <t>Z:\nemtode\general\website_mirrors\nematode.unl.edu_2022_09_21\alacut5.jpg</t>
  </si>
  <si>
    <t>Z:\nemtode\general\website_mirrors\nematode.unl.edu_2022_09_21\alacut1.jpg</t>
  </si>
  <si>
    <t>Z:\nemtode\general\website_mirrors\nematode.unl.edu_2022_09_21\alacut4.jpg</t>
  </si>
  <si>
    <t>Z:\nemtode\general\website_mirrors\nematode.unl.edu_2022_09_21\alacut3.jpg</t>
  </si>
  <si>
    <t>Z:\nemtode\general\website_mirrors\nematode.unl.edu_2022_09_21\alar1.jpg</t>
  </si>
  <si>
    <t>Z:\nemtode\general\website_mirrors\nematode.unl.edu_2022_09_21\alar2.jpg</t>
  </si>
  <si>
    <t>Z:\nemtode\general\website_mirrors\nematode.unl.edu_2022_09_21\alimarc2.jpg</t>
  </si>
  <si>
    <t>Z:\nemtode\general\website_mirrors\nematode.unl.edu_2022_09_21\alar3.jpg</t>
  </si>
  <si>
    <t>Z:\nemtode\general\website_mirrors\nematode.unl.edu_2022_09_21\alimarc1.jpg</t>
  </si>
  <si>
    <t>Z:\nemtode\general\website_mirrors\nematode.unl.edu_2022_09_21\alimarc4.jpg</t>
  </si>
  <si>
    <t>Z:\nemtode\general\website_mirrors\nematode.unl.edu_2022_09_21\alimarc3.jpg</t>
  </si>
  <si>
    <t>Z:\nemtode\general\website_mirrors\nematode.unl.edu_2022_09_21\alaimino1.jpg</t>
  </si>
  <si>
    <t>Z:\nemtode\general\website_mirrors\nematode.unl.edu_2022_09_21\alaimino3.jpg</t>
  </si>
  <si>
    <t>Z:\nemtode\general\website_mirrors\nematode.unl.edu_2022_09_21\alaimino4.jpg</t>
  </si>
  <si>
    <t>Z:\nemtode\general\website_mirrors\nematode.unl.edu_2022_09_21\alaimino2.jpg</t>
  </si>
  <si>
    <t>Z:\nemtode\general\website_mirrors\nematode.unl.edu_2022_09_21\alaimu2.jpg</t>
  </si>
  <si>
    <t>Z:\nemtode\general\website_mirrors\nematode.unl.edu_2022_09_21\alaimu5.jpg</t>
  </si>
  <si>
    <t>Z:\nemtode\general\website_mirrors\nematode.unl.edu_2022_09_21\alam1.jpg</t>
  </si>
  <si>
    <t>Z:\nemtode\general\website_mirrors\nematode.unl.edu_2022_09_21\alam4.jpg</t>
  </si>
  <si>
    <t>Z:\nemtode\general\website_mirrors\nematode.unl.edu_2022_09_21\alam2.jpg</t>
  </si>
  <si>
    <t>Z:\nemtode\general\website_mirrors\nematode.unl.edu_2022_09_21\alaimu1.jpg</t>
  </si>
  <si>
    <t>Z:\nemtode\general\website_mirrors\nematode.unl.edu_2022_09_21\alaimu4.jpg</t>
  </si>
  <si>
    <t>Z:\nemtode\general\website_mirrors\nematode.unl.edu_2022_09_21\alam3.jpg</t>
  </si>
  <si>
    <t>Z:\nemtode\general\website_mirrors\nematode.unl.edu_2022_09_21\alaimu7.jpg</t>
  </si>
  <si>
    <t>Z:\nemtode\general\website_mirrors\nematode.unl.edu_2022_09_21\alaimu3.jpg</t>
  </si>
  <si>
    <t>Z:\nemtode\general\website_mirrors\nematode.unl.edu_2022_09_21\alaimu6.jpg</t>
  </si>
  <si>
    <t>Z:\nemtode\general\website_mirrors\nematode.unl.edu_2022_09_21\alamp1.jpg</t>
  </si>
  <si>
    <t>Z:\nemtode\general\website_mirrors\nematode.unl.edu_2022_09_21\alamp12.jpg</t>
  </si>
  <si>
    <t>Z:\nemtode\general\website_mirrors\nematode.unl.edu_2022_09_21\alamp16.jpg</t>
  </si>
  <si>
    <t>Z:\nemtode\general\website_mirrors\nematode.unl.edu_2022_09_21\alamp3.jpg</t>
  </si>
  <si>
    <t>Z:\nemtode\general\website_mirrors\nematode.unl.edu_2022_09_21\alamp6.jpg</t>
  </si>
  <si>
    <t>Z:\nemtode\general\website_mirrors\nematode.unl.edu_2022_09_21\alamp9.jpg</t>
  </si>
  <si>
    <t>Z:\nemtode\general\website_mirrors\nematode.unl.edu_2022_09_21\alamp13.jpg</t>
  </si>
  <si>
    <t>Z:\nemtode\general\website_mirrors\nematode.unl.edu_2022_09_21\alamp15.jpg</t>
  </si>
  <si>
    <t>Z:\nemtode\general\website_mirrors\nematode.unl.edu_2022_09_21\alamp5.jpg</t>
  </si>
  <si>
    <t>Z:\nemtode\general\website_mirrors\nematode.unl.edu_2022_09_21\alamp11.jpg</t>
  </si>
  <si>
    <t>Z:\nemtode\general\website_mirrors\nematode.unl.edu_2022_09_21\alamp2.jpg</t>
  </si>
  <si>
    <t>Z:\nemtode\general\website_mirrors\nematode.unl.edu_2022_09_21\alamp4.jpg</t>
  </si>
  <si>
    <t>Z:\nemtode\general\website_mirrors\nematode.unl.edu_2022_09_21\alamp8.jpg</t>
  </si>
  <si>
    <t>Z:\nemtode\general\website_mirrors\nematode.unl.edu_2022_09_21\alamp10.jpg</t>
  </si>
  <si>
    <t>Z:\nemtode\general\website_mirrors\nematode.unl.edu_2022_09_21\alamp14.jpg</t>
  </si>
  <si>
    <t>Z:\nemtode\general\website_mirrors\nematode.unl.edu_2022_09_21\alamp17.jpg</t>
  </si>
  <si>
    <t>Z:\nemtode\general\website_mirrors\nematode.unl.edu_2022_09_21\alamp7.jpg</t>
  </si>
  <si>
    <t>Z:\nemtode\general\website_mirrors\nematode.unl.edu_2022_09_21\alprimit2.jpg</t>
  </si>
  <si>
    <t>Z:\nemtode\general\website_mirrors\nematode.unl.edu_2022_09_21\alprimit5.jpg</t>
  </si>
  <si>
    <t>Z:\nemtode\general\website_mirrors\nematode.unl.edu_2022_09_21\aprim10.jpg</t>
  </si>
  <si>
    <t>Z:\nemtode\general\website_mirrors\nematode.unl.edu_2022_09_21\aprim13.jpg</t>
  </si>
  <si>
    <t>Z:\nemtode\general\website_mirrors\nematode.unl.edu_2022_09_21\aprim16.jpg</t>
  </si>
  <si>
    <t>Z:\nemtode\general\website_mirrors\nematode.unl.edu_2022_09_21\aprim17.jpg</t>
  </si>
  <si>
    <t>Z:\nemtode\general\website_mirrors\nematode.unl.edu_2022_09_21\aprim18.jpg</t>
  </si>
  <si>
    <t>Z:\nemtode\general\website_mirrors\nematode.unl.edu_2022_09_21\aprim2.jpg</t>
  </si>
  <si>
    <t>Z:\nemtode\general\website_mirrors\nematode.unl.edu_2022_09_21\aprim5.jpg</t>
  </si>
  <si>
    <t>Z:\nemtode\general\website_mirrors\nematode.unl.edu_2022_09_21\aprim7.jpg</t>
  </si>
  <si>
    <t>Z:\nemtode\general\website_mirrors\nematode.unl.edu_2022_09_21\aprim6.jpg</t>
  </si>
  <si>
    <t>Z:\nemtode\general\website_mirrors\nematode.unl.edu_2022_09_21\alprimit1.jpg</t>
  </si>
  <si>
    <t>Z:\nemtode\general\website_mirrors\nematode.unl.edu_2022_09_21\aprim1.jpg</t>
  </si>
  <si>
    <t>Z:\nemtode\general\website_mirrors\nematode.unl.edu_2022_09_21\aprim12.jpg</t>
  </si>
  <si>
    <t>Z:\nemtode\general\website_mirrors\nematode.unl.edu_2022_09_21\aprim14.jpg</t>
  </si>
  <si>
    <t>Z:\nemtode\general\website_mirrors\nematode.unl.edu_2022_09_21\alprimit4.jpg</t>
  </si>
  <si>
    <t>Z:\nemtode\general\website_mirrors\nematode.unl.edu_2022_09_21\aprim15.jpg</t>
  </si>
  <si>
    <t>Z:\nemtode\general\website_mirrors\nematode.unl.edu_2022_09_21\aprim19.jpg</t>
  </si>
  <si>
    <t>Z:\nemtode\general\website_mirrors\nematode.unl.edu_2022_09_21\aprim4.jpg</t>
  </si>
  <si>
    <t>Z:\nemtode\general\website_mirrors\nematode.unl.edu_2022_09_21\aprim9.jpg</t>
  </si>
  <si>
    <t>Z:\nemtode\general\website_mirrors\nematode.unl.edu_2022_09_21\alprimit3.jpg</t>
  </si>
  <si>
    <t>Z:\nemtode\general\website_mirrors\nematode.unl.edu_2022_09_21\aprim3.jpg</t>
  </si>
  <si>
    <t>Z:\nemtode\general\website_mirrors\nematode.unl.edu_2022_09_21\aprim8.jpg</t>
  </si>
  <si>
    <t>Z:\nemtode\general\website_mirrors\nematode.unl.edu_2022_09_21\aprim11.jpg</t>
  </si>
  <si>
    <t>Z:\nemtode\general\website_mirrors\nematode.unl.edu_2022_09_21\amphid18.jpg</t>
  </si>
  <si>
    <t>Z:\nemtode\general\website_mirrors\nematode.unl.edu_2022_09_21\amphid10.jpg</t>
  </si>
  <si>
    <t>Z:\nemtode\general\website_mirrors\nematode.unl.edu_2022_09_21\amphid2.jpg</t>
  </si>
  <si>
    <t>Z:\nemtode\general\website_mirrors\nematode.unl.edu_2022_09_21\amphid5.jpg</t>
  </si>
  <si>
    <t>Z:\nemtode\general\website_mirrors\nematode.unl.edu_2022_09_21\amphid14.jpg</t>
  </si>
  <si>
    <t>Z:\nemtode\general\website_mirrors\nematode.unl.edu_2022_09_21\amphid19.jpg</t>
  </si>
  <si>
    <t>Z:\nemtode\general\website_mirrors\nematode.unl.edu_2022_09_21\amphid20.jpg</t>
  </si>
  <si>
    <t>Z:\nemtode\general\website_mirrors\nematode.unl.edu_2022_09_21\amphid1.jpg</t>
  </si>
  <si>
    <t>Z:\nemtode\general\website_mirrors\nematode.unl.edu_2022_09_21\amphid12.jpg</t>
  </si>
  <si>
    <t>Z:\nemtode\general\website_mirrors\nematode.unl.edu_2022_09_21\amphid13.jpg</t>
  </si>
  <si>
    <t>Z:\nemtode\general\website_mirrors\nematode.unl.edu_2022_09_21\amphid16.jpg</t>
  </si>
  <si>
    <t>Z:\nemtode\general\website_mirrors\nematode.unl.edu_2022_09_21\amphid17.jpg</t>
  </si>
  <si>
    <t>Z:\nemtode\general\website_mirrors\nematode.unl.edu_2022_09_21\amphid21.jpg</t>
  </si>
  <si>
    <t>Z:\nemtode\general\website_mirrors\nematode.unl.edu_2022_09_21\amphid4.jpg</t>
  </si>
  <si>
    <t>Z:\nemtode\general\website_mirrors\nematode.unl.edu_2022_09_21\amphid7.jpg</t>
  </si>
  <si>
    <t>Z:\nemtode\general\website_mirrors\nematode.unl.edu_2022_09_21\amphid8.jpg</t>
  </si>
  <si>
    <t>Z:\nemtode\general\website_mirrors\nematode.unl.edu_2022_09_21\amphid9.jpg</t>
  </si>
  <si>
    <t>Z:\nemtode\general\website_mirrors\nematode.unl.edu_2022_09_21\amphid11.jpg</t>
  </si>
  <si>
    <t>Z:\nemtode\general\website_mirrors\nematode.unl.edu_2022_09_21\amphid15.jpg</t>
  </si>
  <si>
    <t>Z:\nemtode\general\website_mirrors\nematode.unl.edu_2022_09_21\amphid3.jpg</t>
  </si>
  <si>
    <t>Z:\nemtode\general\website_mirrors\nematode.unl.edu_2022_09_21\amphid6.jpg</t>
  </si>
  <si>
    <t>Z:\nemtode\general\website_mirrors\nematode.unl.edu_2022_09_21\amphis7.jpg</t>
  </si>
  <si>
    <t>Z:\nemtode\general\website_mirrors\nematode.unl.edu_2022_09_21\amphis8.jpg</t>
  </si>
  <si>
    <t>Z:\nemtode\general\website_mirrors\nematode.unl.edu_2022_09_21\amphis10.jpg</t>
  </si>
  <si>
    <t>Z:\nemtode\general\website_mirrors\nematode.unl.edu_2022_09_21\amphis11.jpg</t>
  </si>
  <si>
    <t>Z:\nemtode\general\website_mirrors\nematode.unl.edu_2022_09_21\amphis13.jpg</t>
  </si>
  <si>
    <t>Z:\nemtode\general\website_mirrors\nematode.unl.edu_2022_09_21\amphis2.jpg</t>
  </si>
  <si>
    <t>Z:\nemtode\general\website_mirrors\nematode.unl.edu_2022_09_21\amphis5.jpg</t>
  </si>
  <si>
    <t>Z:\nemtode\general\website_mirrors\nematode.unl.edu_2022_09_21\amphis12.jpg</t>
  </si>
  <si>
    <t>Z:\nemtode\general\website_mirrors\nematode.unl.edu_2022_09_21\amphis3.jpg</t>
  </si>
  <si>
    <t>Z:\nemtode\general\website_mirrors\nematode.unl.edu_2022_09_21\amphis1.jpg</t>
  </si>
  <si>
    <t>Z:\nemtode\general\website_mirrors\nematode.unl.edu_2022_09_21\amphis6.jpg</t>
  </si>
  <si>
    <t>Z:\nemtode\general\website_mirrors\nematode.unl.edu_2022_09_21\amphis9.jpg</t>
  </si>
  <si>
    <t>Z:\nemtode\general\website_mirrors\nematode.unl.edu_2022_09_21\amphis4.jpg</t>
  </si>
  <si>
    <t>Z:\nemtode\general\website_mirrors\nematode.unl.edu_2022_09_21\amphido1.jpg</t>
  </si>
  <si>
    <t>Z:\nemtode\general\website_mirrors\nematode.unl.edu_2022_09_21\ahyan3.jpg</t>
  </si>
  <si>
    <t>Z:\nemtode\general\website_mirrors\nematode.unl.edu_2022_09_21\ahyan4.jpg</t>
  </si>
  <si>
    <t>Z:\nemtode\general\website_mirrors\nematode.unl.edu_2022_09_21\ahyan1.jpg</t>
  </si>
  <si>
    <t>Z:\nemtode\general\website_mirrors\nematode.unl.edu_2022_09_21\ahyan2.jpg</t>
  </si>
  <si>
    <t>Z:\nemtode\general\website_mirrors\nematode.unl.edu_2022_09_21\ampus5.jpg</t>
  </si>
  <si>
    <t>Z:\nemtode\general\website_mirrors\nematode.unl.edu_2022_09_21\ampus2.jpg</t>
  </si>
  <si>
    <t>Z:\nemtode\general\website_mirrors\nematode.unl.edu_2022_09_21\ampus6.jpg</t>
  </si>
  <si>
    <t>Z:\nemtode\general\website_mirrors\nematode.unl.edu_2022_09_21\ampus1.jpg</t>
  </si>
  <si>
    <t>Z:\nemtode\general\website_mirrors\nematode.unl.edu_2022_09_21\ampus4.jpg</t>
  </si>
  <si>
    <t>Z:\nemtode\general\website_mirrors\nematode.unl.edu_2022_09_21\ampus3.jpg</t>
  </si>
  <si>
    <t>Z:\nemtode\general\website_mirrors\nematode.unl.edu_2022_09_21\camde6.jpg</t>
  </si>
  <si>
    <t>Z:\nemtode\general\website_mirrors\nematode.unl.edu_2022_09_21\campde2.jpg</t>
  </si>
  <si>
    <t>Z:\nemtode\general\website_mirrors\nematode.unl.edu_2022_09_21\campde9.jpg</t>
  </si>
  <si>
    <t>Z:\nemtode\general\website_mirrors\nematode.unl.edu_2022_09_21\camde1.jpg</t>
  </si>
  <si>
    <t>Z:\nemtode\general\website_mirrors\nematode.unl.edu_2022_09_21\camde13.jpg</t>
  </si>
  <si>
    <t>Z:\nemtode\general\website_mirrors\nematode.unl.edu_2022_09_21\camde3.jpg</t>
  </si>
  <si>
    <t>Z:\nemtode\general\website_mirrors\nematode.unl.edu_2022_09_21\campde10.jpg</t>
  </si>
  <si>
    <t>Z:\nemtode\general\website_mirrors\nematode.unl.edu_2022_09_21\campde4.jpg</t>
  </si>
  <si>
    <t>Z:\nemtode\general\website_mirrors\nematode.unl.edu_2022_09_21\campde5.jpg</t>
  </si>
  <si>
    <t>Z:\nemtode\general\website_mirrors\nematode.unl.edu_2022_09_21\camde9.jpg</t>
  </si>
  <si>
    <t>Z:\nemtode\general\website_mirrors\nematode.unl.edu_2022_09_21\camde14.jpg</t>
  </si>
  <si>
    <t>Z:\nemtode\general\website_mirrors\nematode.unl.edu_2022_09_21\camde12.jpg</t>
  </si>
  <si>
    <t>Z:\nemtode\general\website_mirrors\nematode.unl.edu_2022_09_21\camde10.jpg</t>
  </si>
  <si>
    <t>Z:\nemtode\general\website_mirrors\nematode.unl.edu_2022_09_21\campde11.jpg</t>
  </si>
  <si>
    <t>Z:\nemtode\general\website_mirrors\nematode.unl.edu_2022_09_21\campde3.jpg</t>
  </si>
  <si>
    <t>Z:\nemtode\general\website_mirrors\nematode.unl.edu_2022_09_21\camde2.jpg</t>
  </si>
  <si>
    <t>Z:\nemtode\general\website_mirrors\nematode.unl.edu_2022_09_21\camde5.jpg</t>
  </si>
  <si>
    <t>Z:\nemtode\general\website_mirrors\nematode.unl.edu_2022_09_21\camdecmp.jpg</t>
  </si>
  <si>
    <t>Z:\nemtode\general\website_mirrors\nematode.unl.edu_2022_09_21\camde4.jpg</t>
  </si>
  <si>
    <t>Z:\nemtode\general\website_mirrors\nematode.unl.edu_2022_09_21\camde8.jpg</t>
  </si>
  <si>
    <t>Z:\nemtode\general\website_mirrors\nematode.unl.edu_2022_09_21\campde1.jpg</t>
  </si>
  <si>
    <t>Z:\nemtode\general\website_mirrors\nematode.unl.edu_2022_09_21\campde6.jpg</t>
  </si>
  <si>
    <t>Z:\nemtode\general\website_mirrors\nematode.unl.edu_2022_09_21\campde7.jpg</t>
  </si>
  <si>
    <t>Z:\nemtode\general\website_mirrors\nematode.unl.edu_2022_09_21\camde11.jpg</t>
  </si>
  <si>
    <t>Z:\nemtode\general\website_mirrors\nematode.unl.edu_2022_09_21\camde7.jpg</t>
  </si>
  <si>
    <t>Z:\nemtode\general\website_mirrors\nematode.unl.edu_2022_09_21\campde12.jpg</t>
  </si>
  <si>
    <t>Z:\nemtode\general\website_mirrors\nematode.unl.edu_2022_09_21\campde8.jpg</t>
  </si>
  <si>
    <t>Z:\nemtode\general\website_mirrors\nematode.unl.edu_2022_09_21\irons2.jpg</t>
  </si>
  <si>
    <t>Z:\nemtode\general\website_mirrors\nematode.unl.edu_2022_09_21\irons6.jpg</t>
  </si>
  <si>
    <t>Z:\nemtode\general\website_mirrors\nematode.unl.edu_2022_09_21\irons1.jpg</t>
  </si>
  <si>
    <t>Z:\nemtode\general\website_mirrors\nematode.unl.edu_2022_09_21\irons5.jpg</t>
  </si>
  <si>
    <t>Z:\nemtode\general\website_mirrors\nematode.unl.edu_2022_09_21\ironus1.jpg</t>
  </si>
  <si>
    <t>Z:\nemtode\general\website_mirrors\nematode.unl.edu_2022_09_21\ironus3.jpg</t>
  </si>
  <si>
    <t>Z:\nemtode\general\website_mirrors\nematode.unl.edu_2022_09_21\ironus4.jpg</t>
  </si>
  <si>
    <t>Z:\nemtode\general\website_mirrors\nematode.unl.edu_2022_09_21\ironus2.jpg</t>
  </si>
  <si>
    <t>Z:\nemtode\general\website_mirrors\nematode.unl.edu_2022_09_21\irons4.jpg</t>
  </si>
  <si>
    <t>Z:\nemtode\general\website_mirrors\nematode.unl.edu_2022_09_21\ironus6.jpg</t>
  </si>
  <si>
    <t>Z:\nemtode\general\website_mirrors\nematode.unl.edu_2022_09_21\irons3.jpg</t>
  </si>
  <si>
    <t>Z:\nemtode\general\website_mirrors\nematode.unl.edu_2022_09_21\irons7.jpg</t>
  </si>
  <si>
    <t>Z:\nemtode\general\website_mirrors\nematode.unl.edu_2022_09_21\ironus5.jpg</t>
  </si>
  <si>
    <t>Z:\nemtode\general\website_mirrors\nematode.unl.edu_2022_09_21\rhabter.jpg</t>
  </si>
  <si>
    <t>Z:\nemtode\general\website_mirrors\nematode.unl.edu_2022_09_21\isola13.jpg</t>
  </si>
  <si>
    <t>Z:\nemtode\general\website_mirrors\nematode.unl.edu_2022_09_21\isola2.jpg</t>
  </si>
  <si>
    <t>Z:\nemtode\general\website_mirrors\nematode.unl.edu_2022_09_21\isolami6.jpg</t>
  </si>
  <si>
    <t>Z:\nemtode\general\website_mirrors\nematode.unl.edu_2022_09_21\isola11.jpg</t>
  </si>
  <si>
    <t>Z:\nemtode\general\website_mirrors\nematode.unl.edu_2022_09_21\isola4.jpg</t>
  </si>
  <si>
    <t>Z:\nemtode\general\website_mirrors\nematode.unl.edu_2022_09_21\isolami2.jpg</t>
  </si>
  <si>
    <t>Z:\nemtode\general\website_mirrors\nematode.unl.edu_2022_09_21\isolami5.jpg</t>
  </si>
  <si>
    <t>Z:\nemtode\general\website_mirrors\nematode.unl.edu_2022_09_21\isolami8.jpg</t>
  </si>
  <si>
    <t>Z:\nemtode\general\website_mirrors\nematode.unl.edu_2022_09_21\isola9.jpg</t>
  </si>
  <si>
    <t>Z:\nemtode\general\website_mirrors\nematode.unl.edu_2022_09_21\isola7.jpg</t>
  </si>
  <si>
    <t>Z:\nemtode\general\website_mirrors\nematode.unl.edu_2022_09_21\isolami3.jpg</t>
  </si>
  <si>
    <t>Z:\nemtode\general\website_mirrors\nematode.unl.edu_2022_09_21\isola1.jpg</t>
  </si>
  <si>
    <t>Z:\nemtode\general\website_mirrors\nematode.unl.edu_2022_09_21\isolami1.jpg</t>
  </si>
  <si>
    <t>Z:\nemtode\general\website_mirrors\nematode.unl.edu_2022_09_21\isolami4.jpg</t>
  </si>
  <si>
    <t>Z:\nemtode\general\website_mirrors\nematode.unl.edu_2022_09_21\isola10.jpg</t>
  </si>
  <si>
    <t>Z:\nemtode\general\website_mirrors\nematode.unl.edu_2022_09_21\isola6.jpg</t>
  </si>
  <si>
    <t>Z:\nemtode\general\website_mirrors\nematode.unl.edu_2022_09_21\isola8.jpg</t>
  </si>
  <si>
    <t>Z:\nemtode\general\website_mirrors\nematode.unl.edu_2022_09_21\isola12.jpg</t>
  </si>
  <si>
    <t>Z:\nemtode\general\website_mirrors\nematode.unl.edu_2022_09_21\isola3.jpg</t>
  </si>
  <si>
    <t>Z:\nemtode\general\website_mirrors\nematode.unl.edu_2022_09_21\isola5.jpg</t>
  </si>
  <si>
    <t>Z:\nemtode\general\website_mirrors\nematode.unl.edu_2022_09_21\isolami10.jpg</t>
  </si>
  <si>
    <t>Z:\nemtode\general\website_mirrors\nematode.unl.edu_2022_09_21\isolami7.jpg</t>
  </si>
  <si>
    <t>Z:\nemtode\general\website_mirrors\nematode.unl.edu_2022_09_21\isolami9.jpg</t>
  </si>
  <si>
    <t>Z:\nemtode\general\website_mirrors\nematode.unl.edu_2022_09_21\mermiss2.jpg</t>
  </si>
  <si>
    <t>Z:\nemtode\general\website_mirrors\nematode.unl.edu_2022_09_21\mermiss1.jpg</t>
  </si>
  <si>
    <t>Z:\nemtode\general\website_mirrors\nematode.unl.edu_2022_09_21\mermiss3.jpg</t>
  </si>
  <si>
    <t>Z:\nemtode\general\website_mirrors\nematode.unl.edu_2022_09_21\mermini1.jpg</t>
  </si>
  <si>
    <t>Z:\nemtode\general\website_mirrors\nematode.unl.edu_2022_09_21\merminicmp.jpg</t>
  </si>
  <si>
    <t>Z:\nemtode\general\website_mirrors\nematode.unl.edu_2022_09_21\merminigdrw.jpg</t>
  </si>
  <si>
    <t>Z:\nemtode\general\website_mirrors\nematode.unl.edu_2022_09_21\mica11.jpg</t>
  </si>
  <si>
    <t>Z:\nemtode\general\website_mirrors\nematode.unl.edu_2022_09_21\micali2.jpg</t>
  </si>
  <si>
    <t>Z:\nemtode\general\website_mirrors\nematode.unl.edu_2022_09_21\mica9.jpg</t>
  </si>
  <si>
    <t>Z:\nemtode\general\website_mirrors\nematode.unl.edu_2022_09_21\mica14.jpg</t>
  </si>
  <si>
    <t>Z:\nemtode\general\website_mirrors\nematode.unl.edu_2022_09_21\mica2.jpg</t>
  </si>
  <si>
    <t>Z:\nemtode\general\website_mirrors\nematode.unl.edu_2022_09_21\mica4.jpg</t>
  </si>
  <si>
    <t>Z:\nemtode\general\website_mirrors\nematode.unl.edu_2022_09_21\mica7.jpg</t>
  </si>
  <si>
    <t>Z:\nemtode\general\website_mirrors\nematode.unl.edu_2022_09_21\mica8.jpg</t>
  </si>
  <si>
    <t>Z:\nemtode\general\website_mirrors\nematode.unl.edu_2022_09_21\micacmp.jpg</t>
  </si>
  <si>
    <t>Z:\nemtode\general\website_mirrors\nematode.unl.edu_2022_09_21\mica1.jpg</t>
  </si>
  <si>
    <t>Z:\nemtode\general\website_mirrors\nematode.unl.edu_2022_09_21\mica5.jpg</t>
  </si>
  <si>
    <t>Z:\nemtode\general\website_mirrors\nematode.unl.edu_2022_09_21\micali1.jpg</t>
  </si>
  <si>
    <t>Z:\nemtode\general\website_mirrors\nematode.unl.edu_2022_09_21\mica13.jpg</t>
  </si>
  <si>
    <t>Z:\nemtode\general\website_mirrors\nematode.unl.edu_2022_09_21\mica12.jpg</t>
  </si>
  <si>
    <t>Z:\nemtode\general\website_mirrors\nematode.unl.edu_2022_09_21\mica10.jpg</t>
  </si>
  <si>
    <t>Z:\nemtode\general\website_mirrors\nematode.unl.edu_2022_09_21\mica6.jpg</t>
  </si>
  <si>
    <t>Z:\nemtode\general\website_mirrors\nematode.unl.edu_2022_09_21\micali3.jpg</t>
  </si>
  <si>
    <t>Z:\nemtode\general\website_mirrors\nematode.unl.edu_2022_09_21\mica3.jpg</t>
  </si>
  <si>
    <t>Z:\nemtode\general\website_mirrors\nematode.unl.edu_2022_09_21\micof23.jpg</t>
  </si>
  <si>
    <t>Z:\nemtode\general\website_mirrors\nematode.unl.edu_2022_09_21\micof44.jpg</t>
  </si>
  <si>
    <t>Z:\nemtode\general\website_mirrors\nematode.unl.edu_2022_09_21\micof47.jpg</t>
  </si>
  <si>
    <t>Z:\nemtode\general\website_mirrors\nematode.unl.edu_2022_09_21\micof11.jpg</t>
  </si>
  <si>
    <t>Z:\nemtode\general\website_mirrors\nematode.unl.edu_2022_09_21\micof15.jpg</t>
  </si>
  <si>
    <t>Z:\nemtode\general\website_mirrors\nematode.unl.edu_2022_09_21\micof18.jpg</t>
  </si>
  <si>
    <t>Z:\nemtode\general\website_mirrors\nematode.unl.edu_2022_09_21\micof19.jpg</t>
  </si>
  <si>
    <t>Z:\nemtode\general\website_mirrors\nematode.unl.edu_2022_09_21\micof29.jpg</t>
  </si>
  <si>
    <t>Z:\nemtode\general\website_mirrors\nematode.unl.edu_2022_09_21\micof3.jpg</t>
  </si>
  <si>
    <t>Z:\nemtode\general\website_mirrors\nematode.unl.edu_2022_09_21\micof31.jpg</t>
  </si>
  <si>
    <t>Z:\nemtode\general\website_mirrors\nematode.unl.edu_2022_09_21\micof34.jpg</t>
  </si>
  <si>
    <t>Z:\nemtode\general\website_mirrors\nematode.unl.edu_2022_09_21\micof37.jpg</t>
  </si>
  <si>
    <t>Z:\nemtode\general\website_mirrors\nematode.unl.edu_2022_09_21\micof38.jpg</t>
  </si>
  <si>
    <t>Z:\nemtode\general\website_mirrors\nematode.unl.edu_2022_09_21\micof40.jpg</t>
  </si>
  <si>
    <t>Z:\nemtode\general\website_mirrors\nematode.unl.edu_2022_09_21\micof46.jpg</t>
  </si>
  <si>
    <t>Z:\nemtode\general\website_mirrors\nematode.unl.edu_2022_09_21\micof6.jpg</t>
  </si>
  <si>
    <t>Z:\nemtode\general\website_mirrors\nematode.unl.edu_2022_09_21\micof26.jpg</t>
  </si>
  <si>
    <t>Z:\nemtode\general\website_mirrors\nematode.unl.edu_2022_09_21\micof7.jpg</t>
  </si>
  <si>
    <t>Z:\nemtode\general\website_mirrors\nematode.unl.edu_2022_09_21\micof43.jpg</t>
  </si>
  <si>
    <t>Z:\nemtode\general\website_mirrors\nematode.unl.edu_2022_09_21\micof16.jpg</t>
  </si>
  <si>
    <t>Z:\nemtode\general\website_mirrors\nematode.unl.edu_2022_09_21\micof10.jpg</t>
  </si>
  <si>
    <t>Z:\nemtode\general\website_mirrors\nematode.unl.edu_2022_09_21\micof45.jpg</t>
  </si>
  <si>
    <t>Z:\nemtode\general\website_mirrors\nematode.unl.edu_2022_09_21\micof14.jpg</t>
  </si>
  <si>
    <t>Z:\nemtode\general\website_mirrors\nematode.unl.edu_2022_09_21\micof30.jpg</t>
  </si>
  <si>
    <t>Z:\nemtode\general\website_mirrors\nematode.unl.edu_2022_09_21\micof33.jpg</t>
  </si>
  <si>
    <t>Z:\nemtode\general\website_mirrors\nematode.unl.edu_2022_09_21\micof35.jpg</t>
  </si>
  <si>
    <t>Z:\nemtode\general\website_mirrors\nematode.unl.edu_2022_09_21\micof48.jpg</t>
  </si>
  <si>
    <t>Z:\nemtode\general\website_mirrors\nematode.unl.edu_2022_09_21\micof1.jpg</t>
  </si>
  <si>
    <t>Z:\nemtode\general\website_mirrors\nematode.unl.edu_2022_09_21\micof17.jpg</t>
  </si>
  <si>
    <t>Z:\nemtode\general\website_mirrors\nematode.unl.edu_2022_09_21\micof20.jpg</t>
  </si>
  <si>
    <t>Z:\nemtode\general\website_mirrors\nematode.unl.edu_2022_09_21\micof21.jpg</t>
  </si>
  <si>
    <t>Z:\nemtode\general\website_mirrors\nematode.unl.edu_2022_09_21\micof25.jpg</t>
  </si>
  <si>
    <t>Z:\nemtode\general\website_mirrors\nematode.unl.edu_2022_09_21\micof28.jpg</t>
  </si>
  <si>
    <t>Z:\nemtode\general\website_mirrors\nematode.unl.edu_2022_09_21\micof36.jpg</t>
  </si>
  <si>
    <t>Z:\nemtode\general\website_mirrors\nematode.unl.edu_2022_09_21\micof39.jpg</t>
  </si>
  <si>
    <t>Z:\nemtode\general\website_mirrors\nematode.unl.edu_2022_09_21\micof42.jpg</t>
  </si>
  <si>
    <t>Z:\nemtode\general\website_mirrors\nematode.unl.edu_2022_09_21\micof22.jpg</t>
  </si>
  <si>
    <t>Z:\nemtode\general\website_mirrors\nematode.unl.edu_2022_09_21\micof12.jpg</t>
  </si>
  <si>
    <t>Z:\nemtode\general\website_mirrors\nematode.unl.edu_2022_09_21\micof2.jpg</t>
  </si>
  <si>
    <t>Z:\nemtode\general\website_mirrors\nematode.unl.edu_2022_09_21\micof24.jpg</t>
  </si>
  <si>
    <t>Z:\nemtode\general\website_mirrors\nematode.unl.edu_2022_09_21\micof27.jpg</t>
  </si>
  <si>
    <t>Z:\nemtode\general\website_mirrors\nematode.unl.edu_2022_09_21\micof4.jpg</t>
  </si>
  <si>
    <t>Z:\nemtode\general\website_mirrors\nematode.unl.edu_2022_09_21\micof41.jpg</t>
  </si>
  <si>
    <t>Z:\nemtode\general\website_mirrors\nematode.unl.edu_2022_09_21\micof5.jpg</t>
  </si>
  <si>
    <t>Z:\nemtode\general\website_mirrors\nematode.unl.edu_2022_09_21\micof8.jpg</t>
  </si>
  <si>
    <t>Z:\nemtode\general\website_mirrors\nematode.unl.edu_2022_09_21\micof13.jpg</t>
  </si>
  <si>
    <t>Z:\nemtode\general\website_mirrors\nematode.unl.edu_2022_09_21\micof9.jpg</t>
  </si>
  <si>
    <t>Z:\nemtode\general\website_mirrors\nematode.unl.edu_2022_09_21\bathyoc10.jpg</t>
  </si>
  <si>
    <t>Z:\nemtode\general\website_mirrors\nematode.unl.edu_2022_09_21\bathyoc8.jpg</t>
  </si>
  <si>
    <t>Z:\nemtode\general\website_mirrors\nematode.unl.edu_2022_09_21\bathyoc2.jpg</t>
  </si>
  <si>
    <t>Z:\nemtode\general\website_mirrors\nematode.unl.edu_2022_09_21\bathyoc6.jpg</t>
  </si>
  <si>
    <t>Z:\nemtode\general\website_mirrors\nematode.unl.edu_2022_09_21\bathyoc9.jpg</t>
  </si>
  <si>
    <t>Z:\nemtode\general\website_mirrors\nematode.unl.edu_2022_09_21\bathyoc7.jpg</t>
  </si>
  <si>
    <t>Z:\nemtode\general\website_mirrors\nematode.unl.edu_2022_09_21\bathyoc1.jpg</t>
  </si>
  <si>
    <t>Z:\nemtode\general\website_mirrors\nematode.unl.edu_2022_09_21\bathyoc11.jpg</t>
  </si>
  <si>
    <t>Z:\nemtode\general\website_mirrors\nematode.unl.edu_2022_09_21\bathyoc13.jpg</t>
  </si>
  <si>
    <t>Z:\nemtode\general\website_mirrors\nematode.unl.edu_2022_09_21\bathyoc4.jpg</t>
  </si>
  <si>
    <t>Z:\nemtode\general\website_mirrors\nematode.unl.edu_2022_09_21\bathyoc12.jpg</t>
  </si>
  <si>
    <t>Z:\nemtode\general\website_mirrors\nematode.unl.edu_2022_09_21\bathyoc3.jpg</t>
  </si>
  <si>
    <t>Z:\nemtode\general\website_mirrors\nematode.unl.edu_2022_09_21\bathyoc5.jpg</t>
  </si>
  <si>
    <t>Z:\nemtode\general\website_mirrors\nematode.unl.edu_2022_09_21\iotogsm3.jpg</t>
  </si>
  <si>
    <t>Z:\nemtode\general\website_mirrors\nematode.unl.edu_2022_09_21\iotogsm2.jpg</t>
  </si>
  <si>
    <t>Z:\nemtode\general\website_mirrors\nematode.unl.edu_2022_09_21\ioton2.jpg</t>
  </si>
  <si>
    <t>Z:\nemtode\general\website_mirrors\nematode.unl.edu_2022_09_21\iotogsm1.jpg</t>
  </si>
  <si>
    <t>Z:\nemtode\general\website_mirrors\nematode.unl.edu_2022_09_21\iotogsm4.jpg</t>
  </si>
  <si>
    <t>Z:\nemtode\general\website_mirrors\nematode.unl.edu_2022_09_21\iotogsm6.jpg</t>
  </si>
  <si>
    <t>Z:\nemtode\general\website_mirrors\nematode.unl.edu_2022_09_21\iotogsm5.jpg</t>
  </si>
  <si>
    <t>Z:\nemtode\general\website_mirrors\nematode.unl.edu_2022_09_21\clap4.jpg</t>
  </si>
  <si>
    <t>Z:\nemtode\general\website_mirrors\nematode.unl.edu_2022_09_21\clap10.jpg</t>
  </si>
  <si>
    <t>Z:\nemtode\general\website_mirrors\nematode.unl.edu_2022_09_21\clap2.jpg</t>
  </si>
  <si>
    <t>Z:\nemtode\general\website_mirrors\nematode.unl.edu_2022_09_21\clap6.jpg</t>
  </si>
  <si>
    <t>Z:\nemtode\general\website_mirrors\nematode.unl.edu_2022_09_21\clap8.jpg</t>
  </si>
  <si>
    <t>Z:\nemtode\general\website_mirrors\nematode.unl.edu_2022_09_21\clap3.jpg</t>
  </si>
  <si>
    <t>Z:\nemtode\general\website_mirrors\nematode.unl.edu_2022_09_21\clap1.jpg</t>
  </si>
  <si>
    <t>Z:\nemtode\general\website_mirrors\nematode.unl.edu_2022_09_21\clap9.jpg</t>
  </si>
  <si>
    <t>Z:\nemtode\general\website_mirrors\nematode.unl.edu_2022_09_21\clap12.jpg</t>
  </si>
  <si>
    <t>Z:\nemtode\general\website_mirrors\nematode.unl.edu_2022_09_21\clap7.jpg</t>
  </si>
  <si>
    <t>Z:\nemtode\general\website_mirrors\nematode.unl.edu_2022_09_21\clap11.jpg</t>
  </si>
  <si>
    <t>Z:\nemtode\general\website_mirrors\nematode.unl.edu_2022_09_21\clap5.jpg</t>
  </si>
  <si>
    <t>Z:\nemtode\general\website_mirrors\nematode.unl.edu_2022_09_21\cobbo1.jpg</t>
  </si>
  <si>
    <t>Z:\nemtode\general\website_mirrors\nematode.unl.edu_2022_09_21\cobbo4.jpg</t>
  </si>
  <si>
    <t>Z:\nemtode\general\website_mirrors\nematode.unl.edu_2022_09_21\cobbo2.jpg</t>
  </si>
  <si>
    <t>Z:\nemtode\general\website_mirrors\nematode.unl.edu_2022_09_21\cobbo3.jpg</t>
  </si>
  <si>
    <t>Z:\nemtode\general\website_mirrors\nematode.unl.edu_2022_09_21\mono11.jpg</t>
  </si>
  <si>
    <t>Z:\nemtode\general\website_mirrors\nematode.unl.edu_2022_09_21\mono15.jpg</t>
  </si>
  <si>
    <t>Z:\nemtode\general\website_mirrors\nematode.unl.edu_2022_09_21\mono16.jpg</t>
  </si>
  <si>
    <t>Z:\nemtode\general\website_mirrors\nematode.unl.edu_2022_09_21\mono17.jpg</t>
  </si>
  <si>
    <t>Z:\nemtode\general\website_mirrors\nematode.unl.edu_2022_09_21\mono18.jpg</t>
  </si>
  <si>
    <t>Z:\nemtode\general\website_mirrors\nematode.unl.edu_2022_09_21\mono5.jpg</t>
  </si>
  <si>
    <t>Z:\nemtode\general\website_mirrors\nematode.unl.edu_2022_09_21\mono7.jpg</t>
  </si>
  <si>
    <t>Z:\nemtode\general\website_mirrors\nematode.unl.edu_2022_09_21\monogs2.jpg</t>
  </si>
  <si>
    <t>Z:\nemtode\general\website_mirrors\nematode.unl.edu_2022_09_21\monon1.jpg</t>
  </si>
  <si>
    <t>Z:\nemtode\general\website_mirrors\nematode.unl.edu_2022_09_21\monon2.jpg</t>
  </si>
  <si>
    <t>Z:\nemtode\general\website_mirrors\nematode.unl.edu_2022_09_21\mono19.jpg</t>
  </si>
  <si>
    <t>Z:\nemtode\general\website_mirrors\nematode.unl.edu_2022_09_21\monogs1.jpg</t>
  </si>
  <si>
    <t>Z:\nemtode\general\website_mirrors\nematode.unl.edu_2022_09_21\mono14.jpg</t>
  </si>
  <si>
    <t>Z:\nemtode\general\website_mirrors\nematode.unl.edu_2022_09_21\monogs3.jpg</t>
  </si>
  <si>
    <t>Z:\nemtode\general\website_mirrors\nematode.unl.edu_2022_09_21\mono10.jpg</t>
  </si>
  <si>
    <t>Z:\nemtode\general\website_mirrors\nematode.unl.edu_2022_09_21\mono21.jpg</t>
  </si>
  <si>
    <t>Z:\nemtode\general\website_mirrors\nematode.unl.edu_2022_09_21\mono6.jpg</t>
  </si>
  <si>
    <t>Z:\nemtode\general\website_mirrors\nematode.unl.edu_2022_09_21\monogs4.jpg</t>
  </si>
  <si>
    <t>Z:\nemtode\general\website_mirrors\nematode.unl.edu_2022_09_21\mono20.jpg</t>
  </si>
  <si>
    <t>Z:\nemtode\general\website_mirrors\nematode.unl.edu_2022_09_21\priongs2.jpg</t>
  </si>
  <si>
    <t>Z:\nemtode\general\website_mirrors\nematode.unl.edu_2022_09_21\priongs1.jpg</t>
  </si>
  <si>
    <t>Z:\nemtode\general\website_mirrors\nematode.unl.edu_2022_09_21\priongs4.jpg</t>
  </si>
  <si>
    <t>Z:\nemtode\general\website_mirrors\nematode.unl.edu_2022_09_21\priongs5.jpg</t>
  </si>
  <si>
    <t>Z:\nemtode\general\website_mirrors\nematode.unl.edu_2022_09_21\priongs3.jpg</t>
  </si>
  <si>
    <t>Z:\nemtode\general\website_mirrors\nematode.unl.edu_2022_09_21\priol.jpg</t>
  </si>
  <si>
    <t>Z:\nemtode\general\website_mirrors\nematode.unl.edu_2022_09_21\primu3.jpg</t>
  </si>
  <si>
    <t>Z:\nemtode\general\website_mirrors\nematode.unl.edu_2022_09_21\primu1.jpg</t>
  </si>
  <si>
    <t>Z:\nemtode\general\website_mirrors\nematode.unl.edu_2022_09_21\primu5.jpg</t>
  </si>
  <si>
    <t>Z:\nemtode\general\website_mirrors\nematode.unl.edu_2022_09_21\primu4.jpg</t>
  </si>
  <si>
    <t>Z:\nemtode\general\website_mirrors\nematode.unl.edu_2022_09_21\primu2.jpg</t>
  </si>
  <si>
    <t>Z:\nemtode\general\website_mirrors\nematode.unl.edu_2022_09_21\primucmp.jpg</t>
  </si>
  <si>
    <t>Z:\nemtode\general\website_mirrors\nematode.unl.edu_2022_09_21\pripunc2.jpg</t>
  </si>
  <si>
    <t>Z:\nemtode\general\website_mirrors\nematode.unl.edu_2022_09_21\priotatus2.jpg</t>
  </si>
  <si>
    <t>Z:\nemtode\general\website_mirrors\nematode.unl.edu_2022_09_21\priotatus5.jpg</t>
  </si>
  <si>
    <t>Z:\nemtode\general\website_mirrors\nematode.unl.edu_2022_09_21\pripunc1.jpg</t>
  </si>
  <si>
    <t>Z:\nemtode\general\website_mirrors\nematode.unl.edu_2022_09_21\pripunc4.jpg</t>
  </si>
  <si>
    <t>Z:\nemtode\general\website_mirrors\nematode.unl.edu_2022_09_21\pripunc5.jpg</t>
  </si>
  <si>
    <t>Z:\nemtode\general\website_mirrors\nematode.unl.edu_2022_09_21\priotatus3.jpg</t>
  </si>
  <si>
    <t>Z:\nemtode\general\website_mirrors\nematode.unl.edu_2022_09_21\priotatus1.jpg</t>
  </si>
  <si>
    <t>Z:\nemtode\general\website_mirrors\nematode.unl.edu_2022_09_21\priopunc1.jpg</t>
  </si>
  <si>
    <t>Z:\nemtode\general\website_mirrors\nematode.unl.edu_2022_09_21\priotatus4.jpg</t>
  </si>
  <si>
    <t>Z:\nemtode\general\website_mirrors\nematode.unl.edu_2022_09_21\pripunc3.jpg</t>
  </si>
  <si>
    <t>Z:\nemtode\general\website_mirrors\nematode.unl.edu_2022_09_21\sporonus1.jpg</t>
  </si>
  <si>
    <t>Z:\nemtode\general\website_mirrors\nematode.unl.edu_2022_09_21\sporon2.jpg</t>
  </si>
  <si>
    <t>Z:\nemtode\general\website_mirrors\nematode.unl.edu_2022_09_21\sporon5.jpg</t>
  </si>
  <si>
    <t>Z:\nemtode\general\website_mirrors\nematode.unl.edu_2022_09_21\sporonus3.jpg</t>
  </si>
  <si>
    <t>Z:\nemtode\general\website_mirrors\nematode.unl.edu_2022_09_21\sporon6.jpg</t>
  </si>
  <si>
    <t>Z:\nemtode\general\website_mirrors\nematode.unl.edu_2022_09_21\sporonus4.jpg</t>
  </si>
  <si>
    <t>Z:\nemtode\general\website_mirrors\nematode.unl.edu_2022_09_21\sporon1.jpg</t>
  </si>
  <si>
    <t>Z:\nemtode\general\website_mirrors\nematode.unl.edu_2022_09_21\sporonus5.jpg</t>
  </si>
  <si>
    <t>Z:\nemtode\general\website_mirrors\nematode.unl.edu_2022_09_21\sporonus2.jpg</t>
  </si>
  <si>
    <t>Z:\nemtode\general\website_mirrors\nematode.unl.edu_2022_09_21\sporon4.jpg</t>
  </si>
  <si>
    <t>Z:\nemtode\general\website_mirrors\nematode.unl.edu_2022_09_21\sporon3.jpg</t>
  </si>
  <si>
    <t>Z:\nemtode\general\website_mirrors\nematode.unl.edu_2022_09_21\mylonmo3.jpg</t>
  </si>
  <si>
    <t>Z:\nemtode\general\website_mirrors\nematode.unl.edu_2022_09_21\mymonta3.jpg</t>
  </si>
  <si>
    <t>Z:\nemtode\general\website_mirrors\nematode.unl.edu_2022_09_21\mylonmo11.jpg</t>
  </si>
  <si>
    <t>Z:\nemtode\general\website_mirrors\nematode.unl.edu_2022_09_21\mylonmo2.jpg</t>
  </si>
  <si>
    <t>Z:\nemtode\general\website_mirrors\nematode.unl.edu_2022_09_21\mylonmo6.jpg</t>
  </si>
  <si>
    <t>Z:\nemtode\general\website_mirrors\nematode.unl.edu_2022_09_21\mylonmo9.jpg</t>
  </si>
  <si>
    <t>Z:\nemtode\general\website_mirrors\nematode.unl.edu_2022_09_21\mymont2.jpg</t>
  </si>
  <si>
    <t>Z:\nemtode\general\website_mirrors\nematode.unl.edu_2022_09_21\mymont6.jpg</t>
  </si>
  <si>
    <t>Z:\nemtode\general\website_mirrors\nematode.unl.edu_2022_09_21\mymonta11.jpg</t>
  </si>
  <si>
    <t>Z:\nemtode\general\website_mirrors\nematode.unl.edu_2022_09_21\mymonta2.jpg</t>
  </si>
  <si>
    <t>Z:\nemtode\general\website_mirrors\nematode.unl.edu_2022_09_21\mymonta6.jpg</t>
  </si>
  <si>
    <t>Z:\nemtode\general\website_mirrors\nematode.unl.edu_2022_09_21\mymonta8.jpg</t>
  </si>
  <si>
    <t>Z:\nemtode\general\website_mirrors\nematode.unl.edu_2022_09_21\mymonta9.jpg</t>
  </si>
  <si>
    <t>Z:\nemtode\general\website_mirrors\nematode.unl.edu_2022_09_21\mylonmo1.jpg</t>
  </si>
  <si>
    <t>Z:\nemtode\general\website_mirrors\nematode.unl.edu_2022_09_21\mylonmo5.jpg</t>
  </si>
  <si>
    <t>Z:\nemtode\general\website_mirrors\nematode.unl.edu_2022_09_21\mymont5.jpg</t>
  </si>
  <si>
    <t>Z:\nemtode\general\website_mirrors\nematode.unl.edu_2022_09_21\mymonta1.jpg</t>
  </si>
  <si>
    <t>Z:\nemtode\general\website_mirrors\nematode.unl.edu_2022_09_21\mymonta15.jpg</t>
  </si>
  <si>
    <t>Z:\nemtode\general\website_mirrors\nematode.unl.edu_2022_09_21\mymontus1.jpg</t>
  </si>
  <si>
    <t>Z:\nemtode\general\website_mirrors\nematode.unl.edu_2022_09_21\mymontus10.jpg</t>
  </si>
  <si>
    <t>Z:\nemtode\general\website_mirrors\nematode.unl.edu_2022_09_21\mymontus2.jpg</t>
  </si>
  <si>
    <t>Z:\nemtode\general\website_mirrors\nematode.unl.edu_2022_09_21\mymontus3.jpg</t>
  </si>
  <si>
    <t>Z:\nemtode\general\website_mirrors\nematode.unl.edu_2022_09_21\mymontus4.jpg</t>
  </si>
  <si>
    <t>Z:\nemtode\general\website_mirrors\nematode.unl.edu_2022_09_21\mymontus5.jpg</t>
  </si>
  <si>
    <t>Z:\nemtode\general\website_mirrors\nematode.unl.edu_2022_09_21\mymontus6.jpg</t>
  </si>
  <si>
    <t>Z:\nemtode\general\website_mirrors\nematode.unl.edu_2022_09_21\mymontus7.jpg</t>
  </si>
  <si>
    <t>Z:\nemtode\general\website_mirrors\nematode.unl.edu_2022_09_21\mymontus8.jpg</t>
  </si>
  <si>
    <t>Z:\nemtode\general\website_mirrors\nematode.unl.edu_2022_09_21\mymontus9.jpg</t>
  </si>
  <si>
    <t>Z:\nemtode\general\website_mirrors\nematode.unl.edu_2022_09_21\mylonmo7.jpg</t>
  </si>
  <si>
    <t>Z:\nemtode\general\website_mirrors\nematode.unl.edu_2022_09_21\mymont1.jpg</t>
  </si>
  <si>
    <t>Z:\nemtode\general\website_mirrors\nematode.unl.edu_2022_09_21\mymonta13.jpg</t>
  </si>
  <si>
    <t>Z:\nemtode\general\website_mirrors\nematode.unl.edu_2022_09_21\mylonmo10.jpg</t>
  </si>
  <si>
    <t>Z:\nemtode\general\website_mirrors\nematode.unl.edu_2022_09_21\mylonmo12.jpg</t>
  </si>
  <si>
    <t>Z:\nemtode\general\website_mirrors\nematode.unl.edu_2022_09_21\mylonmo4.jpg</t>
  </si>
  <si>
    <t>Z:\nemtode\general\website_mirrors\nematode.unl.edu_2022_09_21\mylonmo8.jpg</t>
  </si>
  <si>
    <t>Z:\nemtode\general\website_mirrors\nematode.unl.edu_2022_09_21\mymont4.jpg</t>
  </si>
  <si>
    <t>Z:\nemtode\general\website_mirrors\nematode.unl.edu_2022_09_21\mymont7.jpg</t>
  </si>
  <si>
    <t>Z:\nemtode\general\website_mirrors\nematode.unl.edu_2022_09_21\mymonta10.jpg</t>
  </si>
  <si>
    <t>Z:\nemtode\general\website_mirrors\nematode.unl.edu_2022_09_21\mymonta12.jpg</t>
  </si>
  <si>
    <t>Z:\nemtode\general\website_mirrors\nematode.unl.edu_2022_09_21\mymonta14.jpg</t>
  </si>
  <si>
    <t>Z:\nemtode\general\website_mirrors\nematode.unl.edu_2022_09_21\mymonta5.jpg</t>
  </si>
  <si>
    <t>Z:\nemtode\general\website_mirrors\nematode.unl.edu_2022_09_21\mymont3.jpg</t>
  </si>
  <si>
    <t>Z:\nemtode\general\website_mirrors\nematode.unl.edu_2022_09_21\mymonta4.jpg</t>
  </si>
  <si>
    <t>Z:\nemtode\general\website_mirrors\nematode.unl.edu_2022_09_21\mymonta7.jpg</t>
  </si>
  <si>
    <t>Z:\nemtode\general\website_mirrors\nematode.unl.edu_2022_09_21\mybra11.jpg</t>
  </si>
  <si>
    <t>Z:\nemtode\general\website_mirrors\nematode.unl.edu_2022_09_21\mybra13.jpg</t>
  </si>
  <si>
    <t>Z:\nemtode\general\website_mirrors\nematode.unl.edu_2022_09_21\mybra2.jpg</t>
  </si>
  <si>
    <t>Z:\nemtode\general\website_mirrors\nematode.unl.edu_2022_09_21\mybra9.jpg</t>
  </si>
  <si>
    <t>Z:\nemtode\general\website_mirrors\nematode.unl.edu_2022_09_21\mybra8.jpg</t>
  </si>
  <si>
    <t>Z:\nemtode\general\website_mirrors\nematode.unl.edu_2022_09_21\mybra1.jpg</t>
  </si>
  <si>
    <t>Z:\nemtode\general\website_mirrors\nematode.unl.edu_2022_09_21\mybra10.jpg</t>
  </si>
  <si>
    <t>Z:\nemtode\general\website_mirrors\nematode.unl.edu_2022_09_21\mybra5.jpg</t>
  </si>
  <si>
    <t>Z:\nemtode\general\website_mirrors\nematode.unl.edu_2022_09_21\mybra12.jpg</t>
  </si>
  <si>
    <t>Z:\nemtode\general\website_mirrors\nematode.unl.edu_2022_09_21\mybra3.jpg</t>
  </si>
  <si>
    <t>Z:\nemtode\general\website_mirrors\nematode.unl.edu_2022_09_21\mybra4.jpg</t>
  </si>
  <si>
    <t>Z:\nemtode\general\website_mirrors\nematode.unl.edu_2022_09_21\mybra6.jpg</t>
  </si>
  <si>
    <t>Z:\nemtode\general\website_mirrors\nematode.unl.edu_2022_09_21\mybra7.jpg</t>
  </si>
  <si>
    <t>Z:\nemtode\general\website_mirrors\nematode.unl.edu_2022_09_21\mycurv4.jpg</t>
  </si>
  <si>
    <t>Z:\nemtode\general\website_mirrors\nematode.unl.edu_2022_09_21\mycurv1.jpg</t>
  </si>
  <si>
    <t>Z:\nemtode\general\website_mirrors\nematode.unl.edu_2022_09_21\mycurv15.jpg</t>
  </si>
  <si>
    <t>Z:\nemtode\general\website_mirrors\nematode.unl.edu_2022_09_21\mycurv18.jpg</t>
  </si>
  <si>
    <t>Z:\nemtode\general\website_mirrors\nematode.unl.edu_2022_09_21\mycurv21.jpg</t>
  </si>
  <si>
    <t>Z:\nemtode\general\website_mirrors\nematode.unl.edu_2022_09_21\mycurv3.jpg</t>
  </si>
  <si>
    <t>Z:\nemtode\general\website_mirrors\nematode.unl.edu_2022_09_21\mycurv7.jpg</t>
  </si>
  <si>
    <t>Z:\nemtode\general\website_mirrors\nematode.unl.edu_2022_09_21\mycurv13.jpg</t>
  </si>
  <si>
    <t>Z:\nemtode\general\website_mirrors\nematode.unl.edu_2022_09_21\mycurv17.jpg</t>
  </si>
  <si>
    <t>Z:\nemtode\general\website_mirrors\nematode.unl.edu_2022_09_21\mycurv11.jpg</t>
  </si>
  <si>
    <t>Z:\nemtode\general\website_mirrors\nematode.unl.edu_2022_09_21\mycurv14.jpg</t>
  </si>
  <si>
    <t>Z:\nemtode\general\website_mirrors\nematode.unl.edu_2022_09_21\mycurv12.jpg</t>
  </si>
  <si>
    <t>Z:\nemtode\general\website_mirrors\nematode.unl.edu_2022_09_21\mycurv16.jpg</t>
  </si>
  <si>
    <t>Z:\nemtode\general\website_mirrors\nematode.unl.edu_2022_09_21\mycurv2.jpg</t>
  </si>
  <si>
    <t>Z:\nemtode\general\website_mirrors\nematode.unl.edu_2022_09_21\mycurv20.jpg</t>
  </si>
  <si>
    <t>Z:\nemtode\general\website_mirrors\nematode.unl.edu_2022_09_21\mycurv22.jpg</t>
  </si>
  <si>
    <t>Z:\nemtode\general\website_mirrors\nematode.unl.edu_2022_09_21\mycurv6.jpg</t>
  </si>
  <si>
    <t>Z:\nemtode\general\website_mirrors\nematode.unl.edu_2022_09_21\mycurv9.jpg</t>
  </si>
  <si>
    <t>Z:\nemtode\general\website_mirrors\nematode.unl.edu_2022_09_21\mycurv10.jpg</t>
  </si>
  <si>
    <t>Z:\nemtode\general\website_mirrors\nematode.unl.edu_2022_09_21\mycurv19.jpg</t>
  </si>
  <si>
    <t>Z:\nemtode\general\website_mirrors\nematode.unl.edu_2022_09_21\mycurv5.jpg</t>
  </si>
  <si>
    <t>Z:\nemtode\general\website_mirrors\nematode.unl.edu_2022_09_21\mycurv8.jpg</t>
  </si>
  <si>
    <t>Z:\nemtode\general\website_mirrors\nematode.unl.edu_2022_09_21\myind14.jpg</t>
  </si>
  <si>
    <t>Z:\nemtode\general\website_mirrors\nematode.unl.edu_2022_09_21\myind17.jpg</t>
  </si>
  <si>
    <t>Z:\nemtode\general\website_mirrors\nematode.unl.edu_2022_09_21\myind2.jpg</t>
  </si>
  <si>
    <t>Z:\nemtode\general\website_mirrors\nematode.unl.edu_2022_09_21\myind4.jpg</t>
  </si>
  <si>
    <t>Z:\nemtode\general\website_mirrors\nematode.unl.edu_2022_09_21\myind5.jpg</t>
  </si>
  <si>
    <t>Z:\nemtode\general\website_mirrors\nematode.unl.edu_2022_09_21\myind7.jpg</t>
  </si>
  <si>
    <t>Z:\nemtode\general\website_mirrors\nematode.unl.edu_2022_09_21\myind1.jpg</t>
  </si>
  <si>
    <t>Z:\nemtode\general\website_mirrors\nematode.unl.edu_2022_09_21\myind13.jpg</t>
  </si>
  <si>
    <t>Z:\nemtode\general\website_mirrors\nematode.unl.edu_2022_09_21\myind15.jpg</t>
  </si>
  <si>
    <t>Z:\nemtode\general\website_mirrors\nematode.unl.edu_2022_09_21\myind16.jpg</t>
  </si>
  <si>
    <t>Z:\nemtode\general\website_mirrors\nematode.unl.edu_2022_09_21\myind3.jpg</t>
  </si>
  <si>
    <t>Z:\nemtode\general\website_mirrors\nematode.unl.edu_2022_09_21\myind6.jpg</t>
  </si>
  <si>
    <t>Z:\nemtode\general\website_mirrors\nematode.unl.edu_2022_09_21\myindcmp.jpg</t>
  </si>
  <si>
    <t>Z:\nemtode\general\website_mirrors\nematode.unl.edu_2022_09_21\myind12.jpg</t>
  </si>
  <si>
    <t>Z:\nemtode\general\website_mirrors\nematode.unl.edu_2022_09_21\mylongs5.jpg</t>
  </si>
  <si>
    <t>Z:\nemtode\general\website_mirrors\nematode.unl.edu_2022_09_21\mylac2.jpg</t>
  </si>
  <si>
    <t>Z:\nemtode\general\website_mirrors\nematode.unl.edu_2022_09_21\mylongs2.jpg</t>
  </si>
  <si>
    <t>Z:\nemtode\general\website_mirrors\nematode.unl.edu_2022_09_21\mylust2.jpg</t>
  </si>
  <si>
    <t>Z:\nemtode\general\website_mirrors\nematode.unl.edu_2022_09_21\mylac3.jpg</t>
  </si>
  <si>
    <t>Z:\nemtode\general\website_mirrors\nematode.unl.edu_2022_09_21\mylac1.jpg</t>
  </si>
  <si>
    <t>Z:\nemtode\general\website_mirrors\nematode.unl.edu_2022_09_21\mylongs1.jpg</t>
  </si>
  <si>
    <t>Z:\nemtode\general\website_mirrors\nematode.unl.edu_2022_09_21\mylust1.jpg</t>
  </si>
  <si>
    <t>Z:\nemtode\general\website_mirrors\nematode.unl.edu_2022_09_21\mylac6.jpg</t>
  </si>
  <si>
    <t>Z:\nemtode\general\website_mirrors\nematode.unl.edu_2022_09_21\mylac7.jpg</t>
  </si>
  <si>
    <t>Z:\nemtode\general\website_mirrors\nematode.unl.edu_2022_09_21\mylongs6.jpg</t>
  </si>
  <si>
    <t>Z:\nemtode\general\website_mirrors\nematode.unl.edu_2022_09_21\mylongs4.jpg</t>
  </si>
  <si>
    <t>Z:\nemtode\general\website_mirrors\nematode.unl.edu_2022_09_21\mylac8.jpg</t>
  </si>
  <si>
    <t>Z:\nemtode\general\website_mirrors\nematode.unl.edu_2022_09_21\mylac5.jpg</t>
  </si>
  <si>
    <t>Z:\nemtode\general\website_mirrors\nematode.unl.edu_2022_09_21\mylacus1.jpg</t>
  </si>
  <si>
    <t>Z:\nemtode\general\website_mirrors\nematode.unl.edu_2022_09_21\mylongs7.jpg</t>
  </si>
  <si>
    <t>Z:\nemtode\general\website_mirrors\nematode.unl.edu_2022_09_21\mylust4.jpg</t>
  </si>
  <si>
    <t>Z:\nemtode\general\website_mirrors\nematode.unl.edu_2022_09_21\mylongs3.jpg</t>
  </si>
  <si>
    <t>Z:\nemtode\general\website_mirrors\nematode.unl.edu_2022_09_21\mylac4.jpg</t>
  </si>
  <si>
    <t>Z:\nemtode\general\website_mirrors\nematode.unl.edu_2022_09_21\mylust3.jpg</t>
  </si>
  <si>
    <t>Z:\nemtode\general\website_mirrors\nematode.unl.edu_2022_09_21\mylopar2.jpg</t>
  </si>
  <si>
    <t>Z:\nemtode\general\website_mirrors\nematode.unl.edu_2022_09_21\mylopar7.jpg</t>
  </si>
  <si>
    <t>Z:\nemtode\general\website_mirrors\nematode.unl.edu_2022_09_21\mylopar3.jpg</t>
  </si>
  <si>
    <t>Z:\nemtode\general\website_mirrors\nematode.unl.edu_2022_09_21\mylopar6.jpg</t>
  </si>
  <si>
    <t>Z:\nemtode\general\website_mirrors\nematode.unl.edu_2022_09_21\myparab10.jpg</t>
  </si>
  <si>
    <t>Z:\nemtode\general\website_mirrors\nematode.unl.edu_2022_09_21\myparab15.jpg</t>
  </si>
  <si>
    <t>Z:\nemtode\general\website_mirrors\nematode.unl.edu_2022_09_21\myparab17.jpg</t>
  </si>
  <si>
    <t>Z:\nemtode\general\website_mirrors\nematode.unl.edu_2022_09_21\myparab19.jpg</t>
  </si>
  <si>
    <t>Z:\nemtode\general\website_mirrors\nematode.unl.edu_2022_09_21\myparab2.jpg</t>
  </si>
  <si>
    <t>Z:\nemtode\general\website_mirrors\nematode.unl.edu_2022_09_21\myparab22.jpg</t>
  </si>
  <si>
    <t>Z:\nemtode\general\website_mirrors\nematode.unl.edu_2022_09_21\myparab25.jpg</t>
  </si>
  <si>
    <t>Z:\nemtode\general\website_mirrors\nematode.unl.edu_2022_09_21\myparab31.jpg</t>
  </si>
  <si>
    <t>Z:\nemtode\general\website_mirrors\nematode.unl.edu_2022_09_21\myparab32.jpg</t>
  </si>
  <si>
    <t>Z:\nemtode\general\website_mirrors\nematode.unl.edu_2022_09_21\myparab9.jpg</t>
  </si>
  <si>
    <t>Z:\nemtode\general\website_mirrors\nematode.unl.edu_2022_09_21\myparyurus1.jpg</t>
  </si>
  <si>
    <t>Z:\nemtode\general\website_mirrors\nematode.unl.edu_2022_09_21\myparab14.jpg</t>
  </si>
  <si>
    <t>Z:\nemtode\general\website_mirrors\nematode.unl.edu_2022_09_21\myparab26.jpg</t>
  </si>
  <si>
    <t>Z:\nemtode\general\website_mirrors\nematode.unl.edu_2022_09_21\myparab3.jpg</t>
  </si>
  <si>
    <t>Z:\nemtode\general\website_mirrors\nematode.unl.edu_2022_09_21\mylopar1.jpg</t>
  </si>
  <si>
    <t>Z:\nemtode\general\website_mirrors\nematode.unl.edu_2022_09_21\mylopar5.jpg</t>
  </si>
  <si>
    <t>Z:\nemtode\general\website_mirrors\nematode.unl.edu_2022_09_21\myparab1.jpg</t>
  </si>
  <si>
    <t>Z:\nemtode\general\website_mirrors\nematode.unl.edu_2022_09_21\myparab11.jpg</t>
  </si>
  <si>
    <t>Z:\nemtode\general\website_mirrors\nematode.unl.edu_2022_09_21\myparab29.jpg</t>
  </si>
  <si>
    <t>Z:\nemtode\general\website_mirrors\nematode.unl.edu_2022_09_21\myparab30.jpg</t>
  </si>
  <si>
    <t>Z:\nemtode\general\website_mirrors\nematode.unl.edu_2022_09_21\myparab6.jpg</t>
  </si>
  <si>
    <t>Z:\nemtode\general\website_mirrors\nematode.unl.edu_2022_09_21\myparab16.jpg</t>
  </si>
  <si>
    <t>Z:\nemtode\general\website_mirrors\nematode.unl.edu_2022_09_21\myparab12.jpg</t>
  </si>
  <si>
    <t>Z:\nemtode\general\website_mirrors\nematode.unl.edu_2022_09_21\mylopar4.jpg</t>
  </si>
  <si>
    <t>Z:\nemtode\general\website_mirrors\nematode.unl.edu_2022_09_21\mylopar8.jpg</t>
  </si>
  <si>
    <t>Z:\nemtode\general\website_mirrors\nematode.unl.edu_2022_09_21\myparab13.jpg</t>
  </si>
  <si>
    <t>Z:\nemtode\general\website_mirrors\nematode.unl.edu_2022_09_21\myparab18.jpg</t>
  </si>
  <si>
    <t>Z:\nemtode\general\website_mirrors\nematode.unl.edu_2022_09_21\myparab21.jpg</t>
  </si>
  <si>
    <t>Z:\nemtode\general\website_mirrors\nematode.unl.edu_2022_09_21\myparab23.jpg</t>
  </si>
  <si>
    <t>Z:\nemtode\general\website_mirrors\nematode.unl.edu_2022_09_21\myparab28.jpg</t>
  </si>
  <si>
    <t>Z:\nemtode\general\website_mirrors\nematode.unl.edu_2022_09_21\myparab33.jpg</t>
  </si>
  <si>
    <t>Z:\nemtode\general\website_mirrors\nematode.unl.edu_2022_09_21\myparab5.jpg</t>
  </si>
  <si>
    <t>Z:\nemtode\general\website_mirrors\nematode.unl.edu_2022_09_21\myparab7.jpg</t>
  </si>
  <si>
    <t>Z:\nemtode\general\website_mirrors\nematode.unl.edu_2022_09_21\myparyurus2.jpg</t>
  </si>
  <si>
    <t>Z:\nemtode\general\website_mirrors\nematode.unl.edu_2022_09_21\myparab20.jpg</t>
  </si>
  <si>
    <t>Z:\nemtode\general\website_mirrors\nematode.unl.edu_2022_09_21\myparab24.jpg</t>
  </si>
  <si>
    <t>Z:\nemtode\general\website_mirrors\nematode.unl.edu_2022_09_21\myparab27.jpg</t>
  </si>
  <si>
    <t>Z:\nemtode\general\website_mirrors\nematode.unl.edu_2022_09_21\myparab4.jpg</t>
  </si>
  <si>
    <t>Z:\nemtode\general\website_mirrors\nematode.unl.edu_2022_09_21\myparab8.jpg</t>
  </si>
  <si>
    <t>Z:\nemtode\general\website_mirrors\nematode.unl.edu_2022_09_21\mysig3.jpg</t>
  </si>
  <si>
    <t>Z:\nemtode\general\website_mirrors\nematode.unl.edu_2022_09_21\mysig2.jpg</t>
  </si>
  <si>
    <t>Z:\nemtode\general\website_mirrors\nematode.unl.edu_2022_09_21\mysig1.jpg</t>
  </si>
  <si>
    <t>Z:\nemtode\general\website_mirrors\nematode.unl.edu_2022_09_21\mysig5.jpg</t>
  </si>
  <si>
    <t>Z:\nemtode\general\website_mirrors\nematode.unl.edu_2022_09_21\mysig4.jpg</t>
  </si>
  <si>
    <t>Z:\nemtode\general\website_mirrors\nematode.unl.edu_2022_09_21\mysubs1.jpg</t>
  </si>
  <si>
    <t>Z:\nemtode\general\website_mirrors\nematode.unl.edu_2022_09_21\mysubs2.jpg</t>
  </si>
  <si>
    <t>Z:\nemtode\general\website_mirrors\nematode.unl.edu_2022_09_21\mysubs3.jpg</t>
  </si>
  <si>
    <t>Z:\nemtode\general\website_mirrors\nematode.unl.edu_2022_09_21\mysubs4.jpg</t>
  </si>
  <si>
    <t>Z:\nemtode\general\website_mirrors\nematode.unl.edu_2022_09_21\basti11.jpg</t>
  </si>
  <si>
    <t>Z:\nemtode\general\website_mirrors\nematode.unl.edu_2022_09_21\basti7.jpg</t>
  </si>
  <si>
    <t>Z:\nemtode\general\website_mirrors\nematode.unl.edu_2022_09_21\basti12.jpg</t>
  </si>
  <si>
    <t>Z:\nemtode\general\website_mirrors\nematode.unl.edu_2022_09_21\basti14.jpg</t>
  </si>
  <si>
    <t>Z:\nemtode\general\website_mirrors\nematode.unl.edu_2022_09_21\basti17.jpg</t>
  </si>
  <si>
    <t>Z:\nemtode\general\website_mirrors\nematode.unl.edu_2022_09_21\basti2.jpg</t>
  </si>
  <si>
    <t>Z:\nemtode\general\website_mirrors\nematode.unl.edu_2022_09_21\basti4.jpg</t>
  </si>
  <si>
    <t>Z:\nemtode\general\website_mirrors\nematode.unl.edu_2022_09_21\basti5.jpg</t>
  </si>
  <si>
    <t>Z:\nemtode\general\website_mirrors\nematode.unl.edu_2022_09_21\basti9.jpg</t>
  </si>
  <si>
    <t>Z:\nemtode\general\website_mirrors\nematode.unl.edu_2022_09_21\basti6.jpg</t>
  </si>
  <si>
    <t>Z:\nemtode\general\website_mirrors\nematode.unl.edu_2022_09_21\basti1.jpg</t>
  </si>
  <si>
    <t>Z:\nemtode\general\website_mirrors\nematode.unl.edu_2022_09_21\basti13.jpg</t>
  </si>
  <si>
    <t>Z:\nemtode\general\website_mirrors\nematode.unl.edu_2022_09_21\basti8.jpg</t>
  </si>
  <si>
    <t>Z:\nemtode\general\website_mirrors\nematode.unl.edu_2022_09_21\basti16.jpg</t>
  </si>
  <si>
    <t>Z:\nemtode\general\website_mirrors\nematode.unl.edu_2022_09_21\basti10.jpg</t>
  </si>
  <si>
    <t>Z:\nemtode\general\website_mirrors\nematode.unl.edu_2022_09_21\basti15.jpg</t>
  </si>
  <si>
    <t>Z:\nemtode\general\website_mirrors\nematode.unl.edu_2022_09_21\basti3.jpg</t>
  </si>
  <si>
    <t>Z:\nemtode\general\website_mirrors\nematode.unl.edu_2022_09_21\dipla13.jpg</t>
  </si>
  <si>
    <t>Z:\nemtode\general\website_mirrors\nematode.unl.edu_2022_09_21\dipla4.jpg</t>
  </si>
  <si>
    <t>Z:\nemtode\general\website_mirrors\nematode.unl.edu_2022_09_21\dipla1.jpg</t>
  </si>
  <si>
    <t>Z:\nemtode\general\website_mirrors\nematode.unl.edu_2022_09_21\dipla10.jpg</t>
  </si>
  <si>
    <t>Z:\nemtode\general\website_mirrors\nematode.unl.edu_2022_09_21\dipla15.jpg</t>
  </si>
  <si>
    <t>Z:\nemtode\general\website_mirrors\nematode.unl.edu_2022_09_21\dipla5.jpg</t>
  </si>
  <si>
    <t>Z:\nemtode\general\website_mirrors\nematode.unl.edu_2022_09_21\dipla8.jpg</t>
  </si>
  <si>
    <t>Z:\nemtode\general\website_mirrors\nematode.unl.edu_2022_09_21\diplat2.jpg</t>
  </si>
  <si>
    <t>Z:\nemtode\general\website_mirrors\nematode.unl.edu_2022_09_21\dipla7.jpg</t>
  </si>
  <si>
    <t>Z:\nemtode\general\website_mirrors\nematode.unl.edu_2022_09_21\dipla3.jpg</t>
  </si>
  <si>
    <t>Z:\nemtode\general\website_mirrors\nematode.unl.edu_2022_09_21\diplat1.jpg</t>
  </si>
  <si>
    <t>Z:\nemtode\general\website_mirrors\nematode.unl.edu_2022_09_21\diplacmp.jpg</t>
  </si>
  <si>
    <t>Z:\nemtode\general\website_mirrors\nematode.unl.edu_2022_09_21\dipla12.jpg</t>
  </si>
  <si>
    <t>Z:\nemtode\general\website_mirrors\nematode.unl.edu_2022_09_21\diplat3.jpg</t>
  </si>
  <si>
    <t>Z:\nemtode\general\website_mirrors\nematode.unl.edu_2022_09_21\dipla11.jpg</t>
  </si>
  <si>
    <t>Z:\nemtode\general\website_mirrors\nematode.unl.edu_2022_09_21\dipla2.jpg</t>
  </si>
  <si>
    <t>Z:\nemtode\general\website_mirrors\nematode.unl.edu_2022_09_21\dipla6.jpg</t>
  </si>
  <si>
    <t>Z:\nemtode\general\website_mirrors\nematode.unl.edu_2022_09_21\dipla9.jpg</t>
  </si>
  <si>
    <t>Z:\nemtode\general\website_mirrors\nematode.unl.edu_2022_09_21\dipladrw.jpg</t>
  </si>
  <si>
    <t>Z:\nemtode\general\website_mirrors\nematode.unl.edu_2022_09_21\dipob2.jpg</t>
  </si>
  <si>
    <t>Z:\nemtode\general\website_mirrors\nematode.unl.edu_2022_09_21\diphob1.jpg</t>
  </si>
  <si>
    <t>Z:\nemtode\general\website_mirrors\nematode.unl.edu_2022_09_21\diphob4.jpg</t>
  </si>
  <si>
    <t>Z:\nemtode\general\website_mirrors\nematode.unl.edu_2022_09_21\dipo11.jpg</t>
  </si>
  <si>
    <t>Z:\nemtode\general\website_mirrors\nematode.unl.edu_2022_09_21\dipo2.jpg</t>
  </si>
  <si>
    <t>Z:\nemtode\general\website_mirrors\nematode.unl.edu_2022_09_21\dipo6.jpg</t>
  </si>
  <si>
    <t>Z:\nemtode\general\website_mirrors\nematode.unl.edu_2022_09_21\dipob10.jpg</t>
  </si>
  <si>
    <t>Z:\nemtode\general\website_mirrors\nematode.unl.edu_2022_09_21\dipob12.jpg</t>
  </si>
  <si>
    <t>Z:\nemtode\general\website_mirrors\nematode.unl.edu_2022_09_21\dipob5.jpg</t>
  </si>
  <si>
    <t>Z:\nemtode\general\website_mirrors\nematode.unl.edu_2022_09_21\dipob8.jpg</t>
  </si>
  <si>
    <t>Z:\nemtode\general\website_mirrors\nematode.unl.edu_2022_09_21\dipo7.jpg</t>
  </si>
  <si>
    <t>Z:\nemtode\general\website_mirrors\nematode.unl.edu_2022_09_21\diphob3.jpg</t>
  </si>
  <si>
    <t>Z:\nemtode\general\website_mirrors\nematode.unl.edu_2022_09_21\dipo1.jpg</t>
  </si>
  <si>
    <t>Z:\nemtode\general\website_mirrors\nematode.unl.edu_2022_09_21\dipob1.jpg</t>
  </si>
  <si>
    <t>Z:\nemtode\general\website_mirrors\nematode.unl.edu_2022_09_21\dipo3.jpg</t>
  </si>
  <si>
    <t>Z:\nemtode\general\website_mirrors\nematode.unl.edu_2022_09_21\dipob13.jpg</t>
  </si>
  <si>
    <t>Z:\nemtode\general\website_mirrors\nematode.unl.edu_2022_09_21\diphob2.jpg</t>
  </si>
  <si>
    <t>Z:\nemtode\general\website_mirrors\nematode.unl.edu_2022_09_21\diphob5.jpg</t>
  </si>
  <si>
    <t>Z:\nemtode\general\website_mirrors\nematode.unl.edu_2022_09_21\dipo10.jpg</t>
  </si>
  <si>
    <t>Z:\nemtode\general\website_mirrors\nematode.unl.edu_2022_09_21\dipo5.jpg</t>
  </si>
  <si>
    <t>Z:\nemtode\general\website_mirrors\nematode.unl.edu_2022_09_21\dipo9.jpg</t>
  </si>
  <si>
    <t>Z:\nemtode\general\website_mirrors\nematode.unl.edu_2022_09_21\dipob11.jpg</t>
  </si>
  <si>
    <t>Z:\nemtode\general\website_mirrors\nematode.unl.edu_2022_09_21\dipob3.jpg</t>
  </si>
  <si>
    <t>Z:\nemtode\general\website_mirrors\nematode.unl.edu_2022_09_21\dipob7.jpg</t>
  </si>
  <si>
    <t>Z:\nemtode\general\website_mirrors\nematode.unl.edu_2022_09_21\dipob9.jpg</t>
  </si>
  <si>
    <t>Z:\nemtode\general\website_mirrors\nematode.unl.edu_2022_09_21\dipo4.jpg</t>
  </si>
  <si>
    <t>Z:\nemtode\general\website_mirrors\nematode.unl.edu_2022_09_21\dipo8.jpg</t>
  </si>
  <si>
    <t>Z:\nemtode\general\website_mirrors\nematode.unl.edu_2022_09_21\dipob4.jpg</t>
  </si>
  <si>
    <t>Z:\nemtode\general\website_mirrors\nematode.unl.edu_2022_09_21\dipob6.jpg</t>
  </si>
  <si>
    <t>Z:\nemtode\general\website_mirrors\nematode.unl.edu_2022_09_21\odontos2.jpg</t>
  </si>
  <si>
    <t>Z:\nemtode\general\website_mirrors\nematode.unl.edu_2022_09_21\odosp2.jpg</t>
  </si>
  <si>
    <t>Z:\nemtode\general\website_mirrors\nematode.unl.edu_2022_09_21\odonto1.jpg</t>
  </si>
  <si>
    <t>Z:\nemtode\general\website_mirrors\nematode.unl.edu_2022_09_21\odontos12.jpg</t>
  </si>
  <si>
    <t>Z:\nemtode\general\website_mirrors\nematode.unl.edu_2022_09_21\odontos15.jpg</t>
  </si>
  <si>
    <t>Z:\nemtode\general\website_mirrors\nematode.unl.edu_2022_09_21\odontos1.jpg</t>
  </si>
  <si>
    <t>Z:\nemtode\general\website_mirrors\nematode.unl.edu_2022_09_21\odontos10.jpg</t>
  </si>
  <si>
    <t>Z:\nemtode\general\website_mirrors\nematode.unl.edu_2022_09_21\odontos11.jpg</t>
  </si>
  <si>
    <t>Z:\nemtode\general\website_mirrors\nematode.unl.edu_2022_09_21\odontos7.jpg</t>
  </si>
  <si>
    <t>Z:\nemtode\general\website_mirrors\nematode.unl.edu_2022_09_21\odosp1.jpg</t>
  </si>
  <si>
    <t>Z:\nemtode\general\website_mirrors\nematode.unl.edu_2022_09_21\odosp3.jpg</t>
  </si>
  <si>
    <t>Z:\nemtode\general\website_mirrors\nematode.unl.edu_2022_09_21\odontos6.jpg</t>
  </si>
  <si>
    <t>Z:\nemtode\general\website_mirrors\nematode.unl.edu_2022_09_21\odontos4.jpg</t>
  </si>
  <si>
    <t>Z:\nemtode\general\website_mirrors\nematode.unl.edu_2022_09_21\odontos14.jpg</t>
  </si>
  <si>
    <t>Z:\nemtode\general\website_mirrors\nematode.unl.edu_2022_09_21\odontos16.jpg</t>
  </si>
  <si>
    <t>Z:\nemtode\general\website_mirrors\nematode.unl.edu_2022_09_21\odontos3.jpg</t>
  </si>
  <si>
    <t>Z:\nemtode\general\website_mirrors\nematode.unl.edu_2022_09_21\odontos8.jpg</t>
  </si>
  <si>
    <t>Z:\nemtode\general\website_mirrors\nematode.unl.edu_2022_09_21\odontos13.jpg</t>
  </si>
  <si>
    <t>Z:\nemtode\general\website_mirrors\nematode.unl.edu_2022_09_21\odontos9.jpg</t>
  </si>
  <si>
    <t>Z:\nemtode\general\website_mirrors\nematode.unl.edu_2022_09_21\odontos5.jpg</t>
  </si>
  <si>
    <t>Z:\nemtode\general\website_mirrors\nematode.unl.edu_2022_09_21\prisma12.jpg</t>
  </si>
  <si>
    <t>Z:\nemtode\general\website_mirrors\nematode.unl.edu_2022_09_21\prisma2.jpg</t>
  </si>
  <si>
    <t>Z:\nemtode\general\website_mirrors\nematode.unl.edu_2022_09_21\prisma5.jpg</t>
  </si>
  <si>
    <t>Z:\nemtode\general\website_mirrors\nematode.unl.edu_2022_09_21\prism1.jpg</t>
  </si>
  <si>
    <t>Z:\nemtode\general\website_mirrors\nematode.unl.edu_2022_09_21\prism3.jpg</t>
  </si>
  <si>
    <t>Z:\nemtode\general\website_mirrors\nematode.unl.edu_2022_09_21\prism5.jpg</t>
  </si>
  <si>
    <t>Z:\nemtode\general\website_mirrors\nematode.unl.edu_2022_09_21\prism7.jpg</t>
  </si>
  <si>
    <t>Z:\nemtode\general\website_mirrors\nematode.unl.edu_2022_09_21\prisma1.jpg</t>
  </si>
  <si>
    <t>Z:\nemtode\general\website_mirrors\nematode.unl.edu_2022_09_21\prisma14.jpg</t>
  </si>
  <si>
    <t>Z:\nemtode\general\website_mirrors\nematode.unl.edu_2022_09_21\prisma16.jpg</t>
  </si>
  <si>
    <t>Z:\nemtode\general\website_mirrors\nematode.unl.edu_2022_09_21\prisma4.jpg</t>
  </si>
  <si>
    <t>Z:\nemtode\general\website_mirrors\nematode.unl.edu_2022_09_21\prisma9.jpg</t>
  </si>
  <si>
    <t>Z:\nemtode\general\website_mirrors\nematode.unl.edu_2022_09_21\prismat2.jpg</t>
  </si>
  <si>
    <t>Z:\nemtode\general\website_mirrors\nematode.unl.edu_2022_09_21\prisma3.jpg</t>
  </si>
  <si>
    <t>Z:\nemtode\general\website_mirrors\nematode.unl.edu_2022_09_21\prism4.jpg</t>
  </si>
  <si>
    <t>Z:\nemtode\general\website_mirrors\nematode.unl.edu_2022_09_21\prisma15.jpg</t>
  </si>
  <si>
    <t>Z:\nemtode\general\website_mirrors\nematode.unl.edu_2022_09_21\prisma17.jpg</t>
  </si>
  <si>
    <t>Z:\nemtode\general\website_mirrors\nematode.unl.edu_2022_09_21\prisma11.jpg</t>
  </si>
  <si>
    <t>Z:\nemtode\general\website_mirrors\nematode.unl.edu_2022_09_21\prisma13.jpg</t>
  </si>
  <si>
    <t>Z:\nemtode\general\website_mirrors\nematode.unl.edu_2022_09_21\prisma8.jpg</t>
  </si>
  <si>
    <t>Z:\nemtode\general\website_mirrors\nematode.unl.edu_2022_09_21\prism2.jpg</t>
  </si>
  <si>
    <t>Z:\nemtode\general\website_mirrors\nematode.unl.edu_2022_09_21\prism6.jpg</t>
  </si>
  <si>
    <t>Z:\nemtode\general\website_mirrors\nematode.unl.edu_2022_09_21\prisma7.jpg</t>
  </si>
  <si>
    <t>Z:\nemtode\general\website_mirrors\nematode.unl.edu_2022_09_21\prismat1.jpg</t>
  </si>
  <si>
    <t>Z:\nemtode\general\website_mirrors\nematode.unl.edu_2022_09_21\prisma6.jpg</t>
  </si>
  <si>
    <t>Z:\nemtode\general\website_mirrors\nematode.unl.edu_2022_09_21\prisma10.jpg</t>
  </si>
  <si>
    <t>Z:\nemtode\general\website_mirrors\nematode.unl.edu_2022_09_21\prismin2.jpg</t>
  </si>
  <si>
    <t>Z:\nemtode\general\website_mirrors\nematode.unl.edu_2022_09_21\prismin3.jpg</t>
  </si>
  <si>
    <t>Z:\nemtode\general\website_mirrors\nematode.unl.edu_2022_09_21\prismin1.jpg</t>
  </si>
  <si>
    <t>Z:\nemtode\general\website_mirrors\nematode.unl.edu_2022_09_21\trob10.jpg</t>
  </si>
  <si>
    <t>Z:\nemtode\general\website_mirrors\nematode.unl.edu_2022_09_21\trob14.jpg</t>
  </si>
  <si>
    <t>Z:\nemtode\general\website_mirrors\nematode.unl.edu_2022_09_21\trob2.jpg</t>
  </si>
  <si>
    <t>Z:\nemtode\general\website_mirrors\nematode.unl.edu_2022_09_21\trob9.jpg</t>
  </si>
  <si>
    <t>Z:\nemtode\general\website_mirrors\nematode.unl.edu_2022_09_21\trob8.jpg</t>
  </si>
  <si>
    <t>Z:\nemtode\general\website_mirrors\nematode.unl.edu_2022_09_21\trob1.jpg</t>
  </si>
  <si>
    <t>Z:\nemtode\general\website_mirrors\nematode.unl.edu_2022_09_21\trob11.jpg</t>
  </si>
  <si>
    <t>Z:\nemtode\general\website_mirrors\nematode.unl.edu_2022_09_21\trob15.jpg</t>
  </si>
  <si>
    <t>Z:\nemtode\general\website_mirrors\nematode.unl.edu_2022_09_21\trobcmp.jpg</t>
  </si>
  <si>
    <t>Z:\nemtode\general\website_mirrors\nematode.unl.edu_2022_09_21\trob4.jpg</t>
  </si>
  <si>
    <t>Z:\nemtode\general\website_mirrors\nematode.unl.edu_2022_09_21\trob6.jpg</t>
  </si>
  <si>
    <t>Z:\nemtode\general\website_mirrors\nematode.unl.edu_2022_09_21\trob12.jpg</t>
  </si>
  <si>
    <t>Z:\nemtode\general\website_mirrors\nematode.unl.edu_2022_09_21\trob3.jpg</t>
  </si>
  <si>
    <t>Z:\nemtode\general\website_mirrors\nematode.unl.edu_2022_09_21\trob5.jpg</t>
  </si>
  <si>
    <t>Z:\nemtode\general\website_mirrors\nematode.unl.edu_2022_09_21\trob7.jpg</t>
  </si>
  <si>
    <t>Z:\nemtode\general\website_mirrors\nematode.unl.edu_2022_09_21\trob13.jpg</t>
  </si>
  <si>
    <t>Z:\nemtode\general\website_mirrors\nematode.unl.edu_2022_09_21\trob16.jpg</t>
  </si>
  <si>
    <t>Z:\nemtode\general\website_mirrors\nematode.unl.edu_2022_09_21\trip13.jpg</t>
  </si>
  <si>
    <t>Z:\nemtode\general\website_mirrors\nematode.unl.edu_2022_09_21\trip14.jpg</t>
  </si>
  <si>
    <t>Z:\nemtode\general\website_mirrors\nematode.unl.edu_2022_09_21\trip2.jpg</t>
  </si>
  <si>
    <t>Z:\nemtode\general\website_mirrors\nematode.unl.edu_2022_09_21\trip5.jpg</t>
  </si>
  <si>
    <t>Z:\nemtode\general\website_mirrors\nematode.unl.edu_2022_09_21\trip8.jpg</t>
  </si>
  <si>
    <t>Z:\nemtode\general\website_mirrors\nematode.unl.edu_2022_09_21\tripro12.jpg</t>
  </si>
  <si>
    <t>Z:\nemtode\general\website_mirrors\nematode.unl.edu_2022_09_21\tripro13.jpg</t>
  </si>
  <si>
    <t>Z:\nemtode\general\website_mirrors\nematode.unl.edu_2022_09_21\tripro3.jpg</t>
  </si>
  <si>
    <t>Z:\nemtode\general\website_mirrors\nematode.unl.edu_2022_09_21\tripro4.jpg</t>
  </si>
  <si>
    <t>Z:\nemtode\general\website_mirrors\nematode.unl.edu_2022_09_21\tripro8.jpg</t>
  </si>
  <si>
    <t>Z:\nemtode\general\website_mirrors\nematode.unl.edu_2022_09_21\trip6.jpg</t>
  </si>
  <si>
    <t>Z:\nemtode\general\website_mirrors\nematode.unl.edu_2022_09_21\tripro7.jpg</t>
  </si>
  <si>
    <t>Z:\nemtode\general\website_mirrors\nematode.unl.edu_2022_09_21\trip1.jpg</t>
  </si>
  <si>
    <t>Z:\nemtode\general\website_mirrors\nematode.unl.edu_2022_09_21\trip10.jpg</t>
  </si>
  <si>
    <t>Z:\nemtode\general\website_mirrors\nematode.unl.edu_2022_09_21\trip15.jpg</t>
  </si>
  <si>
    <t>Z:\nemtode\general\website_mirrors\nematode.unl.edu_2022_09_21\tripro1.jpg</t>
  </si>
  <si>
    <t>Z:\nemtode\general\website_mirrors\nematode.unl.edu_2022_09_21\trip16.jpg</t>
  </si>
  <si>
    <t>Z:\nemtode\general\website_mirrors\nematode.unl.edu_2022_09_21\trip4.jpg</t>
  </si>
  <si>
    <t>Z:\nemtode\general\website_mirrors\nematode.unl.edu_2022_09_21\trip7.jpg</t>
  </si>
  <si>
    <t>Z:\nemtode\general\website_mirrors\nematode.unl.edu_2022_09_21\trip18.jpg</t>
  </si>
  <si>
    <t>Z:\nemtode\general\website_mirrors\nematode.unl.edu_2022_09_21\trip9.jpg</t>
  </si>
  <si>
    <t>Z:\nemtode\general\website_mirrors\nematode.unl.edu_2022_09_21\tripsupp.jpg</t>
  </si>
  <si>
    <t>Z:\nemtode\general\website_mirrors\nematode.unl.edu_2022_09_21\trip11.jpg</t>
  </si>
  <si>
    <t>Z:\nemtode\general\website_mirrors\nematode.unl.edu_2022_09_21\trip17.jpg</t>
  </si>
  <si>
    <t>Z:\nemtode\general\website_mirrors\nematode.unl.edu_2022_09_21\trip3.jpg</t>
  </si>
  <si>
    <t>Z:\nemtode\general\website_mirrors\nematode.unl.edu_2022_09_21\tripcmp.jpg</t>
  </si>
  <si>
    <t>Z:\nemtode\general\website_mirrors\nematode.unl.edu_2022_09_21\tripro10.jpg</t>
  </si>
  <si>
    <t>Z:\nemtode\general\website_mirrors\nematode.unl.edu_2022_09_21\tripro14.jpg</t>
  </si>
  <si>
    <t>Z:\nemtode\general\website_mirrors\nematode.unl.edu_2022_09_21\tripro15.jpg</t>
  </si>
  <si>
    <t>Z:\nemtode\general\website_mirrors\nematode.unl.edu_2022_09_21\tripro2.jpg</t>
  </si>
  <si>
    <t>Z:\nemtode\general\website_mirrors\nematode.unl.edu_2022_09_21\tripro5.jpg</t>
  </si>
  <si>
    <t>Z:\nemtode\general\website_mirrors\nematode.unl.edu_2022_09_21\tripro6.jpg</t>
  </si>
  <si>
    <t>Z:\nemtode\general\website_mirrors\nematode.unl.edu_2022_09_21\trip12.jpg</t>
  </si>
  <si>
    <t>Z:\nemtode\general\website_mirrors\nematode.unl.edu_2022_09_21\tripro11.jpg</t>
  </si>
  <si>
    <t>Z:\nemtode\general\website_mirrors\nematode.unl.edu_2022_09_21\tripro16.jpg</t>
  </si>
  <si>
    <t>Z:\nemtode\general\website_mirrors\nematode.unl.edu_2022_09_21\tripro9.jpg</t>
  </si>
  <si>
    <t>Z:\nemtode\general\website_mirrors\nematode.unl.edu_2022_09_21\tripasnake1.jpg</t>
  </si>
  <si>
    <t>Z:\nemtode\general\website_mirrors\nematode.unl.edu_2022_09_21\tripasnake5.jpg</t>
  </si>
  <si>
    <t>Z:\nemtode\general\website_mirrors\nematode.unl.edu_2022_09_21\tripasnake4.jpg</t>
  </si>
  <si>
    <t>Z:\nemtode\general\website_mirrors\nematode.unl.edu_2022_09_21\trips1.jpg</t>
  </si>
  <si>
    <t>Z:\nemtode\general\website_mirrors\nematode.unl.edu_2022_09_21\tripy1.jpg</t>
  </si>
  <si>
    <t>Z:\nemtode\general\website_mirrors\nematode.unl.edu_2022_09_21\tripyho2.jpg</t>
  </si>
  <si>
    <t>Z:\nemtode\general\website_mirrors\nematode.unl.edu_2022_09_21\tripyho4.jpg</t>
  </si>
  <si>
    <t>Z:\nemtode\general\website_mirrors\nematode.unl.edu_2022_09_21\tripyl1.jpg</t>
  </si>
  <si>
    <t>Z:\nemtode\general\website_mirrors\nematode.unl.edu_2022_09_21\tylab13.jpg</t>
  </si>
  <si>
    <t>Z:\nemtode\general\website_mirrors\nematode.unl.edu_2022_09_21\tylab15.jpg</t>
  </si>
  <si>
    <t>Z:\nemtode\general\website_mirrors\nematode.unl.edu_2022_09_21\tylab7.jpg</t>
  </si>
  <si>
    <t>Z:\nemtode\general\website_mirrors\nematode.unl.edu_2022_09_21\tylab8.jpg</t>
  </si>
  <si>
    <t>Z:\nemtode\general\website_mirrors\nematode.unl.edu_2022_09_21\tylab11.jpg</t>
  </si>
  <si>
    <t>Z:\nemtode\general\website_mirrors\nematode.unl.edu_2022_09_21\tylab4.jpg</t>
  </si>
  <si>
    <t>Z:\nemtode\general\website_mirrors\nematode.unl.edu_2022_09_21\tylab6.jpg</t>
  </si>
  <si>
    <t>Z:\nemtode\general\website_mirrors\nematode.unl.edu_2022_09_21\tripyho1.jpg</t>
  </si>
  <si>
    <t>Z:\nemtode\general\website_mirrors\nematode.unl.edu_2022_09_21\tylab1.jpg</t>
  </si>
  <si>
    <t>Z:\nemtode\general\website_mirrors\nematode.unl.edu_2022_09_21\tylab14.jpg</t>
  </si>
  <si>
    <t>Z:\nemtode\general\website_mirrors\nematode.unl.edu_2022_09_21\tylab9.jpg</t>
  </si>
  <si>
    <t>Z:\nemtode\general\website_mirrors\nematode.unl.edu_2022_09_21\tripy2.jpg</t>
  </si>
  <si>
    <t>Z:\nemtode\general\website_mirrors\nematode.unl.edu_2022_09_21\tripyho5.jpg</t>
  </si>
  <si>
    <t>Z:\nemtode\general\website_mirrors\nematode.unl.edu_2022_09_21\tripasnake3.jpg</t>
  </si>
  <si>
    <t>Z:\nemtode\general\website_mirrors\nematode.unl.edu_2022_09_21\tripasnake7.jpg</t>
  </si>
  <si>
    <t>Z:\nemtode\general\website_mirrors\nematode.unl.edu_2022_09_21\trips2.jpg</t>
  </si>
  <si>
    <t>Z:\nemtode\general\website_mirrors\nematode.unl.edu_2022_09_21\tripyho3.jpg</t>
  </si>
  <si>
    <t>Z:\nemtode\general\website_mirrors\nematode.unl.edu_2022_09_21\tylab12.jpg</t>
  </si>
  <si>
    <t>Z:\nemtode\general\website_mirrors\nematode.unl.edu_2022_09_21\tylab2.jpg</t>
  </si>
  <si>
    <t>Z:\nemtode\general\website_mirrors\nematode.unl.edu_2022_09_21\tylab3.jpg</t>
  </si>
  <si>
    <t>Z:\nemtode\general\website_mirrors\nematode.unl.edu_2022_09_21\tripasnake2.jpg</t>
  </si>
  <si>
    <t>Z:\nemtode\general\website_mirrors\nematode.unl.edu_2022_09_21\tripasnake6.jpg</t>
  </si>
  <si>
    <t>Z:\nemtode\general\website_mirrors\nematode.unl.edu_2022_09_21\tylab10.jpg</t>
  </si>
  <si>
    <t>Z:\nemtode\general\website_mirrors\nematode.unl.edu_2022_09_21\tylab5.jpg</t>
  </si>
  <si>
    <t>Z:\nemtode\general\website_mirrors\nematode.unl.edu_2022_09_21\tripaf1.jpg</t>
  </si>
  <si>
    <t>Z:\nemtode\general\website_mirrors\nematode.unl.edu_2022_09_21\tripaf2.jpg</t>
  </si>
  <si>
    <t>Z:\nemtode\general\website_mirrors\nematode.unl.edu_2022_09_21\tripaf4.jpg</t>
  </si>
  <si>
    <t>Z:\nemtode\general\website_mirrors\nematode.unl.edu_2022_09_21\tripaf3.jpg</t>
  </si>
  <si>
    <t>Z:\nemtode\general\website_mirrors\nematode.unl.edu_2022_09_21\UNL-Nemalogo.jpg</t>
  </si>
  <si>
    <t>External covering</t>
  </si>
  <si>
    <t>Hypodermis</t>
  </si>
  <si>
    <t>Musculature</t>
  </si>
  <si>
    <t>Digestive tract</t>
  </si>
  <si>
    <t>Specialized muscles</t>
  </si>
  <si>
    <t>Stoma</t>
  </si>
  <si>
    <t>Esophagus</t>
  </si>
  <si>
    <t>ESOPHAG0-INTESTINAL VALVE</t>
  </si>
  <si>
    <t>RECTUM OR CLOACA</t>
  </si>
  <si>
    <t>Nervous system</t>
  </si>
  <si>
    <t>Excretory system</t>
  </si>
  <si>
    <t>Reproductive system</t>
  </si>
  <si>
    <t>Map</t>
  </si>
  <si>
    <t>https://maps.app.goo.gl/n4mHKZXDaA5mQnAn6</t>
  </si>
  <si>
    <t>https://maps.app.goo.gl/dDsT5VjJ3xvCrM7M8</t>
  </si>
  <si>
    <t>https://maps.app.goo.gl/gtbrNZEzW8s9pHMq5</t>
  </si>
  <si>
    <t>https://maps.app.goo.gl/zTzX6sK1nxjSgUYK7</t>
  </si>
  <si>
    <t>https://maps.app.goo.gl/a72iA4pjHXrpLHNcA</t>
  </si>
  <si>
    <t>https://maps.app.goo.gl/3qANg9e2L1ZQqYfE9</t>
  </si>
  <si>
    <t>https://maps.app.goo.gl/R2jv4jt3G6uhZbMT6</t>
  </si>
  <si>
    <t>https://maps.app.goo.gl/WxDQQwDKAnr46QhX7</t>
  </si>
  <si>
    <t>https://maps.app.goo.gl/NW6JxRPzdQi8VjZG7</t>
  </si>
  <si>
    <t>https://maps.app.goo.gl/kQ7VNintdGEBV6Gq9</t>
  </si>
  <si>
    <t>https://maps.app.goo.gl/1NeRU2jeVH3Hs53m9</t>
  </si>
  <si>
    <t>https://maps.app.goo.gl/ZhQ9iQgQCsGeroKE7</t>
  </si>
  <si>
    <t>snowbank</t>
  </si>
  <si>
    <t>https://maps.app.goo.gl/S7Uju7TJp7gK1xnp8</t>
  </si>
  <si>
    <t>https://maps.app.goo.gl/2A4CmpYM6QbxbEC27</t>
  </si>
  <si>
    <t>https://maps.app.goo.gl/zhMWT1frSYVcRPe9A</t>
  </si>
  <si>
    <t>https://maps.app.goo.gl/kLTip7RCEjkyUc3x7</t>
  </si>
  <si>
    <t>https://maps.app.goo.gl/7Pa3oBVkqemEaVwF8</t>
  </si>
  <si>
    <t>https://maps.app.goo.gl/behPDZUuo61e4waD7</t>
  </si>
  <si>
    <t>https://maps.app.goo.gl/B7PjJSGa6afkpuMC6</t>
  </si>
  <si>
    <t>https://maps.app.goo.gl/Yz4gLMFQMG1kiUdv8</t>
  </si>
  <si>
    <t>https://maps.app.goo.gl/cc5Zci19BvkYrPi18</t>
  </si>
  <si>
    <t>bank of slough</t>
  </si>
  <si>
    <t>Oak</t>
  </si>
  <si>
    <t>tail crenation</t>
  </si>
  <si>
    <t>Inside Micro-oasis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</si>
</sst>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matode.unl.edu/cylmus14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nematode.unl.edu/cyli3.jpg" TargetMode="External"/><Relationship Id="rId7" Type="http://schemas.openxmlformats.org/officeDocument/2006/relationships/hyperlink" Target="https://nematode.unl.edu/achrspk21.jpg" TargetMode="External"/><Relationship Id="rId12" Type="http://schemas.openxmlformats.org/officeDocument/2006/relationships/hyperlink" Target="https://maps.app.goo.gl/2A4CmpYM6QbxbEC27" TargetMode="External"/><Relationship Id="rId2" Type="http://schemas.openxmlformats.org/officeDocument/2006/relationships/hyperlink" Target="https://nematode.unl.edu/cyli1.jpg" TargetMode="External"/><Relationship Id="rId1" Type="http://schemas.openxmlformats.org/officeDocument/2006/relationships/hyperlink" Target="https://nematode.unl.edu/tripsupp.jpg" TargetMode="External"/><Relationship Id="rId6" Type="http://schemas.openxmlformats.org/officeDocument/2006/relationships/hyperlink" Target="https://nematode.unl.edu/anapha4.jpg" TargetMode="External"/><Relationship Id="rId11" Type="http://schemas.openxmlformats.org/officeDocument/2006/relationships/hyperlink" Target="https://maps.app.goo.gl/n4mHKZXDaA5mQnAn6" TargetMode="External"/><Relationship Id="rId5" Type="http://schemas.openxmlformats.org/officeDocument/2006/relationships/hyperlink" Target="https://nematode.unl.edu/meschluck6.jpg" TargetMode="External"/><Relationship Id="rId10" Type="http://schemas.openxmlformats.org/officeDocument/2006/relationships/hyperlink" Target="https://nematode.unl.edu/eustica10.jpg" TargetMode="External"/><Relationship Id="rId4" Type="http://schemas.openxmlformats.org/officeDocument/2006/relationships/hyperlink" Target="https://nematode.unl.edu/cylmus1.jpg" TargetMode="External"/><Relationship Id="rId9" Type="http://schemas.openxmlformats.org/officeDocument/2006/relationships/hyperlink" Target="https://nematode.unl.edu/eustica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77"/>
  <sheetViews>
    <sheetView tabSelected="1" workbookViewId="0">
      <pane ySplit="1" topLeftCell="A2729" activePane="bottomLeft" state="frozen"/>
      <selection activeCell="I1" sqref="I1"/>
      <selection pane="bottomLeft" activeCell="C3145" sqref="C3145"/>
    </sheetView>
  </sheetViews>
  <sheetFormatPr defaultRowHeight="15.75" x14ac:dyDescent="0.25"/>
  <cols>
    <col min="1" max="1" width="83.25" bestFit="1" customWidth="1"/>
    <col min="2" max="2" width="46.375" bestFit="1" customWidth="1"/>
    <col min="3" max="3" width="46.375" customWidth="1"/>
    <col min="4" max="4" width="12.75" bestFit="1" customWidth="1"/>
    <col min="5" max="5" width="9.25" bestFit="1" customWidth="1"/>
    <col min="6" max="6" width="7.5" bestFit="1" customWidth="1"/>
    <col min="7" max="7" width="35.625" bestFit="1" customWidth="1"/>
    <col min="8" max="8" width="9.5" bestFit="1" customWidth="1"/>
    <col min="9" max="9" width="14.125" bestFit="1" customWidth="1"/>
    <col min="10" max="10" width="81.25" bestFit="1" customWidth="1"/>
    <col min="11" max="11" width="41.375" bestFit="1" customWidth="1"/>
    <col min="12" max="12" width="76" bestFit="1" customWidth="1"/>
    <col min="13" max="13" width="29.125" bestFit="1" customWidth="1"/>
    <col min="14" max="14" width="42.25" bestFit="1" customWidth="1"/>
    <col min="15" max="15" width="11.75" bestFit="1" customWidth="1"/>
    <col min="16" max="16" width="12.25" bestFit="1" customWidth="1"/>
    <col min="17" max="17" width="19.125" bestFit="1" customWidth="1"/>
    <col min="18" max="18" width="20.5" bestFit="1" customWidth="1"/>
  </cols>
  <sheetData>
    <row r="1" spans="1:18" x14ac:dyDescent="0.25">
      <c r="A1" t="s">
        <v>12155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22843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t="s">
        <v>17684</v>
      </c>
      <c r="B2" t="s">
        <v>2157</v>
      </c>
      <c r="C2" t="str">
        <f>HYPERLINK("https://nematode.unl.edu/aagri1.jpg")</f>
        <v>https://nematode.unl.edu/aagri1.jpg</v>
      </c>
      <c r="D2" t="s">
        <v>16</v>
      </c>
      <c r="G2" t="s">
        <v>44</v>
      </c>
      <c r="I2" t="s">
        <v>45</v>
      </c>
      <c r="J2" t="s">
        <v>267</v>
      </c>
      <c r="M2" t="s">
        <v>68</v>
      </c>
      <c r="N2" t="s">
        <v>68</v>
      </c>
      <c r="O2" t="s">
        <v>23</v>
      </c>
      <c r="P2" t="s">
        <v>24</v>
      </c>
      <c r="Q2" t="s">
        <v>69</v>
      </c>
      <c r="R2" t="s">
        <v>70</v>
      </c>
    </row>
    <row r="3" spans="1:18" x14ac:dyDescent="0.25">
      <c r="A3" t="s">
        <v>17678</v>
      </c>
      <c r="B3" t="s">
        <v>2158</v>
      </c>
      <c r="C3" t="str">
        <f>HYPERLINK("https://nematode.unl.edu/aagri2.jpg")</f>
        <v>https://nematode.unl.edu/aagri2.jpg</v>
      </c>
      <c r="D3" t="s">
        <v>16</v>
      </c>
      <c r="G3" t="s">
        <v>96</v>
      </c>
      <c r="H3" t="s">
        <v>18</v>
      </c>
      <c r="I3" t="s">
        <v>19</v>
      </c>
      <c r="J3" t="s">
        <v>267</v>
      </c>
      <c r="M3" t="s">
        <v>68</v>
      </c>
      <c r="N3" t="s">
        <v>68</v>
      </c>
      <c r="O3" t="s">
        <v>23</v>
      </c>
      <c r="P3" t="s">
        <v>24</v>
      </c>
      <c r="Q3" t="s">
        <v>69</v>
      </c>
      <c r="R3" t="s">
        <v>70</v>
      </c>
    </row>
    <row r="4" spans="1:18" x14ac:dyDescent="0.25">
      <c r="A4" t="s">
        <v>17687</v>
      </c>
      <c r="B4" t="s">
        <v>2159</v>
      </c>
      <c r="C4" t="str">
        <f>HYPERLINK("https://nematode.unl.edu/aagri3.jpg")</f>
        <v>https://nematode.unl.edu/aagri3.jpg</v>
      </c>
      <c r="D4" t="s">
        <v>16</v>
      </c>
      <c r="G4" t="s">
        <v>28</v>
      </c>
      <c r="I4" t="s">
        <v>19</v>
      </c>
      <c r="J4" t="s">
        <v>267</v>
      </c>
      <c r="M4" t="s">
        <v>68</v>
      </c>
      <c r="N4" t="s">
        <v>68</v>
      </c>
      <c r="O4" t="s">
        <v>23</v>
      </c>
      <c r="P4" t="s">
        <v>24</v>
      </c>
      <c r="Q4" t="s">
        <v>69</v>
      </c>
      <c r="R4" t="s">
        <v>70</v>
      </c>
    </row>
    <row r="5" spans="1:18" x14ac:dyDescent="0.25">
      <c r="A5" t="s">
        <v>17679</v>
      </c>
      <c r="B5" t="s">
        <v>2160</v>
      </c>
      <c r="C5" t="str">
        <f>HYPERLINK("https://nematode.unl.edu/aagri4.jpg")</f>
        <v>https://nematode.unl.edu/aagri4.jpg</v>
      </c>
      <c r="D5" t="s">
        <v>16</v>
      </c>
      <c r="G5" t="s">
        <v>34</v>
      </c>
      <c r="H5" t="s">
        <v>18</v>
      </c>
      <c r="I5" t="s">
        <v>41</v>
      </c>
      <c r="J5" t="s">
        <v>267</v>
      </c>
      <c r="M5" t="s">
        <v>68</v>
      </c>
      <c r="N5" t="s">
        <v>68</v>
      </c>
      <c r="O5" t="s">
        <v>23</v>
      </c>
      <c r="P5" t="s">
        <v>24</v>
      </c>
      <c r="Q5" t="s">
        <v>69</v>
      </c>
      <c r="R5" t="s">
        <v>70</v>
      </c>
    </row>
    <row r="6" spans="1:18" x14ac:dyDescent="0.25">
      <c r="A6" t="s">
        <v>17686</v>
      </c>
      <c r="B6" t="s">
        <v>2161</v>
      </c>
      <c r="C6" t="str">
        <f>HYPERLINK("https://nematode.unl.edu/aagri5.jpg")</f>
        <v>https://nematode.unl.edu/aagri5.jpg</v>
      </c>
      <c r="D6" t="s">
        <v>16</v>
      </c>
      <c r="G6" t="s">
        <v>53</v>
      </c>
      <c r="I6" t="s">
        <v>41</v>
      </c>
      <c r="J6" t="s">
        <v>267</v>
      </c>
      <c r="M6" t="s">
        <v>68</v>
      </c>
      <c r="N6" t="s">
        <v>68</v>
      </c>
      <c r="O6" t="s">
        <v>23</v>
      </c>
      <c r="P6" t="s">
        <v>24</v>
      </c>
      <c r="Q6" t="s">
        <v>69</v>
      </c>
      <c r="R6" t="s">
        <v>70</v>
      </c>
    </row>
    <row r="7" spans="1:18" x14ac:dyDescent="0.25">
      <c r="A7" t="s">
        <v>12734</v>
      </c>
      <c r="B7" t="s">
        <v>2404</v>
      </c>
      <c r="C7" t="str">
        <f>HYPERLINK("https://nematode.unl.edu/aagro1.jpg")</f>
        <v>https://nematode.unl.edu/aagro1.jpg</v>
      </c>
      <c r="D7" t="s">
        <v>16</v>
      </c>
      <c r="G7" t="s">
        <v>44</v>
      </c>
      <c r="I7" t="s">
        <v>45</v>
      </c>
      <c r="L7" t="s">
        <v>2405</v>
      </c>
      <c r="M7" t="s">
        <v>2406</v>
      </c>
      <c r="N7" t="s">
        <v>2406</v>
      </c>
      <c r="O7" t="s">
        <v>23</v>
      </c>
      <c r="P7" t="s">
        <v>24</v>
      </c>
      <c r="Q7" t="s">
        <v>712</v>
      </c>
      <c r="R7" t="s">
        <v>2407</v>
      </c>
    </row>
    <row r="8" spans="1:18" x14ac:dyDescent="0.25">
      <c r="A8" t="s">
        <v>12735</v>
      </c>
      <c r="B8" t="s">
        <v>2408</v>
      </c>
      <c r="C8" t="str">
        <f>HYPERLINK("https://nematode.unl.edu/aagro10.jpg")</f>
        <v>https://nematode.unl.edu/aagro10.jpg</v>
      </c>
      <c r="D8" t="s">
        <v>16</v>
      </c>
      <c r="G8" t="s">
        <v>44</v>
      </c>
      <c r="I8" t="s">
        <v>91</v>
      </c>
      <c r="L8" t="s">
        <v>2405</v>
      </c>
      <c r="M8" t="s">
        <v>2406</v>
      </c>
      <c r="N8" t="s">
        <v>2406</v>
      </c>
      <c r="O8" t="s">
        <v>23</v>
      </c>
      <c r="P8" t="s">
        <v>24</v>
      </c>
      <c r="Q8" t="s">
        <v>712</v>
      </c>
      <c r="R8" t="s">
        <v>2407</v>
      </c>
    </row>
    <row r="9" spans="1:18" x14ac:dyDescent="0.25">
      <c r="A9" t="s">
        <v>12726</v>
      </c>
      <c r="B9" t="s">
        <v>2409</v>
      </c>
      <c r="C9" t="str">
        <f>HYPERLINK("https://nematode.unl.edu/aagro11.jpg")</f>
        <v>https://nematode.unl.edu/aagro11.jpg</v>
      </c>
      <c r="D9" t="s">
        <v>16</v>
      </c>
      <c r="G9" t="s">
        <v>96</v>
      </c>
      <c r="H9" t="s">
        <v>18</v>
      </c>
      <c r="I9" t="s">
        <v>137</v>
      </c>
      <c r="L9" t="s">
        <v>2405</v>
      </c>
      <c r="M9" t="s">
        <v>2406</v>
      </c>
      <c r="N9" t="s">
        <v>2406</v>
      </c>
      <c r="O9" t="s">
        <v>23</v>
      </c>
      <c r="P9" t="s">
        <v>24</v>
      </c>
      <c r="Q9" t="s">
        <v>712</v>
      </c>
      <c r="R9" t="s">
        <v>2407</v>
      </c>
    </row>
    <row r="10" spans="1:18" x14ac:dyDescent="0.25">
      <c r="A10" t="s">
        <v>12730</v>
      </c>
      <c r="B10" t="s">
        <v>2410</v>
      </c>
      <c r="C10" t="str">
        <f>HYPERLINK("https://nematode.unl.edu/aagro12.jpg")</f>
        <v>https://nematode.unl.edu/aagro12.jpg</v>
      </c>
      <c r="D10" t="s">
        <v>16</v>
      </c>
      <c r="G10" t="s">
        <v>34</v>
      </c>
      <c r="H10" t="s">
        <v>18</v>
      </c>
      <c r="I10" t="s">
        <v>19</v>
      </c>
      <c r="L10" t="s">
        <v>2405</v>
      </c>
      <c r="M10" t="s">
        <v>2406</v>
      </c>
      <c r="N10" t="s">
        <v>2406</v>
      </c>
      <c r="O10" t="s">
        <v>23</v>
      </c>
      <c r="P10" t="s">
        <v>24</v>
      </c>
      <c r="Q10" t="s">
        <v>712</v>
      </c>
      <c r="R10" t="s">
        <v>2407</v>
      </c>
    </row>
    <row r="11" spans="1:18" x14ac:dyDescent="0.25">
      <c r="A11" t="s">
        <v>12739</v>
      </c>
      <c r="B11" t="s">
        <v>2411</v>
      </c>
      <c r="C11" t="str">
        <f>HYPERLINK("https://nematode.unl.edu/aagro13.jpg")</f>
        <v>https://nematode.unl.edu/aagro13.jpg</v>
      </c>
      <c r="D11" t="s">
        <v>16</v>
      </c>
      <c r="G11" t="s">
        <v>28</v>
      </c>
      <c r="I11" t="s">
        <v>19</v>
      </c>
      <c r="L11" t="s">
        <v>2405</v>
      </c>
      <c r="M11" t="s">
        <v>2406</v>
      </c>
      <c r="N11" t="s">
        <v>2406</v>
      </c>
      <c r="O11" t="s">
        <v>23</v>
      </c>
      <c r="P11" t="s">
        <v>24</v>
      </c>
      <c r="Q11" t="s">
        <v>712</v>
      </c>
      <c r="R11" t="s">
        <v>2407</v>
      </c>
    </row>
    <row r="12" spans="1:18" x14ac:dyDescent="0.25">
      <c r="A12" t="s">
        <v>12736</v>
      </c>
      <c r="B12" t="s">
        <v>2412</v>
      </c>
      <c r="C12" t="str">
        <f>HYPERLINK("https://nematode.unl.edu/aagro14.jpg")</f>
        <v>https://nematode.unl.edu/aagro14.jpg</v>
      </c>
      <c r="D12" t="s">
        <v>16</v>
      </c>
      <c r="G12" t="s">
        <v>44</v>
      </c>
      <c r="I12" t="s">
        <v>19</v>
      </c>
      <c r="L12" t="s">
        <v>2405</v>
      </c>
      <c r="M12" t="s">
        <v>2406</v>
      </c>
      <c r="N12" t="s">
        <v>2406</v>
      </c>
      <c r="O12" t="s">
        <v>23</v>
      </c>
      <c r="P12" t="s">
        <v>24</v>
      </c>
      <c r="Q12" t="s">
        <v>712</v>
      </c>
      <c r="R12" t="s">
        <v>2407</v>
      </c>
    </row>
    <row r="13" spans="1:18" x14ac:dyDescent="0.25">
      <c r="A13" t="s">
        <v>12727</v>
      </c>
      <c r="B13" t="s">
        <v>2413</v>
      </c>
      <c r="C13" t="str">
        <f>HYPERLINK("https://nematode.unl.edu/aagro15.jpg")</f>
        <v>https://nematode.unl.edu/aagro15.jpg</v>
      </c>
      <c r="D13" t="s">
        <v>16</v>
      </c>
      <c r="G13" t="s">
        <v>96</v>
      </c>
      <c r="H13" t="s">
        <v>18</v>
      </c>
      <c r="I13" t="s">
        <v>19</v>
      </c>
      <c r="L13" t="s">
        <v>2405</v>
      </c>
      <c r="M13" t="s">
        <v>2406</v>
      </c>
      <c r="N13" t="s">
        <v>2406</v>
      </c>
      <c r="O13" t="s">
        <v>23</v>
      </c>
      <c r="P13" t="s">
        <v>24</v>
      </c>
      <c r="Q13" t="s">
        <v>712</v>
      </c>
      <c r="R13" t="s">
        <v>2407</v>
      </c>
    </row>
    <row r="14" spans="1:18" x14ac:dyDescent="0.25">
      <c r="A14" t="s">
        <v>12740</v>
      </c>
      <c r="B14" t="s">
        <v>2414</v>
      </c>
      <c r="C14" t="str">
        <f>HYPERLINK("https://nematode.unl.edu/aagro16.jpg")</f>
        <v>https://nematode.unl.edu/aagro16.jpg</v>
      </c>
      <c r="D14" t="s">
        <v>16</v>
      </c>
      <c r="G14" t="s">
        <v>28</v>
      </c>
      <c r="I14" t="s">
        <v>19</v>
      </c>
      <c r="L14" t="s">
        <v>2405</v>
      </c>
      <c r="M14" t="s">
        <v>2406</v>
      </c>
      <c r="N14" t="s">
        <v>2406</v>
      </c>
      <c r="O14" t="s">
        <v>23</v>
      </c>
      <c r="P14" t="s">
        <v>24</v>
      </c>
      <c r="Q14" t="s">
        <v>712</v>
      </c>
      <c r="R14" t="s">
        <v>2407</v>
      </c>
    </row>
    <row r="15" spans="1:18" x14ac:dyDescent="0.25">
      <c r="A15" t="s">
        <v>12744</v>
      </c>
      <c r="B15" t="s">
        <v>2415</v>
      </c>
      <c r="C15" t="str">
        <f>HYPERLINK("https://nematode.unl.edu/aagro17.jpg")</f>
        <v>https://nematode.unl.edu/aagro17.jpg</v>
      </c>
      <c r="D15" t="s">
        <v>16</v>
      </c>
      <c r="G15" t="s">
        <v>422</v>
      </c>
      <c r="I15" t="s">
        <v>41</v>
      </c>
      <c r="L15" t="s">
        <v>2405</v>
      </c>
      <c r="M15" t="s">
        <v>2406</v>
      </c>
      <c r="N15" t="s">
        <v>2406</v>
      </c>
      <c r="O15" t="s">
        <v>23</v>
      </c>
      <c r="P15" t="s">
        <v>24</v>
      </c>
      <c r="Q15" t="s">
        <v>712</v>
      </c>
      <c r="R15" t="s">
        <v>2407</v>
      </c>
    </row>
    <row r="16" spans="1:18" x14ac:dyDescent="0.25">
      <c r="A16" t="s">
        <v>12731</v>
      </c>
      <c r="B16" t="s">
        <v>2416</v>
      </c>
      <c r="C16" t="str">
        <f>HYPERLINK("https://nematode.unl.edu/aagro18.jpg")</f>
        <v>https://nematode.unl.edu/aagro18.jpg</v>
      </c>
      <c r="D16" t="s">
        <v>16</v>
      </c>
      <c r="G16" t="s">
        <v>34</v>
      </c>
      <c r="H16" t="s">
        <v>18</v>
      </c>
      <c r="I16" t="s">
        <v>41</v>
      </c>
      <c r="L16" t="s">
        <v>2405</v>
      </c>
      <c r="M16" t="s">
        <v>2406</v>
      </c>
      <c r="N16" t="s">
        <v>2406</v>
      </c>
      <c r="O16" t="s">
        <v>23</v>
      </c>
      <c r="P16" t="s">
        <v>24</v>
      </c>
      <c r="Q16" t="s">
        <v>712</v>
      </c>
      <c r="R16" t="s">
        <v>2407</v>
      </c>
    </row>
    <row r="17" spans="1:18" x14ac:dyDescent="0.25">
      <c r="A17" t="s">
        <v>12745</v>
      </c>
      <c r="B17" t="s">
        <v>2417</v>
      </c>
      <c r="C17" t="str">
        <f>HYPERLINK("https://nematode.unl.edu/aagro19.jpg")</f>
        <v>https://nematode.unl.edu/aagro19.jpg</v>
      </c>
      <c r="D17" t="s">
        <v>16</v>
      </c>
      <c r="G17" t="s">
        <v>422</v>
      </c>
      <c r="I17" t="s">
        <v>41</v>
      </c>
      <c r="L17" t="s">
        <v>2405</v>
      </c>
      <c r="M17" t="s">
        <v>2406</v>
      </c>
      <c r="N17" t="s">
        <v>2406</v>
      </c>
      <c r="O17" t="s">
        <v>23</v>
      </c>
      <c r="P17" t="s">
        <v>24</v>
      </c>
      <c r="Q17" t="s">
        <v>712</v>
      </c>
      <c r="R17" t="s">
        <v>2407</v>
      </c>
    </row>
    <row r="18" spans="1:18" x14ac:dyDescent="0.25">
      <c r="A18" t="s">
        <v>12737</v>
      </c>
      <c r="B18" t="s">
        <v>2418</v>
      </c>
      <c r="C18" t="str">
        <f>HYPERLINK("https://nematode.unl.edu/aagro2.jpg")</f>
        <v>https://nematode.unl.edu/aagro2.jpg</v>
      </c>
      <c r="D18" t="s">
        <v>16</v>
      </c>
      <c r="G18" t="s">
        <v>44</v>
      </c>
      <c r="I18" t="s">
        <v>45</v>
      </c>
      <c r="L18" t="s">
        <v>2405</v>
      </c>
      <c r="M18" t="s">
        <v>2406</v>
      </c>
      <c r="N18" t="s">
        <v>2406</v>
      </c>
      <c r="O18" t="s">
        <v>23</v>
      </c>
      <c r="P18" t="s">
        <v>24</v>
      </c>
      <c r="Q18" t="s">
        <v>712</v>
      </c>
      <c r="R18" t="s">
        <v>2407</v>
      </c>
    </row>
    <row r="19" spans="1:18" x14ac:dyDescent="0.25">
      <c r="A19" t="s">
        <v>12728</v>
      </c>
      <c r="B19" t="s">
        <v>2419</v>
      </c>
      <c r="C19" t="str">
        <f>HYPERLINK("https://nematode.unl.edu/aagro20.jpg")</f>
        <v>https://nematode.unl.edu/aagro20.jpg</v>
      </c>
      <c r="D19" t="s">
        <v>16</v>
      </c>
      <c r="G19" t="s">
        <v>96</v>
      </c>
      <c r="H19" t="s">
        <v>18</v>
      </c>
      <c r="I19" t="s">
        <v>41</v>
      </c>
      <c r="L19" t="s">
        <v>2405</v>
      </c>
      <c r="M19" t="s">
        <v>2406</v>
      </c>
      <c r="N19" t="s">
        <v>2406</v>
      </c>
      <c r="O19" t="s">
        <v>23</v>
      </c>
      <c r="P19" t="s">
        <v>24</v>
      </c>
      <c r="Q19" t="s">
        <v>712</v>
      </c>
      <c r="R19" t="s">
        <v>2407</v>
      </c>
    </row>
    <row r="20" spans="1:18" x14ac:dyDescent="0.25">
      <c r="A20" t="s">
        <v>12732</v>
      </c>
      <c r="B20" t="s">
        <v>2420</v>
      </c>
      <c r="C20" t="str">
        <f>HYPERLINK("https://nematode.unl.edu/aagro3.jpg")</f>
        <v>https://nematode.unl.edu/aagro3.jpg</v>
      </c>
      <c r="D20" t="s">
        <v>16</v>
      </c>
      <c r="G20" t="s">
        <v>34</v>
      </c>
      <c r="H20" t="s">
        <v>18</v>
      </c>
      <c r="I20" t="s">
        <v>137</v>
      </c>
      <c r="L20" t="s">
        <v>2405</v>
      </c>
      <c r="M20" t="s">
        <v>2406</v>
      </c>
      <c r="N20" t="s">
        <v>2406</v>
      </c>
      <c r="O20" t="s">
        <v>23</v>
      </c>
      <c r="P20" t="s">
        <v>24</v>
      </c>
      <c r="Q20" t="s">
        <v>712</v>
      </c>
      <c r="R20" t="s">
        <v>2407</v>
      </c>
    </row>
    <row r="21" spans="1:18" x14ac:dyDescent="0.25">
      <c r="A21" t="s">
        <v>12741</v>
      </c>
      <c r="B21" t="s">
        <v>2421</v>
      </c>
      <c r="C21" t="str">
        <f>HYPERLINK("https://nematode.unl.edu/aagro4.jpg")</f>
        <v>https://nematode.unl.edu/aagro4.jpg</v>
      </c>
      <c r="D21" t="s">
        <v>16</v>
      </c>
      <c r="G21" t="s">
        <v>28</v>
      </c>
      <c r="I21" t="s">
        <v>137</v>
      </c>
      <c r="L21" t="s">
        <v>2405</v>
      </c>
      <c r="M21" t="s">
        <v>2406</v>
      </c>
      <c r="N21" t="s">
        <v>2406</v>
      </c>
      <c r="O21" t="s">
        <v>23</v>
      </c>
      <c r="P21" t="s">
        <v>24</v>
      </c>
      <c r="Q21" t="s">
        <v>712</v>
      </c>
      <c r="R21" t="s">
        <v>2407</v>
      </c>
    </row>
    <row r="22" spans="1:18" x14ac:dyDescent="0.25">
      <c r="A22" t="s">
        <v>12729</v>
      </c>
      <c r="B22" t="s">
        <v>2422</v>
      </c>
      <c r="C22" t="str">
        <f>HYPERLINK("https://nematode.unl.edu/aagro5.jpg")</f>
        <v>https://nematode.unl.edu/aagro5.jpg</v>
      </c>
      <c r="D22" t="s">
        <v>16</v>
      </c>
      <c r="G22" t="s">
        <v>96</v>
      </c>
      <c r="H22" t="s">
        <v>18</v>
      </c>
      <c r="L22" t="s">
        <v>2405</v>
      </c>
      <c r="M22" t="s">
        <v>2406</v>
      </c>
      <c r="N22" t="s">
        <v>2406</v>
      </c>
      <c r="O22" t="s">
        <v>23</v>
      </c>
      <c r="P22" t="s">
        <v>24</v>
      </c>
      <c r="Q22" t="s">
        <v>712</v>
      </c>
      <c r="R22" t="s">
        <v>2407</v>
      </c>
    </row>
    <row r="23" spans="1:18" x14ac:dyDescent="0.25">
      <c r="A23" t="s">
        <v>12742</v>
      </c>
      <c r="B23" t="s">
        <v>2423</v>
      </c>
      <c r="C23" t="str">
        <f>HYPERLINK("https://nematode.unl.edu/aagro6.jpg")</f>
        <v>https://nematode.unl.edu/aagro6.jpg</v>
      </c>
      <c r="D23" t="s">
        <v>16</v>
      </c>
      <c r="G23" t="s">
        <v>28</v>
      </c>
      <c r="I23" t="s">
        <v>19</v>
      </c>
      <c r="L23" t="s">
        <v>2405</v>
      </c>
      <c r="M23" t="s">
        <v>2406</v>
      </c>
      <c r="N23" t="s">
        <v>2406</v>
      </c>
      <c r="O23" t="s">
        <v>23</v>
      </c>
      <c r="P23" t="s">
        <v>24</v>
      </c>
      <c r="Q23" t="s">
        <v>712</v>
      </c>
      <c r="R23" t="s">
        <v>2407</v>
      </c>
    </row>
    <row r="24" spans="1:18" x14ac:dyDescent="0.25">
      <c r="A24" t="s">
        <v>12738</v>
      </c>
      <c r="B24" t="s">
        <v>2424</v>
      </c>
      <c r="C24" t="str">
        <f>HYPERLINK("https://nematode.unl.edu/aagro7.jpg")</f>
        <v>https://nematode.unl.edu/aagro7.jpg</v>
      </c>
      <c r="D24" t="s">
        <v>16</v>
      </c>
      <c r="G24" t="s">
        <v>44</v>
      </c>
      <c r="I24" t="s">
        <v>45</v>
      </c>
      <c r="L24" t="s">
        <v>2405</v>
      </c>
      <c r="M24" t="s">
        <v>2406</v>
      </c>
      <c r="N24" t="s">
        <v>2406</v>
      </c>
      <c r="O24" t="s">
        <v>23</v>
      </c>
      <c r="P24" t="s">
        <v>24</v>
      </c>
      <c r="Q24" t="s">
        <v>712</v>
      </c>
      <c r="R24" t="s">
        <v>2407</v>
      </c>
    </row>
    <row r="25" spans="1:18" x14ac:dyDescent="0.25">
      <c r="A25" t="s">
        <v>12733</v>
      </c>
      <c r="B25" t="s">
        <v>2425</v>
      </c>
      <c r="C25" t="str">
        <f>HYPERLINK("https://nematode.unl.edu/aagro8.jpg")</f>
        <v>https://nematode.unl.edu/aagro8.jpg</v>
      </c>
      <c r="D25" t="s">
        <v>16</v>
      </c>
      <c r="G25" t="s">
        <v>87</v>
      </c>
      <c r="I25" t="s">
        <v>516</v>
      </c>
      <c r="L25" t="s">
        <v>2405</v>
      </c>
      <c r="M25" t="s">
        <v>2406</v>
      </c>
      <c r="N25" t="s">
        <v>2406</v>
      </c>
      <c r="O25" t="s">
        <v>23</v>
      </c>
      <c r="P25" t="s">
        <v>24</v>
      </c>
      <c r="Q25" t="s">
        <v>712</v>
      </c>
      <c r="R25" t="s">
        <v>2407</v>
      </c>
    </row>
    <row r="26" spans="1:18" x14ac:dyDescent="0.25">
      <c r="A26" t="s">
        <v>12743</v>
      </c>
      <c r="B26" t="s">
        <v>2426</v>
      </c>
      <c r="C26" t="str">
        <f>HYPERLINK("https://nematode.unl.edu/aagro9.jpg")</f>
        <v>https://nematode.unl.edu/aagro9.jpg</v>
      </c>
      <c r="D26" t="s">
        <v>16</v>
      </c>
      <c r="G26" t="s">
        <v>28</v>
      </c>
      <c r="L26" t="s">
        <v>2405</v>
      </c>
      <c r="M26" t="s">
        <v>2406</v>
      </c>
      <c r="N26" t="s">
        <v>2406</v>
      </c>
      <c r="O26" t="s">
        <v>23</v>
      </c>
      <c r="P26" t="s">
        <v>24</v>
      </c>
      <c r="Q26" t="s">
        <v>712</v>
      </c>
      <c r="R26" t="s">
        <v>2407</v>
      </c>
    </row>
    <row r="27" spans="1:18" x14ac:dyDescent="0.25">
      <c r="A27" t="s">
        <v>12971</v>
      </c>
      <c r="B27" t="s">
        <v>2558</v>
      </c>
      <c r="C27" t="str">
        <f>HYPERLINK("https://nematode.unl.edu/aaven1.jpg")</f>
        <v>https://nematode.unl.edu/aaven1.jpg</v>
      </c>
      <c r="D27" t="s">
        <v>43</v>
      </c>
      <c r="G27" t="s">
        <v>28</v>
      </c>
      <c r="I27" t="s">
        <v>19</v>
      </c>
      <c r="J27" t="s">
        <v>20</v>
      </c>
      <c r="L27" t="s">
        <v>183</v>
      </c>
      <c r="M27" t="s">
        <v>2559</v>
      </c>
      <c r="N27" t="s">
        <v>2559</v>
      </c>
      <c r="O27" t="s">
        <v>23</v>
      </c>
      <c r="P27" t="s">
        <v>24</v>
      </c>
      <c r="Q27" t="s">
        <v>1580</v>
      </c>
      <c r="R27" t="s">
        <v>2553</v>
      </c>
    </row>
    <row r="28" spans="1:18" x14ac:dyDescent="0.25">
      <c r="A28" t="s">
        <v>12974</v>
      </c>
      <c r="B28" t="s">
        <v>2560</v>
      </c>
      <c r="C28" t="str">
        <f>HYPERLINK("https://nematode.unl.edu/aaven10.jpg")</f>
        <v>https://nematode.unl.edu/aaven10.jpg</v>
      </c>
      <c r="D28" t="s">
        <v>43</v>
      </c>
      <c r="G28" t="s">
        <v>51</v>
      </c>
      <c r="I28" t="s">
        <v>19</v>
      </c>
      <c r="J28" t="s">
        <v>20</v>
      </c>
      <c r="L28" t="s">
        <v>64</v>
      </c>
      <c r="M28" t="s">
        <v>2559</v>
      </c>
      <c r="N28" t="s">
        <v>2559</v>
      </c>
      <c r="O28" t="s">
        <v>23</v>
      </c>
      <c r="P28" t="s">
        <v>24</v>
      </c>
      <c r="Q28" t="s">
        <v>1580</v>
      </c>
      <c r="R28" t="s">
        <v>2553</v>
      </c>
    </row>
    <row r="29" spans="1:18" x14ac:dyDescent="0.25">
      <c r="A29" t="s">
        <v>12972</v>
      </c>
      <c r="B29" t="s">
        <v>2561</v>
      </c>
      <c r="C29" t="str">
        <f>HYPERLINK("https://nematode.unl.edu/aaven11.jpg")</f>
        <v>https://nematode.unl.edu/aaven11.jpg</v>
      </c>
      <c r="D29" t="s">
        <v>43</v>
      </c>
      <c r="G29" t="s">
        <v>28</v>
      </c>
      <c r="I29" t="s">
        <v>19</v>
      </c>
      <c r="J29" t="s">
        <v>20</v>
      </c>
      <c r="L29" t="s">
        <v>35</v>
      </c>
      <c r="M29" t="s">
        <v>2559</v>
      </c>
      <c r="N29" t="s">
        <v>2559</v>
      </c>
      <c r="O29" t="s">
        <v>23</v>
      </c>
      <c r="P29" t="s">
        <v>24</v>
      </c>
      <c r="Q29" t="s">
        <v>1580</v>
      </c>
      <c r="R29" t="s">
        <v>2553</v>
      </c>
    </row>
    <row r="30" spans="1:18" x14ac:dyDescent="0.25">
      <c r="A30" t="s">
        <v>12963</v>
      </c>
      <c r="B30" t="s">
        <v>2562</v>
      </c>
      <c r="C30" t="str">
        <f>HYPERLINK("https://nematode.unl.edu/aaven2.jpg")</f>
        <v>https://nematode.unl.edu/aaven2.jpg</v>
      </c>
      <c r="D30" t="s">
        <v>16</v>
      </c>
      <c r="G30" t="s">
        <v>34</v>
      </c>
      <c r="H30" t="s">
        <v>18</v>
      </c>
      <c r="I30" t="s">
        <v>41</v>
      </c>
      <c r="J30" t="s">
        <v>20</v>
      </c>
      <c r="L30" t="s">
        <v>29</v>
      </c>
      <c r="M30" t="s">
        <v>2559</v>
      </c>
      <c r="N30" t="s">
        <v>2559</v>
      </c>
      <c r="O30" t="s">
        <v>23</v>
      </c>
      <c r="P30" t="s">
        <v>24</v>
      </c>
      <c r="Q30" t="s">
        <v>1580</v>
      </c>
      <c r="R30" t="s">
        <v>2553</v>
      </c>
    </row>
    <row r="31" spans="1:18" x14ac:dyDescent="0.25">
      <c r="A31" t="s">
        <v>12970</v>
      </c>
      <c r="B31" t="s">
        <v>2563</v>
      </c>
      <c r="C31" t="str">
        <f>HYPERLINK("https://nematode.unl.edu/aaven3.jpg")</f>
        <v>https://nematode.unl.edu/aaven3.jpg</v>
      </c>
      <c r="D31" t="s">
        <v>16</v>
      </c>
      <c r="G31" t="s">
        <v>414</v>
      </c>
      <c r="I31" t="s">
        <v>41</v>
      </c>
      <c r="J31" t="s">
        <v>20</v>
      </c>
      <c r="L31" t="s">
        <v>29</v>
      </c>
      <c r="M31" t="s">
        <v>2559</v>
      </c>
      <c r="N31" t="s">
        <v>2559</v>
      </c>
      <c r="O31" t="s">
        <v>23</v>
      </c>
      <c r="P31" t="s">
        <v>24</v>
      </c>
      <c r="Q31" t="s">
        <v>1580</v>
      </c>
      <c r="R31" t="s">
        <v>2553</v>
      </c>
    </row>
    <row r="32" spans="1:18" x14ac:dyDescent="0.25">
      <c r="A32" t="s">
        <v>12964</v>
      </c>
      <c r="B32" t="s">
        <v>2564</v>
      </c>
      <c r="C32" t="str">
        <f>HYPERLINK("https://nematode.unl.edu/aaven4.jpg")</f>
        <v>https://nematode.unl.edu/aaven4.jpg</v>
      </c>
      <c r="D32" t="s">
        <v>16</v>
      </c>
      <c r="G32" t="s">
        <v>34</v>
      </c>
      <c r="H32" t="s">
        <v>18</v>
      </c>
      <c r="I32" t="s">
        <v>19</v>
      </c>
      <c r="J32" t="s">
        <v>20</v>
      </c>
      <c r="L32" t="s">
        <v>35</v>
      </c>
      <c r="M32" t="s">
        <v>2559</v>
      </c>
      <c r="N32" t="s">
        <v>2559</v>
      </c>
      <c r="O32" t="s">
        <v>23</v>
      </c>
      <c r="P32" t="s">
        <v>24</v>
      </c>
      <c r="Q32" t="s">
        <v>1580</v>
      </c>
      <c r="R32" t="s">
        <v>2553</v>
      </c>
    </row>
    <row r="33" spans="1:18" x14ac:dyDescent="0.25">
      <c r="A33" t="s">
        <v>12967</v>
      </c>
      <c r="B33" t="s">
        <v>2565</v>
      </c>
      <c r="C33" t="str">
        <f>HYPERLINK("https://nematode.unl.edu/aaven5.jpg")</f>
        <v>https://nematode.unl.edu/aaven5.jpg</v>
      </c>
      <c r="D33" t="s">
        <v>43</v>
      </c>
      <c r="G33" t="s">
        <v>44</v>
      </c>
      <c r="I33" t="s">
        <v>45</v>
      </c>
      <c r="J33" t="s">
        <v>20</v>
      </c>
      <c r="L33" t="s">
        <v>35</v>
      </c>
      <c r="M33" t="s">
        <v>2559</v>
      </c>
      <c r="N33" t="s">
        <v>2559</v>
      </c>
      <c r="O33" t="s">
        <v>23</v>
      </c>
      <c r="P33" t="s">
        <v>24</v>
      </c>
      <c r="Q33" t="s">
        <v>1580</v>
      </c>
      <c r="R33" t="s">
        <v>2553</v>
      </c>
    </row>
    <row r="34" spans="1:18" x14ac:dyDescent="0.25">
      <c r="A34" t="s">
        <v>12965</v>
      </c>
      <c r="B34" t="s">
        <v>2566</v>
      </c>
      <c r="C34" t="str">
        <f>HYPERLINK("https://nematode.unl.edu/aaven6.jpg")</f>
        <v>https://nematode.unl.edu/aaven6.jpg</v>
      </c>
      <c r="D34" t="s">
        <v>43</v>
      </c>
      <c r="G34" t="s">
        <v>34</v>
      </c>
      <c r="H34" t="s">
        <v>18</v>
      </c>
      <c r="I34" t="s">
        <v>19</v>
      </c>
      <c r="J34" t="s">
        <v>20</v>
      </c>
      <c r="L34" t="s">
        <v>64</v>
      </c>
      <c r="M34" t="s">
        <v>2559</v>
      </c>
      <c r="N34" t="s">
        <v>2559</v>
      </c>
      <c r="O34" t="s">
        <v>23</v>
      </c>
      <c r="P34" t="s">
        <v>24</v>
      </c>
      <c r="Q34" t="s">
        <v>1580</v>
      </c>
      <c r="R34" t="s">
        <v>2553</v>
      </c>
    </row>
    <row r="35" spans="1:18" x14ac:dyDescent="0.25">
      <c r="A35" t="s">
        <v>12975</v>
      </c>
      <c r="B35" t="s">
        <v>2567</v>
      </c>
      <c r="C35" t="str">
        <f>HYPERLINK("https://nematode.unl.edu/aaven7.jpg")</f>
        <v>https://nematode.unl.edu/aaven7.jpg</v>
      </c>
      <c r="D35" t="s">
        <v>43</v>
      </c>
      <c r="G35" t="s">
        <v>51</v>
      </c>
      <c r="I35" t="s">
        <v>19</v>
      </c>
      <c r="J35" t="s">
        <v>20</v>
      </c>
      <c r="L35" t="s">
        <v>64</v>
      </c>
      <c r="M35" t="s">
        <v>2559</v>
      </c>
      <c r="N35" t="s">
        <v>2559</v>
      </c>
      <c r="O35" t="s">
        <v>23</v>
      </c>
      <c r="P35" t="s">
        <v>24</v>
      </c>
      <c r="Q35" t="s">
        <v>1580</v>
      </c>
      <c r="R35" t="s">
        <v>2553</v>
      </c>
    </row>
    <row r="36" spans="1:18" x14ac:dyDescent="0.25">
      <c r="A36" t="s">
        <v>12973</v>
      </c>
      <c r="B36" t="s">
        <v>2568</v>
      </c>
      <c r="C36" t="str">
        <f>HYPERLINK("https://nematode.unl.edu/aaven8.jpg")</f>
        <v>https://nematode.unl.edu/aaven8.jpg</v>
      </c>
      <c r="D36" t="s">
        <v>43</v>
      </c>
      <c r="G36" t="s">
        <v>28</v>
      </c>
      <c r="I36" t="s">
        <v>19</v>
      </c>
      <c r="J36" t="s">
        <v>20</v>
      </c>
      <c r="L36" t="s">
        <v>64</v>
      </c>
      <c r="M36" t="s">
        <v>2559</v>
      </c>
      <c r="N36" t="s">
        <v>2559</v>
      </c>
      <c r="O36" t="s">
        <v>23</v>
      </c>
      <c r="P36" t="s">
        <v>24</v>
      </c>
      <c r="Q36" t="s">
        <v>1580</v>
      </c>
      <c r="R36" t="s">
        <v>2553</v>
      </c>
    </row>
    <row r="37" spans="1:18" x14ac:dyDescent="0.25">
      <c r="A37" t="s">
        <v>12962</v>
      </c>
      <c r="B37" t="s">
        <v>2569</v>
      </c>
      <c r="C37" t="str">
        <f>HYPERLINK("https://nematode.unl.edu/aaven9.jpg")</f>
        <v>https://nematode.unl.edu/aaven9.jpg</v>
      </c>
      <c r="D37" t="s">
        <v>43</v>
      </c>
      <c r="G37" t="s">
        <v>17</v>
      </c>
      <c r="H37" t="s">
        <v>18</v>
      </c>
      <c r="I37" t="s">
        <v>19</v>
      </c>
      <c r="J37" t="s">
        <v>20</v>
      </c>
      <c r="L37" t="s">
        <v>2570</v>
      </c>
      <c r="M37" t="s">
        <v>2559</v>
      </c>
      <c r="N37" t="s">
        <v>2559</v>
      </c>
      <c r="O37" t="s">
        <v>23</v>
      </c>
      <c r="P37" t="s">
        <v>24</v>
      </c>
      <c r="Q37" t="s">
        <v>1580</v>
      </c>
      <c r="R37" t="s">
        <v>2553</v>
      </c>
    </row>
    <row r="38" spans="1:18" x14ac:dyDescent="0.25">
      <c r="A38" t="s">
        <v>13003</v>
      </c>
      <c r="B38" t="s">
        <v>2477</v>
      </c>
      <c r="C38" t="str">
        <f>HYPERLINK("https://nematode.unl.edu/abess1.jpg")</f>
        <v>https://nematode.unl.edu/abess1.jpg</v>
      </c>
      <c r="D38" t="s">
        <v>16</v>
      </c>
      <c r="G38" t="s">
        <v>28</v>
      </c>
      <c r="I38" t="s">
        <v>19</v>
      </c>
      <c r="J38" t="s">
        <v>20</v>
      </c>
      <c r="L38" t="s">
        <v>64</v>
      </c>
      <c r="M38" t="s">
        <v>2478</v>
      </c>
      <c r="N38" t="s">
        <v>2478</v>
      </c>
      <c r="O38" t="s">
        <v>23</v>
      </c>
      <c r="P38" t="s">
        <v>24</v>
      </c>
      <c r="Q38" t="s">
        <v>102</v>
      </c>
      <c r="R38" t="s">
        <v>103</v>
      </c>
    </row>
    <row r="39" spans="1:18" x14ac:dyDescent="0.25">
      <c r="A39" t="s">
        <v>12993</v>
      </c>
      <c r="B39" t="s">
        <v>2479</v>
      </c>
      <c r="C39" t="str">
        <f>HYPERLINK("https://nematode.unl.edu/abess2.jpg")</f>
        <v>https://nematode.unl.edu/abess2.jpg</v>
      </c>
      <c r="D39" t="s">
        <v>16</v>
      </c>
      <c r="G39" t="s">
        <v>34</v>
      </c>
      <c r="H39" t="s">
        <v>18</v>
      </c>
      <c r="I39" t="s">
        <v>19</v>
      </c>
      <c r="J39" t="s">
        <v>20</v>
      </c>
      <c r="L39" t="s">
        <v>2480</v>
      </c>
      <c r="M39" t="s">
        <v>2478</v>
      </c>
      <c r="N39" t="s">
        <v>2478</v>
      </c>
      <c r="O39" t="s">
        <v>23</v>
      </c>
      <c r="P39" t="s">
        <v>24</v>
      </c>
      <c r="Q39" t="s">
        <v>102</v>
      </c>
      <c r="R39" t="s">
        <v>103</v>
      </c>
    </row>
    <row r="40" spans="1:18" x14ac:dyDescent="0.25">
      <c r="A40" t="s">
        <v>12999</v>
      </c>
      <c r="B40" t="s">
        <v>2481</v>
      </c>
      <c r="C40" t="str">
        <f>HYPERLINK("https://nematode.unl.edu/abess3.jpg")</f>
        <v>https://nematode.unl.edu/abess3.jpg</v>
      </c>
      <c r="D40" t="s">
        <v>16</v>
      </c>
      <c r="G40" t="s">
        <v>414</v>
      </c>
      <c r="I40" t="s">
        <v>19</v>
      </c>
      <c r="J40" t="s">
        <v>20</v>
      </c>
      <c r="L40" t="s">
        <v>2480</v>
      </c>
      <c r="M40" t="s">
        <v>2478</v>
      </c>
      <c r="N40" t="s">
        <v>2478</v>
      </c>
      <c r="O40" t="s">
        <v>23</v>
      </c>
      <c r="P40" t="s">
        <v>24</v>
      </c>
      <c r="Q40" t="s">
        <v>102</v>
      </c>
      <c r="R40" t="s">
        <v>103</v>
      </c>
    </row>
    <row r="41" spans="1:18" x14ac:dyDescent="0.25">
      <c r="A41" t="s">
        <v>13006</v>
      </c>
      <c r="B41" t="s">
        <v>2482</v>
      </c>
      <c r="C41" t="str">
        <f>HYPERLINK("https://nematode.unl.edu/abess4.jpg")</f>
        <v>https://nematode.unl.edu/abess4.jpg</v>
      </c>
      <c r="D41" t="s">
        <v>16</v>
      </c>
      <c r="G41" t="s">
        <v>422</v>
      </c>
      <c r="I41" t="s">
        <v>19</v>
      </c>
      <c r="J41" t="s">
        <v>20</v>
      </c>
      <c r="L41" t="s">
        <v>64</v>
      </c>
      <c r="M41" t="s">
        <v>2478</v>
      </c>
      <c r="N41" t="s">
        <v>2478</v>
      </c>
      <c r="O41" t="s">
        <v>23</v>
      </c>
      <c r="P41" t="s">
        <v>24</v>
      </c>
      <c r="Q41" t="s">
        <v>102</v>
      </c>
      <c r="R41" t="s">
        <v>103</v>
      </c>
    </row>
    <row r="42" spans="1:18" x14ac:dyDescent="0.25">
      <c r="A42" t="s">
        <v>12998</v>
      </c>
      <c r="B42" t="s">
        <v>2483</v>
      </c>
      <c r="C42" t="str">
        <f>HYPERLINK("https://nematode.unl.edu/abesscmp.jpg")</f>
        <v>https://nematode.unl.edu/abesscmp.jpg</v>
      </c>
      <c r="G42" t="s">
        <v>108</v>
      </c>
      <c r="M42" t="s">
        <v>2478</v>
      </c>
      <c r="N42" t="s">
        <v>2478</v>
      </c>
      <c r="O42" t="s">
        <v>23</v>
      </c>
      <c r="P42" t="s">
        <v>24</v>
      </c>
      <c r="Q42" t="s">
        <v>102</v>
      </c>
      <c r="R42" t="s">
        <v>103</v>
      </c>
    </row>
    <row r="43" spans="1:18" x14ac:dyDescent="0.25">
      <c r="A43" t="s">
        <v>12996</v>
      </c>
      <c r="B43" t="s">
        <v>2484</v>
      </c>
      <c r="C43" t="str">
        <f>HYPERLINK("https://nematode.unl.edu/abesse1.jpg")</f>
        <v>https://nematode.unl.edu/abesse1.jpg</v>
      </c>
      <c r="D43" t="s">
        <v>77</v>
      </c>
      <c r="G43" t="s">
        <v>44</v>
      </c>
      <c r="I43" t="s">
        <v>45</v>
      </c>
      <c r="J43" t="s">
        <v>46</v>
      </c>
      <c r="L43" t="s">
        <v>727</v>
      </c>
      <c r="M43" t="s">
        <v>2478</v>
      </c>
      <c r="N43" t="s">
        <v>2478</v>
      </c>
      <c r="O43" t="s">
        <v>23</v>
      </c>
      <c r="P43" t="s">
        <v>24</v>
      </c>
      <c r="Q43" t="s">
        <v>102</v>
      </c>
      <c r="R43" t="s">
        <v>103</v>
      </c>
    </row>
    <row r="44" spans="1:18" x14ac:dyDescent="0.25">
      <c r="A44" t="s">
        <v>12997</v>
      </c>
      <c r="B44" t="s">
        <v>2485</v>
      </c>
      <c r="C44" t="str">
        <f>HYPERLINK("https://nematode.unl.edu/abesse10.jpg")</f>
        <v>https://nematode.unl.edu/abesse10.jpg</v>
      </c>
      <c r="D44" t="s">
        <v>43</v>
      </c>
      <c r="G44" t="s">
        <v>44</v>
      </c>
      <c r="I44" t="s">
        <v>45</v>
      </c>
      <c r="J44" t="s">
        <v>46</v>
      </c>
      <c r="L44" t="s">
        <v>727</v>
      </c>
      <c r="M44" t="s">
        <v>2478</v>
      </c>
      <c r="N44" t="s">
        <v>2478</v>
      </c>
      <c r="O44" t="s">
        <v>23</v>
      </c>
      <c r="P44" t="s">
        <v>24</v>
      </c>
      <c r="Q44" t="s">
        <v>102</v>
      </c>
      <c r="R44" t="s">
        <v>103</v>
      </c>
    </row>
    <row r="45" spans="1:18" x14ac:dyDescent="0.25">
      <c r="A45" t="s">
        <v>12994</v>
      </c>
      <c r="B45" t="s">
        <v>2486</v>
      </c>
      <c r="C45" t="str">
        <f>HYPERLINK("https://nematode.unl.edu/abesse11.jpg")</f>
        <v>https://nematode.unl.edu/abesse11.jpg</v>
      </c>
      <c r="D45" t="s">
        <v>43</v>
      </c>
      <c r="G45" t="s">
        <v>34</v>
      </c>
      <c r="H45" t="s">
        <v>18</v>
      </c>
      <c r="I45" t="s">
        <v>19</v>
      </c>
      <c r="J45" t="s">
        <v>46</v>
      </c>
      <c r="L45" t="s">
        <v>727</v>
      </c>
      <c r="M45" t="s">
        <v>2478</v>
      </c>
      <c r="N45" t="s">
        <v>2478</v>
      </c>
      <c r="O45" t="s">
        <v>23</v>
      </c>
      <c r="P45" t="s">
        <v>24</v>
      </c>
      <c r="Q45" t="s">
        <v>102</v>
      </c>
      <c r="R45" t="s">
        <v>103</v>
      </c>
    </row>
    <row r="46" spans="1:18" x14ac:dyDescent="0.25">
      <c r="A46" t="s">
        <v>12992</v>
      </c>
      <c r="B46" t="s">
        <v>2487</v>
      </c>
      <c r="C46" t="str">
        <f>HYPERLINK("https://nematode.unl.edu/abesse12.jpg")</f>
        <v>https://nematode.unl.edu/abesse12.jpg</v>
      </c>
      <c r="D46" t="s">
        <v>43</v>
      </c>
      <c r="G46" t="s">
        <v>96</v>
      </c>
      <c r="H46" t="s">
        <v>18</v>
      </c>
      <c r="I46" t="s">
        <v>19</v>
      </c>
      <c r="J46" t="s">
        <v>46</v>
      </c>
      <c r="L46" t="s">
        <v>727</v>
      </c>
      <c r="M46" t="s">
        <v>2478</v>
      </c>
      <c r="N46" t="s">
        <v>2478</v>
      </c>
      <c r="O46" t="s">
        <v>23</v>
      </c>
      <c r="P46" t="s">
        <v>24</v>
      </c>
      <c r="Q46" t="s">
        <v>102</v>
      </c>
      <c r="R46" t="s">
        <v>103</v>
      </c>
    </row>
    <row r="47" spans="1:18" x14ac:dyDescent="0.25">
      <c r="A47" t="s">
        <v>13001</v>
      </c>
      <c r="B47" t="s">
        <v>2488</v>
      </c>
      <c r="C47" t="str">
        <f>HYPERLINK("https://nematode.unl.edu/abesse2.jpg")</f>
        <v>https://nematode.unl.edu/abesse2.jpg</v>
      </c>
      <c r="D47" t="s">
        <v>77</v>
      </c>
      <c r="G47" t="s">
        <v>1404</v>
      </c>
      <c r="I47" t="s">
        <v>19</v>
      </c>
      <c r="J47" t="s">
        <v>46</v>
      </c>
      <c r="L47" t="s">
        <v>727</v>
      </c>
      <c r="M47" t="s">
        <v>2478</v>
      </c>
      <c r="N47" t="s">
        <v>2478</v>
      </c>
      <c r="O47" t="s">
        <v>23</v>
      </c>
      <c r="P47" t="s">
        <v>24</v>
      </c>
      <c r="Q47" t="s">
        <v>102</v>
      </c>
      <c r="R47" t="s">
        <v>103</v>
      </c>
    </row>
    <row r="48" spans="1:18" x14ac:dyDescent="0.25">
      <c r="A48" t="s">
        <v>13002</v>
      </c>
      <c r="B48" t="s">
        <v>2489</v>
      </c>
      <c r="C48" t="str">
        <f>HYPERLINK("https://nematode.unl.edu/abesse3.jpg")</f>
        <v>https://nematode.unl.edu/abesse3.jpg</v>
      </c>
      <c r="D48" t="s">
        <v>77</v>
      </c>
      <c r="G48" t="s">
        <v>112</v>
      </c>
      <c r="I48" t="s">
        <v>41</v>
      </c>
      <c r="J48" t="s">
        <v>46</v>
      </c>
      <c r="L48" t="s">
        <v>727</v>
      </c>
      <c r="M48" t="s">
        <v>2478</v>
      </c>
      <c r="N48" t="s">
        <v>2478</v>
      </c>
      <c r="O48" t="s">
        <v>23</v>
      </c>
      <c r="P48" t="s">
        <v>24</v>
      </c>
      <c r="Q48" t="s">
        <v>102</v>
      </c>
      <c r="R48" t="s">
        <v>103</v>
      </c>
    </row>
    <row r="49" spans="1:18" x14ac:dyDescent="0.25">
      <c r="A49" t="s">
        <v>13004</v>
      </c>
      <c r="B49" t="s">
        <v>2490</v>
      </c>
      <c r="C49" t="str">
        <f>HYPERLINK("https://nematode.unl.edu/abesse4.jpg")</f>
        <v>https://nematode.unl.edu/abesse4.jpg</v>
      </c>
      <c r="D49" t="s">
        <v>77</v>
      </c>
      <c r="G49" t="s">
        <v>28</v>
      </c>
      <c r="I49" t="s">
        <v>19</v>
      </c>
      <c r="J49" t="s">
        <v>46</v>
      </c>
      <c r="L49" t="s">
        <v>727</v>
      </c>
      <c r="M49" t="s">
        <v>2478</v>
      </c>
      <c r="N49" t="s">
        <v>2478</v>
      </c>
      <c r="O49" t="s">
        <v>23</v>
      </c>
      <c r="P49" t="s">
        <v>24</v>
      </c>
      <c r="Q49" t="s">
        <v>102</v>
      </c>
      <c r="R49" t="s">
        <v>103</v>
      </c>
    </row>
    <row r="50" spans="1:18" x14ac:dyDescent="0.25">
      <c r="A50" t="s">
        <v>12995</v>
      </c>
      <c r="B50" t="s">
        <v>2491</v>
      </c>
      <c r="C50" t="str">
        <f>HYPERLINK("https://nematode.unl.edu/abesse5.jpg")</f>
        <v>https://nematode.unl.edu/abesse5.jpg</v>
      </c>
      <c r="D50" t="s">
        <v>43</v>
      </c>
      <c r="G50" t="s">
        <v>34</v>
      </c>
      <c r="H50" t="s">
        <v>18</v>
      </c>
      <c r="I50" t="s">
        <v>19</v>
      </c>
      <c r="J50" t="s">
        <v>46</v>
      </c>
      <c r="L50" t="s">
        <v>727</v>
      </c>
      <c r="M50" t="s">
        <v>2478</v>
      </c>
      <c r="N50" t="s">
        <v>2478</v>
      </c>
      <c r="O50" t="s">
        <v>23</v>
      </c>
      <c r="P50" t="s">
        <v>24</v>
      </c>
      <c r="Q50" t="s">
        <v>102</v>
      </c>
      <c r="R50" t="s">
        <v>103</v>
      </c>
    </row>
    <row r="51" spans="1:18" x14ac:dyDescent="0.25">
      <c r="A51" t="s">
        <v>13005</v>
      </c>
      <c r="B51" t="s">
        <v>2492</v>
      </c>
      <c r="C51" t="str">
        <f>HYPERLINK("https://nematode.unl.edu/abesse6.jpg")</f>
        <v>https://nematode.unl.edu/abesse6.jpg</v>
      </c>
      <c r="D51" t="s">
        <v>43</v>
      </c>
      <c r="G51" t="s">
        <v>28</v>
      </c>
      <c r="I51" t="s">
        <v>19</v>
      </c>
      <c r="J51" t="s">
        <v>46</v>
      </c>
      <c r="L51" t="s">
        <v>727</v>
      </c>
      <c r="M51" t="s">
        <v>2478</v>
      </c>
      <c r="N51" t="s">
        <v>2478</v>
      </c>
      <c r="O51" t="s">
        <v>23</v>
      </c>
      <c r="P51" t="s">
        <v>24</v>
      </c>
      <c r="Q51" t="s">
        <v>102</v>
      </c>
      <c r="R51" t="s">
        <v>103</v>
      </c>
    </row>
    <row r="52" spans="1:18" x14ac:dyDescent="0.25">
      <c r="A52" t="s">
        <v>13007</v>
      </c>
      <c r="B52" t="s">
        <v>2493</v>
      </c>
      <c r="C52" t="str">
        <f>HYPERLINK("https://nematode.unl.edu/abesse7.jpg")</f>
        <v>https://nematode.unl.edu/abesse7.jpg</v>
      </c>
      <c r="D52" t="s">
        <v>43</v>
      </c>
      <c r="G52" t="s">
        <v>51</v>
      </c>
      <c r="I52" t="s">
        <v>41</v>
      </c>
      <c r="J52" t="s">
        <v>46</v>
      </c>
      <c r="L52" t="s">
        <v>727</v>
      </c>
      <c r="M52" t="s">
        <v>2478</v>
      </c>
      <c r="N52" t="s">
        <v>2478</v>
      </c>
      <c r="O52" t="s">
        <v>23</v>
      </c>
      <c r="P52" t="s">
        <v>24</v>
      </c>
      <c r="Q52" t="s">
        <v>102</v>
      </c>
      <c r="R52" t="s">
        <v>103</v>
      </c>
    </row>
    <row r="53" spans="1:18" x14ac:dyDescent="0.25">
      <c r="A53" t="s">
        <v>13008</v>
      </c>
      <c r="B53" t="s">
        <v>2494</v>
      </c>
      <c r="C53" t="str">
        <f>HYPERLINK("https://nematode.unl.edu/abesse8.jpg")</f>
        <v>https://nematode.unl.edu/abesse8.jpg</v>
      </c>
      <c r="D53" t="s">
        <v>43</v>
      </c>
      <c r="G53" t="s">
        <v>51</v>
      </c>
      <c r="I53" t="s">
        <v>19</v>
      </c>
      <c r="J53" t="s">
        <v>46</v>
      </c>
      <c r="L53" t="s">
        <v>727</v>
      </c>
      <c r="M53" t="s">
        <v>2478</v>
      </c>
      <c r="N53" t="s">
        <v>2478</v>
      </c>
      <c r="O53" t="s">
        <v>23</v>
      </c>
      <c r="P53" t="s">
        <v>24</v>
      </c>
      <c r="Q53" t="s">
        <v>102</v>
      </c>
      <c r="R53" t="s">
        <v>103</v>
      </c>
    </row>
    <row r="54" spans="1:18" x14ac:dyDescent="0.25">
      <c r="A54" t="s">
        <v>13000</v>
      </c>
      <c r="B54" t="s">
        <v>2495</v>
      </c>
      <c r="C54" t="str">
        <f>HYPERLINK("https://nematode.unl.edu/abesse9.jpg")</f>
        <v>https://nematode.unl.edu/abesse9.jpg</v>
      </c>
      <c r="D54" t="s">
        <v>43</v>
      </c>
      <c r="G54" t="s">
        <v>1000</v>
      </c>
      <c r="I54" t="s">
        <v>19</v>
      </c>
      <c r="J54" t="s">
        <v>46</v>
      </c>
      <c r="L54" t="s">
        <v>727</v>
      </c>
      <c r="M54" t="s">
        <v>2478</v>
      </c>
      <c r="N54" t="s">
        <v>2478</v>
      </c>
      <c r="O54" t="s">
        <v>23</v>
      </c>
      <c r="P54" t="s">
        <v>24</v>
      </c>
      <c r="Q54" t="s">
        <v>102</v>
      </c>
      <c r="R54" t="s">
        <v>103</v>
      </c>
    </row>
    <row r="55" spans="1:18" x14ac:dyDescent="0.25">
      <c r="A55" t="s">
        <v>18862</v>
      </c>
      <c r="B55" t="s">
        <v>2611</v>
      </c>
      <c r="C55" t="str">
        <f>HYPERLINK("https://nematode.unl.edu/acapcmp.jpg")</f>
        <v>https://nematode.unl.edu/acapcmp.jpg</v>
      </c>
      <c r="D55" t="s">
        <v>43</v>
      </c>
      <c r="G55" t="s">
        <v>108</v>
      </c>
      <c r="M55" t="s">
        <v>2612</v>
      </c>
      <c r="N55" t="s">
        <v>2612</v>
      </c>
      <c r="O55" t="s">
        <v>73</v>
      </c>
      <c r="P55" t="s">
        <v>81</v>
      </c>
      <c r="Q55" t="s">
        <v>119</v>
      </c>
      <c r="R55" t="s">
        <v>118</v>
      </c>
    </row>
    <row r="56" spans="1:18" x14ac:dyDescent="0.25">
      <c r="A56" t="s">
        <v>13287</v>
      </c>
      <c r="B56" t="s">
        <v>2074</v>
      </c>
      <c r="C56" t="str">
        <f>HYPERLINK("https://nematode.unl.edu/acbuts1.jpg")</f>
        <v>https://nematode.unl.edu/acbuts1.jpg</v>
      </c>
      <c r="D56" t="s">
        <v>43</v>
      </c>
      <c r="G56" t="s">
        <v>53</v>
      </c>
      <c r="I56" t="s">
        <v>19</v>
      </c>
      <c r="J56" t="s">
        <v>20</v>
      </c>
      <c r="L56" t="s">
        <v>38</v>
      </c>
      <c r="M56" t="s">
        <v>2075</v>
      </c>
      <c r="N56" t="s">
        <v>2075</v>
      </c>
      <c r="O56" t="s">
        <v>23</v>
      </c>
      <c r="P56" t="s">
        <v>24</v>
      </c>
      <c r="Q56" t="s">
        <v>25</v>
      </c>
      <c r="R56" t="s">
        <v>32</v>
      </c>
    </row>
    <row r="57" spans="1:18" x14ac:dyDescent="0.25">
      <c r="A57" t="s">
        <v>13288</v>
      </c>
      <c r="B57" t="s">
        <v>2076</v>
      </c>
      <c r="C57" t="str">
        <f>HYPERLINK("https://nematode.unl.edu/acbuts2.jpg")</f>
        <v>https://nematode.unl.edu/acbuts2.jpg</v>
      </c>
      <c r="D57" t="s">
        <v>43</v>
      </c>
      <c r="G57" t="s">
        <v>28</v>
      </c>
      <c r="I57" t="s">
        <v>19</v>
      </c>
      <c r="J57" t="s">
        <v>20</v>
      </c>
      <c r="L57" t="s">
        <v>38</v>
      </c>
      <c r="M57" t="s">
        <v>2075</v>
      </c>
      <c r="N57" t="s">
        <v>2075</v>
      </c>
      <c r="O57" t="s">
        <v>23</v>
      </c>
      <c r="P57" t="s">
        <v>24</v>
      </c>
      <c r="Q57" t="s">
        <v>25</v>
      </c>
      <c r="R57" t="s">
        <v>32</v>
      </c>
    </row>
    <row r="58" spans="1:18" x14ac:dyDescent="0.25">
      <c r="A58" t="s">
        <v>13284</v>
      </c>
      <c r="B58" t="s">
        <v>2077</v>
      </c>
      <c r="C58" t="str">
        <f>HYPERLINK("https://nematode.unl.edu/acbuts3.jpg")</f>
        <v>https://nematode.unl.edu/acbuts3.jpg</v>
      </c>
      <c r="D58" t="s">
        <v>43</v>
      </c>
      <c r="G58" t="s">
        <v>34</v>
      </c>
      <c r="H58" t="s">
        <v>18</v>
      </c>
      <c r="I58" t="s">
        <v>19</v>
      </c>
      <c r="J58" t="s">
        <v>20</v>
      </c>
      <c r="L58" t="s">
        <v>38</v>
      </c>
      <c r="M58" t="s">
        <v>2075</v>
      </c>
      <c r="N58" t="s">
        <v>2075</v>
      </c>
      <c r="O58" t="s">
        <v>23</v>
      </c>
      <c r="P58" t="s">
        <v>24</v>
      </c>
      <c r="Q58" t="s">
        <v>25</v>
      </c>
      <c r="R58" t="s">
        <v>32</v>
      </c>
    </row>
    <row r="59" spans="1:18" x14ac:dyDescent="0.25">
      <c r="A59" t="s">
        <v>13286</v>
      </c>
      <c r="B59" t="s">
        <v>2078</v>
      </c>
      <c r="C59" t="str">
        <f>HYPERLINK("https://nematode.unl.edu/acbuts4.jpg")</f>
        <v>https://nematode.unl.edu/acbuts4.jpg</v>
      </c>
      <c r="D59" t="s">
        <v>43</v>
      </c>
      <c r="G59" t="s">
        <v>44</v>
      </c>
      <c r="I59" t="s">
        <v>91</v>
      </c>
      <c r="J59" t="s">
        <v>20</v>
      </c>
      <c r="L59" t="s">
        <v>38</v>
      </c>
      <c r="M59" t="s">
        <v>2075</v>
      </c>
      <c r="N59" t="s">
        <v>2075</v>
      </c>
      <c r="O59" t="s">
        <v>23</v>
      </c>
      <c r="P59" t="s">
        <v>24</v>
      </c>
      <c r="Q59" t="s">
        <v>25</v>
      </c>
      <c r="R59" t="s">
        <v>32</v>
      </c>
    </row>
    <row r="60" spans="1:18" x14ac:dyDescent="0.25">
      <c r="A60" t="s">
        <v>13273</v>
      </c>
      <c r="B60" t="s">
        <v>33</v>
      </c>
      <c r="C60" t="str">
        <f>HYPERLINK("https://nematode.unl.edu/acbuts5.jpg")</f>
        <v>https://nematode.unl.edu/acbuts5.jpg</v>
      </c>
      <c r="D60" t="s">
        <v>16</v>
      </c>
      <c r="G60" t="s">
        <v>34</v>
      </c>
      <c r="H60" t="s">
        <v>18</v>
      </c>
      <c r="I60" t="s">
        <v>19</v>
      </c>
      <c r="J60" t="s">
        <v>20</v>
      </c>
      <c r="L60" t="s">
        <v>35</v>
      </c>
      <c r="M60" t="s">
        <v>36</v>
      </c>
      <c r="N60" t="s">
        <v>31</v>
      </c>
      <c r="O60" t="s">
        <v>23</v>
      </c>
      <c r="P60" t="s">
        <v>24</v>
      </c>
      <c r="Q60" t="s">
        <v>25</v>
      </c>
      <c r="R60" t="s">
        <v>32</v>
      </c>
    </row>
    <row r="61" spans="1:18" x14ac:dyDescent="0.25">
      <c r="A61" t="s">
        <v>13276</v>
      </c>
      <c r="B61" t="s">
        <v>37</v>
      </c>
      <c r="C61" t="str">
        <f>HYPERLINK("https://nematode.unl.edu/acbuts6.jpg")</f>
        <v>https://nematode.unl.edu/acbuts6.jpg</v>
      </c>
      <c r="D61" t="s">
        <v>16</v>
      </c>
      <c r="G61" t="s">
        <v>28</v>
      </c>
      <c r="I61" t="s">
        <v>19</v>
      </c>
      <c r="J61" t="s">
        <v>20</v>
      </c>
      <c r="L61" t="s">
        <v>38</v>
      </c>
      <c r="M61" t="s">
        <v>36</v>
      </c>
      <c r="N61" t="s">
        <v>31</v>
      </c>
      <c r="O61" t="s">
        <v>23</v>
      </c>
      <c r="P61" t="s">
        <v>24</v>
      </c>
      <c r="Q61" t="s">
        <v>25</v>
      </c>
      <c r="R61" t="s">
        <v>32</v>
      </c>
    </row>
    <row r="62" spans="1:18" x14ac:dyDescent="0.25">
      <c r="A62" t="s">
        <v>13274</v>
      </c>
      <c r="B62" t="s">
        <v>39</v>
      </c>
      <c r="C62" t="str">
        <f>HYPERLINK("https://nematode.unl.edu/acbuts7.jpg")</f>
        <v>https://nematode.unl.edu/acbuts7.jpg</v>
      </c>
      <c r="D62" t="s">
        <v>16</v>
      </c>
      <c r="G62" t="s">
        <v>34</v>
      </c>
      <c r="H62" t="s">
        <v>18</v>
      </c>
      <c r="I62" t="s">
        <v>19</v>
      </c>
      <c r="J62" t="s">
        <v>20</v>
      </c>
      <c r="L62" t="s">
        <v>29</v>
      </c>
      <c r="M62" t="s">
        <v>36</v>
      </c>
      <c r="N62" t="s">
        <v>31</v>
      </c>
      <c r="O62" t="s">
        <v>23</v>
      </c>
      <c r="P62" t="s">
        <v>24</v>
      </c>
      <c r="Q62" t="s">
        <v>25</v>
      </c>
      <c r="R62" t="s">
        <v>32</v>
      </c>
    </row>
    <row r="63" spans="1:18" x14ac:dyDescent="0.25">
      <c r="A63" t="s">
        <v>13272</v>
      </c>
      <c r="B63" t="s">
        <v>27</v>
      </c>
      <c r="C63" t="str">
        <f>HYPERLINK("https://nematode.unl.edu/acbuts8.jpg")</f>
        <v>https://nematode.unl.edu/acbuts8.jpg</v>
      </c>
      <c r="D63" t="s">
        <v>16</v>
      </c>
      <c r="G63" t="s">
        <v>28</v>
      </c>
      <c r="I63" t="s">
        <v>19</v>
      </c>
      <c r="J63" t="s">
        <v>20</v>
      </c>
      <c r="L63" t="s">
        <v>29</v>
      </c>
      <c r="M63" t="s">
        <v>30</v>
      </c>
      <c r="N63" t="s">
        <v>31</v>
      </c>
      <c r="O63" t="s">
        <v>23</v>
      </c>
      <c r="P63" t="s">
        <v>24</v>
      </c>
      <c r="Q63" t="s">
        <v>25</v>
      </c>
      <c r="R63" t="s">
        <v>32</v>
      </c>
    </row>
    <row r="64" spans="1:18" x14ac:dyDescent="0.25">
      <c r="A64" t="s">
        <v>13275</v>
      </c>
      <c r="B64" t="s">
        <v>40</v>
      </c>
      <c r="C64" t="str">
        <f>HYPERLINK("https://nematode.unl.edu/acbuts9.jpg")</f>
        <v>https://nematode.unl.edu/acbuts9.jpg</v>
      </c>
      <c r="D64" t="s">
        <v>16</v>
      </c>
      <c r="G64" t="s">
        <v>34</v>
      </c>
      <c r="H64" t="s">
        <v>18</v>
      </c>
      <c r="I64" t="s">
        <v>41</v>
      </c>
      <c r="J64" t="s">
        <v>20</v>
      </c>
      <c r="L64" t="s">
        <v>29</v>
      </c>
      <c r="M64" t="s">
        <v>36</v>
      </c>
      <c r="N64" t="s">
        <v>31</v>
      </c>
      <c r="O64" t="s">
        <v>23</v>
      </c>
      <c r="P64" t="s">
        <v>24</v>
      </c>
      <c r="Q64" t="s">
        <v>25</v>
      </c>
      <c r="R64" t="s">
        <v>32</v>
      </c>
    </row>
    <row r="65" spans="1:18" x14ac:dyDescent="0.25">
      <c r="A65" t="s">
        <v>13221</v>
      </c>
      <c r="B65" t="s">
        <v>1995</v>
      </c>
      <c r="C65" t="str">
        <f>HYPERLINK("https://nematode.unl.edu/accil1.jpg")</f>
        <v>https://nematode.unl.edu/accil1.jpg</v>
      </c>
      <c r="D65" t="s">
        <v>43</v>
      </c>
      <c r="G65" t="s">
        <v>44</v>
      </c>
      <c r="I65" t="s">
        <v>19</v>
      </c>
      <c r="J65" t="s">
        <v>20</v>
      </c>
      <c r="L65" t="s">
        <v>1996</v>
      </c>
      <c r="M65" t="s">
        <v>1997</v>
      </c>
      <c r="N65" t="s">
        <v>1997</v>
      </c>
      <c r="O65" t="s">
        <v>23</v>
      </c>
      <c r="P65" t="s">
        <v>24</v>
      </c>
      <c r="Q65" t="s">
        <v>25</v>
      </c>
      <c r="R65" t="s">
        <v>26</v>
      </c>
    </row>
    <row r="66" spans="1:18" x14ac:dyDescent="0.25">
      <c r="A66" t="s">
        <v>13219</v>
      </c>
      <c r="B66" t="s">
        <v>1998</v>
      </c>
      <c r="C66" t="str">
        <f>HYPERLINK("https://nematode.unl.edu/accil10.jpg")</f>
        <v>https://nematode.unl.edu/accil10.jpg</v>
      </c>
      <c r="D66" t="s">
        <v>43</v>
      </c>
      <c r="G66" t="s">
        <v>384</v>
      </c>
      <c r="I66" t="s">
        <v>41</v>
      </c>
      <c r="J66" t="s">
        <v>20</v>
      </c>
      <c r="L66" t="s">
        <v>29</v>
      </c>
      <c r="M66" t="s">
        <v>1997</v>
      </c>
      <c r="N66" t="s">
        <v>1997</v>
      </c>
      <c r="O66" t="s">
        <v>23</v>
      </c>
      <c r="P66" t="s">
        <v>24</v>
      </c>
      <c r="Q66" t="s">
        <v>25</v>
      </c>
      <c r="R66" t="s">
        <v>26</v>
      </c>
    </row>
    <row r="67" spans="1:18" x14ac:dyDescent="0.25">
      <c r="A67" t="s">
        <v>13208</v>
      </c>
      <c r="B67" t="s">
        <v>1999</v>
      </c>
      <c r="C67" t="str">
        <f>HYPERLINK("https://nematode.unl.edu/accil11.jpg")</f>
        <v>https://nematode.unl.edu/accil11.jpg</v>
      </c>
      <c r="D67" t="s">
        <v>43</v>
      </c>
      <c r="G67" t="s">
        <v>34</v>
      </c>
      <c r="H67" t="s">
        <v>18</v>
      </c>
      <c r="I67" t="s">
        <v>41</v>
      </c>
      <c r="J67" t="s">
        <v>20</v>
      </c>
      <c r="L67" t="s">
        <v>29</v>
      </c>
      <c r="M67" t="s">
        <v>1997</v>
      </c>
      <c r="N67" t="s">
        <v>1997</v>
      </c>
      <c r="O67" t="s">
        <v>23</v>
      </c>
      <c r="P67" t="s">
        <v>24</v>
      </c>
      <c r="Q67" t="s">
        <v>25</v>
      </c>
      <c r="R67" t="s">
        <v>26</v>
      </c>
    </row>
    <row r="68" spans="1:18" x14ac:dyDescent="0.25">
      <c r="A68" t="s">
        <v>13209</v>
      </c>
      <c r="B68" t="s">
        <v>2000</v>
      </c>
      <c r="C68" t="str">
        <f>HYPERLINK("https://nematode.unl.edu/accil12.jpg")</f>
        <v>https://nematode.unl.edu/accil12.jpg</v>
      </c>
      <c r="D68" t="s">
        <v>43</v>
      </c>
      <c r="G68" t="s">
        <v>34</v>
      </c>
      <c r="H68" t="s">
        <v>18</v>
      </c>
      <c r="I68" t="s">
        <v>41</v>
      </c>
      <c r="J68" t="s">
        <v>20</v>
      </c>
      <c r="L68" t="s">
        <v>2001</v>
      </c>
      <c r="M68" t="s">
        <v>1997</v>
      </c>
      <c r="N68" t="s">
        <v>1997</v>
      </c>
      <c r="O68" t="s">
        <v>23</v>
      </c>
      <c r="P68" t="s">
        <v>24</v>
      </c>
      <c r="Q68" t="s">
        <v>25</v>
      </c>
      <c r="R68" t="s">
        <v>26</v>
      </c>
    </row>
    <row r="69" spans="1:18" x14ac:dyDescent="0.25">
      <c r="A69" t="s">
        <v>13222</v>
      </c>
      <c r="B69" t="s">
        <v>2002</v>
      </c>
      <c r="C69" t="str">
        <f>HYPERLINK("https://nematode.unl.edu/accil13.jpg")</f>
        <v>https://nematode.unl.edu/accil13.jpg</v>
      </c>
      <c r="D69" t="s">
        <v>43</v>
      </c>
      <c r="G69" t="s">
        <v>44</v>
      </c>
      <c r="I69" t="s">
        <v>45</v>
      </c>
      <c r="J69" t="s">
        <v>20</v>
      </c>
      <c r="L69" t="s">
        <v>38</v>
      </c>
      <c r="M69" t="s">
        <v>1997</v>
      </c>
      <c r="N69" t="s">
        <v>1997</v>
      </c>
      <c r="O69" t="s">
        <v>23</v>
      </c>
      <c r="P69" t="s">
        <v>24</v>
      </c>
      <c r="Q69" t="s">
        <v>25</v>
      </c>
      <c r="R69" t="s">
        <v>26</v>
      </c>
    </row>
    <row r="70" spans="1:18" x14ac:dyDescent="0.25">
      <c r="A70" t="s">
        <v>13225</v>
      </c>
      <c r="B70" t="s">
        <v>2003</v>
      </c>
      <c r="C70" t="str">
        <f>HYPERLINK("https://nematode.unl.edu/accil14.jpg")</f>
        <v>https://nematode.unl.edu/accil14.jpg</v>
      </c>
      <c r="D70" t="s">
        <v>43</v>
      </c>
      <c r="G70" t="s">
        <v>28</v>
      </c>
      <c r="I70" t="s">
        <v>19</v>
      </c>
      <c r="J70" t="s">
        <v>20</v>
      </c>
      <c r="L70" t="s">
        <v>38</v>
      </c>
      <c r="M70" t="s">
        <v>1997</v>
      </c>
      <c r="N70" t="s">
        <v>1997</v>
      </c>
      <c r="O70" t="s">
        <v>23</v>
      </c>
      <c r="P70" t="s">
        <v>24</v>
      </c>
      <c r="Q70" t="s">
        <v>25</v>
      </c>
      <c r="R70" t="s">
        <v>26</v>
      </c>
    </row>
    <row r="71" spans="1:18" x14ac:dyDescent="0.25">
      <c r="A71" t="s">
        <v>13228</v>
      </c>
      <c r="B71" t="s">
        <v>2004</v>
      </c>
      <c r="C71" t="str">
        <f>HYPERLINK("https://nematode.unl.edu/accil15.jpg")</f>
        <v>https://nematode.unl.edu/accil15.jpg</v>
      </c>
      <c r="D71" t="s">
        <v>43</v>
      </c>
      <c r="G71" t="s">
        <v>51</v>
      </c>
      <c r="I71" t="s">
        <v>19</v>
      </c>
      <c r="J71" t="s">
        <v>20</v>
      </c>
      <c r="L71" t="s">
        <v>38</v>
      </c>
      <c r="M71" t="s">
        <v>1997</v>
      </c>
      <c r="N71" t="s">
        <v>1997</v>
      </c>
      <c r="O71" t="s">
        <v>23</v>
      </c>
      <c r="P71" t="s">
        <v>24</v>
      </c>
      <c r="Q71" t="s">
        <v>25</v>
      </c>
      <c r="R71" t="s">
        <v>26</v>
      </c>
    </row>
    <row r="72" spans="1:18" x14ac:dyDescent="0.25">
      <c r="A72" t="s">
        <v>13210</v>
      </c>
      <c r="B72" t="s">
        <v>2005</v>
      </c>
      <c r="C72" t="str">
        <f>HYPERLINK("https://nematode.unl.edu/accil16.jpg")</f>
        <v>https://nematode.unl.edu/accil16.jpg</v>
      </c>
      <c r="D72" t="s">
        <v>43</v>
      </c>
      <c r="G72" t="s">
        <v>34</v>
      </c>
      <c r="H72" t="s">
        <v>18</v>
      </c>
      <c r="I72" t="s">
        <v>19</v>
      </c>
      <c r="J72" t="s">
        <v>20</v>
      </c>
      <c r="L72" t="s">
        <v>38</v>
      </c>
      <c r="M72" t="s">
        <v>1997</v>
      </c>
      <c r="N72" t="s">
        <v>1997</v>
      </c>
      <c r="O72" t="s">
        <v>23</v>
      </c>
      <c r="P72" t="s">
        <v>24</v>
      </c>
      <c r="Q72" t="s">
        <v>25</v>
      </c>
      <c r="R72" t="s">
        <v>26</v>
      </c>
    </row>
    <row r="73" spans="1:18" x14ac:dyDescent="0.25">
      <c r="A73" t="s">
        <v>13224</v>
      </c>
      <c r="B73" t="s">
        <v>2006</v>
      </c>
      <c r="C73" t="str">
        <f>HYPERLINK("https://nematode.unl.edu/accil17.jpg")</f>
        <v>https://nematode.unl.edu/accil17.jpg</v>
      </c>
      <c r="D73" t="s">
        <v>43</v>
      </c>
      <c r="G73" t="s">
        <v>53</v>
      </c>
      <c r="I73" t="s">
        <v>41</v>
      </c>
      <c r="J73" t="s">
        <v>20</v>
      </c>
      <c r="L73" t="s">
        <v>38</v>
      </c>
      <c r="M73" t="s">
        <v>1997</v>
      </c>
      <c r="N73" t="s">
        <v>1997</v>
      </c>
      <c r="O73" t="s">
        <v>23</v>
      </c>
      <c r="P73" t="s">
        <v>24</v>
      </c>
      <c r="Q73" t="s">
        <v>25</v>
      </c>
      <c r="R73" t="s">
        <v>26</v>
      </c>
    </row>
    <row r="74" spans="1:18" x14ac:dyDescent="0.25">
      <c r="A74" t="s">
        <v>13211</v>
      </c>
      <c r="B74" t="s">
        <v>2007</v>
      </c>
      <c r="C74" t="str">
        <f>HYPERLINK("https://nematode.unl.edu/accil18.jpg")</f>
        <v>https://nematode.unl.edu/accil18.jpg</v>
      </c>
      <c r="D74" t="s">
        <v>43</v>
      </c>
      <c r="G74" t="s">
        <v>34</v>
      </c>
      <c r="H74" t="s">
        <v>18</v>
      </c>
      <c r="I74" t="s">
        <v>41</v>
      </c>
      <c r="J74" t="s">
        <v>20</v>
      </c>
      <c r="L74" t="s">
        <v>38</v>
      </c>
      <c r="M74" t="s">
        <v>1997</v>
      </c>
      <c r="N74" t="s">
        <v>1997</v>
      </c>
      <c r="O74" t="s">
        <v>23</v>
      </c>
      <c r="P74" t="s">
        <v>24</v>
      </c>
      <c r="Q74" t="s">
        <v>25</v>
      </c>
      <c r="R74" t="s">
        <v>26</v>
      </c>
    </row>
    <row r="75" spans="1:18" x14ac:dyDescent="0.25">
      <c r="A75" t="s">
        <v>13212</v>
      </c>
      <c r="B75" t="s">
        <v>2008</v>
      </c>
      <c r="C75" t="str">
        <f>HYPERLINK("https://nematode.unl.edu/accil19.jpg")</f>
        <v>https://nematode.unl.edu/accil19.jpg</v>
      </c>
      <c r="D75" t="s">
        <v>43</v>
      </c>
      <c r="G75" t="s">
        <v>34</v>
      </c>
      <c r="H75" t="s">
        <v>18</v>
      </c>
      <c r="I75" t="s">
        <v>41</v>
      </c>
      <c r="J75" t="s">
        <v>20</v>
      </c>
      <c r="L75" t="s">
        <v>38</v>
      </c>
      <c r="M75" t="s">
        <v>1997</v>
      </c>
      <c r="N75" t="s">
        <v>1997</v>
      </c>
      <c r="O75" t="s">
        <v>23</v>
      </c>
      <c r="P75" t="s">
        <v>24</v>
      </c>
      <c r="Q75" t="s">
        <v>25</v>
      </c>
      <c r="R75" t="s">
        <v>26</v>
      </c>
    </row>
    <row r="76" spans="1:18" x14ac:dyDescent="0.25">
      <c r="A76" t="s">
        <v>13213</v>
      </c>
      <c r="B76" t="s">
        <v>2009</v>
      </c>
      <c r="C76" t="str">
        <f>HYPERLINK("https://nematode.unl.edu/accil2.jpg")</f>
        <v>https://nematode.unl.edu/accil2.jpg</v>
      </c>
      <c r="D76" t="s">
        <v>43</v>
      </c>
      <c r="G76" t="s">
        <v>34</v>
      </c>
      <c r="H76" t="s">
        <v>18</v>
      </c>
      <c r="I76" t="s">
        <v>19</v>
      </c>
      <c r="J76" t="s">
        <v>20</v>
      </c>
      <c r="L76" t="s">
        <v>206</v>
      </c>
      <c r="M76" t="s">
        <v>1997</v>
      </c>
      <c r="N76" t="s">
        <v>1997</v>
      </c>
      <c r="O76" t="s">
        <v>23</v>
      </c>
      <c r="P76" t="s">
        <v>24</v>
      </c>
      <c r="Q76" t="s">
        <v>25</v>
      </c>
      <c r="R76" t="s">
        <v>26</v>
      </c>
    </row>
    <row r="77" spans="1:18" x14ac:dyDescent="0.25">
      <c r="A77" t="s">
        <v>13214</v>
      </c>
      <c r="B77" t="s">
        <v>2010</v>
      </c>
      <c r="C77" t="str">
        <f>HYPERLINK("https://nematode.unl.edu/accil21.jpg")</f>
        <v>https://nematode.unl.edu/accil21.jpg</v>
      </c>
      <c r="D77" t="s">
        <v>43</v>
      </c>
      <c r="G77" t="s">
        <v>34</v>
      </c>
      <c r="H77" t="s">
        <v>18</v>
      </c>
      <c r="I77" t="s">
        <v>19</v>
      </c>
      <c r="J77" t="s">
        <v>20</v>
      </c>
      <c r="L77" t="s">
        <v>220</v>
      </c>
      <c r="M77" t="s">
        <v>1997</v>
      </c>
      <c r="N77" t="s">
        <v>1997</v>
      </c>
      <c r="O77" t="s">
        <v>23</v>
      </c>
      <c r="P77" t="s">
        <v>24</v>
      </c>
      <c r="Q77" t="s">
        <v>25</v>
      </c>
      <c r="R77" t="s">
        <v>26</v>
      </c>
    </row>
    <row r="78" spans="1:18" x14ac:dyDescent="0.25">
      <c r="A78" t="s">
        <v>13215</v>
      </c>
      <c r="B78" t="s">
        <v>2011</v>
      </c>
      <c r="C78" t="str">
        <f>HYPERLINK("https://nematode.unl.edu/accil22.jpg")</f>
        <v>https://nematode.unl.edu/accil22.jpg</v>
      </c>
      <c r="D78" t="s">
        <v>43</v>
      </c>
      <c r="G78" t="s">
        <v>34</v>
      </c>
      <c r="H78" t="s">
        <v>18</v>
      </c>
      <c r="I78" t="s">
        <v>41</v>
      </c>
      <c r="J78" t="s">
        <v>20</v>
      </c>
      <c r="L78" t="s">
        <v>220</v>
      </c>
      <c r="M78" t="s">
        <v>1997</v>
      </c>
      <c r="N78" t="s">
        <v>1997</v>
      </c>
      <c r="O78" t="s">
        <v>23</v>
      </c>
      <c r="P78" t="s">
        <v>24</v>
      </c>
      <c r="Q78" t="s">
        <v>25</v>
      </c>
      <c r="R78" t="s">
        <v>26</v>
      </c>
    </row>
    <row r="79" spans="1:18" x14ac:dyDescent="0.25">
      <c r="A79" t="s">
        <v>13216</v>
      </c>
      <c r="B79" t="s">
        <v>2012</v>
      </c>
      <c r="C79" t="str">
        <f>HYPERLINK("https://nematode.unl.edu/accil23.jpg")</f>
        <v>https://nematode.unl.edu/accil23.jpg</v>
      </c>
      <c r="D79" t="s">
        <v>43</v>
      </c>
      <c r="G79" t="s">
        <v>34</v>
      </c>
      <c r="H79" t="s">
        <v>18</v>
      </c>
      <c r="I79" t="s">
        <v>41</v>
      </c>
      <c r="J79" t="s">
        <v>20</v>
      </c>
      <c r="L79" t="s">
        <v>141</v>
      </c>
      <c r="M79" t="s">
        <v>1997</v>
      </c>
      <c r="N79" t="s">
        <v>1997</v>
      </c>
      <c r="O79" t="s">
        <v>23</v>
      </c>
      <c r="P79" t="s">
        <v>24</v>
      </c>
      <c r="Q79" t="s">
        <v>25</v>
      </c>
      <c r="R79" t="s">
        <v>26</v>
      </c>
    </row>
    <row r="80" spans="1:18" x14ac:dyDescent="0.25">
      <c r="A80" t="s">
        <v>13220</v>
      </c>
      <c r="B80" t="s">
        <v>2013</v>
      </c>
      <c r="C80" t="str">
        <f>HYPERLINK("https://nematode.unl.edu/accil3.jpg")</f>
        <v>https://nematode.unl.edu/accil3.jpg</v>
      </c>
      <c r="D80" t="s">
        <v>43</v>
      </c>
      <c r="G80" t="s">
        <v>384</v>
      </c>
      <c r="I80" t="s">
        <v>19</v>
      </c>
      <c r="J80" t="s">
        <v>20</v>
      </c>
      <c r="L80" t="s">
        <v>206</v>
      </c>
      <c r="M80" t="s">
        <v>1997</v>
      </c>
      <c r="N80" t="s">
        <v>1997</v>
      </c>
      <c r="O80" t="s">
        <v>23</v>
      </c>
      <c r="P80" t="s">
        <v>24</v>
      </c>
      <c r="Q80" t="s">
        <v>25</v>
      </c>
      <c r="R80" t="s">
        <v>26</v>
      </c>
    </row>
    <row r="81" spans="1:18" x14ac:dyDescent="0.25">
      <c r="A81" t="s">
        <v>13229</v>
      </c>
      <c r="B81" t="s">
        <v>2014</v>
      </c>
      <c r="C81" t="str">
        <f>HYPERLINK("https://nematode.unl.edu/accil4.jpg")</f>
        <v>https://nematode.unl.edu/accil4.jpg</v>
      </c>
      <c r="D81" t="s">
        <v>43</v>
      </c>
      <c r="G81" t="s">
        <v>51</v>
      </c>
      <c r="I81" t="s">
        <v>19</v>
      </c>
      <c r="J81" t="s">
        <v>20</v>
      </c>
      <c r="L81" t="s">
        <v>206</v>
      </c>
      <c r="M81" t="s">
        <v>1997</v>
      </c>
      <c r="N81" t="s">
        <v>1997</v>
      </c>
      <c r="O81" t="s">
        <v>23</v>
      </c>
      <c r="P81" t="s">
        <v>24</v>
      </c>
      <c r="Q81" t="s">
        <v>25</v>
      </c>
      <c r="R81" t="s">
        <v>26</v>
      </c>
    </row>
    <row r="82" spans="1:18" x14ac:dyDescent="0.25">
      <c r="A82" t="s">
        <v>13218</v>
      </c>
      <c r="B82" t="s">
        <v>2015</v>
      </c>
      <c r="C82" t="str">
        <f>HYPERLINK("https://nematode.unl.edu/accil5.jpg")</f>
        <v>https://nematode.unl.edu/accil5.jpg</v>
      </c>
      <c r="D82" t="s">
        <v>43</v>
      </c>
      <c r="G82" t="s">
        <v>905</v>
      </c>
      <c r="I82" t="s">
        <v>19</v>
      </c>
      <c r="J82" t="s">
        <v>20</v>
      </c>
      <c r="L82" t="s">
        <v>206</v>
      </c>
      <c r="M82" t="s">
        <v>1997</v>
      </c>
      <c r="N82" t="s">
        <v>1997</v>
      </c>
      <c r="O82" t="s">
        <v>23</v>
      </c>
      <c r="P82" t="s">
        <v>24</v>
      </c>
      <c r="Q82" t="s">
        <v>25</v>
      </c>
      <c r="R82" t="s">
        <v>26</v>
      </c>
    </row>
    <row r="83" spans="1:18" x14ac:dyDescent="0.25">
      <c r="A83" t="s">
        <v>13226</v>
      </c>
      <c r="B83" t="s">
        <v>2016</v>
      </c>
      <c r="C83" t="str">
        <f>HYPERLINK("https://nematode.unl.edu/accil6.jpg")</f>
        <v>https://nematode.unl.edu/accil6.jpg</v>
      </c>
      <c r="D83" t="s">
        <v>43</v>
      </c>
      <c r="G83" t="s">
        <v>28</v>
      </c>
      <c r="I83" t="s">
        <v>19</v>
      </c>
      <c r="J83" t="s">
        <v>20</v>
      </c>
      <c r="L83" t="s">
        <v>206</v>
      </c>
      <c r="M83" t="s">
        <v>1997</v>
      </c>
      <c r="N83" t="s">
        <v>1997</v>
      </c>
      <c r="O83" t="s">
        <v>23</v>
      </c>
      <c r="P83" t="s">
        <v>24</v>
      </c>
      <c r="Q83" t="s">
        <v>25</v>
      </c>
      <c r="R83" t="s">
        <v>26</v>
      </c>
    </row>
    <row r="84" spans="1:18" x14ac:dyDescent="0.25">
      <c r="A84" t="s">
        <v>13207</v>
      </c>
      <c r="B84" t="s">
        <v>2017</v>
      </c>
      <c r="C84" t="str">
        <f>HYPERLINK("https://nematode.unl.edu/accil7.jpg")</f>
        <v>https://nematode.unl.edu/accil7.jpg</v>
      </c>
      <c r="D84" t="s">
        <v>43</v>
      </c>
      <c r="G84" t="s">
        <v>96</v>
      </c>
      <c r="H84" t="s">
        <v>18</v>
      </c>
      <c r="I84" t="s">
        <v>19</v>
      </c>
      <c r="J84" t="s">
        <v>20</v>
      </c>
      <c r="L84" t="s">
        <v>206</v>
      </c>
      <c r="M84" t="s">
        <v>1997</v>
      </c>
      <c r="N84" t="s">
        <v>1997</v>
      </c>
      <c r="O84" t="s">
        <v>23</v>
      </c>
      <c r="P84" t="s">
        <v>24</v>
      </c>
      <c r="Q84" t="s">
        <v>25</v>
      </c>
      <c r="R84" t="s">
        <v>26</v>
      </c>
    </row>
    <row r="85" spans="1:18" x14ac:dyDescent="0.25">
      <c r="A85" t="s">
        <v>13227</v>
      </c>
      <c r="B85" t="s">
        <v>2018</v>
      </c>
      <c r="C85" t="str">
        <f>HYPERLINK("https://nematode.unl.edu/accil8.jpg")</f>
        <v>https://nematode.unl.edu/accil8.jpg</v>
      </c>
      <c r="D85" t="s">
        <v>43</v>
      </c>
      <c r="G85" t="s">
        <v>28</v>
      </c>
      <c r="I85" t="s">
        <v>19</v>
      </c>
      <c r="J85" t="s">
        <v>20</v>
      </c>
      <c r="L85" t="s">
        <v>29</v>
      </c>
      <c r="M85" t="s">
        <v>1997</v>
      </c>
      <c r="N85" t="s">
        <v>1997</v>
      </c>
      <c r="O85" t="s">
        <v>23</v>
      </c>
      <c r="P85" t="s">
        <v>24</v>
      </c>
      <c r="Q85" t="s">
        <v>25</v>
      </c>
      <c r="R85" t="s">
        <v>26</v>
      </c>
    </row>
    <row r="86" spans="1:18" x14ac:dyDescent="0.25">
      <c r="A86" t="s">
        <v>13217</v>
      </c>
      <c r="B86" t="s">
        <v>2019</v>
      </c>
      <c r="C86" t="str">
        <f>HYPERLINK("https://nematode.unl.edu/accil9.jpg")</f>
        <v>https://nematode.unl.edu/accil9.jpg</v>
      </c>
      <c r="D86" t="s">
        <v>43</v>
      </c>
      <c r="G86" t="s">
        <v>34</v>
      </c>
      <c r="H86" t="s">
        <v>18</v>
      </c>
      <c r="I86" t="s">
        <v>19</v>
      </c>
      <c r="J86" t="s">
        <v>20</v>
      </c>
      <c r="L86" t="s">
        <v>29</v>
      </c>
      <c r="M86" t="s">
        <v>1997</v>
      </c>
      <c r="N86" t="s">
        <v>1997</v>
      </c>
      <c r="O86" t="s">
        <v>23</v>
      </c>
      <c r="P86" t="s">
        <v>24</v>
      </c>
      <c r="Q86" t="s">
        <v>25</v>
      </c>
      <c r="R86" t="s">
        <v>26</v>
      </c>
    </row>
    <row r="87" spans="1:18" x14ac:dyDescent="0.25">
      <c r="A87" t="s">
        <v>13223</v>
      </c>
      <c r="B87" t="s">
        <v>2020</v>
      </c>
      <c r="C87" t="str">
        <f>HYPERLINK("https://nematode.unl.edu/accilidrw.jpg")</f>
        <v>https://nematode.unl.edu/accilidrw.jpg</v>
      </c>
      <c r="G87" t="s">
        <v>108</v>
      </c>
      <c r="M87" t="s">
        <v>1997</v>
      </c>
      <c r="N87" t="s">
        <v>1997</v>
      </c>
      <c r="O87" t="s">
        <v>23</v>
      </c>
      <c r="P87" t="s">
        <v>24</v>
      </c>
      <c r="Q87" t="s">
        <v>25</v>
      </c>
      <c r="R87" t="s">
        <v>26</v>
      </c>
    </row>
    <row r="88" spans="1:18" x14ac:dyDescent="0.25">
      <c r="A88" t="s">
        <v>13244</v>
      </c>
      <c r="B88" t="s">
        <v>2038</v>
      </c>
      <c r="C88" t="str">
        <f>HYPERLINK("https://nematode.unl.edu/accte1.jpg")</f>
        <v>https://nematode.unl.edu/accte1.jpg</v>
      </c>
      <c r="D88" t="s">
        <v>43</v>
      </c>
      <c r="G88" t="s">
        <v>34</v>
      </c>
      <c r="H88" t="s">
        <v>18</v>
      </c>
      <c r="I88" t="s">
        <v>19</v>
      </c>
      <c r="J88" t="s">
        <v>161</v>
      </c>
      <c r="L88" t="s">
        <v>162</v>
      </c>
      <c r="M88" t="s">
        <v>2039</v>
      </c>
      <c r="N88" t="s">
        <v>2039</v>
      </c>
      <c r="O88" t="s">
        <v>23</v>
      </c>
      <c r="P88" t="s">
        <v>24</v>
      </c>
      <c r="Q88" t="s">
        <v>25</v>
      </c>
      <c r="R88" t="s">
        <v>26</v>
      </c>
    </row>
    <row r="89" spans="1:18" x14ac:dyDescent="0.25">
      <c r="A89" t="s">
        <v>13256</v>
      </c>
      <c r="B89" t="s">
        <v>2040</v>
      </c>
      <c r="C89" t="str">
        <f>HYPERLINK("https://nematode.unl.edu/accte2.jpg")</f>
        <v>https://nematode.unl.edu/accte2.jpg</v>
      </c>
      <c r="D89" t="s">
        <v>43</v>
      </c>
      <c r="G89" t="s">
        <v>28</v>
      </c>
      <c r="I89" t="s">
        <v>19</v>
      </c>
      <c r="J89" t="s">
        <v>161</v>
      </c>
      <c r="L89" t="s">
        <v>162</v>
      </c>
      <c r="M89" t="s">
        <v>2039</v>
      </c>
      <c r="N89" t="s">
        <v>2039</v>
      </c>
      <c r="O89" t="s">
        <v>23</v>
      </c>
      <c r="P89" t="s">
        <v>24</v>
      </c>
      <c r="Q89" t="s">
        <v>25</v>
      </c>
      <c r="R89" t="s">
        <v>26</v>
      </c>
    </row>
    <row r="90" spans="1:18" x14ac:dyDescent="0.25">
      <c r="A90" t="s">
        <v>13245</v>
      </c>
      <c r="B90" t="s">
        <v>2041</v>
      </c>
      <c r="C90" t="str">
        <f>HYPERLINK("https://nematode.unl.edu/accte3.jpg")</f>
        <v>https://nematode.unl.edu/accte3.jpg</v>
      </c>
      <c r="D90" t="s">
        <v>43</v>
      </c>
      <c r="G90" t="s">
        <v>34</v>
      </c>
      <c r="H90" t="s">
        <v>18</v>
      </c>
      <c r="I90" t="s">
        <v>41</v>
      </c>
      <c r="J90" t="s">
        <v>161</v>
      </c>
      <c r="L90" t="s">
        <v>162</v>
      </c>
      <c r="M90" t="s">
        <v>2039</v>
      </c>
      <c r="N90" t="s">
        <v>2039</v>
      </c>
      <c r="O90" t="s">
        <v>23</v>
      </c>
      <c r="P90" t="s">
        <v>24</v>
      </c>
      <c r="Q90" t="s">
        <v>25</v>
      </c>
      <c r="R90" t="s">
        <v>26</v>
      </c>
    </row>
    <row r="91" spans="1:18" x14ac:dyDescent="0.25">
      <c r="A91" t="s">
        <v>13315</v>
      </c>
      <c r="B91" t="s">
        <v>449</v>
      </c>
      <c r="C91" t="str">
        <f>HYPERLINK("https://nematode.unl.edu/aceph1.jpg")</f>
        <v>https://nematode.unl.edu/aceph1.jpg</v>
      </c>
      <c r="D91" t="s">
        <v>43</v>
      </c>
      <c r="G91" t="s">
        <v>44</v>
      </c>
      <c r="I91" t="s">
        <v>45</v>
      </c>
      <c r="J91" t="s">
        <v>20</v>
      </c>
      <c r="L91" t="s">
        <v>35</v>
      </c>
      <c r="M91" t="s">
        <v>450</v>
      </c>
      <c r="N91" t="s">
        <v>451</v>
      </c>
      <c r="O91" t="s">
        <v>23</v>
      </c>
      <c r="P91" t="s">
        <v>24</v>
      </c>
      <c r="Q91" t="s">
        <v>25</v>
      </c>
      <c r="R91" t="s">
        <v>452</v>
      </c>
    </row>
    <row r="92" spans="1:18" x14ac:dyDescent="0.25">
      <c r="A92" t="s">
        <v>13322</v>
      </c>
      <c r="B92" t="s">
        <v>453</v>
      </c>
      <c r="C92" t="str">
        <f>HYPERLINK("https://nematode.unl.edu/aceph10.jpg")</f>
        <v>https://nematode.unl.edu/aceph10.jpg</v>
      </c>
      <c r="D92" t="s">
        <v>43</v>
      </c>
      <c r="G92" t="s">
        <v>51</v>
      </c>
      <c r="I92" t="s">
        <v>19</v>
      </c>
      <c r="J92" t="s">
        <v>20</v>
      </c>
      <c r="L92" t="s">
        <v>217</v>
      </c>
      <c r="M92" t="s">
        <v>450</v>
      </c>
      <c r="N92" t="s">
        <v>451</v>
      </c>
      <c r="O92" t="s">
        <v>23</v>
      </c>
      <c r="P92" t="s">
        <v>24</v>
      </c>
      <c r="Q92" t="s">
        <v>25</v>
      </c>
      <c r="R92" t="s">
        <v>452</v>
      </c>
    </row>
    <row r="93" spans="1:18" x14ac:dyDescent="0.25">
      <c r="A93" t="s">
        <v>13316</v>
      </c>
      <c r="B93" t="s">
        <v>454</v>
      </c>
      <c r="C93" t="str">
        <f>HYPERLINK("https://nematode.unl.edu/aceph11.jpg")</f>
        <v>https://nematode.unl.edu/aceph11.jpg</v>
      </c>
      <c r="D93" t="s">
        <v>43</v>
      </c>
      <c r="G93" t="s">
        <v>44</v>
      </c>
      <c r="I93" t="s">
        <v>45</v>
      </c>
      <c r="J93" t="s">
        <v>20</v>
      </c>
      <c r="L93" t="s">
        <v>217</v>
      </c>
      <c r="M93" t="s">
        <v>450</v>
      </c>
      <c r="N93" t="s">
        <v>451</v>
      </c>
      <c r="O93" t="s">
        <v>23</v>
      </c>
      <c r="P93" t="s">
        <v>24</v>
      </c>
      <c r="Q93" t="s">
        <v>25</v>
      </c>
      <c r="R93" t="s">
        <v>452</v>
      </c>
    </row>
    <row r="94" spans="1:18" x14ac:dyDescent="0.25">
      <c r="A94" t="s">
        <v>13317</v>
      </c>
      <c r="B94" t="s">
        <v>455</v>
      </c>
      <c r="C94" t="str">
        <f>HYPERLINK("https://nematode.unl.edu/aceph12.jpg")</f>
        <v>https://nematode.unl.edu/aceph12.jpg</v>
      </c>
      <c r="D94" t="s">
        <v>16</v>
      </c>
      <c r="G94" t="s">
        <v>44</v>
      </c>
      <c r="I94" t="s">
        <v>45</v>
      </c>
      <c r="J94" t="s">
        <v>20</v>
      </c>
      <c r="L94" t="s">
        <v>456</v>
      </c>
      <c r="M94" t="s">
        <v>450</v>
      </c>
      <c r="N94" t="s">
        <v>451</v>
      </c>
      <c r="O94" t="s">
        <v>23</v>
      </c>
      <c r="P94" t="s">
        <v>24</v>
      </c>
      <c r="Q94" t="s">
        <v>25</v>
      </c>
      <c r="R94" t="s">
        <v>452</v>
      </c>
    </row>
    <row r="95" spans="1:18" x14ac:dyDescent="0.25">
      <c r="A95" t="s">
        <v>13308</v>
      </c>
      <c r="B95" t="s">
        <v>457</v>
      </c>
      <c r="C95" t="str">
        <f>HYPERLINK("https://nematode.unl.edu/aceph13.jpg")</f>
        <v>https://nematode.unl.edu/aceph13.jpg</v>
      </c>
      <c r="D95" t="s">
        <v>16</v>
      </c>
      <c r="G95" t="s">
        <v>34</v>
      </c>
      <c r="H95" t="s">
        <v>18</v>
      </c>
      <c r="I95" t="s">
        <v>19</v>
      </c>
      <c r="J95" t="s">
        <v>20</v>
      </c>
      <c r="L95" t="s">
        <v>456</v>
      </c>
      <c r="M95" t="s">
        <v>450</v>
      </c>
      <c r="N95" t="s">
        <v>451</v>
      </c>
      <c r="O95" t="s">
        <v>23</v>
      </c>
      <c r="P95" t="s">
        <v>24</v>
      </c>
      <c r="Q95" t="s">
        <v>25</v>
      </c>
      <c r="R95" t="s">
        <v>452</v>
      </c>
    </row>
    <row r="96" spans="1:18" x14ac:dyDescent="0.25">
      <c r="A96" t="s">
        <v>13323</v>
      </c>
      <c r="B96" t="s">
        <v>458</v>
      </c>
      <c r="C96" t="str">
        <f>HYPERLINK("https://nematode.unl.edu/aceph14.jpg")</f>
        <v>https://nematode.unl.edu/aceph14.jpg</v>
      </c>
      <c r="D96" t="s">
        <v>43</v>
      </c>
      <c r="G96" t="s">
        <v>51</v>
      </c>
      <c r="I96" t="s">
        <v>19</v>
      </c>
      <c r="J96" t="s">
        <v>20</v>
      </c>
      <c r="L96" t="s">
        <v>456</v>
      </c>
      <c r="M96" t="s">
        <v>450</v>
      </c>
      <c r="N96" t="s">
        <v>451</v>
      </c>
      <c r="O96" t="s">
        <v>23</v>
      </c>
      <c r="P96" t="s">
        <v>24</v>
      </c>
      <c r="Q96" t="s">
        <v>25</v>
      </c>
      <c r="R96" t="s">
        <v>452</v>
      </c>
    </row>
    <row r="97" spans="1:18" x14ac:dyDescent="0.25">
      <c r="A97" t="s">
        <v>13318</v>
      </c>
      <c r="B97" t="s">
        <v>459</v>
      </c>
      <c r="C97" t="str">
        <f>HYPERLINK("https://nematode.unl.edu/aceph15.jpg")</f>
        <v>https://nematode.unl.edu/aceph15.jpg</v>
      </c>
      <c r="D97" t="s">
        <v>43</v>
      </c>
      <c r="G97" t="s">
        <v>28</v>
      </c>
      <c r="I97" t="s">
        <v>19</v>
      </c>
      <c r="J97" t="s">
        <v>20</v>
      </c>
      <c r="L97" t="s">
        <v>456</v>
      </c>
      <c r="M97" t="s">
        <v>450</v>
      </c>
      <c r="N97" t="s">
        <v>451</v>
      </c>
      <c r="O97" t="s">
        <v>23</v>
      </c>
      <c r="P97" t="s">
        <v>24</v>
      </c>
      <c r="Q97" t="s">
        <v>25</v>
      </c>
      <c r="R97" t="s">
        <v>452</v>
      </c>
    </row>
    <row r="98" spans="1:18" x14ac:dyDescent="0.25">
      <c r="A98" t="s">
        <v>13309</v>
      </c>
      <c r="B98" t="s">
        <v>460</v>
      </c>
      <c r="C98" t="str">
        <f>HYPERLINK("https://nematode.unl.edu/aceph16.jpg")</f>
        <v>https://nematode.unl.edu/aceph16.jpg</v>
      </c>
      <c r="D98" t="s">
        <v>16</v>
      </c>
      <c r="G98" t="s">
        <v>34</v>
      </c>
      <c r="H98" t="s">
        <v>18</v>
      </c>
      <c r="I98" t="s">
        <v>19</v>
      </c>
      <c r="J98" t="s">
        <v>20</v>
      </c>
      <c r="L98" t="s">
        <v>456</v>
      </c>
      <c r="M98" t="s">
        <v>450</v>
      </c>
      <c r="N98" t="s">
        <v>451</v>
      </c>
      <c r="O98" t="s">
        <v>23</v>
      </c>
      <c r="P98" t="s">
        <v>24</v>
      </c>
      <c r="Q98" t="s">
        <v>25</v>
      </c>
      <c r="R98" t="s">
        <v>452</v>
      </c>
    </row>
    <row r="99" spans="1:18" x14ac:dyDescent="0.25">
      <c r="A99" t="s">
        <v>13310</v>
      </c>
      <c r="B99" t="s">
        <v>461</v>
      </c>
      <c r="C99" t="str">
        <f>HYPERLINK("https://nematode.unl.edu/aceph2.jpg")</f>
        <v>https://nematode.unl.edu/aceph2.jpg</v>
      </c>
      <c r="D99" t="s">
        <v>43</v>
      </c>
      <c r="G99" t="s">
        <v>34</v>
      </c>
      <c r="H99" t="s">
        <v>18</v>
      </c>
      <c r="I99" t="s">
        <v>19</v>
      </c>
      <c r="J99" t="s">
        <v>20</v>
      </c>
      <c r="L99" t="s">
        <v>35</v>
      </c>
      <c r="M99" t="s">
        <v>450</v>
      </c>
      <c r="N99" t="s">
        <v>451</v>
      </c>
      <c r="O99" t="s">
        <v>23</v>
      </c>
      <c r="P99" t="s">
        <v>24</v>
      </c>
      <c r="Q99" t="s">
        <v>25</v>
      </c>
      <c r="R99" t="s">
        <v>452</v>
      </c>
    </row>
    <row r="100" spans="1:18" x14ac:dyDescent="0.25">
      <c r="A100" t="s">
        <v>13319</v>
      </c>
      <c r="B100" t="s">
        <v>462</v>
      </c>
      <c r="C100" t="str">
        <f>HYPERLINK("https://nematode.unl.edu/aceph3.jpg")</f>
        <v>https://nematode.unl.edu/aceph3.jpg</v>
      </c>
      <c r="D100" t="s">
        <v>43</v>
      </c>
      <c r="G100" t="s">
        <v>28</v>
      </c>
      <c r="I100" t="s">
        <v>19</v>
      </c>
      <c r="J100" t="s">
        <v>20</v>
      </c>
      <c r="L100" t="s">
        <v>35</v>
      </c>
      <c r="M100" t="s">
        <v>450</v>
      </c>
      <c r="N100" t="s">
        <v>451</v>
      </c>
      <c r="O100" t="s">
        <v>23</v>
      </c>
      <c r="P100" t="s">
        <v>24</v>
      </c>
      <c r="Q100" t="s">
        <v>25</v>
      </c>
      <c r="R100" t="s">
        <v>452</v>
      </c>
    </row>
    <row r="101" spans="1:18" x14ac:dyDescent="0.25">
      <c r="A101" t="s">
        <v>13311</v>
      </c>
      <c r="B101" t="s">
        <v>463</v>
      </c>
      <c r="C101" t="str">
        <f>HYPERLINK("https://nematode.unl.edu/aceph4.jpg")</f>
        <v>https://nematode.unl.edu/aceph4.jpg</v>
      </c>
      <c r="D101" t="s">
        <v>43</v>
      </c>
      <c r="G101" t="s">
        <v>34</v>
      </c>
      <c r="H101" t="s">
        <v>18</v>
      </c>
      <c r="I101" t="s">
        <v>41</v>
      </c>
      <c r="J101" t="s">
        <v>20</v>
      </c>
      <c r="L101" t="s">
        <v>35</v>
      </c>
      <c r="M101" t="s">
        <v>450</v>
      </c>
      <c r="N101" t="s">
        <v>451</v>
      </c>
      <c r="O101" t="s">
        <v>23</v>
      </c>
      <c r="P101" t="s">
        <v>24</v>
      </c>
      <c r="Q101" t="s">
        <v>25</v>
      </c>
      <c r="R101" t="s">
        <v>452</v>
      </c>
    </row>
    <row r="102" spans="1:18" x14ac:dyDescent="0.25">
      <c r="A102" t="s">
        <v>13312</v>
      </c>
      <c r="B102" t="s">
        <v>464</v>
      </c>
      <c r="C102" t="str">
        <f>HYPERLINK("https://nematode.unl.edu/aceph5.jpg")</f>
        <v>https://nematode.unl.edu/aceph5.jpg</v>
      </c>
      <c r="D102" t="s">
        <v>43</v>
      </c>
      <c r="G102" t="s">
        <v>34</v>
      </c>
      <c r="H102" t="s">
        <v>18</v>
      </c>
      <c r="I102" t="s">
        <v>41</v>
      </c>
      <c r="J102" t="s">
        <v>20</v>
      </c>
      <c r="L102" t="s">
        <v>35</v>
      </c>
      <c r="M102" t="s">
        <v>450</v>
      </c>
      <c r="N102" t="s">
        <v>451</v>
      </c>
      <c r="O102" t="s">
        <v>23</v>
      </c>
      <c r="P102" t="s">
        <v>24</v>
      </c>
      <c r="Q102" t="s">
        <v>25</v>
      </c>
      <c r="R102" t="s">
        <v>452</v>
      </c>
    </row>
    <row r="103" spans="1:18" x14ac:dyDescent="0.25">
      <c r="A103" t="s">
        <v>13313</v>
      </c>
      <c r="B103" t="s">
        <v>465</v>
      </c>
      <c r="C103" t="str">
        <f>HYPERLINK("https://nematode.unl.edu/aceph6.jpg")</f>
        <v>https://nematode.unl.edu/aceph6.jpg</v>
      </c>
      <c r="D103" t="s">
        <v>43</v>
      </c>
      <c r="G103" t="s">
        <v>34</v>
      </c>
      <c r="H103" t="s">
        <v>18</v>
      </c>
      <c r="I103" t="s">
        <v>41</v>
      </c>
      <c r="J103" t="s">
        <v>20</v>
      </c>
      <c r="L103" t="s">
        <v>217</v>
      </c>
      <c r="M103" t="s">
        <v>450</v>
      </c>
      <c r="N103" t="s">
        <v>451</v>
      </c>
      <c r="O103" t="s">
        <v>23</v>
      </c>
      <c r="P103" t="s">
        <v>24</v>
      </c>
      <c r="Q103" t="s">
        <v>25</v>
      </c>
      <c r="R103" t="s">
        <v>452</v>
      </c>
    </row>
    <row r="104" spans="1:18" x14ac:dyDescent="0.25">
      <c r="A104" t="s">
        <v>13320</v>
      </c>
      <c r="B104" t="s">
        <v>466</v>
      </c>
      <c r="C104" t="str">
        <f>HYPERLINK("https://nematode.unl.edu/aceph7.jpg")</f>
        <v>https://nematode.unl.edu/aceph7.jpg</v>
      </c>
      <c r="D104" t="s">
        <v>43</v>
      </c>
      <c r="G104" t="s">
        <v>28</v>
      </c>
      <c r="I104" t="s">
        <v>19</v>
      </c>
      <c r="J104" t="s">
        <v>20</v>
      </c>
      <c r="L104" t="s">
        <v>217</v>
      </c>
      <c r="M104" t="s">
        <v>450</v>
      </c>
      <c r="N104" t="s">
        <v>451</v>
      </c>
      <c r="O104" t="s">
        <v>23</v>
      </c>
      <c r="P104" t="s">
        <v>24</v>
      </c>
      <c r="Q104" t="s">
        <v>25</v>
      </c>
      <c r="R104" t="s">
        <v>452</v>
      </c>
    </row>
    <row r="105" spans="1:18" x14ac:dyDescent="0.25">
      <c r="A105" t="s">
        <v>13321</v>
      </c>
      <c r="B105" t="s">
        <v>467</v>
      </c>
      <c r="C105" t="str">
        <f>HYPERLINK("https://nematode.unl.edu/aceph8.jpg")</f>
        <v>https://nematode.unl.edu/aceph8.jpg</v>
      </c>
      <c r="D105" t="s">
        <v>43</v>
      </c>
      <c r="G105" t="s">
        <v>28</v>
      </c>
      <c r="I105" t="s">
        <v>19</v>
      </c>
      <c r="J105" t="s">
        <v>20</v>
      </c>
      <c r="L105" t="s">
        <v>217</v>
      </c>
      <c r="M105" t="s">
        <v>450</v>
      </c>
      <c r="N105" t="s">
        <v>451</v>
      </c>
      <c r="O105" t="s">
        <v>23</v>
      </c>
      <c r="P105" t="s">
        <v>24</v>
      </c>
      <c r="Q105" t="s">
        <v>25</v>
      </c>
      <c r="R105" t="s">
        <v>452</v>
      </c>
    </row>
    <row r="106" spans="1:18" x14ac:dyDescent="0.25">
      <c r="A106" t="s">
        <v>13314</v>
      </c>
      <c r="B106" t="s">
        <v>468</v>
      </c>
      <c r="C106" t="str">
        <f>HYPERLINK("https://nematode.unl.edu/aceph9.jpg")</f>
        <v>https://nematode.unl.edu/aceph9.jpg</v>
      </c>
      <c r="D106" t="s">
        <v>43</v>
      </c>
      <c r="G106" t="s">
        <v>34</v>
      </c>
      <c r="H106" t="s">
        <v>18</v>
      </c>
      <c r="I106" t="s">
        <v>19</v>
      </c>
      <c r="J106" t="s">
        <v>20</v>
      </c>
      <c r="L106" t="s">
        <v>217</v>
      </c>
      <c r="M106" t="s">
        <v>450</v>
      </c>
      <c r="N106" t="s">
        <v>451</v>
      </c>
      <c r="O106" t="s">
        <v>23</v>
      </c>
      <c r="P106" t="s">
        <v>24</v>
      </c>
      <c r="Q106" t="s">
        <v>25</v>
      </c>
      <c r="R106" t="s">
        <v>452</v>
      </c>
    </row>
    <row r="107" spans="1:18" x14ac:dyDescent="0.25">
      <c r="A107" t="s">
        <v>12173</v>
      </c>
      <c r="B107" t="s">
        <v>1943</v>
      </c>
      <c r="C107" t="str">
        <f>HYPERLINK("https://nematode.unl.edu/achroma1.jpg")</f>
        <v>https://nematode.unl.edu/achroma1.jpg</v>
      </c>
      <c r="D107" t="s">
        <v>43</v>
      </c>
      <c r="G107" t="s">
        <v>386</v>
      </c>
      <c r="H107" t="s">
        <v>18</v>
      </c>
      <c r="I107" t="s">
        <v>41</v>
      </c>
      <c r="J107" t="s">
        <v>1944</v>
      </c>
      <c r="L107" t="s">
        <v>1945</v>
      </c>
      <c r="M107" t="s">
        <v>1946</v>
      </c>
      <c r="N107" t="s">
        <v>1946</v>
      </c>
      <c r="O107" t="s">
        <v>23</v>
      </c>
      <c r="P107" t="s">
        <v>1947</v>
      </c>
      <c r="Q107" t="s">
        <v>1948</v>
      </c>
      <c r="R107" t="s">
        <v>1946</v>
      </c>
    </row>
    <row r="108" spans="1:18" x14ac:dyDescent="0.25">
      <c r="A108" t="s">
        <v>12176</v>
      </c>
      <c r="B108" t="s">
        <v>1949</v>
      </c>
      <c r="C108" t="str">
        <f>HYPERLINK("https://nematode.unl.edu/achroma10.jpg")</f>
        <v>https://nematode.unl.edu/achroma10.jpg</v>
      </c>
      <c r="D108" t="s">
        <v>43</v>
      </c>
      <c r="G108" t="s">
        <v>34</v>
      </c>
      <c r="H108" t="s">
        <v>18</v>
      </c>
      <c r="I108" t="s">
        <v>19</v>
      </c>
      <c r="J108" t="s">
        <v>1944</v>
      </c>
      <c r="L108" t="s">
        <v>1945</v>
      </c>
      <c r="M108" t="s">
        <v>1946</v>
      </c>
      <c r="N108" t="s">
        <v>1946</v>
      </c>
      <c r="O108" t="s">
        <v>23</v>
      </c>
      <c r="P108" t="s">
        <v>1947</v>
      </c>
      <c r="Q108" t="s">
        <v>1948</v>
      </c>
      <c r="R108" t="s">
        <v>1946</v>
      </c>
    </row>
    <row r="109" spans="1:18" x14ac:dyDescent="0.25">
      <c r="A109" t="s">
        <v>12181</v>
      </c>
      <c r="B109" t="s">
        <v>1950</v>
      </c>
      <c r="C109" t="str">
        <f>HYPERLINK("https://nematode.unl.edu/achroma2.jpg")</f>
        <v>https://nematode.unl.edu/achroma2.jpg</v>
      </c>
      <c r="D109" t="s">
        <v>43</v>
      </c>
      <c r="G109" t="s">
        <v>224</v>
      </c>
      <c r="I109" t="s">
        <v>19</v>
      </c>
      <c r="J109" t="s">
        <v>1944</v>
      </c>
      <c r="L109" t="s">
        <v>1945</v>
      </c>
      <c r="M109" t="s">
        <v>1946</v>
      </c>
      <c r="N109" t="s">
        <v>1946</v>
      </c>
      <c r="O109" t="s">
        <v>23</v>
      </c>
      <c r="P109" t="s">
        <v>1947</v>
      </c>
      <c r="Q109" t="s">
        <v>1948</v>
      </c>
      <c r="R109" t="s">
        <v>1946</v>
      </c>
    </row>
    <row r="110" spans="1:18" x14ac:dyDescent="0.25">
      <c r="A110" t="s">
        <v>12177</v>
      </c>
      <c r="B110" t="s">
        <v>1951</v>
      </c>
      <c r="C110" t="str">
        <f>HYPERLINK("https://nematode.unl.edu/achroma3.jpg")</f>
        <v>https://nematode.unl.edu/achroma3.jpg</v>
      </c>
      <c r="D110" t="s">
        <v>43</v>
      </c>
      <c r="G110" t="s">
        <v>34</v>
      </c>
      <c r="H110" t="s">
        <v>18</v>
      </c>
      <c r="I110" t="s">
        <v>41</v>
      </c>
      <c r="J110" t="s">
        <v>1944</v>
      </c>
      <c r="L110" t="s">
        <v>1945</v>
      </c>
      <c r="M110" t="s">
        <v>1946</v>
      </c>
      <c r="N110" t="s">
        <v>1946</v>
      </c>
      <c r="O110" t="s">
        <v>23</v>
      </c>
      <c r="P110" t="s">
        <v>1947</v>
      </c>
      <c r="Q110" t="s">
        <v>1948</v>
      </c>
      <c r="R110" t="s">
        <v>1946</v>
      </c>
    </row>
    <row r="111" spans="1:18" x14ac:dyDescent="0.25">
      <c r="A111" t="s">
        <v>12182</v>
      </c>
      <c r="B111" t="s">
        <v>1952</v>
      </c>
      <c r="C111" t="str">
        <f>HYPERLINK("https://nematode.unl.edu/achroma4.jpg")</f>
        <v>https://nematode.unl.edu/achroma4.jpg</v>
      </c>
      <c r="D111" t="s">
        <v>43</v>
      </c>
      <c r="G111" t="s">
        <v>51</v>
      </c>
      <c r="I111" t="s">
        <v>41</v>
      </c>
      <c r="J111" t="s">
        <v>1944</v>
      </c>
      <c r="L111" t="s">
        <v>1945</v>
      </c>
      <c r="M111" t="s">
        <v>1946</v>
      </c>
      <c r="N111" t="s">
        <v>1946</v>
      </c>
      <c r="O111" t="s">
        <v>23</v>
      </c>
      <c r="P111" t="s">
        <v>1947</v>
      </c>
      <c r="Q111" t="s">
        <v>1948</v>
      </c>
      <c r="R111" t="s">
        <v>1946</v>
      </c>
    </row>
    <row r="112" spans="1:18" x14ac:dyDescent="0.25">
      <c r="A112" t="s">
        <v>12174</v>
      </c>
      <c r="B112" t="s">
        <v>1953</v>
      </c>
      <c r="C112" t="str">
        <f>HYPERLINK("https://nematode.unl.edu/achroma5.jpg")</f>
        <v>https://nematode.unl.edu/achroma5.jpg</v>
      </c>
      <c r="D112" t="s">
        <v>43</v>
      </c>
      <c r="G112" t="s">
        <v>386</v>
      </c>
      <c r="H112" t="s">
        <v>18</v>
      </c>
      <c r="I112" t="s">
        <v>41</v>
      </c>
      <c r="J112" t="s">
        <v>1944</v>
      </c>
      <c r="L112" t="s">
        <v>1945</v>
      </c>
      <c r="M112" t="s">
        <v>1946</v>
      </c>
      <c r="N112" t="s">
        <v>1946</v>
      </c>
      <c r="O112" t="s">
        <v>23</v>
      </c>
      <c r="P112" t="s">
        <v>1947</v>
      </c>
      <c r="Q112" t="s">
        <v>1948</v>
      </c>
      <c r="R112" t="s">
        <v>1946</v>
      </c>
    </row>
    <row r="113" spans="1:18" x14ac:dyDescent="0.25">
      <c r="A113" t="s">
        <v>12180</v>
      </c>
      <c r="B113" t="s">
        <v>1954</v>
      </c>
      <c r="C113" t="str">
        <f>HYPERLINK("https://nematode.unl.edu/achroma6.jpg")</f>
        <v>https://nematode.unl.edu/achroma6.jpg</v>
      </c>
      <c r="D113" t="s">
        <v>43</v>
      </c>
      <c r="G113" t="s">
        <v>1955</v>
      </c>
      <c r="I113" t="s">
        <v>19</v>
      </c>
      <c r="J113" t="s">
        <v>1944</v>
      </c>
      <c r="L113" t="s">
        <v>1945</v>
      </c>
      <c r="M113" t="s">
        <v>1946</v>
      </c>
      <c r="N113" t="s">
        <v>1946</v>
      </c>
      <c r="O113" t="s">
        <v>23</v>
      </c>
      <c r="P113" t="s">
        <v>1947</v>
      </c>
      <c r="Q113" t="s">
        <v>1948</v>
      </c>
      <c r="R113" t="s">
        <v>1946</v>
      </c>
    </row>
    <row r="114" spans="1:18" x14ac:dyDescent="0.25">
      <c r="A114" t="s">
        <v>12175</v>
      </c>
      <c r="B114" t="s">
        <v>1956</v>
      </c>
      <c r="C114" t="str">
        <f>HYPERLINK("https://nematode.unl.edu/achroma7.jpg")</f>
        <v>https://nematode.unl.edu/achroma7.jpg</v>
      </c>
      <c r="D114" t="s">
        <v>43</v>
      </c>
      <c r="G114" t="s">
        <v>17</v>
      </c>
      <c r="H114" t="s">
        <v>18</v>
      </c>
      <c r="I114" t="s">
        <v>41</v>
      </c>
      <c r="J114" t="s">
        <v>1944</v>
      </c>
      <c r="L114" t="s">
        <v>1945</v>
      </c>
      <c r="M114" t="s">
        <v>1946</v>
      </c>
      <c r="N114" t="s">
        <v>1946</v>
      </c>
      <c r="O114" t="s">
        <v>23</v>
      </c>
      <c r="P114" t="s">
        <v>1947</v>
      </c>
      <c r="Q114" t="s">
        <v>1948</v>
      </c>
      <c r="R114" t="s">
        <v>1946</v>
      </c>
    </row>
    <row r="115" spans="1:18" x14ac:dyDescent="0.25">
      <c r="A115" t="s">
        <v>12178</v>
      </c>
      <c r="B115" t="s">
        <v>1957</v>
      </c>
      <c r="C115" t="str">
        <f>HYPERLINK("https://nematode.unl.edu/achroma8.jpg")</f>
        <v>https://nematode.unl.edu/achroma8.jpg</v>
      </c>
      <c r="D115" t="s">
        <v>43</v>
      </c>
      <c r="G115" t="s">
        <v>34</v>
      </c>
      <c r="H115" t="s">
        <v>18</v>
      </c>
      <c r="I115" t="s">
        <v>41</v>
      </c>
      <c r="J115" t="s">
        <v>1944</v>
      </c>
      <c r="L115" t="s">
        <v>1945</v>
      </c>
      <c r="M115" t="s">
        <v>1946</v>
      </c>
      <c r="N115" t="s">
        <v>1946</v>
      </c>
      <c r="O115" t="s">
        <v>23</v>
      </c>
      <c r="P115" t="s">
        <v>1947</v>
      </c>
      <c r="Q115" t="s">
        <v>1948</v>
      </c>
      <c r="R115" t="s">
        <v>1946</v>
      </c>
    </row>
    <row r="116" spans="1:18" x14ac:dyDescent="0.25">
      <c r="A116" t="s">
        <v>12179</v>
      </c>
      <c r="B116" t="s">
        <v>1958</v>
      </c>
      <c r="C116" t="str">
        <f>HYPERLINK("https://nematode.unl.edu/achroma9.jpg")</f>
        <v>https://nematode.unl.edu/achroma9.jpg</v>
      </c>
      <c r="D116" t="s">
        <v>43</v>
      </c>
      <c r="G116" t="s">
        <v>34</v>
      </c>
      <c r="H116" t="s">
        <v>18</v>
      </c>
      <c r="I116" t="s">
        <v>19</v>
      </c>
      <c r="J116" t="s">
        <v>1944</v>
      </c>
      <c r="L116" t="s">
        <v>1945</v>
      </c>
      <c r="M116" t="s">
        <v>1946</v>
      </c>
      <c r="N116" t="s">
        <v>1946</v>
      </c>
      <c r="O116" t="s">
        <v>23</v>
      </c>
      <c r="P116" t="s">
        <v>1947</v>
      </c>
      <c r="Q116" t="s">
        <v>1948</v>
      </c>
      <c r="R116" t="s">
        <v>1946</v>
      </c>
    </row>
    <row r="117" spans="1:18" x14ac:dyDescent="0.25">
      <c r="A117" t="s">
        <v>12209</v>
      </c>
      <c r="B117" t="s">
        <v>1959</v>
      </c>
      <c r="C117" t="str">
        <f>HYPERLINK("https://nematode.unl.edu/achrsp1.jpg")</f>
        <v>https://nematode.unl.edu/achrsp1.jpg</v>
      </c>
      <c r="D117" t="s">
        <v>43</v>
      </c>
      <c r="G117" t="s">
        <v>224</v>
      </c>
      <c r="I117" t="s">
        <v>41</v>
      </c>
      <c r="J117" t="s">
        <v>46</v>
      </c>
      <c r="L117" t="s">
        <v>105</v>
      </c>
      <c r="M117" t="s">
        <v>1946</v>
      </c>
      <c r="N117" t="s">
        <v>1946</v>
      </c>
      <c r="O117" t="s">
        <v>23</v>
      </c>
      <c r="P117" t="s">
        <v>1947</v>
      </c>
      <c r="Q117" t="s">
        <v>1948</v>
      </c>
      <c r="R117" t="s">
        <v>1946</v>
      </c>
    </row>
    <row r="118" spans="1:18" x14ac:dyDescent="0.25">
      <c r="A118" t="s">
        <v>12208</v>
      </c>
      <c r="B118" t="s">
        <v>1960</v>
      </c>
      <c r="C118" t="str">
        <f>HYPERLINK("https://nematode.unl.edu/achrsp2.jpg")</f>
        <v>https://nematode.unl.edu/achrsp2.jpg</v>
      </c>
      <c r="D118" t="s">
        <v>43</v>
      </c>
      <c r="G118" t="s">
        <v>44</v>
      </c>
      <c r="I118" t="s">
        <v>45</v>
      </c>
      <c r="J118" t="s">
        <v>46</v>
      </c>
      <c r="L118" t="s">
        <v>105</v>
      </c>
      <c r="M118" t="s">
        <v>1946</v>
      </c>
      <c r="N118" t="s">
        <v>1946</v>
      </c>
      <c r="O118" t="s">
        <v>23</v>
      </c>
      <c r="P118" t="s">
        <v>1947</v>
      </c>
      <c r="Q118" t="s">
        <v>1948</v>
      </c>
      <c r="R118" t="s">
        <v>1946</v>
      </c>
    </row>
    <row r="119" spans="1:18" x14ac:dyDescent="0.25">
      <c r="A119" t="s">
        <v>12211</v>
      </c>
      <c r="B119" t="s">
        <v>1961</v>
      </c>
      <c r="C119" t="str">
        <f>HYPERLINK("https://nematode.unl.edu/achrsp3.jpg")</f>
        <v>https://nematode.unl.edu/achrsp3.jpg</v>
      </c>
      <c r="D119" t="s">
        <v>43</v>
      </c>
      <c r="G119" t="s">
        <v>51</v>
      </c>
      <c r="I119" t="s">
        <v>19</v>
      </c>
      <c r="J119" t="s">
        <v>46</v>
      </c>
      <c r="L119" t="s">
        <v>105</v>
      </c>
      <c r="M119" t="s">
        <v>1946</v>
      </c>
      <c r="N119" t="s">
        <v>1946</v>
      </c>
      <c r="O119" t="s">
        <v>23</v>
      </c>
      <c r="P119" t="s">
        <v>1947</v>
      </c>
      <c r="Q119" t="s">
        <v>1948</v>
      </c>
      <c r="R119" t="s">
        <v>1946</v>
      </c>
    </row>
    <row r="120" spans="1:18" x14ac:dyDescent="0.25">
      <c r="A120" t="s">
        <v>12207</v>
      </c>
      <c r="B120" t="s">
        <v>1962</v>
      </c>
      <c r="C120" t="str">
        <f>HYPERLINK("https://nematode.unl.edu/achrsp4.jpg")</f>
        <v>https://nematode.unl.edu/achrsp4.jpg</v>
      </c>
      <c r="D120" t="s">
        <v>43</v>
      </c>
      <c r="G120" t="s">
        <v>34</v>
      </c>
      <c r="H120" t="s">
        <v>18</v>
      </c>
      <c r="I120" t="s">
        <v>19</v>
      </c>
      <c r="J120" t="s">
        <v>46</v>
      </c>
      <c r="L120" t="s">
        <v>105</v>
      </c>
      <c r="M120" t="s">
        <v>1946</v>
      </c>
      <c r="N120" t="s">
        <v>1946</v>
      </c>
      <c r="O120" t="s">
        <v>23</v>
      </c>
      <c r="P120" t="s">
        <v>1947</v>
      </c>
      <c r="Q120" t="s">
        <v>1948</v>
      </c>
      <c r="R120" t="s">
        <v>1946</v>
      </c>
    </row>
    <row r="121" spans="1:18" x14ac:dyDescent="0.25">
      <c r="A121" t="s">
        <v>12210</v>
      </c>
      <c r="B121" t="s">
        <v>1963</v>
      </c>
      <c r="C121" t="str">
        <f>HYPERLINK("https://nematode.unl.edu/achrsp5.jpg")</f>
        <v>https://nematode.unl.edu/achrsp5.jpg</v>
      </c>
      <c r="D121" t="s">
        <v>43</v>
      </c>
      <c r="G121" t="s">
        <v>28</v>
      </c>
      <c r="I121" t="s">
        <v>19</v>
      </c>
      <c r="J121" t="s">
        <v>46</v>
      </c>
      <c r="L121" t="s">
        <v>105</v>
      </c>
      <c r="M121" t="s">
        <v>1946</v>
      </c>
      <c r="N121" t="s">
        <v>1946</v>
      </c>
      <c r="O121" t="s">
        <v>23</v>
      </c>
      <c r="P121" t="s">
        <v>1947</v>
      </c>
      <c r="Q121" t="s">
        <v>1948</v>
      </c>
      <c r="R121" t="s">
        <v>1946</v>
      </c>
    </row>
    <row r="122" spans="1:18" x14ac:dyDescent="0.25">
      <c r="A122" t="s">
        <v>12187</v>
      </c>
      <c r="B122" t="s">
        <v>1964</v>
      </c>
      <c r="C122" t="str">
        <f>HYPERLINK("https://nematode.unl.edu/achrsp6.jpg")</f>
        <v>https://nematode.unl.edu/achrsp6.jpg</v>
      </c>
      <c r="D122" t="s">
        <v>43</v>
      </c>
      <c r="G122" t="s">
        <v>34</v>
      </c>
      <c r="H122" t="s">
        <v>18</v>
      </c>
      <c r="I122" t="s">
        <v>19</v>
      </c>
      <c r="J122" t="s">
        <v>20</v>
      </c>
      <c r="L122" t="s">
        <v>921</v>
      </c>
      <c r="M122" t="s">
        <v>1946</v>
      </c>
      <c r="N122" t="s">
        <v>1946</v>
      </c>
      <c r="O122" t="s">
        <v>23</v>
      </c>
      <c r="P122" t="s">
        <v>1947</v>
      </c>
      <c r="Q122" t="s">
        <v>1948</v>
      </c>
      <c r="R122" t="s">
        <v>1946</v>
      </c>
    </row>
    <row r="123" spans="1:18" x14ac:dyDescent="0.25">
      <c r="A123" t="s">
        <v>12183</v>
      </c>
      <c r="B123" t="s">
        <v>1965</v>
      </c>
      <c r="C123" t="str">
        <f>HYPERLINK("https://nematode.unl.edu/achrsp7.jpg")</f>
        <v>https://nematode.unl.edu/achrsp7.jpg</v>
      </c>
      <c r="D123" t="s">
        <v>43</v>
      </c>
      <c r="G123" t="s">
        <v>386</v>
      </c>
      <c r="H123" t="s">
        <v>18</v>
      </c>
      <c r="I123" t="s">
        <v>19</v>
      </c>
      <c r="J123" t="s">
        <v>20</v>
      </c>
      <c r="L123" t="s">
        <v>921</v>
      </c>
      <c r="M123" t="s">
        <v>1946</v>
      </c>
      <c r="N123" t="s">
        <v>1946</v>
      </c>
      <c r="O123" t="s">
        <v>23</v>
      </c>
      <c r="P123" t="s">
        <v>1947</v>
      </c>
      <c r="Q123" t="s">
        <v>1948</v>
      </c>
      <c r="R123" t="s">
        <v>1946</v>
      </c>
    </row>
    <row r="124" spans="1:18" x14ac:dyDescent="0.25">
      <c r="A124" t="s">
        <v>12194</v>
      </c>
      <c r="B124" t="s">
        <v>1966</v>
      </c>
      <c r="C124" t="str">
        <f>HYPERLINK("https://nematode.unl.edu/achrsp8.jpg")</f>
        <v>https://nematode.unl.edu/achrsp8.jpg</v>
      </c>
      <c r="D124" t="s">
        <v>43</v>
      </c>
      <c r="G124" t="s">
        <v>905</v>
      </c>
      <c r="I124" t="s">
        <v>19</v>
      </c>
      <c r="J124" t="s">
        <v>20</v>
      </c>
      <c r="L124" t="s">
        <v>921</v>
      </c>
      <c r="M124" t="s">
        <v>1946</v>
      </c>
      <c r="N124" t="s">
        <v>1946</v>
      </c>
      <c r="O124" t="s">
        <v>23</v>
      </c>
      <c r="P124" t="s">
        <v>1947</v>
      </c>
      <c r="Q124" t="s">
        <v>1948</v>
      </c>
      <c r="R124" t="s">
        <v>1946</v>
      </c>
    </row>
    <row r="125" spans="1:18" x14ac:dyDescent="0.25">
      <c r="A125" t="s">
        <v>12201</v>
      </c>
      <c r="B125" t="s">
        <v>1967</v>
      </c>
      <c r="C125" t="str">
        <f>HYPERLINK("https://nematode.unl.edu/achrsp9.jpg")</f>
        <v>https://nematode.unl.edu/achrsp9.jpg</v>
      </c>
      <c r="D125" t="s">
        <v>43</v>
      </c>
      <c r="G125" t="s">
        <v>422</v>
      </c>
      <c r="I125" t="s">
        <v>19</v>
      </c>
      <c r="J125" t="s">
        <v>20</v>
      </c>
      <c r="L125" t="s">
        <v>921</v>
      </c>
      <c r="M125" t="s">
        <v>1946</v>
      </c>
      <c r="N125" t="s">
        <v>1946</v>
      </c>
      <c r="O125" t="s">
        <v>23</v>
      </c>
      <c r="P125" t="s">
        <v>1947</v>
      </c>
      <c r="Q125" t="s">
        <v>1948</v>
      </c>
      <c r="R125" t="s">
        <v>1946</v>
      </c>
    </row>
    <row r="126" spans="1:18" x14ac:dyDescent="0.25">
      <c r="A126" t="s">
        <v>12184</v>
      </c>
      <c r="B126" t="s">
        <v>1968</v>
      </c>
      <c r="C126" t="str">
        <f>HYPERLINK("https://nematode.unl.edu/achrspk1.jpg")</f>
        <v>https://nematode.unl.edu/achrspk1.jpg</v>
      </c>
      <c r="D126" t="s">
        <v>43</v>
      </c>
      <c r="G126" t="s">
        <v>386</v>
      </c>
      <c r="H126" t="s">
        <v>18</v>
      </c>
      <c r="I126" t="s">
        <v>19</v>
      </c>
      <c r="J126" t="s">
        <v>20</v>
      </c>
      <c r="L126" t="s">
        <v>85</v>
      </c>
      <c r="M126" t="s">
        <v>1946</v>
      </c>
      <c r="N126" t="s">
        <v>1946</v>
      </c>
      <c r="O126" t="s">
        <v>23</v>
      </c>
      <c r="P126" t="s">
        <v>1947</v>
      </c>
      <c r="Q126" t="s">
        <v>1948</v>
      </c>
      <c r="R126" t="s">
        <v>1946</v>
      </c>
    </row>
    <row r="127" spans="1:18" x14ac:dyDescent="0.25">
      <c r="A127" t="s">
        <v>12196</v>
      </c>
      <c r="B127" t="s">
        <v>1969</v>
      </c>
      <c r="C127" t="str">
        <f>HYPERLINK("https://nematode.unl.edu/achrspk10.jpg")</f>
        <v>https://nematode.unl.edu/achrspk10.jpg</v>
      </c>
      <c r="D127" t="s">
        <v>16</v>
      </c>
      <c r="G127" t="s">
        <v>224</v>
      </c>
      <c r="I127" t="s">
        <v>41</v>
      </c>
      <c r="J127" t="s">
        <v>20</v>
      </c>
      <c r="L127" t="s">
        <v>85</v>
      </c>
      <c r="M127" t="s">
        <v>1946</v>
      </c>
      <c r="N127" t="s">
        <v>1946</v>
      </c>
      <c r="O127" t="s">
        <v>23</v>
      </c>
      <c r="P127" t="s">
        <v>1947</v>
      </c>
      <c r="Q127" t="s">
        <v>1948</v>
      </c>
      <c r="R127" t="s">
        <v>1946</v>
      </c>
    </row>
    <row r="128" spans="1:18" x14ac:dyDescent="0.25">
      <c r="A128" t="s">
        <v>12188</v>
      </c>
      <c r="B128" t="s">
        <v>1970</v>
      </c>
      <c r="C128" t="str">
        <f>HYPERLINK("https://nematode.unl.edu/achrspk11.jpg")</f>
        <v>https://nematode.unl.edu/achrspk11.jpg</v>
      </c>
      <c r="D128" t="s">
        <v>16</v>
      </c>
      <c r="G128" t="s">
        <v>34</v>
      </c>
      <c r="H128" t="s">
        <v>18</v>
      </c>
      <c r="I128" t="s">
        <v>19</v>
      </c>
      <c r="J128" t="s">
        <v>20</v>
      </c>
      <c r="L128" t="s">
        <v>78</v>
      </c>
      <c r="M128" t="s">
        <v>1946</v>
      </c>
      <c r="N128" t="s">
        <v>1946</v>
      </c>
      <c r="O128" t="s">
        <v>23</v>
      </c>
      <c r="P128" t="s">
        <v>1947</v>
      </c>
      <c r="Q128" t="s">
        <v>1948</v>
      </c>
      <c r="R128" t="s">
        <v>1946</v>
      </c>
    </row>
    <row r="129" spans="1:18" x14ac:dyDescent="0.25">
      <c r="A129" t="s">
        <v>12189</v>
      </c>
      <c r="B129" t="s">
        <v>1971</v>
      </c>
      <c r="C129" t="str">
        <f>HYPERLINK("https://nematode.unl.edu/achrspk12.jpg")</f>
        <v>https://nematode.unl.edu/achrspk12.jpg</v>
      </c>
      <c r="D129" t="s">
        <v>16</v>
      </c>
      <c r="G129" t="s">
        <v>34</v>
      </c>
      <c r="H129" t="s">
        <v>18</v>
      </c>
      <c r="I129" t="s">
        <v>41</v>
      </c>
      <c r="J129" t="s">
        <v>20</v>
      </c>
      <c r="L129" t="s">
        <v>85</v>
      </c>
      <c r="M129" t="s">
        <v>1946</v>
      </c>
      <c r="N129" t="s">
        <v>1946</v>
      </c>
      <c r="O129" t="s">
        <v>23</v>
      </c>
      <c r="P129" t="s">
        <v>1947</v>
      </c>
      <c r="Q129" t="s">
        <v>1948</v>
      </c>
      <c r="R129" t="s">
        <v>1946</v>
      </c>
    </row>
    <row r="130" spans="1:18" x14ac:dyDescent="0.25">
      <c r="A130" t="s">
        <v>12197</v>
      </c>
      <c r="B130" t="s">
        <v>1972</v>
      </c>
      <c r="C130" t="str">
        <f>HYPERLINK("https://nematode.unl.edu/achrspk14.jpg")</f>
        <v>https://nematode.unl.edu/achrspk14.jpg</v>
      </c>
      <c r="D130" t="s">
        <v>16</v>
      </c>
      <c r="G130" t="s">
        <v>224</v>
      </c>
      <c r="I130" t="s">
        <v>41</v>
      </c>
      <c r="J130" t="s">
        <v>20</v>
      </c>
      <c r="L130" t="s">
        <v>78</v>
      </c>
      <c r="M130" t="s">
        <v>1946</v>
      </c>
      <c r="N130" t="s">
        <v>1946</v>
      </c>
      <c r="O130" t="s">
        <v>23</v>
      </c>
      <c r="P130" t="s">
        <v>1947</v>
      </c>
      <c r="Q130" t="s">
        <v>1948</v>
      </c>
      <c r="R130" t="s">
        <v>1946</v>
      </c>
    </row>
    <row r="131" spans="1:18" x14ac:dyDescent="0.25">
      <c r="A131" t="s">
        <v>12190</v>
      </c>
      <c r="B131" t="s">
        <v>1973</v>
      </c>
      <c r="C131" t="str">
        <f>HYPERLINK("https://nematode.unl.edu/achrspk15.jpg")</f>
        <v>https://nematode.unl.edu/achrspk15.jpg</v>
      </c>
      <c r="D131" t="s">
        <v>43</v>
      </c>
      <c r="G131" t="s">
        <v>34</v>
      </c>
      <c r="H131" t="s">
        <v>18</v>
      </c>
      <c r="I131" t="s">
        <v>19</v>
      </c>
      <c r="J131" t="s">
        <v>20</v>
      </c>
      <c r="L131" t="s">
        <v>78</v>
      </c>
      <c r="M131" t="s">
        <v>1946</v>
      </c>
      <c r="N131" t="s">
        <v>1946</v>
      </c>
      <c r="O131" t="s">
        <v>23</v>
      </c>
      <c r="P131" t="s">
        <v>1947</v>
      </c>
      <c r="Q131" t="s">
        <v>1948</v>
      </c>
      <c r="R131" t="s">
        <v>1946</v>
      </c>
    </row>
    <row r="132" spans="1:18" x14ac:dyDescent="0.25">
      <c r="A132" t="s">
        <v>12198</v>
      </c>
      <c r="B132" t="s">
        <v>1974</v>
      </c>
      <c r="C132" t="str">
        <f>HYPERLINK("https://nematode.unl.edu/achrspk16.jpg")</f>
        <v>https://nematode.unl.edu/achrspk16.jpg</v>
      </c>
      <c r="D132" t="s">
        <v>43</v>
      </c>
      <c r="G132" t="s">
        <v>28</v>
      </c>
      <c r="I132" t="s">
        <v>19</v>
      </c>
      <c r="J132" t="s">
        <v>20</v>
      </c>
      <c r="L132" t="s">
        <v>78</v>
      </c>
      <c r="M132" t="s">
        <v>1946</v>
      </c>
      <c r="N132" t="s">
        <v>1946</v>
      </c>
      <c r="O132" t="s">
        <v>23</v>
      </c>
      <c r="P132" t="s">
        <v>1947</v>
      </c>
      <c r="Q132" t="s">
        <v>1948</v>
      </c>
      <c r="R132" t="s">
        <v>1946</v>
      </c>
    </row>
    <row r="133" spans="1:18" x14ac:dyDescent="0.25">
      <c r="A133" t="s">
        <v>12203</v>
      </c>
      <c r="B133" t="s">
        <v>1975</v>
      </c>
      <c r="C133" t="str">
        <f>HYPERLINK("https://nematode.unl.edu/achrspk17.jpg")</f>
        <v>https://nematode.unl.edu/achrspk17.jpg</v>
      </c>
      <c r="D133" t="s">
        <v>43</v>
      </c>
      <c r="G133" t="s">
        <v>51</v>
      </c>
      <c r="I133" t="s">
        <v>19</v>
      </c>
      <c r="J133" t="s">
        <v>20</v>
      </c>
      <c r="L133" t="s">
        <v>78</v>
      </c>
      <c r="M133" t="s">
        <v>1946</v>
      </c>
      <c r="N133" t="s">
        <v>1946</v>
      </c>
      <c r="O133" t="s">
        <v>23</v>
      </c>
      <c r="P133" t="s">
        <v>1947</v>
      </c>
      <c r="Q133" t="s">
        <v>1948</v>
      </c>
      <c r="R133" t="s">
        <v>1946</v>
      </c>
    </row>
    <row r="134" spans="1:18" x14ac:dyDescent="0.25">
      <c r="A134" t="s">
        <v>12204</v>
      </c>
      <c r="B134" t="s">
        <v>1976</v>
      </c>
      <c r="C134" t="str">
        <f>HYPERLINK("https://nematode.unl.edu/achrspk18.jpg")</f>
        <v>https://nematode.unl.edu/achrspk18.jpg</v>
      </c>
      <c r="D134" t="s">
        <v>43</v>
      </c>
      <c r="G134" t="s">
        <v>51</v>
      </c>
      <c r="I134" t="s">
        <v>19</v>
      </c>
      <c r="J134" t="s">
        <v>20</v>
      </c>
      <c r="L134" t="s">
        <v>1977</v>
      </c>
      <c r="M134" t="s">
        <v>1946</v>
      </c>
      <c r="N134" t="s">
        <v>1946</v>
      </c>
      <c r="O134" t="s">
        <v>23</v>
      </c>
      <c r="P134" t="s">
        <v>1947</v>
      </c>
      <c r="Q134" t="s">
        <v>1948</v>
      </c>
      <c r="R134" t="s">
        <v>1946</v>
      </c>
    </row>
    <row r="135" spans="1:18" x14ac:dyDescent="0.25">
      <c r="A135" t="s">
        <v>12199</v>
      </c>
      <c r="B135" t="s">
        <v>1978</v>
      </c>
      <c r="C135" t="str">
        <f>HYPERLINK("https://nematode.unl.edu/achrspk19.jpg")</f>
        <v>https://nematode.unl.edu/achrspk19.jpg</v>
      </c>
      <c r="D135" t="s">
        <v>43</v>
      </c>
      <c r="G135" t="s">
        <v>28</v>
      </c>
      <c r="I135" t="s">
        <v>19</v>
      </c>
      <c r="J135" t="s">
        <v>20</v>
      </c>
      <c r="L135" t="s">
        <v>85</v>
      </c>
      <c r="M135" t="s">
        <v>1946</v>
      </c>
      <c r="N135" t="s">
        <v>1946</v>
      </c>
      <c r="O135" t="s">
        <v>23</v>
      </c>
      <c r="P135" t="s">
        <v>1947</v>
      </c>
      <c r="Q135" t="s">
        <v>1948</v>
      </c>
      <c r="R135" t="s">
        <v>1946</v>
      </c>
    </row>
    <row r="136" spans="1:18" x14ac:dyDescent="0.25">
      <c r="A136" t="s">
        <v>12191</v>
      </c>
      <c r="B136" t="s">
        <v>1979</v>
      </c>
      <c r="C136" t="str">
        <f>HYPERLINK("https://nematode.unl.edu/achrspk2.jpg")</f>
        <v>https://nematode.unl.edu/achrspk2.jpg</v>
      </c>
      <c r="D136" t="s">
        <v>43</v>
      </c>
      <c r="G136" t="s">
        <v>34</v>
      </c>
      <c r="H136" t="s">
        <v>18</v>
      </c>
      <c r="I136" t="s">
        <v>19</v>
      </c>
      <c r="J136" t="s">
        <v>20</v>
      </c>
      <c r="L136" t="s">
        <v>85</v>
      </c>
      <c r="M136" t="s">
        <v>1946</v>
      </c>
      <c r="N136" t="s">
        <v>1946</v>
      </c>
      <c r="O136" t="s">
        <v>23</v>
      </c>
      <c r="P136" t="s">
        <v>1947</v>
      </c>
      <c r="Q136" t="s">
        <v>1948</v>
      </c>
      <c r="R136" t="s">
        <v>1946</v>
      </c>
    </row>
    <row r="137" spans="1:18" x14ac:dyDescent="0.25">
      <c r="A137" t="s">
        <v>12205</v>
      </c>
      <c r="B137" t="s">
        <v>1980</v>
      </c>
      <c r="C137" t="str">
        <f>HYPERLINK("https://nematode.unl.edu/achrspk20.jpg")</f>
        <v>https://nematode.unl.edu/achrspk20.jpg</v>
      </c>
      <c r="D137" t="s">
        <v>43</v>
      </c>
      <c r="G137" t="s">
        <v>51</v>
      </c>
      <c r="I137" t="s">
        <v>19</v>
      </c>
      <c r="J137" t="s">
        <v>20</v>
      </c>
      <c r="L137" t="s">
        <v>85</v>
      </c>
      <c r="M137" t="s">
        <v>1946</v>
      </c>
      <c r="N137" t="s">
        <v>1946</v>
      </c>
      <c r="O137" t="s">
        <v>23</v>
      </c>
      <c r="P137" t="s">
        <v>1947</v>
      </c>
      <c r="Q137" t="s">
        <v>1948</v>
      </c>
      <c r="R137" t="s">
        <v>1946</v>
      </c>
    </row>
    <row r="138" spans="1:18" x14ac:dyDescent="0.25">
      <c r="A138" t="s">
        <v>12185</v>
      </c>
      <c r="B138" s="1" t="s">
        <v>1981</v>
      </c>
      <c r="C138" s="1" t="str">
        <f>HYPERLINK("https://nematode.unl.edu/achrspk21.jpg")</f>
        <v>https://nematode.unl.edu/achrspk21.jpg</v>
      </c>
      <c r="D138" t="s">
        <v>43</v>
      </c>
      <c r="G138" t="s">
        <v>386</v>
      </c>
      <c r="H138" t="s">
        <v>18</v>
      </c>
      <c r="I138" t="s">
        <v>19</v>
      </c>
      <c r="J138" t="s">
        <v>20</v>
      </c>
      <c r="L138" t="s">
        <v>85</v>
      </c>
      <c r="M138" t="s">
        <v>1946</v>
      </c>
      <c r="N138" t="s">
        <v>1946</v>
      </c>
      <c r="O138" t="s">
        <v>23</v>
      </c>
      <c r="P138" t="s">
        <v>1947</v>
      </c>
      <c r="Q138" t="s">
        <v>1948</v>
      </c>
      <c r="R138" t="s">
        <v>1946</v>
      </c>
    </row>
    <row r="139" spans="1:18" x14ac:dyDescent="0.25">
      <c r="A139" t="s">
        <v>12200</v>
      </c>
      <c r="B139" t="s">
        <v>1982</v>
      </c>
      <c r="C139" t="str">
        <f>HYPERLINK("https://nematode.unl.edu/achrspk3.jpg")</f>
        <v>https://nematode.unl.edu/achrspk3.jpg</v>
      </c>
      <c r="D139" t="s">
        <v>43</v>
      </c>
      <c r="G139" t="s">
        <v>28</v>
      </c>
      <c r="I139" t="s">
        <v>19</v>
      </c>
      <c r="J139" t="s">
        <v>20</v>
      </c>
      <c r="L139" t="s">
        <v>85</v>
      </c>
      <c r="M139" t="s">
        <v>1946</v>
      </c>
      <c r="N139" t="s">
        <v>1946</v>
      </c>
      <c r="O139" t="s">
        <v>23</v>
      </c>
      <c r="P139" t="s">
        <v>1947</v>
      </c>
      <c r="Q139" t="s">
        <v>1948</v>
      </c>
      <c r="R139" t="s">
        <v>1946</v>
      </c>
    </row>
    <row r="140" spans="1:18" x14ac:dyDescent="0.25">
      <c r="A140" t="s">
        <v>12206</v>
      </c>
      <c r="B140" t="s">
        <v>1983</v>
      </c>
      <c r="C140" t="str">
        <f>HYPERLINK("https://nematode.unl.edu/achrspk4.jpg")</f>
        <v>https://nematode.unl.edu/achrspk4.jpg</v>
      </c>
      <c r="D140" t="s">
        <v>43</v>
      </c>
      <c r="G140" t="s">
        <v>51</v>
      </c>
      <c r="I140" t="s">
        <v>19</v>
      </c>
      <c r="J140" t="s">
        <v>20</v>
      </c>
      <c r="L140" t="s">
        <v>85</v>
      </c>
      <c r="M140" t="s">
        <v>1946</v>
      </c>
      <c r="N140" t="s">
        <v>1946</v>
      </c>
      <c r="O140" t="s">
        <v>23</v>
      </c>
      <c r="P140" t="s">
        <v>1947</v>
      </c>
      <c r="Q140" t="s">
        <v>1948</v>
      </c>
      <c r="R140" t="s">
        <v>1946</v>
      </c>
    </row>
    <row r="141" spans="1:18" x14ac:dyDescent="0.25">
      <c r="A141" t="s">
        <v>12195</v>
      </c>
      <c r="B141" t="s">
        <v>1984</v>
      </c>
      <c r="C141" t="str">
        <f>HYPERLINK("https://nematode.unl.edu/achrspk5.jpg")</f>
        <v>https://nematode.unl.edu/achrspk5.jpg</v>
      </c>
      <c r="D141" t="s">
        <v>16</v>
      </c>
      <c r="G141" t="s">
        <v>44</v>
      </c>
      <c r="I141" t="s">
        <v>45</v>
      </c>
      <c r="J141" t="s">
        <v>20</v>
      </c>
      <c r="L141" t="s">
        <v>85</v>
      </c>
      <c r="M141" t="s">
        <v>1946</v>
      </c>
      <c r="N141" t="s">
        <v>1946</v>
      </c>
      <c r="O141" t="s">
        <v>23</v>
      </c>
      <c r="P141" t="s">
        <v>1947</v>
      </c>
      <c r="Q141" t="s">
        <v>1948</v>
      </c>
      <c r="R141" t="s">
        <v>1946</v>
      </c>
    </row>
    <row r="142" spans="1:18" x14ac:dyDescent="0.25">
      <c r="A142" t="s">
        <v>12192</v>
      </c>
      <c r="B142" t="s">
        <v>1985</v>
      </c>
      <c r="C142" t="str">
        <f>HYPERLINK("https://nematode.unl.edu/achrspk6.jpg")</f>
        <v>https://nematode.unl.edu/achrspk6.jpg</v>
      </c>
      <c r="D142" t="s">
        <v>16</v>
      </c>
      <c r="G142" t="s">
        <v>34</v>
      </c>
      <c r="H142" t="s">
        <v>18</v>
      </c>
      <c r="I142" t="s">
        <v>19</v>
      </c>
      <c r="J142" t="s">
        <v>20</v>
      </c>
      <c r="L142" t="s">
        <v>85</v>
      </c>
      <c r="M142" t="s">
        <v>1946</v>
      </c>
      <c r="N142" t="s">
        <v>1946</v>
      </c>
      <c r="O142" t="s">
        <v>23</v>
      </c>
      <c r="P142" t="s">
        <v>1947</v>
      </c>
      <c r="Q142" t="s">
        <v>1948</v>
      </c>
      <c r="R142" t="s">
        <v>1946</v>
      </c>
    </row>
    <row r="143" spans="1:18" x14ac:dyDescent="0.25">
      <c r="A143" t="s">
        <v>12202</v>
      </c>
      <c r="B143" t="s">
        <v>1986</v>
      </c>
      <c r="C143" t="str">
        <f>HYPERLINK("https://nematode.unl.edu/achrspk7.jpg")</f>
        <v>https://nematode.unl.edu/achrspk7.jpg</v>
      </c>
      <c r="D143" t="s">
        <v>16</v>
      </c>
      <c r="G143" t="s">
        <v>422</v>
      </c>
      <c r="I143" t="s">
        <v>19</v>
      </c>
      <c r="J143" t="s">
        <v>20</v>
      </c>
      <c r="L143" t="s">
        <v>85</v>
      </c>
      <c r="M143" t="s">
        <v>1946</v>
      </c>
      <c r="N143" t="s">
        <v>1946</v>
      </c>
      <c r="O143" t="s">
        <v>23</v>
      </c>
      <c r="P143" t="s">
        <v>1947</v>
      </c>
      <c r="Q143" t="s">
        <v>1948</v>
      </c>
      <c r="R143" t="s">
        <v>1946</v>
      </c>
    </row>
    <row r="144" spans="1:18" x14ac:dyDescent="0.25">
      <c r="A144" t="s">
        <v>12193</v>
      </c>
      <c r="B144" t="s">
        <v>1987</v>
      </c>
      <c r="C144" t="str">
        <f>HYPERLINK("https://nematode.unl.edu/achrspk8.jpg")</f>
        <v>https://nematode.unl.edu/achrspk8.jpg</v>
      </c>
      <c r="D144" t="s">
        <v>16</v>
      </c>
      <c r="G144" t="s">
        <v>34</v>
      </c>
      <c r="H144" t="s">
        <v>18</v>
      </c>
      <c r="I144" t="s">
        <v>41</v>
      </c>
      <c r="J144" t="s">
        <v>20</v>
      </c>
      <c r="L144" t="s">
        <v>85</v>
      </c>
      <c r="M144" t="s">
        <v>1946</v>
      </c>
      <c r="N144" t="s">
        <v>1946</v>
      </c>
      <c r="O144" t="s">
        <v>23</v>
      </c>
      <c r="P144" t="s">
        <v>1947</v>
      </c>
      <c r="Q144" t="s">
        <v>1948</v>
      </c>
      <c r="R144" t="s">
        <v>1946</v>
      </c>
    </row>
    <row r="145" spans="1:18" x14ac:dyDescent="0.25">
      <c r="A145" t="s">
        <v>12186</v>
      </c>
      <c r="B145" t="s">
        <v>1988</v>
      </c>
      <c r="C145" t="str">
        <f>HYPERLINK("https://nematode.unl.edu/achrspk9.jpg")</f>
        <v>https://nematode.unl.edu/achrspk9.jpg</v>
      </c>
      <c r="D145" t="s">
        <v>16</v>
      </c>
      <c r="G145" t="s">
        <v>386</v>
      </c>
      <c r="H145" t="s">
        <v>18</v>
      </c>
      <c r="I145" t="s">
        <v>41</v>
      </c>
      <c r="J145" t="s">
        <v>20</v>
      </c>
      <c r="L145" t="s">
        <v>85</v>
      </c>
      <c r="M145" t="s">
        <v>1946</v>
      </c>
      <c r="N145" t="s">
        <v>1946</v>
      </c>
      <c r="O145" t="s">
        <v>23</v>
      </c>
      <c r="P145" t="s">
        <v>1947</v>
      </c>
      <c r="Q145" t="s">
        <v>1948</v>
      </c>
      <c r="R145" t="s">
        <v>1946</v>
      </c>
    </row>
    <row r="146" spans="1:18" x14ac:dyDescent="0.25">
      <c r="A146" t="s">
        <v>13289</v>
      </c>
      <c r="B146" t="s">
        <v>2079</v>
      </c>
      <c r="C146" t="str">
        <f>HYPERLINK("https://nematode.unl.edu/acmax1.jpg")</f>
        <v>https://nematode.unl.edu/acmax1.jpg</v>
      </c>
      <c r="D146" t="s">
        <v>16</v>
      </c>
      <c r="G146" t="s">
        <v>28</v>
      </c>
      <c r="I146" t="s">
        <v>19</v>
      </c>
      <c r="J146" t="s">
        <v>20</v>
      </c>
      <c r="M146" t="s">
        <v>2075</v>
      </c>
      <c r="N146" t="s">
        <v>2075</v>
      </c>
      <c r="O146" t="s">
        <v>23</v>
      </c>
      <c r="P146" t="s">
        <v>24</v>
      </c>
      <c r="Q146" t="s">
        <v>25</v>
      </c>
      <c r="R146" t="s">
        <v>32</v>
      </c>
    </row>
    <row r="147" spans="1:18" x14ac:dyDescent="0.25">
      <c r="A147" t="s">
        <v>13285</v>
      </c>
      <c r="B147" t="s">
        <v>2080</v>
      </c>
      <c r="C147" t="str">
        <f>HYPERLINK("https://nematode.unl.edu/acmax2.jpg")</f>
        <v>https://nematode.unl.edu/acmax2.jpg</v>
      </c>
      <c r="D147" t="s">
        <v>16</v>
      </c>
      <c r="G147" t="s">
        <v>34</v>
      </c>
      <c r="H147" t="s">
        <v>18</v>
      </c>
      <c r="I147" t="s">
        <v>19</v>
      </c>
      <c r="J147" t="s">
        <v>20</v>
      </c>
      <c r="M147" t="s">
        <v>2075</v>
      </c>
      <c r="N147" t="s">
        <v>2075</v>
      </c>
      <c r="O147" t="s">
        <v>23</v>
      </c>
      <c r="P147" t="s">
        <v>24</v>
      </c>
      <c r="Q147" t="s">
        <v>25</v>
      </c>
      <c r="R147" t="s">
        <v>32</v>
      </c>
    </row>
    <row r="148" spans="1:18" x14ac:dyDescent="0.25">
      <c r="A148" t="s">
        <v>13293</v>
      </c>
      <c r="B148" t="s">
        <v>42</v>
      </c>
      <c r="C148" t="str">
        <f>HYPERLINK("https://nematode.unl.edu/acmi1.jpg")</f>
        <v>https://nematode.unl.edu/acmi1.jpg</v>
      </c>
      <c r="D148" t="s">
        <v>43</v>
      </c>
      <c r="G148" t="s">
        <v>44</v>
      </c>
      <c r="I148" t="s">
        <v>45</v>
      </c>
      <c r="J148" t="s">
        <v>46</v>
      </c>
      <c r="M148" t="s">
        <v>47</v>
      </c>
      <c r="N148" t="s">
        <v>48</v>
      </c>
      <c r="O148" t="s">
        <v>23</v>
      </c>
      <c r="P148" t="s">
        <v>24</v>
      </c>
      <c r="Q148" t="s">
        <v>25</v>
      </c>
      <c r="R148" t="s">
        <v>32</v>
      </c>
    </row>
    <row r="149" spans="1:18" x14ac:dyDescent="0.25">
      <c r="A149" t="s">
        <v>13296</v>
      </c>
      <c r="B149" t="s">
        <v>49</v>
      </c>
      <c r="C149" t="str">
        <f>HYPERLINK("https://nematode.unl.edu/acmi2.jpg")</f>
        <v>https://nematode.unl.edu/acmi2.jpg</v>
      </c>
      <c r="D149" t="s">
        <v>43</v>
      </c>
      <c r="G149" t="s">
        <v>28</v>
      </c>
      <c r="I149" t="s">
        <v>19</v>
      </c>
      <c r="J149" t="s">
        <v>46</v>
      </c>
      <c r="M149" t="s">
        <v>47</v>
      </c>
      <c r="N149" t="s">
        <v>48</v>
      </c>
      <c r="O149" t="s">
        <v>23</v>
      </c>
      <c r="P149" t="s">
        <v>24</v>
      </c>
      <c r="Q149" t="s">
        <v>25</v>
      </c>
      <c r="R149" t="s">
        <v>32</v>
      </c>
    </row>
    <row r="150" spans="1:18" x14ac:dyDescent="0.25">
      <c r="A150" t="s">
        <v>13298</v>
      </c>
      <c r="B150" t="s">
        <v>50</v>
      </c>
      <c r="C150" t="str">
        <f>HYPERLINK("https://nematode.unl.edu/acmi3.jpg")</f>
        <v>https://nematode.unl.edu/acmi3.jpg</v>
      </c>
      <c r="D150" t="s">
        <v>43</v>
      </c>
      <c r="G150" t="s">
        <v>51</v>
      </c>
      <c r="I150" t="s">
        <v>19</v>
      </c>
      <c r="J150" t="s">
        <v>46</v>
      </c>
      <c r="M150" t="s">
        <v>47</v>
      </c>
      <c r="N150" t="s">
        <v>48</v>
      </c>
      <c r="O150" t="s">
        <v>23</v>
      </c>
      <c r="P150" t="s">
        <v>24</v>
      </c>
      <c r="Q150" t="s">
        <v>25</v>
      </c>
      <c r="R150" t="s">
        <v>32</v>
      </c>
    </row>
    <row r="151" spans="1:18" x14ac:dyDescent="0.25">
      <c r="A151" t="s">
        <v>13295</v>
      </c>
      <c r="B151" t="s">
        <v>52</v>
      </c>
      <c r="C151" t="str">
        <f>HYPERLINK("https://nematode.unl.edu/acmi4.jpg")</f>
        <v>https://nematode.unl.edu/acmi4.jpg</v>
      </c>
      <c r="D151" t="s">
        <v>43</v>
      </c>
      <c r="G151" t="s">
        <v>53</v>
      </c>
      <c r="I151" t="s">
        <v>19</v>
      </c>
      <c r="J151" t="s">
        <v>46</v>
      </c>
      <c r="M151" t="s">
        <v>47</v>
      </c>
      <c r="N151" t="s">
        <v>48</v>
      </c>
      <c r="O151" t="s">
        <v>23</v>
      </c>
      <c r="P151" t="s">
        <v>24</v>
      </c>
      <c r="Q151" t="s">
        <v>25</v>
      </c>
      <c r="R151" t="s">
        <v>32</v>
      </c>
    </row>
    <row r="152" spans="1:18" x14ac:dyDescent="0.25">
      <c r="A152" t="s">
        <v>13290</v>
      </c>
      <c r="B152" t="s">
        <v>54</v>
      </c>
      <c r="C152" t="str">
        <f>HYPERLINK("https://nematode.unl.edu/acmi5.jpg")</f>
        <v>https://nematode.unl.edu/acmi5.jpg</v>
      </c>
      <c r="D152" t="s">
        <v>43</v>
      </c>
      <c r="G152" t="s">
        <v>34</v>
      </c>
      <c r="H152" t="s">
        <v>18</v>
      </c>
      <c r="I152" t="s">
        <v>19</v>
      </c>
      <c r="J152" t="s">
        <v>46</v>
      </c>
      <c r="L152" t="s">
        <v>55</v>
      </c>
      <c r="M152" t="s">
        <v>47</v>
      </c>
      <c r="N152" t="s">
        <v>48</v>
      </c>
      <c r="O152" t="s">
        <v>23</v>
      </c>
      <c r="P152" t="s">
        <v>24</v>
      </c>
      <c r="Q152" t="s">
        <v>25</v>
      </c>
      <c r="R152" t="s">
        <v>32</v>
      </c>
    </row>
    <row r="153" spans="1:18" x14ac:dyDescent="0.25">
      <c r="A153" t="s">
        <v>13230</v>
      </c>
      <c r="B153" t="s">
        <v>2021</v>
      </c>
      <c r="C153" t="str">
        <f>HYPERLINK("https://nematode.unl.edu/acomp1.jpg")</f>
        <v>https://nematode.unl.edu/acomp1.jpg</v>
      </c>
      <c r="D153" t="s">
        <v>43</v>
      </c>
      <c r="G153" t="s">
        <v>34</v>
      </c>
      <c r="H153" t="s">
        <v>18</v>
      </c>
      <c r="I153" t="s">
        <v>19</v>
      </c>
      <c r="J153" t="s">
        <v>20</v>
      </c>
      <c r="L153" t="s">
        <v>64</v>
      </c>
      <c r="M153" t="s">
        <v>2022</v>
      </c>
      <c r="N153" t="s">
        <v>2022</v>
      </c>
      <c r="O153" t="s">
        <v>23</v>
      </c>
      <c r="P153" t="s">
        <v>24</v>
      </c>
      <c r="Q153" t="s">
        <v>25</v>
      </c>
      <c r="R153" t="s">
        <v>26</v>
      </c>
    </row>
    <row r="154" spans="1:18" x14ac:dyDescent="0.25">
      <c r="A154" t="s">
        <v>13242</v>
      </c>
      <c r="B154" t="s">
        <v>2023</v>
      </c>
      <c r="C154" t="str">
        <f>HYPERLINK("https://nematode.unl.edu/acomp2.jpg")</f>
        <v>https://nematode.unl.edu/acomp2.jpg</v>
      </c>
      <c r="D154" t="s">
        <v>43</v>
      </c>
      <c r="G154" t="s">
        <v>51</v>
      </c>
      <c r="I154" t="s">
        <v>19</v>
      </c>
      <c r="J154" t="s">
        <v>20</v>
      </c>
      <c r="L154" t="s">
        <v>64</v>
      </c>
      <c r="M154" t="s">
        <v>2022</v>
      </c>
      <c r="N154" t="s">
        <v>2022</v>
      </c>
      <c r="O154" t="s">
        <v>23</v>
      </c>
      <c r="P154" t="s">
        <v>24</v>
      </c>
      <c r="Q154" t="s">
        <v>25</v>
      </c>
      <c r="R154" t="s">
        <v>26</v>
      </c>
    </row>
    <row r="155" spans="1:18" x14ac:dyDescent="0.25">
      <c r="A155" t="s">
        <v>13239</v>
      </c>
      <c r="B155" t="s">
        <v>2024</v>
      </c>
      <c r="C155" t="str">
        <f>HYPERLINK("https://nematode.unl.edu/acomp3.jpg")</f>
        <v>https://nematode.unl.edu/acomp3.jpg</v>
      </c>
      <c r="D155" t="s">
        <v>43</v>
      </c>
      <c r="G155" t="s">
        <v>28</v>
      </c>
      <c r="I155" t="s">
        <v>19</v>
      </c>
      <c r="J155" t="s">
        <v>20</v>
      </c>
      <c r="L155" t="s">
        <v>64</v>
      </c>
      <c r="M155" t="s">
        <v>2022</v>
      </c>
      <c r="N155" t="s">
        <v>2022</v>
      </c>
      <c r="O155" t="s">
        <v>23</v>
      </c>
      <c r="P155" t="s">
        <v>24</v>
      </c>
      <c r="Q155" t="s">
        <v>25</v>
      </c>
      <c r="R155" t="s">
        <v>26</v>
      </c>
    </row>
    <row r="156" spans="1:18" x14ac:dyDescent="0.25">
      <c r="A156" t="s">
        <v>13231</v>
      </c>
      <c r="B156" t="s">
        <v>2025</v>
      </c>
      <c r="C156" t="str">
        <f>HYPERLINK("https://nematode.unl.edu/acomp4.jpg")</f>
        <v>https://nematode.unl.edu/acomp4.jpg</v>
      </c>
      <c r="D156" t="s">
        <v>43</v>
      </c>
      <c r="G156" t="s">
        <v>34</v>
      </c>
      <c r="H156" t="s">
        <v>18</v>
      </c>
      <c r="I156" t="s">
        <v>41</v>
      </c>
      <c r="J156" t="s">
        <v>20</v>
      </c>
      <c r="L156" t="s">
        <v>64</v>
      </c>
      <c r="M156" t="s">
        <v>2022</v>
      </c>
      <c r="N156" t="s">
        <v>2022</v>
      </c>
      <c r="O156" t="s">
        <v>23</v>
      </c>
      <c r="P156" t="s">
        <v>24</v>
      </c>
      <c r="Q156" t="s">
        <v>25</v>
      </c>
      <c r="R156" t="s">
        <v>26</v>
      </c>
    </row>
    <row r="157" spans="1:18" x14ac:dyDescent="0.25">
      <c r="A157" t="s">
        <v>13238</v>
      </c>
      <c r="B157" t="s">
        <v>2026</v>
      </c>
      <c r="C157" t="str">
        <f>HYPERLINK("https://nematode.unl.edu/acomp5.jpg")</f>
        <v>https://nematode.unl.edu/acomp5.jpg</v>
      </c>
      <c r="D157" t="s">
        <v>43</v>
      </c>
      <c r="G157" t="s">
        <v>2027</v>
      </c>
      <c r="I157" t="s">
        <v>41</v>
      </c>
      <c r="J157" t="s">
        <v>20</v>
      </c>
      <c r="L157" t="s">
        <v>64</v>
      </c>
      <c r="M157" t="s">
        <v>2022</v>
      </c>
      <c r="N157" t="s">
        <v>2022</v>
      </c>
      <c r="O157" t="s">
        <v>23</v>
      </c>
      <c r="P157" t="s">
        <v>24</v>
      </c>
      <c r="Q157" t="s">
        <v>25</v>
      </c>
      <c r="R157" t="s">
        <v>26</v>
      </c>
    </row>
    <row r="158" spans="1:18" x14ac:dyDescent="0.25">
      <c r="A158" t="s">
        <v>13236</v>
      </c>
      <c r="B158" t="s">
        <v>2028</v>
      </c>
      <c r="C158" t="str">
        <f>HYPERLINK("https://nematode.unl.edu/acomp6.jpg")</f>
        <v>https://nematode.unl.edu/acomp6.jpg</v>
      </c>
      <c r="D158" t="s">
        <v>43</v>
      </c>
      <c r="G158" t="s">
        <v>2029</v>
      </c>
      <c r="I158" t="s">
        <v>41</v>
      </c>
      <c r="J158" t="s">
        <v>20</v>
      </c>
      <c r="L158" t="s">
        <v>64</v>
      </c>
      <c r="M158" t="s">
        <v>2022</v>
      </c>
      <c r="N158" t="s">
        <v>2022</v>
      </c>
      <c r="O158" t="s">
        <v>23</v>
      </c>
      <c r="P158" t="s">
        <v>24</v>
      </c>
      <c r="Q158" t="s">
        <v>25</v>
      </c>
      <c r="R158" t="s">
        <v>26</v>
      </c>
    </row>
    <row r="159" spans="1:18" x14ac:dyDescent="0.25">
      <c r="A159" t="s">
        <v>13232</v>
      </c>
      <c r="B159" t="s">
        <v>2030</v>
      </c>
      <c r="C159" t="str">
        <f>HYPERLINK("https://nematode.unl.edu/acomp7.jpg")</f>
        <v>https://nematode.unl.edu/acomp7.jpg</v>
      </c>
      <c r="D159" t="s">
        <v>16</v>
      </c>
      <c r="G159" t="s">
        <v>34</v>
      </c>
      <c r="H159" t="s">
        <v>18</v>
      </c>
      <c r="I159" t="s">
        <v>19</v>
      </c>
      <c r="J159" t="s">
        <v>20</v>
      </c>
      <c r="L159" t="s">
        <v>38</v>
      </c>
      <c r="M159" t="s">
        <v>2022</v>
      </c>
      <c r="N159" t="s">
        <v>2022</v>
      </c>
      <c r="O159" t="s">
        <v>23</v>
      </c>
      <c r="P159" t="s">
        <v>24</v>
      </c>
      <c r="Q159" t="s">
        <v>25</v>
      </c>
      <c r="R159" t="s">
        <v>26</v>
      </c>
    </row>
    <row r="160" spans="1:18" x14ac:dyDescent="0.25">
      <c r="A160" t="s">
        <v>13240</v>
      </c>
      <c r="B160" t="s">
        <v>2031</v>
      </c>
      <c r="C160" t="str">
        <f>HYPERLINK("https://nematode.unl.edu/acomp8.jpg")</f>
        <v>https://nematode.unl.edu/acomp8.jpg</v>
      </c>
      <c r="D160" t="s">
        <v>16</v>
      </c>
      <c r="G160" t="s">
        <v>28</v>
      </c>
      <c r="I160" t="s">
        <v>19</v>
      </c>
      <c r="J160" t="s">
        <v>20</v>
      </c>
      <c r="L160" t="s">
        <v>38</v>
      </c>
      <c r="M160" t="s">
        <v>2022</v>
      </c>
      <c r="N160" t="s">
        <v>2022</v>
      </c>
      <c r="O160" t="s">
        <v>23</v>
      </c>
      <c r="P160" t="s">
        <v>24</v>
      </c>
      <c r="Q160" t="s">
        <v>25</v>
      </c>
      <c r="R160" t="s">
        <v>26</v>
      </c>
    </row>
    <row r="161" spans="1:18" x14ac:dyDescent="0.25">
      <c r="A161" t="s">
        <v>13030</v>
      </c>
      <c r="B161" t="s">
        <v>2519</v>
      </c>
      <c r="C161" t="str">
        <f>HYPERLINK("https://nematode.unl.edu/aconfu1.jpg")</f>
        <v>https://nematode.unl.edu/aconfu1.jpg</v>
      </c>
      <c r="D161" t="s">
        <v>43</v>
      </c>
      <c r="G161" t="s">
        <v>44</v>
      </c>
      <c r="I161" t="s">
        <v>91</v>
      </c>
      <c r="J161" t="s">
        <v>20</v>
      </c>
      <c r="L161" t="s">
        <v>64</v>
      </c>
      <c r="M161" t="s">
        <v>2520</v>
      </c>
      <c r="N161" t="s">
        <v>2520</v>
      </c>
      <c r="O161" t="s">
        <v>23</v>
      </c>
      <c r="P161" t="s">
        <v>24</v>
      </c>
      <c r="Q161" t="s">
        <v>102</v>
      </c>
      <c r="R161" t="s">
        <v>103</v>
      </c>
    </row>
    <row r="162" spans="1:18" x14ac:dyDescent="0.25">
      <c r="A162" t="s">
        <v>13029</v>
      </c>
      <c r="B162" t="s">
        <v>2521</v>
      </c>
      <c r="C162" t="str">
        <f>HYPERLINK("https://nematode.unl.edu/aconfu2.jpg")</f>
        <v>https://nematode.unl.edu/aconfu2.jpg</v>
      </c>
      <c r="D162" t="s">
        <v>43</v>
      </c>
      <c r="G162" t="s">
        <v>34</v>
      </c>
      <c r="H162" t="s">
        <v>18</v>
      </c>
      <c r="I162" t="s">
        <v>19</v>
      </c>
      <c r="J162" t="s">
        <v>20</v>
      </c>
      <c r="L162" t="s">
        <v>64</v>
      </c>
      <c r="M162" t="s">
        <v>2520</v>
      </c>
      <c r="N162" t="s">
        <v>2520</v>
      </c>
      <c r="O162" t="s">
        <v>23</v>
      </c>
      <c r="P162" t="s">
        <v>24</v>
      </c>
      <c r="Q162" t="s">
        <v>102</v>
      </c>
      <c r="R162" t="s">
        <v>103</v>
      </c>
    </row>
    <row r="163" spans="1:18" x14ac:dyDescent="0.25">
      <c r="A163" t="s">
        <v>13032</v>
      </c>
      <c r="B163" t="s">
        <v>2522</v>
      </c>
      <c r="C163" t="str">
        <f>HYPERLINK("https://nematode.unl.edu/aconfu3.jpg")</f>
        <v>https://nematode.unl.edu/aconfu3.jpg</v>
      </c>
      <c r="D163" t="s">
        <v>43</v>
      </c>
      <c r="G163" t="s">
        <v>51</v>
      </c>
      <c r="I163" t="s">
        <v>19</v>
      </c>
      <c r="J163" t="s">
        <v>20</v>
      </c>
      <c r="M163" t="s">
        <v>2520</v>
      </c>
      <c r="N163" t="s">
        <v>2520</v>
      </c>
      <c r="O163" t="s">
        <v>23</v>
      </c>
      <c r="P163" t="s">
        <v>24</v>
      </c>
      <c r="Q163" t="s">
        <v>102</v>
      </c>
      <c r="R163" t="s">
        <v>103</v>
      </c>
    </row>
    <row r="164" spans="1:18" x14ac:dyDescent="0.25">
      <c r="A164" t="s">
        <v>13031</v>
      </c>
      <c r="B164" t="s">
        <v>2523</v>
      </c>
      <c r="C164" t="str">
        <f>HYPERLINK("https://nematode.unl.edu/aconfu4.jpg")</f>
        <v>https://nematode.unl.edu/aconfu4.jpg</v>
      </c>
      <c r="D164" t="s">
        <v>43</v>
      </c>
      <c r="G164" t="s">
        <v>28</v>
      </c>
      <c r="I164" t="s">
        <v>19</v>
      </c>
      <c r="J164" t="s">
        <v>20</v>
      </c>
      <c r="M164" t="s">
        <v>2520</v>
      </c>
      <c r="N164" t="s">
        <v>2520</v>
      </c>
      <c r="O164" t="s">
        <v>23</v>
      </c>
      <c r="P164" t="s">
        <v>24</v>
      </c>
      <c r="Q164" t="s">
        <v>102</v>
      </c>
      <c r="R164" t="s">
        <v>103</v>
      </c>
    </row>
    <row r="165" spans="1:18" x14ac:dyDescent="0.25">
      <c r="A165" t="s">
        <v>13266</v>
      </c>
      <c r="B165" t="s">
        <v>15</v>
      </c>
      <c r="C165" t="str">
        <f>HYPERLINK("https://nematode.unl.edu/acor1.jpg")</f>
        <v>https://nematode.unl.edu/acor1.jpg</v>
      </c>
      <c r="D165" t="s">
        <v>16</v>
      </c>
      <c r="G165" t="s">
        <v>17</v>
      </c>
      <c r="H165" t="s">
        <v>18</v>
      </c>
      <c r="I165" t="s">
        <v>19</v>
      </c>
      <c r="J165" t="s">
        <v>20</v>
      </c>
      <c r="M165" t="s">
        <v>21</v>
      </c>
      <c r="N165" t="s">
        <v>22</v>
      </c>
      <c r="O165" t="s">
        <v>23</v>
      </c>
      <c r="P165" t="s">
        <v>24</v>
      </c>
      <c r="Q165" t="s">
        <v>25</v>
      </c>
      <c r="R165" t="s">
        <v>26</v>
      </c>
    </row>
    <row r="166" spans="1:18" x14ac:dyDescent="0.25">
      <c r="A166" t="s">
        <v>13271</v>
      </c>
      <c r="B166" t="s">
        <v>2061</v>
      </c>
      <c r="C166" t="str">
        <f>HYPERLINK("https://nematode.unl.edu/acrap1.jpg")</f>
        <v>https://nematode.unl.edu/acrap1.jpg</v>
      </c>
      <c r="D166" t="s">
        <v>43</v>
      </c>
      <c r="G166" t="s">
        <v>28</v>
      </c>
      <c r="I166" t="s">
        <v>19</v>
      </c>
      <c r="J166" t="s">
        <v>20</v>
      </c>
      <c r="L166" t="s">
        <v>64</v>
      </c>
      <c r="M166" t="s">
        <v>2062</v>
      </c>
      <c r="N166" t="s">
        <v>2062</v>
      </c>
      <c r="O166" t="s">
        <v>23</v>
      </c>
      <c r="P166" t="s">
        <v>24</v>
      </c>
      <c r="Q166" t="s">
        <v>25</v>
      </c>
      <c r="R166" t="s">
        <v>32</v>
      </c>
    </row>
    <row r="167" spans="1:18" x14ac:dyDescent="0.25">
      <c r="A167" t="s">
        <v>13270</v>
      </c>
      <c r="B167" t="s">
        <v>2063</v>
      </c>
      <c r="C167" t="str">
        <f>HYPERLINK("https://nematode.unl.edu/acrap2.jpg")</f>
        <v>https://nematode.unl.edu/acrap2.jpg</v>
      </c>
      <c r="D167" t="s">
        <v>43</v>
      </c>
      <c r="G167" t="s">
        <v>44</v>
      </c>
      <c r="I167" t="s">
        <v>45</v>
      </c>
      <c r="J167" t="s">
        <v>20</v>
      </c>
      <c r="L167" t="s">
        <v>64</v>
      </c>
      <c r="M167" t="s">
        <v>2062</v>
      </c>
      <c r="N167" t="s">
        <v>2062</v>
      </c>
      <c r="O167" t="s">
        <v>23</v>
      </c>
      <c r="P167" t="s">
        <v>24</v>
      </c>
      <c r="Q167" t="s">
        <v>25</v>
      </c>
      <c r="R167" t="s">
        <v>32</v>
      </c>
    </row>
    <row r="168" spans="1:18" x14ac:dyDescent="0.25">
      <c r="A168" t="s">
        <v>13267</v>
      </c>
      <c r="B168" t="s">
        <v>63</v>
      </c>
      <c r="C168" t="str">
        <f>HYPERLINK("https://nematode.unl.edu/acrap3.jpg")</f>
        <v>https://nematode.unl.edu/acrap3.jpg</v>
      </c>
      <c r="D168" t="s">
        <v>43</v>
      </c>
      <c r="G168" t="s">
        <v>51</v>
      </c>
      <c r="I168" t="s">
        <v>19</v>
      </c>
      <c r="J168" t="s">
        <v>20</v>
      </c>
      <c r="L168" t="s">
        <v>64</v>
      </c>
      <c r="M168" t="s">
        <v>65</v>
      </c>
      <c r="N168" t="s">
        <v>12153</v>
      </c>
      <c r="O168" t="s">
        <v>23</v>
      </c>
      <c r="P168" t="s">
        <v>24</v>
      </c>
      <c r="Q168" t="s">
        <v>25</v>
      </c>
      <c r="R168" t="s">
        <v>32</v>
      </c>
    </row>
    <row r="169" spans="1:18" x14ac:dyDescent="0.25">
      <c r="A169" t="s">
        <v>13269</v>
      </c>
      <c r="B169" t="s">
        <v>2064</v>
      </c>
      <c r="C169" t="str">
        <f>HYPERLINK("https://nematode.unl.edu/acrap4.jpg")</f>
        <v>https://nematode.unl.edu/acrap4.jpg</v>
      </c>
      <c r="D169" t="s">
        <v>43</v>
      </c>
      <c r="G169" t="s">
        <v>384</v>
      </c>
      <c r="I169" t="s">
        <v>19</v>
      </c>
      <c r="J169" t="s">
        <v>20</v>
      </c>
      <c r="L169" t="s">
        <v>64</v>
      </c>
      <c r="M169" t="s">
        <v>2062</v>
      </c>
      <c r="N169" t="s">
        <v>2062</v>
      </c>
      <c r="O169" t="s">
        <v>23</v>
      </c>
      <c r="P169" t="s">
        <v>24</v>
      </c>
      <c r="Q169" t="s">
        <v>25</v>
      </c>
      <c r="R169" t="s">
        <v>32</v>
      </c>
    </row>
    <row r="170" spans="1:18" x14ac:dyDescent="0.25">
      <c r="A170" t="s">
        <v>13268</v>
      </c>
      <c r="B170" t="s">
        <v>2065</v>
      </c>
      <c r="C170" t="str">
        <f>HYPERLINK("https://nematode.unl.edu/acrap5.jpg")</f>
        <v>https://nematode.unl.edu/acrap5.jpg</v>
      </c>
      <c r="D170" t="s">
        <v>43</v>
      </c>
      <c r="G170" t="s">
        <v>34</v>
      </c>
      <c r="H170" t="s">
        <v>18</v>
      </c>
      <c r="I170" t="s">
        <v>19</v>
      </c>
      <c r="J170" t="s">
        <v>20</v>
      </c>
      <c r="L170" t="s">
        <v>64</v>
      </c>
      <c r="M170" t="s">
        <v>2062</v>
      </c>
      <c r="N170" t="s">
        <v>2062</v>
      </c>
      <c r="O170" t="s">
        <v>23</v>
      </c>
      <c r="P170" t="s">
        <v>24</v>
      </c>
      <c r="Q170" t="s">
        <v>25</v>
      </c>
      <c r="R170" t="s">
        <v>32</v>
      </c>
    </row>
    <row r="171" spans="1:18" x14ac:dyDescent="0.25">
      <c r="A171" t="s">
        <v>13201</v>
      </c>
      <c r="B171" t="s">
        <v>1989</v>
      </c>
      <c r="C171" t="str">
        <f>HYPERLINK("https://nematode.unl.edu/acrobe1.jpg")</f>
        <v>https://nematode.unl.edu/acrobe1.jpg</v>
      </c>
      <c r="D171" t="s">
        <v>43</v>
      </c>
      <c r="G171" t="s">
        <v>34</v>
      </c>
      <c r="H171" t="s">
        <v>18</v>
      </c>
      <c r="I171" t="s">
        <v>19</v>
      </c>
      <c r="J171" t="s">
        <v>20</v>
      </c>
      <c r="L171" t="s">
        <v>64</v>
      </c>
      <c r="M171" t="s">
        <v>26</v>
      </c>
      <c r="N171" t="s">
        <v>26</v>
      </c>
      <c r="O171" t="s">
        <v>23</v>
      </c>
      <c r="P171" t="s">
        <v>24</v>
      </c>
      <c r="Q171" t="s">
        <v>25</v>
      </c>
      <c r="R171" t="s">
        <v>26</v>
      </c>
    </row>
    <row r="172" spans="1:18" x14ac:dyDescent="0.25">
      <c r="A172" t="s">
        <v>13205</v>
      </c>
      <c r="B172" t="s">
        <v>1990</v>
      </c>
      <c r="C172" t="str">
        <f>HYPERLINK("https://nematode.unl.edu/acrobe2.jpg")</f>
        <v>https://nematode.unl.edu/acrobe2.jpg</v>
      </c>
      <c r="D172" t="s">
        <v>43</v>
      </c>
      <c r="G172" t="s">
        <v>28</v>
      </c>
      <c r="I172" t="s">
        <v>19</v>
      </c>
      <c r="J172" t="s">
        <v>20</v>
      </c>
      <c r="L172" t="s">
        <v>141</v>
      </c>
      <c r="M172" t="s">
        <v>26</v>
      </c>
      <c r="N172" t="s">
        <v>26</v>
      </c>
      <c r="O172" t="s">
        <v>23</v>
      </c>
      <c r="P172" t="s">
        <v>24</v>
      </c>
      <c r="Q172" t="s">
        <v>25</v>
      </c>
      <c r="R172" t="s">
        <v>26</v>
      </c>
    </row>
    <row r="173" spans="1:18" x14ac:dyDescent="0.25">
      <c r="A173" t="s">
        <v>13204</v>
      </c>
      <c r="B173" t="s">
        <v>1991</v>
      </c>
      <c r="C173" t="str">
        <f>HYPERLINK("https://nematode.unl.edu/acrobe3.jpg")</f>
        <v>https://nematode.unl.edu/acrobe3.jpg</v>
      </c>
      <c r="D173" t="s">
        <v>43</v>
      </c>
      <c r="G173" t="s">
        <v>1000</v>
      </c>
      <c r="I173" t="s">
        <v>137</v>
      </c>
      <c r="J173" t="s">
        <v>20</v>
      </c>
      <c r="L173" t="s">
        <v>64</v>
      </c>
      <c r="M173" t="s">
        <v>26</v>
      </c>
      <c r="N173" t="s">
        <v>26</v>
      </c>
      <c r="O173" t="s">
        <v>23</v>
      </c>
      <c r="P173" t="s">
        <v>24</v>
      </c>
      <c r="Q173" t="s">
        <v>25</v>
      </c>
      <c r="R173" t="s">
        <v>26</v>
      </c>
    </row>
    <row r="174" spans="1:18" x14ac:dyDescent="0.25">
      <c r="A174" t="s">
        <v>13202</v>
      </c>
      <c r="B174" t="s">
        <v>1992</v>
      </c>
      <c r="C174" t="str">
        <f>HYPERLINK("https://nematode.unl.edu/acrobe4.jpg")</f>
        <v>https://nematode.unl.edu/acrobe4.jpg</v>
      </c>
      <c r="D174" t="s">
        <v>43</v>
      </c>
      <c r="G174" t="s">
        <v>34</v>
      </c>
      <c r="H174" t="s">
        <v>18</v>
      </c>
      <c r="I174" t="s">
        <v>41</v>
      </c>
      <c r="J174" t="s">
        <v>20</v>
      </c>
      <c r="L174" t="s">
        <v>193</v>
      </c>
      <c r="M174" t="s">
        <v>26</v>
      </c>
      <c r="N174" t="s">
        <v>26</v>
      </c>
      <c r="O174" t="s">
        <v>23</v>
      </c>
      <c r="P174" t="s">
        <v>24</v>
      </c>
      <c r="Q174" t="s">
        <v>25</v>
      </c>
      <c r="R174" t="s">
        <v>26</v>
      </c>
    </row>
    <row r="175" spans="1:18" x14ac:dyDescent="0.25">
      <c r="A175" t="s">
        <v>13206</v>
      </c>
      <c r="B175" t="s">
        <v>1993</v>
      </c>
      <c r="C175" t="str">
        <f>HYPERLINK("https://nematode.unl.edu/acrobe5.jpg")</f>
        <v>https://nematode.unl.edu/acrobe5.jpg</v>
      </c>
      <c r="D175" t="s">
        <v>43</v>
      </c>
      <c r="G175" t="s">
        <v>51</v>
      </c>
      <c r="I175" t="s">
        <v>41</v>
      </c>
      <c r="J175" t="s">
        <v>20</v>
      </c>
      <c r="M175" t="s">
        <v>26</v>
      </c>
      <c r="N175" t="s">
        <v>26</v>
      </c>
      <c r="O175" t="s">
        <v>23</v>
      </c>
      <c r="P175" t="s">
        <v>24</v>
      </c>
      <c r="Q175" t="s">
        <v>25</v>
      </c>
      <c r="R175" t="s">
        <v>26</v>
      </c>
    </row>
    <row r="176" spans="1:18" x14ac:dyDescent="0.25">
      <c r="A176" t="s">
        <v>13203</v>
      </c>
      <c r="B176" t="s">
        <v>1994</v>
      </c>
      <c r="C176" t="str">
        <f>HYPERLINK("https://nematode.unl.edu/Acrobeles_ciliatus_head.jpg")</f>
        <v>https://nematode.unl.edu/Acrobeles_ciliatus_head.jpg</v>
      </c>
      <c r="D176" t="s">
        <v>43</v>
      </c>
      <c r="G176" t="s">
        <v>34</v>
      </c>
      <c r="H176" t="s">
        <v>18</v>
      </c>
      <c r="I176" t="s">
        <v>41</v>
      </c>
      <c r="J176" t="s">
        <v>20</v>
      </c>
      <c r="M176" t="s">
        <v>26</v>
      </c>
      <c r="N176" t="s">
        <v>26</v>
      </c>
      <c r="O176" t="s">
        <v>23</v>
      </c>
      <c r="P176" t="s">
        <v>24</v>
      </c>
      <c r="Q176" t="s">
        <v>25</v>
      </c>
      <c r="R176" t="s">
        <v>26</v>
      </c>
    </row>
    <row r="177" spans="1:18" x14ac:dyDescent="0.25">
      <c r="A177" t="s">
        <v>13280</v>
      </c>
      <c r="B177" t="s">
        <v>2066</v>
      </c>
      <c r="C177" t="str">
        <f>HYPERLINK("https://nematode.unl.edu/acroen1.jpg")</f>
        <v>https://nematode.unl.edu/acroen1.jpg</v>
      </c>
      <c r="D177" t="s">
        <v>43</v>
      </c>
      <c r="G177" t="s">
        <v>44</v>
      </c>
      <c r="I177" t="s">
        <v>91</v>
      </c>
      <c r="J177" t="s">
        <v>20</v>
      </c>
      <c r="L177" t="s">
        <v>220</v>
      </c>
      <c r="M177" t="s">
        <v>2067</v>
      </c>
      <c r="N177" t="s">
        <v>2067</v>
      </c>
      <c r="O177" t="s">
        <v>23</v>
      </c>
      <c r="P177" t="s">
        <v>24</v>
      </c>
      <c r="Q177" t="s">
        <v>25</v>
      </c>
      <c r="R177" t="s">
        <v>32</v>
      </c>
    </row>
    <row r="178" spans="1:18" x14ac:dyDescent="0.25">
      <c r="A178" t="s">
        <v>13282</v>
      </c>
      <c r="B178" t="s">
        <v>2068</v>
      </c>
      <c r="C178" t="str">
        <f>HYPERLINK("https://nematode.unl.edu/acroen2.jpg")</f>
        <v>https://nematode.unl.edu/acroen2.jpg</v>
      </c>
      <c r="D178" t="s">
        <v>43</v>
      </c>
      <c r="G178" t="s">
        <v>28</v>
      </c>
      <c r="I178" t="s">
        <v>137</v>
      </c>
      <c r="J178" t="s">
        <v>20</v>
      </c>
      <c r="M178" t="s">
        <v>2067</v>
      </c>
      <c r="N178" t="s">
        <v>2067</v>
      </c>
      <c r="O178" t="s">
        <v>23</v>
      </c>
      <c r="P178" t="s">
        <v>24</v>
      </c>
      <c r="Q178" t="s">
        <v>25</v>
      </c>
      <c r="R178" t="s">
        <v>32</v>
      </c>
    </row>
    <row r="179" spans="1:18" x14ac:dyDescent="0.25">
      <c r="A179" t="s">
        <v>13283</v>
      </c>
      <c r="B179" t="s">
        <v>2069</v>
      </c>
      <c r="C179" t="str">
        <f>HYPERLINK("https://nematode.unl.edu/acroen3.jpg")</f>
        <v>https://nematode.unl.edu/acroen3.jpg</v>
      </c>
      <c r="D179" t="s">
        <v>43</v>
      </c>
      <c r="G179" t="s">
        <v>51</v>
      </c>
      <c r="I179" t="s">
        <v>137</v>
      </c>
      <c r="J179" t="s">
        <v>20</v>
      </c>
      <c r="L179" t="s">
        <v>85</v>
      </c>
      <c r="M179" t="s">
        <v>2067</v>
      </c>
      <c r="N179" t="s">
        <v>2067</v>
      </c>
      <c r="O179" t="s">
        <v>23</v>
      </c>
      <c r="P179" t="s">
        <v>24</v>
      </c>
      <c r="Q179" t="s">
        <v>25</v>
      </c>
      <c r="R179" t="s">
        <v>32</v>
      </c>
    </row>
    <row r="180" spans="1:18" x14ac:dyDescent="0.25">
      <c r="A180" t="s">
        <v>13277</v>
      </c>
      <c r="B180" t="s">
        <v>2070</v>
      </c>
      <c r="C180" t="str">
        <f>HYPERLINK("https://nematode.unl.edu/acroen4.jpg")</f>
        <v>https://nematode.unl.edu/acroen4.jpg</v>
      </c>
      <c r="D180" t="s">
        <v>43</v>
      </c>
      <c r="G180" t="s">
        <v>34</v>
      </c>
      <c r="H180" t="s">
        <v>18</v>
      </c>
      <c r="I180" t="s">
        <v>137</v>
      </c>
      <c r="J180" t="s">
        <v>20</v>
      </c>
      <c r="L180" t="s">
        <v>220</v>
      </c>
      <c r="M180" t="s">
        <v>2067</v>
      </c>
      <c r="N180" t="s">
        <v>2067</v>
      </c>
      <c r="O180" t="s">
        <v>23</v>
      </c>
      <c r="P180" t="s">
        <v>24</v>
      </c>
      <c r="Q180" t="s">
        <v>25</v>
      </c>
      <c r="R180" t="s">
        <v>32</v>
      </c>
    </row>
    <row r="181" spans="1:18" x14ac:dyDescent="0.25">
      <c r="A181" t="s">
        <v>13278</v>
      </c>
      <c r="B181" t="s">
        <v>2071</v>
      </c>
      <c r="C181" t="str">
        <f>HYPERLINK("https://nematode.unl.edu/acroen5.jpg")</f>
        <v>https://nematode.unl.edu/acroen5.jpg</v>
      </c>
      <c r="D181" t="s">
        <v>43</v>
      </c>
      <c r="G181" t="s">
        <v>34</v>
      </c>
      <c r="H181" t="s">
        <v>18</v>
      </c>
      <c r="I181" t="s">
        <v>19</v>
      </c>
      <c r="J181" t="s">
        <v>20</v>
      </c>
      <c r="L181" t="s">
        <v>85</v>
      </c>
      <c r="M181" t="s">
        <v>2067</v>
      </c>
      <c r="N181" t="s">
        <v>2067</v>
      </c>
      <c r="O181" t="s">
        <v>23</v>
      </c>
      <c r="P181" t="s">
        <v>24</v>
      </c>
      <c r="Q181" t="s">
        <v>25</v>
      </c>
      <c r="R181" t="s">
        <v>32</v>
      </c>
    </row>
    <row r="182" spans="1:18" x14ac:dyDescent="0.25">
      <c r="A182" t="s">
        <v>13279</v>
      </c>
      <c r="B182" t="s">
        <v>2072</v>
      </c>
      <c r="C182" t="str">
        <f>HYPERLINK("https://nematode.unl.edu/acroen6.jpg")</f>
        <v>https://nematode.unl.edu/acroen6.jpg</v>
      </c>
      <c r="D182" t="s">
        <v>43</v>
      </c>
      <c r="G182" t="s">
        <v>34</v>
      </c>
      <c r="H182" t="s">
        <v>18</v>
      </c>
      <c r="I182" t="s">
        <v>41</v>
      </c>
      <c r="J182" t="s">
        <v>20</v>
      </c>
      <c r="L182" t="s">
        <v>141</v>
      </c>
      <c r="M182" t="s">
        <v>2067</v>
      </c>
      <c r="N182" t="s">
        <v>2067</v>
      </c>
      <c r="O182" t="s">
        <v>23</v>
      </c>
      <c r="P182" t="s">
        <v>24</v>
      </c>
      <c r="Q182" t="s">
        <v>25</v>
      </c>
      <c r="R182" t="s">
        <v>32</v>
      </c>
    </row>
    <row r="183" spans="1:18" x14ac:dyDescent="0.25">
      <c r="A183" t="s">
        <v>13281</v>
      </c>
      <c r="B183" t="s">
        <v>2073</v>
      </c>
      <c r="C183" t="str">
        <f>HYPERLINK("https://nematode.unl.edu/acroen7.jpg")</f>
        <v>https://nematode.unl.edu/acroen7.jpg</v>
      </c>
      <c r="D183" t="s">
        <v>43</v>
      </c>
      <c r="G183" t="s">
        <v>53</v>
      </c>
      <c r="I183" t="s">
        <v>41</v>
      </c>
      <c r="J183" t="s">
        <v>20</v>
      </c>
      <c r="L183" t="s">
        <v>141</v>
      </c>
      <c r="M183" t="s">
        <v>2067</v>
      </c>
      <c r="N183" t="s">
        <v>2067</v>
      </c>
      <c r="O183" t="s">
        <v>23</v>
      </c>
      <c r="P183" t="s">
        <v>24</v>
      </c>
      <c r="Q183" t="s">
        <v>25</v>
      </c>
      <c r="R183" t="s">
        <v>32</v>
      </c>
    </row>
    <row r="184" spans="1:18" x14ac:dyDescent="0.25">
      <c r="A184" t="s">
        <v>13301</v>
      </c>
      <c r="B184" t="s">
        <v>2081</v>
      </c>
      <c r="C184" t="str">
        <f>HYPERLINK("https://nematode.unl.edu/acrol1.jpg")</f>
        <v>https://nematode.unl.edu/acrol1.jpg</v>
      </c>
      <c r="D184" t="s">
        <v>16</v>
      </c>
      <c r="G184" t="s">
        <v>34</v>
      </c>
      <c r="H184" t="s">
        <v>18</v>
      </c>
      <c r="I184" t="s">
        <v>19</v>
      </c>
      <c r="J184" t="s">
        <v>46</v>
      </c>
      <c r="L184" t="s">
        <v>105</v>
      </c>
      <c r="M184" t="s">
        <v>2082</v>
      </c>
      <c r="N184" t="s">
        <v>2082</v>
      </c>
      <c r="O184" t="s">
        <v>23</v>
      </c>
      <c r="P184" t="s">
        <v>24</v>
      </c>
      <c r="Q184" t="s">
        <v>25</v>
      </c>
      <c r="R184" t="s">
        <v>2082</v>
      </c>
    </row>
    <row r="185" spans="1:18" x14ac:dyDescent="0.25">
      <c r="A185" t="s">
        <v>13305</v>
      </c>
      <c r="B185" t="s">
        <v>2083</v>
      </c>
      <c r="C185" t="str">
        <f>HYPERLINK("https://nematode.unl.edu/acrol2.jpg")</f>
        <v>https://nematode.unl.edu/acrol2.jpg</v>
      </c>
      <c r="D185" t="s">
        <v>16</v>
      </c>
      <c r="G185" t="s">
        <v>28</v>
      </c>
      <c r="I185" t="s">
        <v>19</v>
      </c>
      <c r="J185" t="s">
        <v>46</v>
      </c>
      <c r="L185" t="s">
        <v>105</v>
      </c>
      <c r="M185" t="s">
        <v>2082</v>
      </c>
      <c r="N185" t="s">
        <v>2082</v>
      </c>
      <c r="O185" t="s">
        <v>23</v>
      </c>
      <c r="P185" t="s">
        <v>24</v>
      </c>
      <c r="Q185" t="s">
        <v>25</v>
      </c>
      <c r="R185" t="s">
        <v>2082</v>
      </c>
    </row>
    <row r="186" spans="1:18" x14ac:dyDescent="0.25">
      <c r="A186" t="s">
        <v>13304</v>
      </c>
      <c r="B186" t="s">
        <v>2084</v>
      </c>
      <c r="C186" t="str">
        <f>HYPERLINK("https://nematode.unl.edu/acrol3.jpg")</f>
        <v>https://nematode.unl.edu/acrol3.jpg</v>
      </c>
      <c r="D186" t="s">
        <v>16</v>
      </c>
      <c r="G186" t="s">
        <v>44</v>
      </c>
      <c r="I186" t="s">
        <v>45</v>
      </c>
      <c r="J186" t="s">
        <v>46</v>
      </c>
      <c r="L186" t="s">
        <v>105</v>
      </c>
      <c r="M186" t="s">
        <v>2082</v>
      </c>
      <c r="N186" t="s">
        <v>2082</v>
      </c>
      <c r="O186" t="s">
        <v>23</v>
      </c>
      <c r="P186" t="s">
        <v>24</v>
      </c>
      <c r="Q186" t="s">
        <v>25</v>
      </c>
      <c r="R186" t="s">
        <v>2082</v>
      </c>
    </row>
    <row r="187" spans="1:18" x14ac:dyDescent="0.25">
      <c r="A187" t="s">
        <v>13302</v>
      </c>
      <c r="B187" t="s">
        <v>2085</v>
      </c>
      <c r="C187" t="str">
        <f>HYPERLINK("https://nematode.unl.edu/acrolo1.jpg")</f>
        <v>https://nematode.unl.edu/acrolo1.jpg</v>
      </c>
      <c r="D187" t="s">
        <v>16</v>
      </c>
      <c r="G187" t="s">
        <v>34</v>
      </c>
      <c r="H187" t="s">
        <v>18</v>
      </c>
      <c r="I187" t="s">
        <v>19</v>
      </c>
      <c r="J187" t="s">
        <v>20</v>
      </c>
      <c r="L187" t="s">
        <v>193</v>
      </c>
      <c r="M187" t="s">
        <v>2082</v>
      </c>
      <c r="N187" t="s">
        <v>2082</v>
      </c>
      <c r="O187" t="s">
        <v>23</v>
      </c>
      <c r="P187" t="s">
        <v>24</v>
      </c>
      <c r="Q187" t="s">
        <v>25</v>
      </c>
      <c r="R187" t="s">
        <v>2082</v>
      </c>
    </row>
    <row r="188" spans="1:18" x14ac:dyDescent="0.25">
      <c r="A188" t="s">
        <v>13306</v>
      </c>
      <c r="B188" t="s">
        <v>2086</v>
      </c>
      <c r="C188" t="str">
        <f>HYPERLINK("https://nematode.unl.edu/acrolo2.jpg")</f>
        <v>https://nematode.unl.edu/acrolo2.jpg</v>
      </c>
      <c r="D188" t="s">
        <v>16</v>
      </c>
      <c r="G188" t="s">
        <v>28</v>
      </c>
      <c r="I188" t="s">
        <v>19</v>
      </c>
      <c r="J188" t="s">
        <v>20</v>
      </c>
      <c r="L188" t="s">
        <v>193</v>
      </c>
      <c r="M188" t="s">
        <v>2082</v>
      </c>
      <c r="N188" t="s">
        <v>2082</v>
      </c>
      <c r="O188" t="s">
        <v>23</v>
      </c>
      <c r="P188" t="s">
        <v>24</v>
      </c>
      <c r="Q188" t="s">
        <v>25</v>
      </c>
      <c r="R188" t="s">
        <v>2082</v>
      </c>
    </row>
    <row r="189" spans="1:18" x14ac:dyDescent="0.25">
      <c r="A189" t="s">
        <v>13303</v>
      </c>
      <c r="B189" t="s">
        <v>2087</v>
      </c>
      <c r="C189" t="str">
        <f>HYPERLINK("https://nematode.unl.edu/acrolo3.jpg")</f>
        <v>https://nematode.unl.edu/acrolo3.jpg</v>
      </c>
      <c r="D189" t="s">
        <v>16</v>
      </c>
      <c r="G189" t="s">
        <v>34</v>
      </c>
      <c r="H189" t="s">
        <v>18</v>
      </c>
      <c r="I189" t="s">
        <v>19</v>
      </c>
      <c r="J189" t="s">
        <v>20</v>
      </c>
      <c r="M189" t="s">
        <v>2082</v>
      </c>
      <c r="N189" t="s">
        <v>2082</v>
      </c>
      <c r="O189" t="s">
        <v>23</v>
      </c>
      <c r="P189" t="s">
        <v>24</v>
      </c>
      <c r="Q189" t="s">
        <v>25</v>
      </c>
      <c r="R189" t="s">
        <v>2082</v>
      </c>
    </row>
    <row r="190" spans="1:18" x14ac:dyDescent="0.25">
      <c r="A190" t="s">
        <v>13307</v>
      </c>
      <c r="B190" t="s">
        <v>2088</v>
      </c>
      <c r="C190" t="str">
        <f>HYPERLINK("https://nematode.unl.edu/acrolo4.jpg")</f>
        <v>https://nematode.unl.edu/acrolo4.jpg</v>
      </c>
      <c r="D190" t="s">
        <v>16</v>
      </c>
      <c r="G190" t="s">
        <v>28</v>
      </c>
      <c r="I190" t="s">
        <v>19</v>
      </c>
      <c r="J190" t="s">
        <v>20</v>
      </c>
      <c r="M190" t="s">
        <v>2082</v>
      </c>
      <c r="N190" t="s">
        <v>2082</v>
      </c>
      <c r="O190" t="s">
        <v>23</v>
      </c>
      <c r="P190" t="s">
        <v>24</v>
      </c>
      <c r="Q190" t="s">
        <v>25</v>
      </c>
      <c r="R190" t="s">
        <v>2082</v>
      </c>
    </row>
    <row r="191" spans="1:18" x14ac:dyDescent="0.25">
      <c r="A191" t="s">
        <v>13235</v>
      </c>
      <c r="B191" t="s">
        <v>2032</v>
      </c>
      <c r="C191" t="str">
        <f>HYPERLINK("https://nematode.unl.edu/acromp1.jpg")</f>
        <v>https://nematode.unl.edu/acromp1.jpg</v>
      </c>
      <c r="D191" t="s">
        <v>43</v>
      </c>
      <c r="G191" t="s">
        <v>44</v>
      </c>
      <c r="I191" t="s">
        <v>45</v>
      </c>
      <c r="J191" t="s">
        <v>267</v>
      </c>
      <c r="M191" t="s">
        <v>2022</v>
      </c>
      <c r="N191" t="s">
        <v>2022</v>
      </c>
      <c r="O191" t="s">
        <v>23</v>
      </c>
      <c r="P191" t="s">
        <v>24</v>
      </c>
      <c r="Q191" t="s">
        <v>25</v>
      </c>
      <c r="R191" t="s">
        <v>26</v>
      </c>
    </row>
    <row r="192" spans="1:18" x14ac:dyDescent="0.25">
      <c r="A192" t="s">
        <v>13241</v>
      </c>
      <c r="B192" t="s">
        <v>2033</v>
      </c>
      <c r="C192" t="str">
        <f>HYPERLINK("https://nematode.unl.edu/acromp2.jpg")</f>
        <v>https://nematode.unl.edu/acromp2.jpg</v>
      </c>
      <c r="D192" t="s">
        <v>43</v>
      </c>
      <c r="G192" t="s">
        <v>28</v>
      </c>
      <c r="I192" t="s">
        <v>19</v>
      </c>
      <c r="J192" t="s">
        <v>267</v>
      </c>
      <c r="M192" t="s">
        <v>2022</v>
      </c>
      <c r="N192" t="s">
        <v>2022</v>
      </c>
      <c r="O192" t="s">
        <v>23</v>
      </c>
      <c r="P192" t="s">
        <v>24</v>
      </c>
      <c r="Q192" t="s">
        <v>25</v>
      </c>
      <c r="R192" t="s">
        <v>26</v>
      </c>
    </row>
    <row r="193" spans="1:18" x14ac:dyDescent="0.25">
      <c r="A193" t="s">
        <v>13243</v>
      </c>
      <c r="B193" t="s">
        <v>2034</v>
      </c>
      <c r="C193" t="str">
        <f>HYPERLINK("https://nematode.unl.edu/acromp3.jpg")</f>
        <v>https://nematode.unl.edu/acromp3.jpg</v>
      </c>
      <c r="D193" t="s">
        <v>43</v>
      </c>
      <c r="G193" t="s">
        <v>51</v>
      </c>
      <c r="I193" t="s">
        <v>19</v>
      </c>
      <c r="J193" t="s">
        <v>267</v>
      </c>
      <c r="M193" t="s">
        <v>2022</v>
      </c>
      <c r="N193" t="s">
        <v>2022</v>
      </c>
      <c r="O193" t="s">
        <v>23</v>
      </c>
      <c r="P193" t="s">
        <v>24</v>
      </c>
      <c r="Q193" t="s">
        <v>25</v>
      </c>
      <c r="R193" t="s">
        <v>26</v>
      </c>
    </row>
    <row r="194" spans="1:18" x14ac:dyDescent="0.25">
      <c r="A194" t="s">
        <v>13233</v>
      </c>
      <c r="B194" t="s">
        <v>2035</v>
      </c>
      <c r="C194" t="str">
        <f>HYPERLINK("https://nematode.unl.edu/acromp4.jpg")</f>
        <v>https://nematode.unl.edu/acromp4.jpg</v>
      </c>
      <c r="D194" t="s">
        <v>43</v>
      </c>
      <c r="G194" t="s">
        <v>34</v>
      </c>
      <c r="H194" t="s">
        <v>18</v>
      </c>
      <c r="I194" t="s">
        <v>41</v>
      </c>
      <c r="J194" t="s">
        <v>267</v>
      </c>
      <c r="M194" t="s">
        <v>2022</v>
      </c>
      <c r="N194" t="s">
        <v>2022</v>
      </c>
      <c r="O194" t="s">
        <v>23</v>
      </c>
      <c r="P194" t="s">
        <v>24</v>
      </c>
      <c r="Q194" t="s">
        <v>25</v>
      </c>
      <c r="R194" t="s">
        <v>26</v>
      </c>
    </row>
    <row r="195" spans="1:18" x14ac:dyDescent="0.25">
      <c r="A195" t="s">
        <v>13234</v>
      </c>
      <c r="B195" t="s">
        <v>2036</v>
      </c>
      <c r="C195" t="str">
        <f>HYPERLINK("https://nematode.unl.edu/acromp5.jpg")</f>
        <v>https://nematode.unl.edu/acromp5.jpg</v>
      </c>
      <c r="D195" t="s">
        <v>43</v>
      </c>
      <c r="G195" t="s">
        <v>34</v>
      </c>
      <c r="H195" t="s">
        <v>18</v>
      </c>
      <c r="I195" t="s">
        <v>41</v>
      </c>
      <c r="J195" t="s">
        <v>267</v>
      </c>
      <c r="M195" t="s">
        <v>2022</v>
      </c>
      <c r="N195" t="s">
        <v>2022</v>
      </c>
      <c r="O195" t="s">
        <v>23</v>
      </c>
      <c r="P195" t="s">
        <v>24</v>
      </c>
      <c r="Q195" t="s">
        <v>25</v>
      </c>
      <c r="R195" t="s">
        <v>26</v>
      </c>
    </row>
    <row r="196" spans="1:18" x14ac:dyDescent="0.25">
      <c r="A196" t="s">
        <v>13237</v>
      </c>
      <c r="B196" t="s">
        <v>2037</v>
      </c>
      <c r="C196" t="str">
        <f>HYPERLINK("https://nematode.unl.edu/acromp6.jpg")</f>
        <v>https://nematode.unl.edu/acromp6.jpg</v>
      </c>
      <c r="D196" t="s">
        <v>43</v>
      </c>
      <c r="G196" t="s">
        <v>2029</v>
      </c>
      <c r="I196" t="s">
        <v>41</v>
      </c>
      <c r="J196" t="s">
        <v>267</v>
      </c>
      <c r="M196" t="s">
        <v>2022</v>
      </c>
      <c r="N196" t="s">
        <v>2022</v>
      </c>
      <c r="O196" t="s">
        <v>23</v>
      </c>
      <c r="P196" t="s">
        <v>24</v>
      </c>
      <c r="Q196" t="s">
        <v>25</v>
      </c>
      <c r="R196" t="s">
        <v>26</v>
      </c>
    </row>
    <row r="197" spans="1:18" x14ac:dyDescent="0.25">
      <c r="A197" t="s">
        <v>15728</v>
      </c>
      <c r="B197" t="s">
        <v>2089</v>
      </c>
      <c r="C197" t="str">
        <f>HYPERLINK("https://nematode.unl.edu/acrost1.jpg")</f>
        <v>https://nematode.unl.edu/acrost1.jpg</v>
      </c>
      <c r="D197" t="s">
        <v>43</v>
      </c>
      <c r="G197" t="s">
        <v>34</v>
      </c>
      <c r="H197" t="s">
        <v>18</v>
      </c>
      <c r="I197" t="s">
        <v>19</v>
      </c>
      <c r="J197" t="s">
        <v>161</v>
      </c>
      <c r="M197" t="s">
        <v>2090</v>
      </c>
      <c r="N197" t="s">
        <v>2090</v>
      </c>
      <c r="O197" t="s">
        <v>23</v>
      </c>
      <c r="P197" t="s">
        <v>24</v>
      </c>
      <c r="Q197" t="s">
        <v>2091</v>
      </c>
      <c r="R197" t="s">
        <v>2090</v>
      </c>
    </row>
    <row r="198" spans="1:18" x14ac:dyDescent="0.25">
      <c r="A198" t="s">
        <v>15729</v>
      </c>
      <c r="B198" t="s">
        <v>2092</v>
      </c>
      <c r="C198" t="str">
        <f>HYPERLINK("https://nematode.unl.edu/acrost2.jpg")</f>
        <v>https://nematode.unl.edu/acrost2.jpg</v>
      </c>
      <c r="D198" t="s">
        <v>77</v>
      </c>
      <c r="G198" t="s">
        <v>34</v>
      </c>
      <c r="H198" t="s">
        <v>18</v>
      </c>
      <c r="I198" t="s">
        <v>41</v>
      </c>
      <c r="J198" t="s">
        <v>161</v>
      </c>
      <c r="L198" t="s">
        <v>131</v>
      </c>
      <c r="M198" t="s">
        <v>2090</v>
      </c>
      <c r="N198" t="s">
        <v>2090</v>
      </c>
      <c r="O198" t="s">
        <v>23</v>
      </c>
      <c r="P198" t="s">
        <v>24</v>
      </c>
      <c r="Q198" t="s">
        <v>2091</v>
      </c>
      <c r="R198" t="s">
        <v>2090</v>
      </c>
    </row>
    <row r="199" spans="1:18" x14ac:dyDescent="0.25">
      <c r="A199" t="s">
        <v>15731</v>
      </c>
      <c r="B199" t="s">
        <v>2093</v>
      </c>
      <c r="C199" t="str">
        <f>HYPERLINK("https://nematode.unl.edu/acrost3.jpg")</f>
        <v>https://nematode.unl.edu/acrost3.jpg</v>
      </c>
      <c r="D199" t="s">
        <v>77</v>
      </c>
      <c r="G199" t="s">
        <v>112</v>
      </c>
      <c r="I199" t="s">
        <v>41</v>
      </c>
      <c r="J199" t="s">
        <v>161</v>
      </c>
      <c r="M199" t="s">
        <v>2090</v>
      </c>
      <c r="N199" t="s">
        <v>2090</v>
      </c>
      <c r="O199" t="s">
        <v>23</v>
      </c>
      <c r="P199" t="s">
        <v>24</v>
      </c>
      <c r="Q199" t="s">
        <v>2091</v>
      </c>
      <c r="R199" t="s">
        <v>2090</v>
      </c>
    </row>
    <row r="200" spans="1:18" x14ac:dyDescent="0.25">
      <c r="A200" t="s">
        <v>15730</v>
      </c>
      <c r="B200" t="s">
        <v>2094</v>
      </c>
      <c r="C200" t="str">
        <f>HYPERLINK("https://nematode.unl.edu/acrost4.jpg")</f>
        <v>https://nematode.unl.edu/acrost4.jpg</v>
      </c>
      <c r="D200" t="s">
        <v>77</v>
      </c>
      <c r="G200" t="s">
        <v>34</v>
      </c>
      <c r="H200" t="s">
        <v>18</v>
      </c>
      <c r="I200" t="s">
        <v>19</v>
      </c>
      <c r="J200" t="s">
        <v>161</v>
      </c>
      <c r="M200" t="s">
        <v>2090</v>
      </c>
      <c r="N200" t="s">
        <v>2090</v>
      </c>
      <c r="O200" t="s">
        <v>23</v>
      </c>
      <c r="P200" t="s">
        <v>24</v>
      </c>
      <c r="Q200" t="s">
        <v>2091</v>
      </c>
      <c r="R200" t="s">
        <v>2090</v>
      </c>
    </row>
    <row r="201" spans="1:18" x14ac:dyDescent="0.25">
      <c r="A201" t="s">
        <v>15732</v>
      </c>
      <c r="B201" t="s">
        <v>2095</v>
      </c>
      <c r="C201" t="str">
        <f>HYPERLINK("https://nematode.unl.edu/acrost5.jpg")</f>
        <v>https://nematode.unl.edu/acrost5.jpg</v>
      </c>
      <c r="D201" t="s">
        <v>77</v>
      </c>
      <c r="G201" t="s">
        <v>28</v>
      </c>
      <c r="I201" t="s">
        <v>19</v>
      </c>
      <c r="J201" t="s">
        <v>161</v>
      </c>
      <c r="M201" t="s">
        <v>2090</v>
      </c>
      <c r="N201" t="s">
        <v>2090</v>
      </c>
      <c r="O201" t="s">
        <v>23</v>
      </c>
      <c r="P201" t="s">
        <v>24</v>
      </c>
      <c r="Q201" t="s">
        <v>2091</v>
      </c>
      <c r="R201" t="s">
        <v>2090</v>
      </c>
    </row>
    <row r="202" spans="1:18" x14ac:dyDescent="0.25">
      <c r="A202" t="s">
        <v>13252</v>
      </c>
      <c r="B202" t="s">
        <v>2042</v>
      </c>
      <c r="C202" t="str">
        <f>HYPERLINK("https://nematode.unl.edu/acten1.jpg")</f>
        <v>https://nematode.unl.edu/acten1.jpg</v>
      </c>
      <c r="D202" t="s">
        <v>16</v>
      </c>
      <c r="G202" t="s">
        <v>44</v>
      </c>
      <c r="I202" t="s">
        <v>45</v>
      </c>
      <c r="J202" t="s">
        <v>20</v>
      </c>
      <c r="M202" t="s">
        <v>2039</v>
      </c>
      <c r="N202" t="s">
        <v>2039</v>
      </c>
      <c r="O202" t="s">
        <v>23</v>
      </c>
      <c r="P202" t="s">
        <v>24</v>
      </c>
      <c r="Q202" t="s">
        <v>25</v>
      </c>
      <c r="R202" t="s">
        <v>26</v>
      </c>
    </row>
    <row r="203" spans="1:18" x14ac:dyDescent="0.25">
      <c r="A203" t="s">
        <v>13253</v>
      </c>
      <c r="B203" t="s">
        <v>2043</v>
      </c>
      <c r="C203" t="str">
        <f>HYPERLINK("https://nematode.unl.edu/acten10.jpg")</f>
        <v>https://nematode.unl.edu/acten10.jpg</v>
      </c>
      <c r="D203" t="s">
        <v>43</v>
      </c>
      <c r="G203" t="s">
        <v>44</v>
      </c>
      <c r="I203" t="s">
        <v>45</v>
      </c>
      <c r="J203" t="s">
        <v>20</v>
      </c>
      <c r="L203" t="s">
        <v>64</v>
      </c>
      <c r="M203" t="s">
        <v>2039</v>
      </c>
      <c r="N203" t="s">
        <v>2039</v>
      </c>
      <c r="O203" t="s">
        <v>23</v>
      </c>
      <c r="P203" t="s">
        <v>24</v>
      </c>
      <c r="Q203" t="s">
        <v>25</v>
      </c>
      <c r="R203" t="s">
        <v>26</v>
      </c>
    </row>
    <row r="204" spans="1:18" x14ac:dyDescent="0.25">
      <c r="A204" t="s">
        <v>13257</v>
      </c>
      <c r="B204" t="s">
        <v>2044</v>
      </c>
      <c r="C204" t="str">
        <f>HYPERLINK("https://nematode.unl.edu/acten11.jpg")</f>
        <v>https://nematode.unl.edu/acten11.jpg</v>
      </c>
      <c r="D204" t="s">
        <v>43</v>
      </c>
      <c r="G204" t="s">
        <v>28</v>
      </c>
      <c r="I204" t="s">
        <v>19</v>
      </c>
      <c r="J204" t="s">
        <v>20</v>
      </c>
      <c r="L204" t="s">
        <v>64</v>
      </c>
      <c r="M204" t="s">
        <v>2039</v>
      </c>
      <c r="N204" t="s">
        <v>2039</v>
      </c>
      <c r="O204" t="s">
        <v>23</v>
      </c>
      <c r="P204" t="s">
        <v>24</v>
      </c>
      <c r="Q204" t="s">
        <v>25</v>
      </c>
      <c r="R204" t="s">
        <v>26</v>
      </c>
    </row>
    <row r="205" spans="1:18" x14ac:dyDescent="0.25">
      <c r="A205" t="s">
        <v>13246</v>
      </c>
      <c r="B205" t="s">
        <v>2045</v>
      </c>
      <c r="C205" t="str">
        <f>HYPERLINK("https://nematode.unl.edu/acten12.jpg")</f>
        <v>https://nematode.unl.edu/acten12.jpg</v>
      </c>
      <c r="D205" t="s">
        <v>43</v>
      </c>
      <c r="G205" t="s">
        <v>34</v>
      </c>
      <c r="H205" t="s">
        <v>18</v>
      </c>
      <c r="I205" t="s">
        <v>19</v>
      </c>
      <c r="J205" t="s">
        <v>20</v>
      </c>
      <c r="L205" t="s">
        <v>64</v>
      </c>
      <c r="M205" t="s">
        <v>2039</v>
      </c>
      <c r="N205" t="s">
        <v>2039</v>
      </c>
      <c r="O205" t="s">
        <v>23</v>
      </c>
      <c r="P205" t="s">
        <v>24</v>
      </c>
      <c r="Q205" t="s">
        <v>25</v>
      </c>
      <c r="R205" t="s">
        <v>26</v>
      </c>
    </row>
    <row r="206" spans="1:18" x14ac:dyDescent="0.25">
      <c r="A206" t="s">
        <v>13262</v>
      </c>
      <c r="B206" t="s">
        <v>2046</v>
      </c>
      <c r="C206" t="str">
        <f>HYPERLINK("https://nematode.unl.edu/acten13.jpg")</f>
        <v>https://nematode.unl.edu/acten13.jpg</v>
      </c>
      <c r="D206" t="s">
        <v>43</v>
      </c>
      <c r="G206" t="s">
        <v>51</v>
      </c>
      <c r="I206" t="s">
        <v>19</v>
      </c>
      <c r="J206" t="s">
        <v>20</v>
      </c>
      <c r="L206" t="s">
        <v>64</v>
      </c>
      <c r="M206" t="s">
        <v>2039</v>
      </c>
      <c r="N206" t="s">
        <v>2039</v>
      </c>
      <c r="O206" t="s">
        <v>23</v>
      </c>
      <c r="P206" t="s">
        <v>24</v>
      </c>
      <c r="Q206" t="s">
        <v>25</v>
      </c>
      <c r="R206" t="s">
        <v>26</v>
      </c>
    </row>
    <row r="207" spans="1:18" x14ac:dyDescent="0.25">
      <c r="A207" t="s">
        <v>13255</v>
      </c>
      <c r="B207" t="s">
        <v>2047</v>
      </c>
      <c r="C207" t="str">
        <f>HYPERLINK("https://nematode.unl.edu/acten14.jpg")</f>
        <v>https://nematode.unl.edu/acten14.jpg</v>
      </c>
      <c r="D207" t="s">
        <v>43</v>
      </c>
      <c r="G207" t="s">
        <v>2027</v>
      </c>
      <c r="I207" t="s">
        <v>41</v>
      </c>
      <c r="J207" t="s">
        <v>20</v>
      </c>
      <c r="L207" t="s">
        <v>64</v>
      </c>
      <c r="M207" t="s">
        <v>2039</v>
      </c>
      <c r="N207" t="s">
        <v>2039</v>
      </c>
      <c r="O207" t="s">
        <v>23</v>
      </c>
      <c r="P207" t="s">
        <v>24</v>
      </c>
      <c r="Q207" t="s">
        <v>25</v>
      </c>
      <c r="R207" t="s">
        <v>26</v>
      </c>
    </row>
    <row r="208" spans="1:18" x14ac:dyDescent="0.25">
      <c r="A208" t="s">
        <v>13247</v>
      </c>
      <c r="B208" t="s">
        <v>2048</v>
      </c>
      <c r="C208" t="str">
        <f>HYPERLINK("https://nematode.unl.edu/acten15.jpg")</f>
        <v>https://nematode.unl.edu/acten15.jpg</v>
      </c>
      <c r="D208" t="s">
        <v>43</v>
      </c>
      <c r="G208" t="s">
        <v>34</v>
      </c>
      <c r="H208" t="s">
        <v>18</v>
      </c>
      <c r="I208" t="s">
        <v>41</v>
      </c>
      <c r="J208" t="s">
        <v>20</v>
      </c>
      <c r="L208" t="s">
        <v>64</v>
      </c>
      <c r="M208" t="s">
        <v>2039</v>
      </c>
      <c r="N208" t="s">
        <v>2039</v>
      </c>
      <c r="O208" t="s">
        <v>23</v>
      </c>
      <c r="P208" t="s">
        <v>24</v>
      </c>
      <c r="Q208" t="s">
        <v>25</v>
      </c>
      <c r="R208" t="s">
        <v>26</v>
      </c>
    </row>
    <row r="209" spans="1:18" x14ac:dyDescent="0.25">
      <c r="A209" t="s">
        <v>13263</v>
      </c>
      <c r="B209" t="s">
        <v>2049</v>
      </c>
      <c r="C209" t="str">
        <f>HYPERLINK("https://nematode.unl.edu/acten16.jpg")</f>
        <v>https://nematode.unl.edu/acten16.jpg</v>
      </c>
      <c r="D209" t="s">
        <v>43</v>
      </c>
      <c r="G209" t="s">
        <v>51</v>
      </c>
      <c r="I209" t="s">
        <v>41</v>
      </c>
      <c r="J209" t="s">
        <v>20</v>
      </c>
      <c r="L209" t="s">
        <v>64</v>
      </c>
      <c r="M209" t="s">
        <v>2039</v>
      </c>
      <c r="N209" t="s">
        <v>2039</v>
      </c>
      <c r="O209" t="s">
        <v>23</v>
      </c>
      <c r="P209" t="s">
        <v>24</v>
      </c>
      <c r="Q209" t="s">
        <v>25</v>
      </c>
      <c r="R209" t="s">
        <v>26</v>
      </c>
    </row>
    <row r="210" spans="1:18" x14ac:dyDescent="0.25">
      <c r="A210" t="s">
        <v>13254</v>
      </c>
      <c r="B210" t="s">
        <v>2050</v>
      </c>
      <c r="C210" t="str">
        <f>HYPERLINK("https://nematode.unl.edu/acten17.jpg")</f>
        <v>https://nematode.unl.edu/acten17.jpg</v>
      </c>
      <c r="D210" t="s">
        <v>43</v>
      </c>
      <c r="G210" t="s">
        <v>2029</v>
      </c>
      <c r="I210" t="s">
        <v>41</v>
      </c>
      <c r="J210" t="s">
        <v>20</v>
      </c>
      <c r="L210" t="s">
        <v>64</v>
      </c>
      <c r="M210" t="s">
        <v>2039</v>
      </c>
      <c r="N210" t="s">
        <v>2039</v>
      </c>
      <c r="O210" t="s">
        <v>23</v>
      </c>
      <c r="P210" t="s">
        <v>24</v>
      </c>
      <c r="Q210" t="s">
        <v>25</v>
      </c>
      <c r="R210" t="s">
        <v>26</v>
      </c>
    </row>
    <row r="211" spans="1:18" x14ac:dyDescent="0.25">
      <c r="A211" t="s">
        <v>13248</v>
      </c>
      <c r="B211" t="s">
        <v>2051</v>
      </c>
      <c r="C211" t="str">
        <f>HYPERLINK("https://nematode.unl.edu/acten18.jpg")</f>
        <v>https://nematode.unl.edu/acten18.jpg</v>
      </c>
      <c r="D211" t="s">
        <v>43</v>
      </c>
      <c r="G211" t="s">
        <v>34</v>
      </c>
      <c r="H211" t="s">
        <v>18</v>
      </c>
      <c r="I211" t="s">
        <v>19</v>
      </c>
      <c r="J211" t="s">
        <v>20</v>
      </c>
      <c r="L211" t="s">
        <v>35</v>
      </c>
      <c r="M211" t="s">
        <v>2039</v>
      </c>
      <c r="N211" t="s">
        <v>2039</v>
      </c>
      <c r="O211" t="s">
        <v>23</v>
      </c>
      <c r="P211" t="s">
        <v>24</v>
      </c>
      <c r="Q211" t="s">
        <v>25</v>
      </c>
      <c r="R211" t="s">
        <v>26</v>
      </c>
    </row>
    <row r="212" spans="1:18" x14ac:dyDescent="0.25">
      <c r="A212" t="s">
        <v>13258</v>
      </c>
      <c r="B212" t="s">
        <v>2052</v>
      </c>
      <c r="C212" t="str">
        <f>HYPERLINK("https://nematode.unl.edu/acten19.jpg")</f>
        <v>https://nematode.unl.edu/acten19.jpg</v>
      </c>
      <c r="D212" t="s">
        <v>43</v>
      </c>
      <c r="G212" t="s">
        <v>28</v>
      </c>
      <c r="I212" t="s">
        <v>19</v>
      </c>
      <c r="J212" t="s">
        <v>20</v>
      </c>
      <c r="L212" t="s">
        <v>85</v>
      </c>
      <c r="M212" t="s">
        <v>2039</v>
      </c>
      <c r="N212" t="s">
        <v>2039</v>
      </c>
      <c r="O212" t="s">
        <v>23</v>
      </c>
      <c r="P212" t="s">
        <v>24</v>
      </c>
      <c r="Q212" t="s">
        <v>25</v>
      </c>
      <c r="R212" t="s">
        <v>26</v>
      </c>
    </row>
    <row r="213" spans="1:18" x14ac:dyDescent="0.25">
      <c r="A213" t="s">
        <v>13249</v>
      </c>
      <c r="B213" t="s">
        <v>2053</v>
      </c>
      <c r="C213" t="str">
        <f>HYPERLINK("https://nematode.unl.edu/acten2.jpg")</f>
        <v>https://nematode.unl.edu/acten2.jpg</v>
      </c>
      <c r="D213" t="s">
        <v>16</v>
      </c>
      <c r="G213" t="s">
        <v>34</v>
      </c>
      <c r="H213" t="s">
        <v>18</v>
      </c>
      <c r="I213" t="s">
        <v>19</v>
      </c>
      <c r="J213" t="s">
        <v>20</v>
      </c>
      <c r="L213" t="s">
        <v>64</v>
      </c>
      <c r="M213" t="s">
        <v>2039</v>
      </c>
      <c r="N213" t="s">
        <v>2039</v>
      </c>
      <c r="O213" t="s">
        <v>23</v>
      </c>
      <c r="P213" t="s">
        <v>24</v>
      </c>
      <c r="Q213" t="s">
        <v>25</v>
      </c>
      <c r="R213" t="s">
        <v>26</v>
      </c>
    </row>
    <row r="214" spans="1:18" x14ac:dyDescent="0.25">
      <c r="A214" t="s">
        <v>13259</v>
      </c>
      <c r="B214" t="s">
        <v>2054</v>
      </c>
      <c r="C214" t="str">
        <f>HYPERLINK("https://nematode.unl.edu/acten3.jpg")</f>
        <v>https://nematode.unl.edu/acten3.jpg</v>
      </c>
      <c r="D214" t="s">
        <v>16</v>
      </c>
      <c r="G214" t="s">
        <v>28</v>
      </c>
      <c r="I214" t="s">
        <v>19</v>
      </c>
      <c r="J214" t="s">
        <v>20</v>
      </c>
      <c r="M214" t="s">
        <v>2039</v>
      </c>
      <c r="N214" t="s">
        <v>2039</v>
      </c>
      <c r="O214" t="s">
        <v>23</v>
      </c>
      <c r="P214" t="s">
        <v>24</v>
      </c>
      <c r="Q214" t="s">
        <v>25</v>
      </c>
      <c r="R214" t="s">
        <v>26</v>
      </c>
    </row>
    <row r="215" spans="1:18" x14ac:dyDescent="0.25">
      <c r="A215" t="s">
        <v>13260</v>
      </c>
      <c r="B215" t="s">
        <v>2055</v>
      </c>
      <c r="C215" t="str">
        <f>HYPERLINK("https://nematode.unl.edu/acten4.jpg")</f>
        <v>https://nematode.unl.edu/acten4.jpg</v>
      </c>
      <c r="D215" t="s">
        <v>16</v>
      </c>
      <c r="G215" t="s">
        <v>28</v>
      </c>
      <c r="I215" t="s">
        <v>137</v>
      </c>
      <c r="J215" t="s">
        <v>20</v>
      </c>
      <c r="L215" t="s">
        <v>64</v>
      </c>
      <c r="M215" t="s">
        <v>2039</v>
      </c>
      <c r="N215" t="s">
        <v>2039</v>
      </c>
      <c r="O215" t="s">
        <v>23</v>
      </c>
      <c r="P215" t="s">
        <v>24</v>
      </c>
      <c r="Q215" t="s">
        <v>25</v>
      </c>
      <c r="R215" t="s">
        <v>26</v>
      </c>
    </row>
    <row r="216" spans="1:18" x14ac:dyDescent="0.25">
      <c r="A216" t="s">
        <v>13250</v>
      </c>
      <c r="B216" t="s">
        <v>2056</v>
      </c>
      <c r="C216" t="str">
        <f>HYPERLINK("https://nematode.unl.edu/acten5.jpg")</f>
        <v>https://nematode.unl.edu/acten5.jpg</v>
      </c>
      <c r="D216" t="s">
        <v>16</v>
      </c>
      <c r="G216" t="s">
        <v>34</v>
      </c>
      <c r="H216" t="s">
        <v>18</v>
      </c>
      <c r="I216" t="s">
        <v>137</v>
      </c>
      <c r="J216" t="s">
        <v>20</v>
      </c>
      <c r="L216" t="s">
        <v>64</v>
      </c>
      <c r="M216" t="s">
        <v>2039</v>
      </c>
      <c r="N216" t="s">
        <v>2039</v>
      </c>
      <c r="O216" t="s">
        <v>23</v>
      </c>
      <c r="P216" t="s">
        <v>24</v>
      </c>
      <c r="Q216" t="s">
        <v>25</v>
      </c>
      <c r="R216" t="s">
        <v>26</v>
      </c>
    </row>
    <row r="217" spans="1:18" x14ac:dyDescent="0.25">
      <c r="A217" t="s">
        <v>13251</v>
      </c>
      <c r="B217" t="s">
        <v>2057</v>
      </c>
      <c r="C217" t="str">
        <f>HYPERLINK("https://nematode.unl.edu/acten6.jpg")</f>
        <v>https://nematode.unl.edu/acten6.jpg</v>
      </c>
      <c r="D217" t="s">
        <v>43</v>
      </c>
      <c r="G217" t="s">
        <v>34</v>
      </c>
      <c r="H217" t="s">
        <v>18</v>
      </c>
      <c r="I217" t="s">
        <v>19</v>
      </c>
      <c r="J217" t="s">
        <v>20</v>
      </c>
      <c r="L217" t="s">
        <v>206</v>
      </c>
      <c r="M217" t="s">
        <v>2039</v>
      </c>
      <c r="N217" t="s">
        <v>2039</v>
      </c>
      <c r="O217" t="s">
        <v>23</v>
      </c>
      <c r="P217" t="s">
        <v>24</v>
      </c>
      <c r="Q217" t="s">
        <v>25</v>
      </c>
      <c r="R217" t="s">
        <v>26</v>
      </c>
    </row>
    <row r="218" spans="1:18" x14ac:dyDescent="0.25">
      <c r="A218" t="s">
        <v>13264</v>
      </c>
      <c r="B218" t="s">
        <v>2058</v>
      </c>
      <c r="C218" t="str">
        <f>HYPERLINK("https://nematode.unl.edu/acten7.jpg")</f>
        <v>https://nematode.unl.edu/acten7.jpg</v>
      </c>
      <c r="D218" t="s">
        <v>43</v>
      </c>
      <c r="G218" t="s">
        <v>51</v>
      </c>
      <c r="I218" t="s">
        <v>137</v>
      </c>
      <c r="J218" t="s">
        <v>20</v>
      </c>
      <c r="L218" t="s">
        <v>206</v>
      </c>
      <c r="M218" t="s">
        <v>2039</v>
      </c>
      <c r="N218" t="s">
        <v>2039</v>
      </c>
      <c r="O218" t="s">
        <v>23</v>
      </c>
      <c r="P218" t="s">
        <v>24</v>
      </c>
      <c r="Q218" t="s">
        <v>25</v>
      </c>
      <c r="R218" t="s">
        <v>26</v>
      </c>
    </row>
    <row r="219" spans="1:18" x14ac:dyDescent="0.25">
      <c r="A219" t="s">
        <v>13261</v>
      </c>
      <c r="B219" t="s">
        <v>2059</v>
      </c>
      <c r="C219" t="str">
        <f>HYPERLINK("https://nematode.unl.edu/acten8.jpg")</f>
        <v>https://nematode.unl.edu/acten8.jpg</v>
      </c>
      <c r="D219" t="s">
        <v>43</v>
      </c>
      <c r="G219" t="s">
        <v>28</v>
      </c>
      <c r="I219" t="s">
        <v>19</v>
      </c>
      <c r="J219" t="s">
        <v>20</v>
      </c>
      <c r="M219" t="s">
        <v>2039</v>
      </c>
      <c r="N219" t="s">
        <v>2039</v>
      </c>
      <c r="O219" t="s">
        <v>23</v>
      </c>
      <c r="P219" t="s">
        <v>24</v>
      </c>
      <c r="Q219" t="s">
        <v>25</v>
      </c>
      <c r="R219" t="s">
        <v>26</v>
      </c>
    </row>
    <row r="220" spans="1:18" x14ac:dyDescent="0.25">
      <c r="A220" t="s">
        <v>13265</v>
      </c>
      <c r="B220" t="s">
        <v>2060</v>
      </c>
      <c r="C220" t="str">
        <f>HYPERLINK("https://nematode.unl.edu/acten9.jpg")</f>
        <v>https://nematode.unl.edu/acten9.jpg</v>
      </c>
      <c r="D220" t="s">
        <v>43</v>
      </c>
      <c r="G220" t="s">
        <v>51</v>
      </c>
      <c r="I220" t="s">
        <v>19</v>
      </c>
      <c r="J220" t="s">
        <v>20</v>
      </c>
      <c r="L220" t="s">
        <v>206</v>
      </c>
      <c r="M220" t="s">
        <v>2039</v>
      </c>
      <c r="N220" t="s">
        <v>2039</v>
      </c>
      <c r="O220" t="s">
        <v>23</v>
      </c>
      <c r="P220" t="s">
        <v>24</v>
      </c>
      <c r="Q220" t="s">
        <v>25</v>
      </c>
      <c r="R220" t="s">
        <v>26</v>
      </c>
    </row>
    <row r="221" spans="1:18" x14ac:dyDescent="0.25">
      <c r="A221" t="s">
        <v>18741</v>
      </c>
      <c r="B221" t="s">
        <v>2096</v>
      </c>
      <c r="C221" t="str">
        <f>HYPERLINK("https://nematode.unl.edu/actinc1.jpg")</f>
        <v>https://nematode.unl.edu/actinc1.jpg</v>
      </c>
      <c r="D221" t="s">
        <v>43</v>
      </c>
      <c r="G221" t="s">
        <v>44</v>
      </c>
      <c r="I221" t="s">
        <v>19</v>
      </c>
      <c r="J221" t="s">
        <v>1525</v>
      </c>
      <c r="L221" t="s">
        <v>1526</v>
      </c>
      <c r="M221" t="s">
        <v>2097</v>
      </c>
      <c r="N221" t="s">
        <v>2097</v>
      </c>
      <c r="O221" t="s">
        <v>73</v>
      </c>
      <c r="P221" t="s">
        <v>81</v>
      </c>
      <c r="Q221" t="s">
        <v>1794</v>
      </c>
      <c r="R221" t="s">
        <v>2097</v>
      </c>
    </row>
    <row r="222" spans="1:18" x14ac:dyDescent="0.25">
      <c r="A222" t="s">
        <v>18752</v>
      </c>
      <c r="B222" t="s">
        <v>2098</v>
      </c>
      <c r="C222" t="str">
        <f>HYPERLINK("https://nematode.unl.edu/actinc10.jpg")</f>
        <v>https://nematode.unl.edu/actinc10.jpg</v>
      </c>
      <c r="D222" t="s">
        <v>43</v>
      </c>
      <c r="G222" t="s">
        <v>2099</v>
      </c>
      <c r="I222" t="s">
        <v>41</v>
      </c>
      <c r="J222" t="s">
        <v>1525</v>
      </c>
      <c r="L222" t="s">
        <v>1526</v>
      </c>
      <c r="M222" t="s">
        <v>2097</v>
      </c>
      <c r="N222" t="s">
        <v>2097</v>
      </c>
      <c r="O222" t="s">
        <v>73</v>
      </c>
      <c r="P222" t="s">
        <v>81</v>
      </c>
      <c r="Q222" t="s">
        <v>1794</v>
      </c>
      <c r="R222" t="s">
        <v>2097</v>
      </c>
    </row>
    <row r="223" spans="1:18" x14ac:dyDescent="0.25">
      <c r="A223" t="s">
        <v>18771</v>
      </c>
      <c r="B223" t="s">
        <v>2100</v>
      </c>
      <c r="C223" t="str">
        <f>HYPERLINK("https://nematode.unl.edu/actinc11.jpg")</f>
        <v>https://nematode.unl.edu/actinc11.jpg</v>
      </c>
      <c r="D223" t="s">
        <v>43</v>
      </c>
      <c r="G223" t="s">
        <v>422</v>
      </c>
      <c r="I223" t="s">
        <v>41</v>
      </c>
      <c r="J223" t="s">
        <v>1525</v>
      </c>
      <c r="L223" t="s">
        <v>1526</v>
      </c>
      <c r="M223" t="s">
        <v>2097</v>
      </c>
      <c r="N223" t="s">
        <v>2097</v>
      </c>
      <c r="O223" t="s">
        <v>73</v>
      </c>
      <c r="P223" t="s">
        <v>81</v>
      </c>
      <c r="Q223" t="s">
        <v>1794</v>
      </c>
      <c r="R223" t="s">
        <v>2097</v>
      </c>
    </row>
    <row r="224" spans="1:18" x14ac:dyDescent="0.25">
      <c r="A224" t="s">
        <v>18742</v>
      </c>
      <c r="B224" t="s">
        <v>2101</v>
      </c>
      <c r="C224" t="str">
        <f>HYPERLINK("https://nematode.unl.edu/actinc12.jpg")</f>
        <v>https://nematode.unl.edu/actinc12.jpg</v>
      </c>
      <c r="D224" t="s">
        <v>16</v>
      </c>
      <c r="G224" t="s">
        <v>44</v>
      </c>
      <c r="I224" t="s">
        <v>19</v>
      </c>
      <c r="J224" t="s">
        <v>1525</v>
      </c>
      <c r="L224" t="s">
        <v>1526</v>
      </c>
      <c r="M224" t="s">
        <v>2097</v>
      </c>
      <c r="N224" t="s">
        <v>2097</v>
      </c>
      <c r="O224" t="s">
        <v>73</v>
      </c>
      <c r="P224" t="s">
        <v>81</v>
      </c>
      <c r="Q224" t="s">
        <v>1794</v>
      </c>
      <c r="R224" t="s">
        <v>2097</v>
      </c>
    </row>
    <row r="225" spans="1:18" x14ac:dyDescent="0.25">
      <c r="A225" t="s">
        <v>18733</v>
      </c>
      <c r="B225" t="s">
        <v>2102</v>
      </c>
      <c r="C225" t="str">
        <f>HYPERLINK("https://nematode.unl.edu/actinc13.jpg")</f>
        <v>https://nematode.unl.edu/actinc13.jpg</v>
      </c>
      <c r="D225" t="s">
        <v>16</v>
      </c>
      <c r="G225" t="s">
        <v>34</v>
      </c>
      <c r="H225" t="s">
        <v>18</v>
      </c>
      <c r="I225" t="s">
        <v>41</v>
      </c>
      <c r="J225" t="s">
        <v>1525</v>
      </c>
      <c r="L225" t="s">
        <v>1526</v>
      </c>
      <c r="M225" t="s">
        <v>2097</v>
      </c>
      <c r="N225" t="s">
        <v>2097</v>
      </c>
      <c r="O225" t="s">
        <v>73</v>
      </c>
      <c r="P225" t="s">
        <v>81</v>
      </c>
      <c r="Q225" t="s">
        <v>1794</v>
      </c>
      <c r="R225" t="s">
        <v>2097</v>
      </c>
    </row>
    <row r="226" spans="1:18" x14ac:dyDescent="0.25">
      <c r="A226" t="s">
        <v>18748</v>
      </c>
      <c r="B226" t="s">
        <v>2103</v>
      </c>
      <c r="C226" t="str">
        <f>HYPERLINK("https://nematode.unl.edu/actinc14.jpg")</f>
        <v>https://nematode.unl.edu/actinc14.jpg</v>
      </c>
      <c r="D226" t="s">
        <v>16</v>
      </c>
      <c r="G226" t="s">
        <v>2104</v>
      </c>
      <c r="I226" t="s">
        <v>41</v>
      </c>
      <c r="J226" t="s">
        <v>1525</v>
      </c>
      <c r="L226" t="s">
        <v>1526</v>
      </c>
      <c r="M226" t="s">
        <v>2097</v>
      </c>
      <c r="N226" t="s">
        <v>2097</v>
      </c>
      <c r="O226" t="s">
        <v>73</v>
      </c>
      <c r="P226" t="s">
        <v>81</v>
      </c>
      <c r="Q226" t="s">
        <v>1794</v>
      </c>
      <c r="R226" t="s">
        <v>2097</v>
      </c>
    </row>
    <row r="227" spans="1:18" x14ac:dyDescent="0.25">
      <c r="A227" t="s">
        <v>18740</v>
      </c>
      <c r="B227" t="s">
        <v>2105</v>
      </c>
      <c r="C227" t="str">
        <f>HYPERLINK("https://nematode.unl.edu/actinc15.jpg")</f>
        <v>https://nematode.unl.edu/actinc15.jpg</v>
      </c>
      <c r="D227" t="s">
        <v>16</v>
      </c>
      <c r="G227" t="s">
        <v>2106</v>
      </c>
      <c r="I227" t="s">
        <v>41</v>
      </c>
      <c r="J227" t="s">
        <v>1525</v>
      </c>
      <c r="L227" t="s">
        <v>1526</v>
      </c>
      <c r="M227" t="s">
        <v>2097</v>
      </c>
      <c r="N227" t="s">
        <v>2097</v>
      </c>
      <c r="O227" t="s">
        <v>73</v>
      </c>
      <c r="P227" t="s">
        <v>81</v>
      </c>
      <c r="Q227" t="s">
        <v>1794</v>
      </c>
      <c r="R227" t="s">
        <v>2097</v>
      </c>
    </row>
    <row r="228" spans="1:18" x14ac:dyDescent="0.25">
      <c r="A228" t="s">
        <v>18725</v>
      </c>
      <c r="B228" t="s">
        <v>2107</v>
      </c>
      <c r="C228" t="str">
        <f>HYPERLINK("https://nematode.unl.edu/actinc16.jpg")</f>
        <v>https://nematode.unl.edu/actinc16.jpg</v>
      </c>
      <c r="D228" t="s">
        <v>16</v>
      </c>
      <c r="G228" t="s">
        <v>386</v>
      </c>
      <c r="H228" t="s">
        <v>18</v>
      </c>
      <c r="I228" t="s">
        <v>41</v>
      </c>
      <c r="J228" t="s">
        <v>1525</v>
      </c>
      <c r="L228" t="s">
        <v>1526</v>
      </c>
      <c r="M228" t="s">
        <v>2097</v>
      </c>
      <c r="N228" t="s">
        <v>2097</v>
      </c>
      <c r="O228" t="s">
        <v>73</v>
      </c>
      <c r="P228" t="s">
        <v>81</v>
      </c>
      <c r="Q228" t="s">
        <v>1794</v>
      </c>
      <c r="R228" t="s">
        <v>2097</v>
      </c>
    </row>
    <row r="229" spans="1:18" x14ac:dyDescent="0.25">
      <c r="A229" t="s">
        <v>18753</v>
      </c>
      <c r="B229" t="s">
        <v>2108</v>
      </c>
      <c r="C229" t="str">
        <f>HYPERLINK("https://nematode.unl.edu/actinc17.jpg")</f>
        <v>https://nematode.unl.edu/actinc17.jpg</v>
      </c>
      <c r="D229" t="s">
        <v>16</v>
      </c>
      <c r="G229" t="s">
        <v>2099</v>
      </c>
      <c r="I229" t="s">
        <v>19</v>
      </c>
      <c r="J229" t="s">
        <v>1525</v>
      </c>
      <c r="L229" t="s">
        <v>1526</v>
      </c>
      <c r="M229" t="s">
        <v>2097</v>
      </c>
      <c r="N229" t="s">
        <v>2097</v>
      </c>
      <c r="O229" t="s">
        <v>73</v>
      </c>
      <c r="P229" t="s">
        <v>81</v>
      </c>
      <c r="Q229" t="s">
        <v>1794</v>
      </c>
      <c r="R229" t="s">
        <v>2097</v>
      </c>
    </row>
    <row r="230" spans="1:18" x14ac:dyDescent="0.25">
      <c r="A230" t="s">
        <v>18734</v>
      </c>
      <c r="B230" t="s">
        <v>2109</v>
      </c>
      <c r="C230" t="str">
        <f>HYPERLINK("https://nematode.unl.edu/actinc2.jpg")</f>
        <v>https://nematode.unl.edu/actinc2.jpg</v>
      </c>
      <c r="D230" t="s">
        <v>43</v>
      </c>
      <c r="G230" t="s">
        <v>34</v>
      </c>
      <c r="H230" t="s">
        <v>18</v>
      </c>
      <c r="I230" t="s">
        <v>41</v>
      </c>
      <c r="J230" t="s">
        <v>1525</v>
      </c>
      <c r="L230" t="s">
        <v>1526</v>
      </c>
      <c r="M230" t="s">
        <v>2097</v>
      </c>
      <c r="N230" t="s">
        <v>2097</v>
      </c>
      <c r="O230" t="s">
        <v>73</v>
      </c>
      <c r="P230" t="s">
        <v>81</v>
      </c>
      <c r="Q230" t="s">
        <v>1794</v>
      </c>
      <c r="R230" t="s">
        <v>2097</v>
      </c>
    </row>
    <row r="231" spans="1:18" x14ac:dyDescent="0.25">
      <c r="A231" t="s">
        <v>18743</v>
      </c>
      <c r="B231" t="s">
        <v>2110</v>
      </c>
      <c r="C231" t="str">
        <f>HYPERLINK("https://nematode.unl.edu/actinc22.jpg")</f>
        <v>https://nematode.unl.edu/actinc22.jpg</v>
      </c>
      <c r="D231" t="s">
        <v>77</v>
      </c>
      <c r="G231" t="s">
        <v>44</v>
      </c>
      <c r="I231" t="s">
        <v>19</v>
      </c>
      <c r="J231" t="s">
        <v>1525</v>
      </c>
      <c r="L231" t="s">
        <v>1526</v>
      </c>
      <c r="M231" t="s">
        <v>2097</v>
      </c>
      <c r="N231" t="s">
        <v>2097</v>
      </c>
      <c r="O231" t="s">
        <v>73</v>
      </c>
      <c r="P231" t="s">
        <v>81</v>
      </c>
      <c r="Q231" t="s">
        <v>1794</v>
      </c>
      <c r="R231" t="s">
        <v>2097</v>
      </c>
    </row>
    <row r="232" spans="1:18" x14ac:dyDescent="0.25">
      <c r="A232" t="s">
        <v>18730</v>
      </c>
      <c r="B232" t="s">
        <v>2111</v>
      </c>
      <c r="C232" t="str">
        <f>HYPERLINK("https://nematode.unl.edu/actinc23.jpg")</f>
        <v>https://nematode.unl.edu/actinc23.jpg</v>
      </c>
      <c r="D232" t="s">
        <v>77</v>
      </c>
      <c r="G232" t="s">
        <v>96</v>
      </c>
      <c r="H232" t="s">
        <v>18</v>
      </c>
      <c r="I232" t="s">
        <v>19</v>
      </c>
      <c r="J232" t="s">
        <v>1525</v>
      </c>
      <c r="L232" t="s">
        <v>1526</v>
      </c>
      <c r="M232" t="s">
        <v>2097</v>
      </c>
      <c r="N232" t="s">
        <v>2097</v>
      </c>
      <c r="O232" t="s">
        <v>73</v>
      </c>
      <c r="P232" t="s">
        <v>81</v>
      </c>
      <c r="Q232" t="s">
        <v>1794</v>
      </c>
      <c r="R232" t="s">
        <v>2097</v>
      </c>
    </row>
    <row r="233" spans="1:18" x14ac:dyDescent="0.25">
      <c r="A233" t="s">
        <v>18772</v>
      </c>
      <c r="B233" t="s">
        <v>2112</v>
      </c>
      <c r="C233" t="str">
        <f>HYPERLINK("https://nematode.unl.edu/actinc24.jpg")</f>
        <v>https://nematode.unl.edu/actinc24.jpg</v>
      </c>
      <c r="D233" t="s">
        <v>77</v>
      </c>
      <c r="G233" t="s">
        <v>2113</v>
      </c>
      <c r="I233" t="s">
        <v>19</v>
      </c>
      <c r="J233" t="s">
        <v>1525</v>
      </c>
      <c r="L233" t="s">
        <v>1526</v>
      </c>
      <c r="M233" t="s">
        <v>2097</v>
      </c>
      <c r="N233" t="s">
        <v>2097</v>
      </c>
      <c r="O233" t="s">
        <v>73</v>
      </c>
      <c r="P233" t="s">
        <v>81</v>
      </c>
      <c r="Q233" t="s">
        <v>1794</v>
      </c>
      <c r="R233" t="s">
        <v>2097</v>
      </c>
    </row>
    <row r="234" spans="1:18" x14ac:dyDescent="0.25">
      <c r="A234" t="s">
        <v>18767</v>
      </c>
      <c r="B234" t="s">
        <v>2114</v>
      </c>
      <c r="C234" t="str">
        <f>HYPERLINK("https://nematode.unl.edu/actinc25.jpg")</f>
        <v>https://nematode.unl.edu/actinc25.jpg</v>
      </c>
      <c r="D234" t="s">
        <v>77</v>
      </c>
      <c r="G234" t="s">
        <v>28</v>
      </c>
      <c r="I234" t="s">
        <v>19</v>
      </c>
      <c r="J234" t="s">
        <v>1525</v>
      </c>
      <c r="L234" t="s">
        <v>1526</v>
      </c>
      <c r="M234" t="s">
        <v>2097</v>
      </c>
      <c r="N234" t="s">
        <v>2097</v>
      </c>
      <c r="O234" t="s">
        <v>73</v>
      </c>
      <c r="P234" t="s">
        <v>81</v>
      </c>
      <c r="Q234" t="s">
        <v>1794</v>
      </c>
      <c r="R234" t="s">
        <v>2097</v>
      </c>
    </row>
    <row r="235" spans="1:18" x14ac:dyDescent="0.25">
      <c r="A235" t="s">
        <v>18735</v>
      </c>
      <c r="B235" t="s">
        <v>2115</v>
      </c>
      <c r="C235" t="str">
        <f>HYPERLINK("https://nematode.unl.edu/actinc26.jpg")</f>
        <v>https://nematode.unl.edu/actinc26.jpg</v>
      </c>
      <c r="D235" t="s">
        <v>77</v>
      </c>
      <c r="G235" t="s">
        <v>34</v>
      </c>
      <c r="H235" t="s">
        <v>18</v>
      </c>
      <c r="I235" t="s">
        <v>41</v>
      </c>
      <c r="J235" t="s">
        <v>1525</v>
      </c>
      <c r="L235" t="s">
        <v>1526</v>
      </c>
      <c r="M235" t="s">
        <v>2097</v>
      </c>
      <c r="N235" t="s">
        <v>2097</v>
      </c>
      <c r="O235" t="s">
        <v>73</v>
      </c>
      <c r="P235" t="s">
        <v>81</v>
      </c>
      <c r="Q235" t="s">
        <v>1794</v>
      </c>
      <c r="R235" t="s">
        <v>2097</v>
      </c>
    </row>
    <row r="236" spans="1:18" x14ac:dyDescent="0.25">
      <c r="A236" t="s">
        <v>18726</v>
      </c>
      <c r="B236" t="s">
        <v>2116</v>
      </c>
      <c r="C236" t="str">
        <f>HYPERLINK("https://nematode.unl.edu/actinc27.jpg")</f>
        <v>https://nematode.unl.edu/actinc27.jpg</v>
      </c>
      <c r="D236" t="s">
        <v>77</v>
      </c>
      <c r="G236" t="s">
        <v>386</v>
      </c>
      <c r="H236" t="s">
        <v>18</v>
      </c>
      <c r="I236" t="s">
        <v>41</v>
      </c>
      <c r="J236" t="s">
        <v>1525</v>
      </c>
      <c r="L236" t="s">
        <v>1526</v>
      </c>
      <c r="M236" t="s">
        <v>2097</v>
      </c>
      <c r="N236" t="s">
        <v>2097</v>
      </c>
      <c r="O236" t="s">
        <v>73</v>
      </c>
      <c r="P236" t="s">
        <v>81</v>
      </c>
      <c r="Q236" t="s">
        <v>1794</v>
      </c>
      <c r="R236" t="s">
        <v>2097</v>
      </c>
    </row>
    <row r="237" spans="1:18" x14ac:dyDescent="0.25">
      <c r="A237" t="s">
        <v>18747</v>
      </c>
      <c r="B237" t="s">
        <v>2117</v>
      </c>
      <c r="C237" t="str">
        <f>HYPERLINK("https://nematode.unl.edu/actinc28.jpg")</f>
        <v>https://nematode.unl.edu/actinc28.jpg</v>
      </c>
      <c r="D237" t="s">
        <v>77</v>
      </c>
      <c r="G237" t="s">
        <v>1550</v>
      </c>
      <c r="I237" t="s">
        <v>45</v>
      </c>
      <c r="J237" t="s">
        <v>1525</v>
      </c>
      <c r="L237" t="s">
        <v>1526</v>
      </c>
      <c r="M237" t="s">
        <v>2097</v>
      </c>
      <c r="N237" t="s">
        <v>2097</v>
      </c>
      <c r="O237" t="s">
        <v>73</v>
      </c>
      <c r="P237" t="s">
        <v>81</v>
      </c>
      <c r="Q237" t="s">
        <v>1794</v>
      </c>
      <c r="R237" t="s">
        <v>2097</v>
      </c>
    </row>
    <row r="238" spans="1:18" x14ac:dyDescent="0.25">
      <c r="A238" t="s">
        <v>18739</v>
      </c>
      <c r="B238" t="s">
        <v>2118</v>
      </c>
      <c r="C238" t="str">
        <f>HYPERLINK("https://nematode.unl.edu/actinc29.jpg")</f>
        <v>https://nematode.unl.edu/actinc29.jpg</v>
      </c>
      <c r="D238" t="s">
        <v>77</v>
      </c>
      <c r="G238" t="s">
        <v>87</v>
      </c>
      <c r="I238" t="s">
        <v>41</v>
      </c>
      <c r="J238" t="s">
        <v>1525</v>
      </c>
      <c r="L238" t="s">
        <v>1526</v>
      </c>
      <c r="M238" t="s">
        <v>2097</v>
      </c>
      <c r="N238" t="s">
        <v>2097</v>
      </c>
      <c r="O238" t="s">
        <v>73</v>
      </c>
      <c r="P238" t="s">
        <v>81</v>
      </c>
      <c r="Q238" t="s">
        <v>1794</v>
      </c>
      <c r="R238" t="s">
        <v>2097</v>
      </c>
    </row>
    <row r="239" spans="1:18" x14ac:dyDescent="0.25">
      <c r="A239" t="s">
        <v>18727</v>
      </c>
      <c r="B239" t="s">
        <v>2119</v>
      </c>
      <c r="C239" t="str">
        <f>HYPERLINK("https://nematode.unl.edu/actinc3.jpg")</f>
        <v>https://nematode.unl.edu/actinc3.jpg</v>
      </c>
      <c r="D239" t="s">
        <v>43</v>
      </c>
      <c r="G239" t="s">
        <v>386</v>
      </c>
      <c r="H239" t="s">
        <v>18</v>
      </c>
      <c r="I239" t="s">
        <v>41</v>
      </c>
      <c r="J239" t="s">
        <v>1525</v>
      </c>
      <c r="L239" t="s">
        <v>1526</v>
      </c>
      <c r="M239" t="s">
        <v>2097</v>
      </c>
      <c r="N239" t="s">
        <v>2097</v>
      </c>
      <c r="O239" t="s">
        <v>73</v>
      </c>
      <c r="P239" t="s">
        <v>81</v>
      </c>
      <c r="Q239" t="s">
        <v>1794</v>
      </c>
      <c r="R239" t="s">
        <v>2097</v>
      </c>
    </row>
    <row r="240" spans="1:18" x14ac:dyDescent="0.25">
      <c r="A240" t="s">
        <v>18763</v>
      </c>
      <c r="B240" t="s">
        <v>2120</v>
      </c>
      <c r="C240" t="str">
        <f>HYPERLINK("https://nematode.unl.edu/actinc30.jpg")</f>
        <v>https://nematode.unl.edu/actinc30.jpg</v>
      </c>
      <c r="D240" t="s">
        <v>77</v>
      </c>
      <c r="G240" t="s">
        <v>2121</v>
      </c>
      <c r="I240" t="s">
        <v>41</v>
      </c>
      <c r="J240" t="s">
        <v>1525</v>
      </c>
      <c r="L240" t="s">
        <v>1526</v>
      </c>
      <c r="M240" t="s">
        <v>2097</v>
      </c>
      <c r="N240" t="s">
        <v>2097</v>
      </c>
      <c r="O240" t="s">
        <v>73</v>
      </c>
      <c r="P240" t="s">
        <v>81</v>
      </c>
      <c r="Q240" t="s">
        <v>1794</v>
      </c>
      <c r="R240" t="s">
        <v>2097</v>
      </c>
    </row>
    <row r="241" spans="1:18" x14ac:dyDescent="0.25">
      <c r="A241" t="s">
        <v>18765</v>
      </c>
      <c r="B241" t="s">
        <v>2122</v>
      </c>
      <c r="C241" t="str">
        <f>HYPERLINK("https://nematode.unl.edu/actinc31.jpg")</f>
        <v>https://nematode.unl.edu/actinc31.jpg</v>
      </c>
      <c r="D241" t="s">
        <v>77</v>
      </c>
      <c r="G241" t="s">
        <v>230</v>
      </c>
      <c r="I241" t="s">
        <v>41</v>
      </c>
      <c r="J241" t="s">
        <v>1525</v>
      </c>
      <c r="L241" t="s">
        <v>1526</v>
      </c>
      <c r="M241" t="s">
        <v>2097</v>
      </c>
      <c r="N241" t="s">
        <v>2097</v>
      </c>
      <c r="O241" t="s">
        <v>73</v>
      </c>
      <c r="P241" t="s">
        <v>81</v>
      </c>
      <c r="Q241" t="s">
        <v>1794</v>
      </c>
      <c r="R241" t="s">
        <v>2097</v>
      </c>
    </row>
    <row r="242" spans="1:18" x14ac:dyDescent="0.25">
      <c r="A242" t="s">
        <v>18749</v>
      </c>
      <c r="B242" t="s">
        <v>2123</v>
      </c>
      <c r="C242" t="str">
        <f>HYPERLINK("https://nematode.unl.edu/actinc32.jpg")</f>
        <v>https://nematode.unl.edu/actinc32.jpg</v>
      </c>
      <c r="D242" t="s">
        <v>77</v>
      </c>
      <c r="G242" t="s">
        <v>2124</v>
      </c>
      <c r="I242" t="s">
        <v>41</v>
      </c>
      <c r="J242" t="s">
        <v>1525</v>
      </c>
      <c r="L242" t="s">
        <v>1526</v>
      </c>
      <c r="M242" t="s">
        <v>2097</v>
      </c>
      <c r="N242" t="s">
        <v>2097</v>
      </c>
      <c r="O242" t="s">
        <v>73</v>
      </c>
      <c r="P242" t="s">
        <v>81</v>
      </c>
      <c r="Q242" t="s">
        <v>1794</v>
      </c>
      <c r="R242" t="s">
        <v>2097</v>
      </c>
    </row>
    <row r="243" spans="1:18" x14ac:dyDescent="0.25">
      <c r="A243" t="s">
        <v>18764</v>
      </c>
      <c r="B243" t="s">
        <v>2125</v>
      </c>
      <c r="C243" t="str">
        <f>HYPERLINK("https://nematode.unl.edu/actinc33.jpg")</f>
        <v>https://nematode.unl.edu/actinc33.jpg</v>
      </c>
      <c r="D243" t="s">
        <v>77</v>
      </c>
      <c r="G243" t="s">
        <v>112</v>
      </c>
      <c r="I243" t="s">
        <v>41</v>
      </c>
      <c r="J243" t="s">
        <v>1525</v>
      </c>
      <c r="L243" t="s">
        <v>1526</v>
      </c>
      <c r="M243" t="s">
        <v>2097</v>
      </c>
      <c r="N243" t="s">
        <v>2097</v>
      </c>
      <c r="O243" t="s">
        <v>73</v>
      </c>
      <c r="P243" t="s">
        <v>81</v>
      </c>
      <c r="Q243" t="s">
        <v>1794</v>
      </c>
      <c r="R243" t="s">
        <v>2097</v>
      </c>
    </row>
    <row r="244" spans="1:18" x14ac:dyDescent="0.25">
      <c r="A244" t="s">
        <v>18731</v>
      </c>
      <c r="B244" t="s">
        <v>2126</v>
      </c>
      <c r="C244" t="str">
        <f>HYPERLINK("https://nematode.unl.edu/actinc34.jpg")</f>
        <v>https://nematode.unl.edu/actinc34.jpg</v>
      </c>
      <c r="D244" t="s">
        <v>77</v>
      </c>
      <c r="G244" t="s">
        <v>96</v>
      </c>
      <c r="H244" t="s">
        <v>18</v>
      </c>
      <c r="I244" t="s">
        <v>19</v>
      </c>
      <c r="J244" t="s">
        <v>1525</v>
      </c>
      <c r="L244" t="s">
        <v>1526</v>
      </c>
      <c r="M244" t="s">
        <v>2097</v>
      </c>
      <c r="N244" t="s">
        <v>2097</v>
      </c>
      <c r="O244" t="s">
        <v>73</v>
      </c>
      <c r="P244" t="s">
        <v>81</v>
      </c>
      <c r="Q244" t="s">
        <v>1794</v>
      </c>
      <c r="R244" t="s">
        <v>2097</v>
      </c>
    </row>
    <row r="245" spans="1:18" x14ac:dyDescent="0.25">
      <c r="A245" t="s">
        <v>18773</v>
      </c>
      <c r="B245" t="s">
        <v>2127</v>
      </c>
      <c r="C245" t="str">
        <f>HYPERLINK("https://nematode.unl.edu/actinc35.jpg")</f>
        <v>https://nematode.unl.edu/actinc35.jpg</v>
      </c>
      <c r="D245" t="s">
        <v>77</v>
      </c>
      <c r="G245" t="s">
        <v>2113</v>
      </c>
      <c r="I245" t="s">
        <v>19</v>
      </c>
      <c r="J245" t="s">
        <v>1525</v>
      </c>
      <c r="L245" t="s">
        <v>1526</v>
      </c>
      <c r="M245" t="s">
        <v>2097</v>
      </c>
      <c r="N245" t="s">
        <v>2097</v>
      </c>
      <c r="O245" t="s">
        <v>73</v>
      </c>
      <c r="P245" t="s">
        <v>81</v>
      </c>
      <c r="Q245" t="s">
        <v>1794</v>
      </c>
      <c r="R245" t="s">
        <v>2097</v>
      </c>
    </row>
    <row r="246" spans="1:18" x14ac:dyDescent="0.25">
      <c r="A246" t="s">
        <v>18754</v>
      </c>
      <c r="B246" t="s">
        <v>2128</v>
      </c>
      <c r="C246" t="str">
        <f>HYPERLINK("https://nematode.unl.edu/actinc36.jpg")</f>
        <v>https://nematode.unl.edu/actinc36.jpg</v>
      </c>
      <c r="D246" t="s">
        <v>77</v>
      </c>
      <c r="G246" t="s">
        <v>2099</v>
      </c>
      <c r="I246" t="s">
        <v>19</v>
      </c>
      <c r="J246" t="s">
        <v>1525</v>
      </c>
      <c r="L246" t="s">
        <v>1526</v>
      </c>
      <c r="M246" t="s">
        <v>2097</v>
      </c>
      <c r="N246" t="s">
        <v>2097</v>
      </c>
      <c r="O246" t="s">
        <v>73</v>
      </c>
      <c r="P246" t="s">
        <v>81</v>
      </c>
      <c r="Q246" t="s">
        <v>1794</v>
      </c>
      <c r="R246" t="s">
        <v>2097</v>
      </c>
    </row>
    <row r="247" spans="1:18" x14ac:dyDescent="0.25">
      <c r="A247" t="s">
        <v>18768</v>
      </c>
      <c r="B247" t="s">
        <v>2129</v>
      </c>
      <c r="C247" t="str">
        <f>HYPERLINK("https://nematode.unl.edu/actinc37.jpg")</f>
        <v>https://nematode.unl.edu/actinc37.jpg</v>
      </c>
      <c r="D247" t="s">
        <v>77</v>
      </c>
      <c r="G247" t="s">
        <v>28</v>
      </c>
      <c r="I247" t="s">
        <v>19</v>
      </c>
      <c r="J247" t="s">
        <v>1525</v>
      </c>
      <c r="L247" t="s">
        <v>1526</v>
      </c>
      <c r="M247" t="s">
        <v>2097</v>
      </c>
      <c r="N247" t="s">
        <v>2097</v>
      </c>
      <c r="O247" t="s">
        <v>73</v>
      </c>
      <c r="P247" t="s">
        <v>81</v>
      </c>
      <c r="Q247" t="s">
        <v>1794</v>
      </c>
      <c r="R247" t="s">
        <v>2097</v>
      </c>
    </row>
    <row r="248" spans="1:18" x14ac:dyDescent="0.25">
      <c r="A248" t="s">
        <v>18736</v>
      </c>
      <c r="B248" t="s">
        <v>2130</v>
      </c>
      <c r="C248" t="str">
        <f>HYPERLINK("https://nematode.unl.edu/actinc38.jpg")</f>
        <v>https://nematode.unl.edu/actinc38.jpg</v>
      </c>
      <c r="D248" t="s">
        <v>77</v>
      </c>
      <c r="G248" t="s">
        <v>34</v>
      </c>
      <c r="H248" t="s">
        <v>18</v>
      </c>
      <c r="I248" t="s">
        <v>41</v>
      </c>
      <c r="J248" t="s">
        <v>1525</v>
      </c>
      <c r="L248" t="s">
        <v>1526</v>
      </c>
      <c r="M248" t="s">
        <v>2097</v>
      </c>
      <c r="N248" t="s">
        <v>2097</v>
      </c>
      <c r="O248" t="s">
        <v>73</v>
      </c>
      <c r="P248" t="s">
        <v>81</v>
      </c>
      <c r="Q248" t="s">
        <v>1794</v>
      </c>
      <c r="R248" t="s">
        <v>2097</v>
      </c>
    </row>
    <row r="249" spans="1:18" x14ac:dyDescent="0.25">
      <c r="A249" t="s">
        <v>18728</v>
      </c>
      <c r="B249" t="s">
        <v>2131</v>
      </c>
      <c r="C249" t="str">
        <f>HYPERLINK("https://nematode.unl.edu/actinc39.jpg")</f>
        <v>https://nematode.unl.edu/actinc39.jpg</v>
      </c>
      <c r="D249" t="s">
        <v>77</v>
      </c>
      <c r="G249" t="s">
        <v>386</v>
      </c>
      <c r="H249" t="s">
        <v>18</v>
      </c>
      <c r="I249" t="s">
        <v>41</v>
      </c>
      <c r="J249" t="s">
        <v>1525</v>
      </c>
      <c r="L249" t="s">
        <v>1526</v>
      </c>
      <c r="M249" t="s">
        <v>2097</v>
      </c>
      <c r="N249" t="s">
        <v>2097</v>
      </c>
      <c r="O249" t="s">
        <v>73</v>
      </c>
      <c r="P249" t="s">
        <v>81</v>
      </c>
      <c r="Q249" t="s">
        <v>1794</v>
      </c>
      <c r="R249" t="s">
        <v>2097</v>
      </c>
    </row>
    <row r="250" spans="1:18" x14ac:dyDescent="0.25">
      <c r="A250" t="s">
        <v>18732</v>
      </c>
      <c r="B250" t="s">
        <v>2132</v>
      </c>
      <c r="C250" t="str">
        <f>HYPERLINK("https://nematode.unl.edu/actinc4.jpg")</f>
        <v>https://nematode.unl.edu/actinc4.jpg</v>
      </c>
      <c r="D250" t="s">
        <v>43</v>
      </c>
      <c r="G250" t="s">
        <v>17</v>
      </c>
      <c r="H250" t="s">
        <v>18</v>
      </c>
      <c r="I250" t="s">
        <v>41</v>
      </c>
      <c r="J250" t="s">
        <v>1525</v>
      </c>
      <c r="L250" t="s">
        <v>1526</v>
      </c>
      <c r="M250" t="s">
        <v>2097</v>
      </c>
      <c r="N250" t="s">
        <v>2097</v>
      </c>
      <c r="O250" t="s">
        <v>73</v>
      </c>
      <c r="P250" t="s">
        <v>81</v>
      </c>
      <c r="Q250" t="s">
        <v>1794</v>
      </c>
      <c r="R250" t="s">
        <v>2097</v>
      </c>
    </row>
    <row r="251" spans="1:18" x14ac:dyDescent="0.25">
      <c r="A251" t="s">
        <v>18746</v>
      </c>
      <c r="B251" t="s">
        <v>2133</v>
      </c>
      <c r="C251" t="str">
        <f>HYPERLINK("https://nematode.unl.edu/actinc40.jpg")</f>
        <v>https://nematode.unl.edu/actinc40.jpg</v>
      </c>
      <c r="D251" t="s">
        <v>77</v>
      </c>
      <c r="G251" t="s">
        <v>2134</v>
      </c>
      <c r="I251" t="s">
        <v>41</v>
      </c>
      <c r="J251" t="s">
        <v>1525</v>
      </c>
      <c r="L251" t="s">
        <v>1526</v>
      </c>
      <c r="M251" t="s">
        <v>2097</v>
      </c>
      <c r="N251" t="s">
        <v>2097</v>
      </c>
      <c r="O251" t="s">
        <v>73</v>
      </c>
      <c r="P251" t="s">
        <v>81</v>
      </c>
      <c r="Q251" t="s">
        <v>1794</v>
      </c>
      <c r="R251" t="s">
        <v>2097</v>
      </c>
    </row>
    <row r="252" spans="1:18" x14ac:dyDescent="0.25">
      <c r="A252" t="s">
        <v>18762</v>
      </c>
      <c r="B252" t="s">
        <v>2135</v>
      </c>
      <c r="C252" t="str">
        <f>HYPERLINK("https://nematode.unl.edu/actinc41.jpg")</f>
        <v>https://nematode.unl.edu/actinc41.jpg</v>
      </c>
      <c r="D252" t="s">
        <v>77</v>
      </c>
      <c r="G252" t="s">
        <v>2136</v>
      </c>
      <c r="I252" t="s">
        <v>41</v>
      </c>
      <c r="J252" t="s">
        <v>1525</v>
      </c>
      <c r="L252" t="s">
        <v>1526</v>
      </c>
      <c r="M252" t="s">
        <v>2097</v>
      </c>
      <c r="N252" t="s">
        <v>2097</v>
      </c>
      <c r="O252" t="s">
        <v>73</v>
      </c>
      <c r="P252" t="s">
        <v>81</v>
      </c>
      <c r="Q252" t="s">
        <v>1794</v>
      </c>
      <c r="R252" t="s">
        <v>2097</v>
      </c>
    </row>
    <row r="253" spans="1:18" x14ac:dyDescent="0.25">
      <c r="A253" t="s">
        <v>18766</v>
      </c>
      <c r="B253" t="s">
        <v>2137</v>
      </c>
      <c r="C253" t="str">
        <f>HYPERLINK("https://nematode.unl.edu/actinc42.jpg")</f>
        <v>https://nematode.unl.edu/actinc42.jpg</v>
      </c>
      <c r="D253" t="s">
        <v>77</v>
      </c>
      <c r="G253" t="s">
        <v>230</v>
      </c>
      <c r="I253" t="s">
        <v>41</v>
      </c>
      <c r="J253" t="s">
        <v>1525</v>
      </c>
      <c r="L253" t="s">
        <v>1526</v>
      </c>
      <c r="M253" t="s">
        <v>2097</v>
      </c>
      <c r="N253" t="s">
        <v>2097</v>
      </c>
      <c r="O253" t="s">
        <v>73</v>
      </c>
      <c r="P253" t="s">
        <v>81</v>
      </c>
      <c r="Q253" t="s">
        <v>1794</v>
      </c>
      <c r="R253" t="s">
        <v>2097</v>
      </c>
    </row>
    <row r="254" spans="1:18" x14ac:dyDescent="0.25">
      <c r="A254" t="s">
        <v>18750</v>
      </c>
      <c r="B254" t="s">
        <v>2138</v>
      </c>
      <c r="C254" t="str">
        <f>HYPERLINK("https://nematode.unl.edu/actinc43.jpg")</f>
        <v>https://nematode.unl.edu/actinc43.jpg</v>
      </c>
      <c r="D254" t="s">
        <v>77</v>
      </c>
      <c r="G254" t="s">
        <v>2124</v>
      </c>
      <c r="I254" t="s">
        <v>41</v>
      </c>
      <c r="J254" t="s">
        <v>1525</v>
      </c>
      <c r="L254" t="s">
        <v>1526</v>
      </c>
      <c r="M254" t="s">
        <v>2097</v>
      </c>
      <c r="N254" t="s">
        <v>2097</v>
      </c>
      <c r="O254" t="s">
        <v>73</v>
      </c>
      <c r="P254" t="s">
        <v>81</v>
      </c>
      <c r="Q254" t="s">
        <v>1794</v>
      </c>
      <c r="R254" t="s">
        <v>2097</v>
      </c>
    </row>
    <row r="255" spans="1:18" x14ac:dyDescent="0.25">
      <c r="A255" t="s">
        <v>18744</v>
      </c>
      <c r="B255" t="s">
        <v>2139</v>
      </c>
      <c r="C255" t="str">
        <f>HYPERLINK("https://nematode.unl.edu/actinc44.jpg")</f>
        <v>https://nematode.unl.edu/actinc44.jpg</v>
      </c>
      <c r="D255" t="s">
        <v>77</v>
      </c>
      <c r="G255" t="s">
        <v>44</v>
      </c>
      <c r="I255" t="s">
        <v>19</v>
      </c>
      <c r="J255" t="s">
        <v>1525</v>
      </c>
      <c r="L255" t="s">
        <v>1526</v>
      </c>
      <c r="M255" t="s">
        <v>2097</v>
      </c>
      <c r="N255" t="s">
        <v>2097</v>
      </c>
      <c r="O255" t="s">
        <v>73</v>
      </c>
      <c r="P255" t="s">
        <v>81</v>
      </c>
      <c r="Q255" t="s">
        <v>1794</v>
      </c>
      <c r="R255" t="s">
        <v>2097</v>
      </c>
    </row>
    <row r="256" spans="1:18" x14ac:dyDescent="0.25">
      <c r="A256" t="s">
        <v>18737</v>
      </c>
      <c r="B256" t="s">
        <v>2140</v>
      </c>
      <c r="C256" t="str">
        <f>HYPERLINK("https://nematode.unl.edu/actinc45.jpg")</f>
        <v>https://nematode.unl.edu/actinc45.jpg</v>
      </c>
      <c r="D256" t="s">
        <v>77</v>
      </c>
      <c r="G256" t="s">
        <v>34</v>
      </c>
      <c r="H256" t="s">
        <v>18</v>
      </c>
      <c r="I256" t="s">
        <v>41</v>
      </c>
      <c r="J256" t="s">
        <v>1525</v>
      </c>
      <c r="L256" t="s">
        <v>1526</v>
      </c>
      <c r="M256" t="s">
        <v>2097</v>
      </c>
      <c r="N256" t="s">
        <v>2097</v>
      </c>
      <c r="O256" t="s">
        <v>73</v>
      </c>
      <c r="P256" t="s">
        <v>81</v>
      </c>
      <c r="Q256" t="s">
        <v>1794</v>
      </c>
      <c r="R256" t="s">
        <v>2097</v>
      </c>
    </row>
    <row r="257" spans="1:18" x14ac:dyDescent="0.25">
      <c r="A257" t="s">
        <v>18761</v>
      </c>
      <c r="B257" t="s">
        <v>2141</v>
      </c>
      <c r="C257" t="str">
        <f>HYPERLINK("https://nematode.unl.edu/actinc46.jpg")</f>
        <v>https://nematode.unl.edu/actinc46.jpg</v>
      </c>
      <c r="D257" t="s">
        <v>77</v>
      </c>
      <c r="G257" t="s">
        <v>2142</v>
      </c>
      <c r="I257" t="s">
        <v>41</v>
      </c>
      <c r="J257" t="s">
        <v>1525</v>
      </c>
      <c r="L257" t="s">
        <v>1526</v>
      </c>
      <c r="M257" t="s">
        <v>2097</v>
      </c>
      <c r="N257" t="s">
        <v>2097</v>
      </c>
      <c r="O257" t="s">
        <v>73</v>
      </c>
      <c r="P257" t="s">
        <v>81</v>
      </c>
      <c r="Q257" t="s">
        <v>1794</v>
      </c>
      <c r="R257" t="s">
        <v>2097</v>
      </c>
    </row>
    <row r="258" spans="1:18" x14ac:dyDescent="0.25">
      <c r="A258" t="s">
        <v>18755</v>
      </c>
      <c r="B258" t="s">
        <v>2143</v>
      </c>
      <c r="C258" t="str">
        <f>HYPERLINK("https://nematode.unl.edu/actinc47.jpg")</f>
        <v>https://nematode.unl.edu/actinc47.jpg</v>
      </c>
      <c r="D258" t="s">
        <v>77</v>
      </c>
      <c r="G258" t="s">
        <v>2099</v>
      </c>
      <c r="I258" t="s">
        <v>19</v>
      </c>
      <c r="J258" t="s">
        <v>1525</v>
      </c>
      <c r="L258" t="s">
        <v>1526</v>
      </c>
      <c r="M258" t="s">
        <v>2097</v>
      </c>
      <c r="N258" t="s">
        <v>2097</v>
      </c>
      <c r="O258" t="s">
        <v>73</v>
      </c>
      <c r="P258" t="s">
        <v>81</v>
      </c>
      <c r="Q258" t="s">
        <v>1794</v>
      </c>
      <c r="R258" t="s">
        <v>2097</v>
      </c>
    </row>
    <row r="259" spans="1:18" x14ac:dyDescent="0.25">
      <c r="A259" t="s">
        <v>18769</v>
      </c>
      <c r="B259" t="s">
        <v>2144</v>
      </c>
      <c r="C259" t="str">
        <f>HYPERLINK("https://nematode.unl.edu/actinc48.jpg")</f>
        <v>https://nematode.unl.edu/actinc48.jpg</v>
      </c>
      <c r="D259" t="s">
        <v>77</v>
      </c>
      <c r="G259" t="s">
        <v>28</v>
      </c>
      <c r="I259" t="s">
        <v>41</v>
      </c>
      <c r="J259" t="s">
        <v>1525</v>
      </c>
      <c r="L259" t="s">
        <v>1526</v>
      </c>
      <c r="M259" t="s">
        <v>2097</v>
      </c>
      <c r="N259" t="s">
        <v>2097</v>
      </c>
      <c r="O259" t="s">
        <v>73</v>
      </c>
      <c r="P259" t="s">
        <v>81</v>
      </c>
      <c r="Q259" t="s">
        <v>1794</v>
      </c>
      <c r="R259" t="s">
        <v>2097</v>
      </c>
    </row>
    <row r="260" spans="1:18" x14ac:dyDescent="0.25">
      <c r="A260" t="s">
        <v>18745</v>
      </c>
      <c r="B260" t="s">
        <v>2145</v>
      </c>
      <c r="C260" t="str">
        <f>HYPERLINK("https://nematode.unl.edu/actinc49.jpg")</f>
        <v>https://nematode.unl.edu/actinc49.jpg</v>
      </c>
      <c r="D260" t="s">
        <v>77</v>
      </c>
      <c r="G260" t="s">
        <v>44</v>
      </c>
      <c r="I260" t="s">
        <v>19</v>
      </c>
      <c r="J260" t="s">
        <v>1525</v>
      </c>
      <c r="L260" t="s">
        <v>1526</v>
      </c>
      <c r="M260" t="s">
        <v>2097</v>
      </c>
      <c r="N260" t="s">
        <v>2097</v>
      </c>
      <c r="O260" t="s">
        <v>73</v>
      </c>
      <c r="P260" t="s">
        <v>81</v>
      </c>
      <c r="Q260" t="s">
        <v>1794</v>
      </c>
      <c r="R260" t="s">
        <v>2097</v>
      </c>
    </row>
    <row r="261" spans="1:18" x14ac:dyDescent="0.25">
      <c r="A261" t="s">
        <v>18758</v>
      </c>
      <c r="B261" t="s">
        <v>2146</v>
      </c>
      <c r="C261" t="str">
        <f>HYPERLINK("https://nematode.unl.edu/actinc5.jpg")</f>
        <v>https://nematode.unl.edu/actinc5.jpg</v>
      </c>
      <c r="D261" t="s">
        <v>43</v>
      </c>
      <c r="G261" t="s">
        <v>1000</v>
      </c>
      <c r="I261" t="s">
        <v>19</v>
      </c>
      <c r="J261" t="s">
        <v>1525</v>
      </c>
      <c r="L261" t="s">
        <v>1526</v>
      </c>
      <c r="M261" t="s">
        <v>2097</v>
      </c>
      <c r="N261" t="s">
        <v>2097</v>
      </c>
      <c r="O261" t="s">
        <v>73</v>
      </c>
      <c r="P261" t="s">
        <v>81</v>
      </c>
      <c r="Q261" t="s">
        <v>1794</v>
      </c>
      <c r="R261" t="s">
        <v>2097</v>
      </c>
    </row>
    <row r="262" spans="1:18" x14ac:dyDescent="0.25">
      <c r="A262" t="s">
        <v>18738</v>
      </c>
      <c r="B262" t="s">
        <v>2147</v>
      </c>
      <c r="C262" t="str">
        <f>HYPERLINK("https://nematode.unl.edu/actinc50.jpg")</f>
        <v>https://nematode.unl.edu/actinc50.jpg</v>
      </c>
      <c r="D262" t="s">
        <v>77</v>
      </c>
      <c r="G262" t="s">
        <v>34</v>
      </c>
      <c r="H262" t="s">
        <v>18</v>
      </c>
      <c r="I262" t="s">
        <v>41</v>
      </c>
      <c r="J262" t="s">
        <v>1525</v>
      </c>
      <c r="L262" t="s">
        <v>1526</v>
      </c>
      <c r="M262" t="s">
        <v>2097</v>
      </c>
      <c r="N262" t="s">
        <v>2097</v>
      </c>
      <c r="O262" t="s">
        <v>73</v>
      </c>
      <c r="P262" t="s">
        <v>81</v>
      </c>
      <c r="Q262" t="s">
        <v>1794</v>
      </c>
      <c r="R262" t="s">
        <v>2097</v>
      </c>
    </row>
    <row r="263" spans="1:18" x14ac:dyDescent="0.25">
      <c r="A263" t="s">
        <v>18729</v>
      </c>
      <c r="B263" t="s">
        <v>2148</v>
      </c>
      <c r="C263" t="str">
        <f>HYPERLINK("https://nematode.unl.edu/actinc51.jpg")</f>
        <v>https://nematode.unl.edu/actinc51.jpg</v>
      </c>
      <c r="D263" t="s">
        <v>77</v>
      </c>
      <c r="G263" t="s">
        <v>386</v>
      </c>
      <c r="H263" t="s">
        <v>18</v>
      </c>
      <c r="I263" t="s">
        <v>41</v>
      </c>
      <c r="J263" t="s">
        <v>1525</v>
      </c>
      <c r="L263" t="s">
        <v>1526</v>
      </c>
      <c r="M263" t="s">
        <v>2097</v>
      </c>
      <c r="N263" t="s">
        <v>2097</v>
      </c>
      <c r="O263" t="s">
        <v>73</v>
      </c>
      <c r="P263" t="s">
        <v>81</v>
      </c>
      <c r="Q263" t="s">
        <v>1794</v>
      </c>
      <c r="R263" t="s">
        <v>2097</v>
      </c>
    </row>
    <row r="264" spans="1:18" x14ac:dyDescent="0.25">
      <c r="A264" t="s">
        <v>18760</v>
      </c>
      <c r="B264" t="s">
        <v>2149</v>
      </c>
      <c r="C264" t="str">
        <f>HYPERLINK("https://nematode.unl.edu/actinc52.jpg")</f>
        <v>https://nematode.unl.edu/actinc52.jpg</v>
      </c>
      <c r="D264" t="s">
        <v>77</v>
      </c>
      <c r="G264" t="s">
        <v>2150</v>
      </c>
      <c r="I264" t="s">
        <v>41</v>
      </c>
      <c r="J264" t="s">
        <v>1525</v>
      </c>
      <c r="L264" t="s">
        <v>1526</v>
      </c>
      <c r="M264" t="s">
        <v>2097</v>
      </c>
      <c r="N264" t="s">
        <v>2097</v>
      </c>
      <c r="O264" t="s">
        <v>73</v>
      </c>
      <c r="P264" t="s">
        <v>81</v>
      </c>
      <c r="Q264" t="s">
        <v>1794</v>
      </c>
      <c r="R264" t="s">
        <v>2097</v>
      </c>
    </row>
    <row r="265" spans="1:18" x14ac:dyDescent="0.25">
      <c r="A265" t="s">
        <v>18756</v>
      </c>
      <c r="B265" t="s">
        <v>2151</v>
      </c>
      <c r="C265" t="str">
        <f>HYPERLINK("https://nematode.unl.edu/actinc53.jpg")</f>
        <v>https://nematode.unl.edu/actinc53.jpg</v>
      </c>
      <c r="D265" t="s">
        <v>77</v>
      </c>
      <c r="G265" t="s">
        <v>2099</v>
      </c>
      <c r="I265" t="s">
        <v>19</v>
      </c>
      <c r="J265" t="s">
        <v>1525</v>
      </c>
      <c r="L265" t="s">
        <v>1526</v>
      </c>
      <c r="M265" t="s">
        <v>2097</v>
      </c>
      <c r="N265" t="s">
        <v>2097</v>
      </c>
      <c r="O265" t="s">
        <v>73</v>
      </c>
      <c r="P265" t="s">
        <v>81</v>
      </c>
      <c r="Q265" t="s">
        <v>1794</v>
      </c>
      <c r="R265" t="s">
        <v>2097</v>
      </c>
    </row>
    <row r="266" spans="1:18" x14ac:dyDescent="0.25">
      <c r="A266" t="s">
        <v>18751</v>
      </c>
      <c r="B266" t="s">
        <v>2152</v>
      </c>
      <c r="C266" t="str">
        <f>HYPERLINK("https://nematode.unl.edu/actinc54.jpg")</f>
        <v>https://nematode.unl.edu/actinc54.jpg</v>
      </c>
      <c r="D266" t="s">
        <v>77</v>
      </c>
      <c r="G266" t="s">
        <v>2124</v>
      </c>
      <c r="I266" t="s">
        <v>41</v>
      </c>
      <c r="J266" t="s">
        <v>1525</v>
      </c>
      <c r="L266" t="s">
        <v>1526</v>
      </c>
      <c r="M266" t="s">
        <v>2097</v>
      </c>
      <c r="N266" t="s">
        <v>2097</v>
      </c>
      <c r="O266" t="s">
        <v>73</v>
      </c>
      <c r="P266" t="s">
        <v>81</v>
      </c>
      <c r="Q266" t="s">
        <v>1794</v>
      </c>
      <c r="R266" t="s">
        <v>2097</v>
      </c>
    </row>
    <row r="267" spans="1:18" x14ac:dyDescent="0.25">
      <c r="A267" t="s">
        <v>18774</v>
      </c>
      <c r="B267" t="s">
        <v>2153</v>
      </c>
      <c r="C267" t="str">
        <f>HYPERLINK("https://nematode.unl.edu/actinc6.jpg")</f>
        <v>https://nematode.unl.edu/actinc6.jpg</v>
      </c>
      <c r="D267" t="s">
        <v>43</v>
      </c>
      <c r="G267" t="s">
        <v>51</v>
      </c>
      <c r="I267" t="s">
        <v>41</v>
      </c>
      <c r="J267" t="s">
        <v>1525</v>
      </c>
      <c r="L267" t="s">
        <v>1526</v>
      </c>
      <c r="M267" t="s">
        <v>2097</v>
      </c>
      <c r="N267" t="s">
        <v>2097</v>
      </c>
      <c r="O267" t="s">
        <v>73</v>
      </c>
      <c r="P267" t="s">
        <v>81</v>
      </c>
      <c r="Q267" t="s">
        <v>1794</v>
      </c>
      <c r="R267" t="s">
        <v>2097</v>
      </c>
    </row>
    <row r="268" spans="1:18" x14ac:dyDescent="0.25">
      <c r="A268" t="s">
        <v>18759</v>
      </c>
      <c r="B268" t="s">
        <v>2154</v>
      </c>
      <c r="C268" t="str">
        <f>HYPERLINK("https://nematode.unl.edu/actinc7.jpg")</f>
        <v>https://nematode.unl.edu/actinc7.jpg</v>
      </c>
      <c r="D268" t="s">
        <v>43</v>
      </c>
      <c r="G268" t="s">
        <v>1000</v>
      </c>
      <c r="I268" t="s">
        <v>19</v>
      </c>
      <c r="J268" t="s">
        <v>1525</v>
      </c>
      <c r="L268" t="s">
        <v>1526</v>
      </c>
      <c r="M268" t="s">
        <v>2097</v>
      </c>
      <c r="N268" t="s">
        <v>2097</v>
      </c>
      <c r="O268" t="s">
        <v>73</v>
      </c>
      <c r="P268" t="s">
        <v>81</v>
      </c>
      <c r="Q268" t="s">
        <v>1794</v>
      </c>
      <c r="R268" t="s">
        <v>2097</v>
      </c>
    </row>
    <row r="269" spans="1:18" x14ac:dyDescent="0.25">
      <c r="A269" t="s">
        <v>18757</v>
      </c>
      <c r="B269" t="s">
        <v>2155</v>
      </c>
      <c r="C269" t="str">
        <f>HYPERLINK("https://nematode.unl.edu/actinc8.jpg")</f>
        <v>https://nematode.unl.edu/actinc8.jpg</v>
      </c>
      <c r="D269" t="s">
        <v>43</v>
      </c>
      <c r="G269" t="s">
        <v>2099</v>
      </c>
      <c r="I269" t="s">
        <v>19</v>
      </c>
      <c r="J269" t="s">
        <v>1525</v>
      </c>
      <c r="L269" t="s">
        <v>1526</v>
      </c>
      <c r="M269" t="s">
        <v>2097</v>
      </c>
      <c r="N269" t="s">
        <v>2097</v>
      </c>
      <c r="O269" t="s">
        <v>73</v>
      </c>
      <c r="P269" t="s">
        <v>81</v>
      </c>
      <c r="Q269" t="s">
        <v>1794</v>
      </c>
      <c r="R269" t="s">
        <v>2097</v>
      </c>
    </row>
    <row r="270" spans="1:18" x14ac:dyDescent="0.25">
      <c r="A270" t="s">
        <v>18770</v>
      </c>
      <c r="B270" t="s">
        <v>2156</v>
      </c>
      <c r="C270" t="str">
        <f>HYPERLINK("https://nematode.unl.edu/actinc9.jpg")</f>
        <v>https://nematode.unl.edu/actinc9.jpg</v>
      </c>
      <c r="D270" t="s">
        <v>43</v>
      </c>
      <c r="G270" t="s">
        <v>28</v>
      </c>
      <c r="I270" t="s">
        <v>19</v>
      </c>
      <c r="J270" t="s">
        <v>1525</v>
      </c>
      <c r="L270" t="s">
        <v>1526</v>
      </c>
      <c r="M270" t="s">
        <v>2097</v>
      </c>
      <c r="N270" t="s">
        <v>2097</v>
      </c>
      <c r="O270" t="s">
        <v>73</v>
      </c>
      <c r="P270" t="s">
        <v>81</v>
      </c>
      <c r="Q270" t="s">
        <v>1794</v>
      </c>
      <c r="R270" t="s">
        <v>2097</v>
      </c>
    </row>
    <row r="271" spans="1:18" x14ac:dyDescent="0.25">
      <c r="A271" t="s">
        <v>16387</v>
      </c>
      <c r="B271" t="s">
        <v>2452</v>
      </c>
      <c r="C271" t="str">
        <f>HYPERLINK("https://nematode.unl.edu/aerol1.jpg")</f>
        <v>https://nematode.unl.edu/aerol1.jpg</v>
      </c>
      <c r="D271" t="s">
        <v>43</v>
      </c>
      <c r="G271" t="s">
        <v>96</v>
      </c>
      <c r="H271" t="s">
        <v>18</v>
      </c>
      <c r="I271" t="s">
        <v>19</v>
      </c>
      <c r="J271" t="s">
        <v>1292</v>
      </c>
      <c r="M271" t="s">
        <v>2453</v>
      </c>
      <c r="N271" t="s">
        <v>2453</v>
      </c>
      <c r="O271" t="s">
        <v>23</v>
      </c>
      <c r="P271" t="s">
        <v>24</v>
      </c>
      <c r="Q271" t="s">
        <v>2454</v>
      </c>
      <c r="R271" t="s">
        <v>2453</v>
      </c>
    </row>
    <row r="272" spans="1:18" x14ac:dyDescent="0.25">
      <c r="A272" t="s">
        <v>16388</v>
      </c>
      <c r="B272" t="s">
        <v>2455</v>
      </c>
      <c r="C272" t="str">
        <f>HYPERLINK("https://nematode.unl.edu/aerol2.jpg")</f>
        <v>https://nematode.unl.edu/aerol2.jpg</v>
      </c>
      <c r="D272" t="s">
        <v>43</v>
      </c>
      <c r="G272" t="s">
        <v>34</v>
      </c>
      <c r="H272" t="s">
        <v>18</v>
      </c>
      <c r="I272" t="s">
        <v>41</v>
      </c>
      <c r="J272" t="s">
        <v>1292</v>
      </c>
      <c r="M272" t="s">
        <v>2453</v>
      </c>
      <c r="N272" t="s">
        <v>2453</v>
      </c>
      <c r="O272" t="s">
        <v>23</v>
      </c>
      <c r="P272" t="s">
        <v>24</v>
      </c>
      <c r="Q272" t="s">
        <v>2454</v>
      </c>
      <c r="R272" t="s">
        <v>2453</v>
      </c>
    </row>
    <row r="273" spans="1:18" x14ac:dyDescent="0.25">
      <c r="A273" t="s">
        <v>16390</v>
      </c>
      <c r="B273" t="s">
        <v>2456</v>
      </c>
      <c r="C273" t="str">
        <f>HYPERLINK("https://nematode.unl.edu/aerol3.jpg")</f>
        <v>https://nematode.unl.edu/aerol3.jpg</v>
      </c>
      <c r="D273" t="s">
        <v>43</v>
      </c>
      <c r="G273" t="s">
        <v>53</v>
      </c>
      <c r="I273" t="s">
        <v>19</v>
      </c>
      <c r="J273" t="s">
        <v>1292</v>
      </c>
      <c r="M273" t="s">
        <v>2453</v>
      </c>
      <c r="N273" t="s">
        <v>2453</v>
      </c>
      <c r="O273" t="s">
        <v>23</v>
      </c>
      <c r="P273" t="s">
        <v>24</v>
      </c>
      <c r="Q273" t="s">
        <v>2454</v>
      </c>
      <c r="R273" t="s">
        <v>2453</v>
      </c>
    </row>
    <row r="274" spans="1:18" x14ac:dyDescent="0.25">
      <c r="A274" t="s">
        <v>17694</v>
      </c>
      <c r="B274" t="s">
        <v>2173</v>
      </c>
      <c r="C274" t="str">
        <f>HYPERLINK("https://nematode.unl.edu/agdak1.jpg")</f>
        <v>https://nematode.unl.edu/agdak1.jpg</v>
      </c>
      <c r="D274" t="s">
        <v>16</v>
      </c>
      <c r="G274" t="s">
        <v>34</v>
      </c>
      <c r="H274" t="s">
        <v>18</v>
      </c>
      <c r="I274" t="s">
        <v>19</v>
      </c>
      <c r="J274" t="s">
        <v>20</v>
      </c>
      <c r="M274" t="s">
        <v>2174</v>
      </c>
      <c r="N274" t="s">
        <v>2174</v>
      </c>
      <c r="O274" t="s">
        <v>23</v>
      </c>
      <c r="P274" t="s">
        <v>24</v>
      </c>
      <c r="Q274" t="s">
        <v>69</v>
      </c>
      <c r="R274" t="s">
        <v>70</v>
      </c>
    </row>
    <row r="275" spans="1:18" x14ac:dyDescent="0.25">
      <c r="A275" t="s">
        <v>17695</v>
      </c>
      <c r="B275" t="s">
        <v>2175</v>
      </c>
      <c r="C275" t="str">
        <f>HYPERLINK("https://nematode.unl.edu/agdak2.jpg")</f>
        <v>https://nematode.unl.edu/agdak2.jpg</v>
      </c>
      <c r="D275" t="s">
        <v>16</v>
      </c>
      <c r="G275" t="s">
        <v>34</v>
      </c>
      <c r="H275" t="s">
        <v>18</v>
      </c>
      <c r="I275" t="s">
        <v>41</v>
      </c>
      <c r="J275" t="s">
        <v>20</v>
      </c>
      <c r="L275" t="s">
        <v>220</v>
      </c>
      <c r="M275" t="s">
        <v>2174</v>
      </c>
      <c r="N275" t="s">
        <v>2174</v>
      </c>
      <c r="O275" t="s">
        <v>23</v>
      </c>
      <c r="P275" t="s">
        <v>24</v>
      </c>
      <c r="Q275" t="s">
        <v>69</v>
      </c>
      <c r="R275" t="s">
        <v>70</v>
      </c>
    </row>
    <row r="276" spans="1:18" x14ac:dyDescent="0.25">
      <c r="A276" t="s">
        <v>19289</v>
      </c>
      <c r="B276" t="s">
        <v>2927</v>
      </c>
      <c r="C276" t="str">
        <f>HYPERLINK("https://nematode.unl.edu/agiga1.jpg")</f>
        <v>https://nematode.unl.edu/agiga1.jpg</v>
      </c>
      <c r="D276" t="s">
        <v>16</v>
      </c>
      <c r="G276" t="s">
        <v>44</v>
      </c>
      <c r="I276" t="s">
        <v>91</v>
      </c>
      <c r="J276" t="s">
        <v>46</v>
      </c>
      <c r="L276" t="s">
        <v>105</v>
      </c>
      <c r="M276" t="s">
        <v>2928</v>
      </c>
      <c r="N276" t="s">
        <v>2928</v>
      </c>
      <c r="O276" t="s">
        <v>73</v>
      </c>
      <c r="P276" t="s">
        <v>81</v>
      </c>
      <c r="Q276" t="s">
        <v>733</v>
      </c>
      <c r="R276" t="s">
        <v>2912</v>
      </c>
    </row>
    <row r="277" spans="1:18" x14ac:dyDescent="0.25">
      <c r="A277" t="s">
        <v>19284</v>
      </c>
      <c r="B277" t="s">
        <v>2929</v>
      </c>
      <c r="C277" t="str">
        <f>HYPERLINK("https://nematode.unl.edu/agiga2.jpg")</f>
        <v>https://nematode.unl.edu/agiga2.jpg</v>
      </c>
      <c r="D277" t="s">
        <v>16</v>
      </c>
      <c r="G277" t="s">
        <v>34</v>
      </c>
      <c r="H277" t="s">
        <v>18</v>
      </c>
      <c r="I277" t="s">
        <v>19</v>
      </c>
      <c r="J277" t="s">
        <v>46</v>
      </c>
      <c r="L277" t="s">
        <v>105</v>
      </c>
      <c r="M277" t="s">
        <v>2928</v>
      </c>
      <c r="N277" t="s">
        <v>2928</v>
      </c>
      <c r="O277" t="s">
        <v>73</v>
      </c>
      <c r="P277" t="s">
        <v>81</v>
      </c>
      <c r="Q277" t="s">
        <v>733</v>
      </c>
      <c r="R277" t="s">
        <v>2912</v>
      </c>
    </row>
    <row r="278" spans="1:18" x14ac:dyDescent="0.25">
      <c r="A278" t="s">
        <v>19282</v>
      </c>
      <c r="B278" t="s">
        <v>2930</v>
      </c>
      <c r="C278" t="str">
        <f>HYPERLINK("https://nematode.unl.edu/agiga3.jpg")</f>
        <v>https://nematode.unl.edu/agiga3.jpg</v>
      </c>
      <c r="D278" t="s">
        <v>16</v>
      </c>
      <c r="G278" t="s">
        <v>17</v>
      </c>
      <c r="H278" t="s">
        <v>18</v>
      </c>
      <c r="I278" t="s">
        <v>19</v>
      </c>
      <c r="J278" t="s">
        <v>46</v>
      </c>
      <c r="L278" t="s">
        <v>105</v>
      </c>
      <c r="M278" t="s">
        <v>2928</v>
      </c>
      <c r="N278" t="s">
        <v>2928</v>
      </c>
      <c r="O278" t="s">
        <v>73</v>
      </c>
      <c r="P278" t="s">
        <v>81</v>
      </c>
      <c r="Q278" t="s">
        <v>733</v>
      </c>
      <c r="R278" t="s">
        <v>2912</v>
      </c>
    </row>
    <row r="279" spans="1:18" x14ac:dyDescent="0.25">
      <c r="A279" t="s">
        <v>19293</v>
      </c>
      <c r="B279" t="s">
        <v>2931</v>
      </c>
      <c r="C279" t="str">
        <f>HYPERLINK("https://nematode.unl.edu/agiga4.jpg")</f>
        <v>https://nematode.unl.edu/agiga4.jpg</v>
      </c>
      <c r="D279" t="s">
        <v>16</v>
      </c>
      <c r="G279" t="s">
        <v>28</v>
      </c>
      <c r="I279" t="s">
        <v>19</v>
      </c>
      <c r="J279" t="s">
        <v>46</v>
      </c>
      <c r="L279" t="s">
        <v>105</v>
      </c>
      <c r="M279" t="s">
        <v>2928</v>
      </c>
      <c r="N279" t="s">
        <v>2928</v>
      </c>
      <c r="O279" t="s">
        <v>73</v>
      </c>
      <c r="P279" t="s">
        <v>81</v>
      </c>
      <c r="Q279" t="s">
        <v>733</v>
      </c>
      <c r="R279" t="s">
        <v>2912</v>
      </c>
    </row>
    <row r="280" spans="1:18" x14ac:dyDescent="0.25">
      <c r="A280" t="s">
        <v>19281</v>
      </c>
      <c r="B280" t="s">
        <v>2932</v>
      </c>
      <c r="C280" t="str">
        <f>HYPERLINK("https://nematode.unl.edu/agiga5.jpg")</f>
        <v>https://nematode.unl.edu/agiga5.jpg</v>
      </c>
      <c r="D280" t="s">
        <v>43</v>
      </c>
      <c r="G280" t="s">
        <v>96</v>
      </c>
      <c r="H280" t="s">
        <v>18</v>
      </c>
      <c r="I280" t="s">
        <v>91</v>
      </c>
      <c r="J280" t="s">
        <v>46</v>
      </c>
      <c r="L280" t="s">
        <v>727</v>
      </c>
      <c r="M280" t="s">
        <v>2928</v>
      </c>
      <c r="N280" t="s">
        <v>2928</v>
      </c>
      <c r="O280" t="s">
        <v>73</v>
      </c>
      <c r="P280" t="s">
        <v>81</v>
      </c>
      <c r="Q280" t="s">
        <v>733</v>
      </c>
      <c r="R280" t="s">
        <v>2912</v>
      </c>
    </row>
    <row r="281" spans="1:18" x14ac:dyDescent="0.25">
      <c r="A281" t="s">
        <v>19292</v>
      </c>
      <c r="B281" t="s">
        <v>2933</v>
      </c>
      <c r="C281" t="str">
        <f>HYPERLINK("https://nematode.unl.edu/agiga6.jpg")</f>
        <v>https://nematode.unl.edu/agiga6.jpg</v>
      </c>
      <c r="D281" t="s">
        <v>43</v>
      </c>
      <c r="G281" t="s">
        <v>181</v>
      </c>
      <c r="I281" t="s">
        <v>91</v>
      </c>
      <c r="J281" t="s">
        <v>46</v>
      </c>
      <c r="L281" t="s">
        <v>727</v>
      </c>
      <c r="M281" t="s">
        <v>2928</v>
      </c>
      <c r="N281" t="s">
        <v>2928</v>
      </c>
      <c r="O281" t="s">
        <v>73</v>
      </c>
      <c r="P281" t="s">
        <v>81</v>
      </c>
      <c r="Q281" t="s">
        <v>733</v>
      </c>
      <c r="R281" t="s">
        <v>2912</v>
      </c>
    </row>
    <row r="282" spans="1:18" x14ac:dyDescent="0.25">
      <c r="A282" t="s">
        <v>19283</v>
      </c>
      <c r="B282" t="s">
        <v>2934</v>
      </c>
      <c r="C282" t="str">
        <f>HYPERLINK("https://nematode.unl.edu/agiga7.jpg")</f>
        <v>https://nematode.unl.edu/agiga7.jpg</v>
      </c>
      <c r="D282" t="s">
        <v>43</v>
      </c>
      <c r="G282" t="s">
        <v>17</v>
      </c>
      <c r="H282" t="s">
        <v>18</v>
      </c>
      <c r="I282" t="s">
        <v>45</v>
      </c>
      <c r="J282" t="s">
        <v>46</v>
      </c>
      <c r="L282" t="s">
        <v>727</v>
      </c>
      <c r="M282" t="s">
        <v>2928</v>
      </c>
      <c r="N282" t="s">
        <v>2928</v>
      </c>
      <c r="O282" t="s">
        <v>73</v>
      </c>
      <c r="P282" t="s">
        <v>81</v>
      </c>
      <c r="Q282" t="s">
        <v>733</v>
      </c>
      <c r="R282" t="s">
        <v>2912</v>
      </c>
    </row>
    <row r="283" spans="1:18" x14ac:dyDescent="0.25">
      <c r="A283" t="s">
        <v>19296</v>
      </c>
      <c r="B283" t="s">
        <v>2935</v>
      </c>
      <c r="C283" t="str">
        <f>HYPERLINK("https://nematode.unl.edu/agiga8.jpg")</f>
        <v>https://nematode.unl.edu/agiga8.jpg</v>
      </c>
      <c r="D283" t="s">
        <v>43</v>
      </c>
      <c r="G283" t="s">
        <v>51</v>
      </c>
      <c r="I283" t="s">
        <v>45</v>
      </c>
      <c r="J283" t="s">
        <v>46</v>
      </c>
      <c r="M283" t="s">
        <v>2928</v>
      </c>
      <c r="N283" t="s">
        <v>2928</v>
      </c>
      <c r="O283" t="s">
        <v>73</v>
      </c>
      <c r="P283" t="s">
        <v>81</v>
      </c>
      <c r="Q283" t="s">
        <v>733</v>
      </c>
      <c r="R283" t="s">
        <v>2912</v>
      </c>
    </row>
    <row r="284" spans="1:18" x14ac:dyDescent="0.25">
      <c r="A284" t="s">
        <v>19285</v>
      </c>
      <c r="B284" t="s">
        <v>2936</v>
      </c>
      <c r="C284" t="str">
        <f>HYPERLINK("https://nematode.unl.edu/agiga9.jpg")</f>
        <v>https://nematode.unl.edu/agiga9.jpg</v>
      </c>
      <c r="D284" t="s">
        <v>43</v>
      </c>
      <c r="G284" t="s">
        <v>34</v>
      </c>
      <c r="H284" t="s">
        <v>18</v>
      </c>
      <c r="I284" t="s">
        <v>19</v>
      </c>
      <c r="J284" t="s">
        <v>46</v>
      </c>
      <c r="L284" t="s">
        <v>727</v>
      </c>
      <c r="M284" t="s">
        <v>2928</v>
      </c>
      <c r="N284" t="s">
        <v>2928</v>
      </c>
      <c r="O284" t="s">
        <v>73</v>
      </c>
      <c r="P284" t="s">
        <v>81</v>
      </c>
      <c r="Q284" t="s">
        <v>733</v>
      </c>
      <c r="R284" t="s">
        <v>2912</v>
      </c>
    </row>
    <row r="285" spans="1:18" x14ac:dyDescent="0.25">
      <c r="A285" t="s">
        <v>17707</v>
      </c>
      <c r="B285" t="s">
        <v>66</v>
      </c>
      <c r="C285" t="str">
        <f>HYPERLINK("https://nematode.unl.edu/agla1.jpg")</f>
        <v>https://nematode.unl.edu/agla1.jpg</v>
      </c>
      <c r="D285" t="s">
        <v>43</v>
      </c>
      <c r="G285" t="s">
        <v>44</v>
      </c>
      <c r="I285" t="s">
        <v>45</v>
      </c>
      <c r="J285" t="s">
        <v>20</v>
      </c>
      <c r="M285" t="s">
        <v>67</v>
      </c>
      <c r="N285" t="s">
        <v>68</v>
      </c>
      <c r="O285" t="s">
        <v>23</v>
      </c>
      <c r="P285" t="s">
        <v>24</v>
      </c>
      <c r="Q285" t="s">
        <v>69</v>
      </c>
      <c r="R285" t="s">
        <v>70</v>
      </c>
    </row>
    <row r="286" spans="1:18" x14ac:dyDescent="0.25">
      <c r="A286" t="s">
        <v>17688</v>
      </c>
      <c r="B286" t="s">
        <v>2162</v>
      </c>
      <c r="C286" t="str">
        <f>HYPERLINK("https://nematode.unl.edu/agla10.jpg")</f>
        <v>https://nematode.unl.edu/agla10.jpg</v>
      </c>
      <c r="D286" t="s">
        <v>43</v>
      </c>
      <c r="G286" t="s">
        <v>28</v>
      </c>
      <c r="I286" t="s">
        <v>19</v>
      </c>
      <c r="J286" t="s">
        <v>20</v>
      </c>
      <c r="L286" t="s">
        <v>752</v>
      </c>
      <c r="M286" t="s">
        <v>68</v>
      </c>
      <c r="N286" t="s">
        <v>68</v>
      </c>
      <c r="O286" t="s">
        <v>23</v>
      </c>
      <c r="P286" t="s">
        <v>24</v>
      </c>
      <c r="Q286" t="s">
        <v>69</v>
      </c>
      <c r="R286" t="s">
        <v>70</v>
      </c>
    </row>
    <row r="287" spans="1:18" x14ac:dyDescent="0.25">
      <c r="A287" t="s">
        <v>17680</v>
      </c>
      <c r="B287" t="s">
        <v>2163</v>
      </c>
      <c r="C287" t="str">
        <f>HYPERLINK("https://nematode.unl.edu/agla11.jpg")</f>
        <v>https://nematode.unl.edu/agla11.jpg</v>
      </c>
      <c r="D287" t="s">
        <v>43</v>
      </c>
      <c r="G287" t="s">
        <v>34</v>
      </c>
      <c r="H287" t="s">
        <v>18</v>
      </c>
      <c r="I287" t="s">
        <v>41</v>
      </c>
      <c r="J287" t="s">
        <v>20</v>
      </c>
      <c r="L287" t="s">
        <v>752</v>
      </c>
      <c r="M287" t="s">
        <v>68</v>
      </c>
      <c r="N287" t="s">
        <v>68</v>
      </c>
      <c r="O287" t="s">
        <v>23</v>
      </c>
      <c r="P287" t="s">
        <v>24</v>
      </c>
      <c r="Q287" t="s">
        <v>69</v>
      </c>
      <c r="R287" t="s">
        <v>70</v>
      </c>
    </row>
    <row r="288" spans="1:18" x14ac:dyDescent="0.25">
      <c r="A288" t="s">
        <v>17690</v>
      </c>
      <c r="B288" t="s">
        <v>2164</v>
      </c>
      <c r="C288" t="str">
        <f>HYPERLINK("https://nematode.unl.edu/agla12.jpg")</f>
        <v>https://nematode.unl.edu/agla12.jpg</v>
      </c>
      <c r="D288" t="s">
        <v>43</v>
      </c>
      <c r="G288" t="s">
        <v>51</v>
      </c>
      <c r="I288" t="s">
        <v>41</v>
      </c>
      <c r="J288" t="s">
        <v>20</v>
      </c>
      <c r="L288" t="s">
        <v>752</v>
      </c>
      <c r="M288" t="s">
        <v>68</v>
      </c>
      <c r="N288" t="s">
        <v>68</v>
      </c>
      <c r="O288" t="s">
        <v>23</v>
      </c>
      <c r="P288" t="s">
        <v>24</v>
      </c>
      <c r="Q288" t="s">
        <v>69</v>
      </c>
      <c r="R288" t="s">
        <v>70</v>
      </c>
    </row>
    <row r="289" spans="1:18" x14ac:dyDescent="0.25">
      <c r="A289" t="s">
        <v>17681</v>
      </c>
      <c r="B289" t="s">
        <v>2165</v>
      </c>
      <c r="C289" t="str">
        <f>HYPERLINK("https://nematode.unl.edu/agla2.jpg")</f>
        <v>https://nematode.unl.edu/agla2.jpg</v>
      </c>
      <c r="D289" t="s">
        <v>43</v>
      </c>
      <c r="G289" t="s">
        <v>34</v>
      </c>
      <c r="H289" t="s">
        <v>18</v>
      </c>
      <c r="I289" t="s">
        <v>19</v>
      </c>
      <c r="J289" t="s">
        <v>20</v>
      </c>
      <c r="M289" t="s">
        <v>68</v>
      </c>
      <c r="N289" t="s">
        <v>68</v>
      </c>
      <c r="O289" t="s">
        <v>23</v>
      </c>
      <c r="P289" t="s">
        <v>24</v>
      </c>
      <c r="Q289" t="s">
        <v>69</v>
      </c>
      <c r="R289" t="s">
        <v>70</v>
      </c>
    </row>
    <row r="290" spans="1:18" x14ac:dyDescent="0.25">
      <c r="A290" t="s">
        <v>17691</v>
      </c>
      <c r="B290" t="s">
        <v>2166</v>
      </c>
      <c r="C290" t="str">
        <f>HYPERLINK("https://nematode.unl.edu/agla3.jpg")</f>
        <v>https://nematode.unl.edu/agla3.jpg</v>
      </c>
      <c r="D290" t="s">
        <v>43</v>
      </c>
      <c r="G290" t="s">
        <v>51</v>
      </c>
      <c r="I290" t="s">
        <v>19</v>
      </c>
      <c r="J290" t="s">
        <v>20</v>
      </c>
      <c r="M290" t="s">
        <v>68</v>
      </c>
      <c r="N290" t="s">
        <v>68</v>
      </c>
      <c r="O290" t="s">
        <v>23</v>
      </c>
      <c r="P290" t="s">
        <v>24</v>
      </c>
      <c r="Q290" t="s">
        <v>69</v>
      </c>
      <c r="R290" t="s">
        <v>70</v>
      </c>
    </row>
    <row r="291" spans="1:18" x14ac:dyDescent="0.25">
      <c r="A291" t="s">
        <v>17689</v>
      </c>
      <c r="B291" t="s">
        <v>2167</v>
      </c>
      <c r="C291" t="str">
        <f>HYPERLINK("https://nematode.unl.edu/agla4.jpg")</f>
        <v>https://nematode.unl.edu/agla4.jpg</v>
      </c>
      <c r="D291" t="s">
        <v>43</v>
      </c>
      <c r="G291" t="s">
        <v>28</v>
      </c>
      <c r="I291" t="s">
        <v>19</v>
      </c>
      <c r="J291" t="s">
        <v>20</v>
      </c>
      <c r="M291" t="s">
        <v>68</v>
      </c>
      <c r="N291" t="s">
        <v>68</v>
      </c>
      <c r="O291" t="s">
        <v>23</v>
      </c>
      <c r="P291" t="s">
        <v>24</v>
      </c>
      <c r="Q291" t="s">
        <v>69</v>
      </c>
      <c r="R291" t="s">
        <v>70</v>
      </c>
    </row>
    <row r="292" spans="1:18" x14ac:dyDescent="0.25">
      <c r="A292" t="s">
        <v>17692</v>
      </c>
      <c r="B292" t="s">
        <v>2168</v>
      </c>
      <c r="C292" t="str">
        <f>HYPERLINK("https://nematode.unl.edu/agla5.jpg")</f>
        <v>https://nematode.unl.edu/agla5.jpg</v>
      </c>
      <c r="D292" t="s">
        <v>43</v>
      </c>
      <c r="G292" t="s">
        <v>51</v>
      </c>
      <c r="I292" t="s">
        <v>41</v>
      </c>
      <c r="J292" t="s">
        <v>20</v>
      </c>
      <c r="M292" t="s">
        <v>68</v>
      </c>
      <c r="N292" t="s">
        <v>68</v>
      </c>
      <c r="O292" t="s">
        <v>23</v>
      </c>
      <c r="P292" t="s">
        <v>24</v>
      </c>
      <c r="Q292" t="s">
        <v>69</v>
      </c>
      <c r="R292" t="s">
        <v>70</v>
      </c>
    </row>
    <row r="293" spans="1:18" x14ac:dyDescent="0.25">
      <c r="A293" t="s">
        <v>17682</v>
      </c>
      <c r="B293" t="s">
        <v>2169</v>
      </c>
      <c r="C293" t="str">
        <f>HYPERLINK("https://nematode.unl.edu/agla6.jpg")</f>
        <v>https://nematode.unl.edu/agla6.jpg</v>
      </c>
      <c r="D293" t="s">
        <v>43</v>
      </c>
      <c r="G293" t="s">
        <v>34</v>
      </c>
      <c r="H293" t="s">
        <v>18</v>
      </c>
      <c r="I293" t="s">
        <v>41</v>
      </c>
      <c r="J293" t="s">
        <v>20</v>
      </c>
      <c r="M293" t="s">
        <v>68</v>
      </c>
      <c r="N293" t="s">
        <v>68</v>
      </c>
      <c r="O293" t="s">
        <v>23</v>
      </c>
      <c r="P293" t="s">
        <v>24</v>
      </c>
      <c r="Q293" t="s">
        <v>69</v>
      </c>
      <c r="R293" t="s">
        <v>70</v>
      </c>
    </row>
    <row r="294" spans="1:18" x14ac:dyDescent="0.25">
      <c r="A294" t="s">
        <v>17685</v>
      </c>
      <c r="B294" t="s">
        <v>2170</v>
      </c>
      <c r="C294" t="str">
        <f>HYPERLINK("https://nematode.unl.edu/agla7.jpg")</f>
        <v>https://nematode.unl.edu/agla7.jpg</v>
      </c>
      <c r="D294" t="s">
        <v>43</v>
      </c>
      <c r="G294" t="s">
        <v>44</v>
      </c>
      <c r="I294" t="s">
        <v>45</v>
      </c>
      <c r="J294" t="s">
        <v>20</v>
      </c>
      <c r="L294" t="s">
        <v>752</v>
      </c>
      <c r="M294" t="s">
        <v>68</v>
      </c>
      <c r="N294" t="s">
        <v>68</v>
      </c>
      <c r="O294" t="s">
        <v>23</v>
      </c>
      <c r="P294" t="s">
        <v>24</v>
      </c>
      <c r="Q294" t="s">
        <v>69</v>
      </c>
      <c r="R294" t="s">
        <v>70</v>
      </c>
    </row>
    <row r="295" spans="1:18" x14ac:dyDescent="0.25">
      <c r="A295" t="s">
        <v>17683</v>
      </c>
      <c r="B295" t="s">
        <v>2171</v>
      </c>
      <c r="C295" t="str">
        <f>HYPERLINK("https://nematode.unl.edu/agla8.jpg")</f>
        <v>https://nematode.unl.edu/agla8.jpg</v>
      </c>
      <c r="D295" t="s">
        <v>43</v>
      </c>
      <c r="G295" t="s">
        <v>34</v>
      </c>
      <c r="H295" t="s">
        <v>18</v>
      </c>
      <c r="I295" t="s">
        <v>19</v>
      </c>
      <c r="J295" t="s">
        <v>20</v>
      </c>
      <c r="L295" t="s">
        <v>752</v>
      </c>
      <c r="M295" t="s">
        <v>68</v>
      </c>
      <c r="N295" t="s">
        <v>68</v>
      </c>
      <c r="O295" t="s">
        <v>23</v>
      </c>
      <c r="P295" t="s">
        <v>24</v>
      </c>
      <c r="Q295" t="s">
        <v>69</v>
      </c>
      <c r="R295" t="s">
        <v>70</v>
      </c>
    </row>
    <row r="296" spans="1:18" x14ac:dyDescent="0.25">
      <c r="A296" t="s">
        <v>17693</v>
      </c>
      <c r="B296" t="s">
        <v>2172</v>
      </c>
      <c r="C296" t="str">
        <f>HYPERLINK("https://nematode.unl.edu/agla9.jpg")</f>
        <v>https://nematode.unl.edu/agla9.jpg</v>
      </c>
      <c r="D296" t="s">
        <v>43</v>
      </c>
      <c r="G296" t="s">
        <v>51</v>
      </c>
      <c r="I296" t="s">
        <v>19</v>
      </c>
      <c r="J296" t="s">
        <v>20</v>
      </c>
      <c r="L296" t="s">
        <v>752</v>
      </c>
      <c r="M296" t="s">
        <v>68</v>
      </c>
      <c r="N296" t="s">
        <v>68</v>
      </c>
      <c r="O296" t="s">
        <v>23</v>
      </c>
      <c r="P296" t="s">
        <v>24</v>
      </c>
      <c r="Q296" t="s">
        <v>69</v>
      </c>
      <c r="R296" t="s">
        <v>70</v>
      </c>
    </row>
    <row r="297" spans="1:18" x14ac:dyDescent="0.25">
      <c r="A297" t="s">
        <v>22230</v>
      </c>
      <c r="B297" t="s">
        <v>1563</v>
      </c>
      <c r="C297" t="str">
        <f>HYPERLINK("https://nematode.unl.edu/ahyan1.jpg")</f>
        <v>https://nematode.unl.edu/ahyan1.jpg</v>
      </c>
      <c r="D297" t="s">
        <v>16</v>
      </c>
      <c r="G297" t="s">
        <v>44</v>
      </c>
      <c r="I297" t="s">
        <v>45</v>
      </c>
      <c r="J297" t="s">
        <v>20</v>
      </c>
      <c r="M297" t="s">
        <v>1564</v>
      </c>
      <c r="N297" t="s">
        <v>1565</v>
      </c>
      <c r="O297" t="s">
        <v>73</v>
      </c>
      <c r="P297" t="s">
        <v>74</v>
      </c>
      <c r="Q297" t="s">
        <v>75</v>
      </c>
      <c r="R297" t="s">
        <v>1562</v>
      </c>
    </row>
    <row r="298" spans="1:18" x14ac:dyDescent="0.25">
      <c r="A298" t="s">
        <v>22231</v>
      </c>
      <c r="B298" t="s">
        <v>1566</v>
      </c>
      <c r="C298" t="str">
        <f>HYPERLINK("https://nematode.unl.edu/ahyan2.jpg")</f>
        <v>https://nematode.unl.edu/ahyan2.jpg</v>
      </c>
      <c r="D298" t="s">
        <v>16</v>
      </c>
      <c r="G298" t="s">
        <v>28</v>
      </c>
      <c r="I298" t="s">
        <v>19</v>
      </c>
      <c r="J298" t="s">
        <v>20</v>
      </c>
      <c r="L298" t="s">
        <v>29</v>
      </c>
      <c r="M298" t="s">
        <v>1564</v>
      </c>
      <c r="N298" t="s">
        <v>1565</v>
      </c>
      <c r="O298" t="s">
        <v>73</v>
      </c>
      <c r="P298" t="s">
        <v>74</v>
      </c>
      <c r="Q298" t="s">
        <v>75</v>
      </c>
      <c r="R298" t="s">
        <v>1562</v>
      </c>
    </row>
    <row r="299" spans="1:18" x14ac:dyDescent="0.25">
      <c r="A299" t="s">
        <v>22228</v>
      </c>
      <c r="B299" t="s">
        <v>1567</v>
      </c>
      <c r="C299" t="str">
        <f>HYPERLINK("https://nematode.unl.edu/ahyan3.jpg")</f>
        <v>https://nematode.unl.edu/ahyan3.jpg</v>
      </c>
      <c r="D299" t="s">
        <v>16</v>
      </c>
      <c r="G299" t="s">
        <v>386</v>
      </c>
      <c r="H299" t="s">
        <v>18</v>
      </c>
      <c r="I299" t="s">
        <v>41</v>
      </c>
      <c r="J299" t="s">
        <v>20</v>
      </c>
      <c r="L299" t="s">
        <v>29</v>
      </c>
      <c r="M299" t="s">
        <v>1564</v>
      </c>
      <c r="N299" t="s">
        <v>1565</v>
      </c>
      <c r="O299" t="s">
        <v>73</v>
      </c>
      <c r="P299" t="s">
        <v>74</v>
      </c>
      <c r="Q299" t="s">
        <v>75</v>
      </c>
      <c r="R299" t="s">
        <v>1562</v>
      </c>
    </row>
    <row r="300" spans="1:18" x14ac:dyDescent="0.25">
      <c r="A300" t="s">
        <v>22229</v>
      </c>
      <c r="B300" t="s">
        <v>1568</v>
      </c>
      <c r="C300" t="str">
        <f>HYPERLINK("https://nematode.unl.edu/ahyan4.jpg")</f>
        <v>https://nematode.unl.edu/ahyan4.jpg</v>
      </c>
      <c r="D300" t="s">
        <v>16</v>
      </c>
      <c r="G300" t="s">
        <v>34</v>
      </c>
      <c r="H300" t="s">
        <v>18</v>
      </c>
      <c r="I300" t="s">
        <v>41</v>
      </c>
      <c r="J300" t="s">
        <v>20</v>
      </c>
      <c r="L300" t="s">
        <v>29</v>
      </c>
      <c r="M300" t="s">
        <v>1564</v>
      </c>
      <c r="N300" t="s">
        <v>1565</v>
      </c>
      <c r="O300" t="s">
        <v>73</v>
      </c>
      <c r="P300" t="s">
        <v>74</v>
      </c>
      <c r="Q300" t="s">
        <v>75</v>
      </c>
      <c r="R300" t="s">
        <v>1562</v>
      </c>
    </row>
    <row r="301" spans="1:18" x14ac:dyDescent="0.25">
      <c r="A301" t="s">
        <v>18801</v>
      </c>
      <c r="B301" t="s">
        <v>2188</v>
      </c>
      <c r="C301" t="str">
        <f>HYPERLINK("https://nematode.unl.edu/akrov1.jpg")</f>
        <v>https://nematode.unl.edu/akrov1.jpg</v>
      </c>
      <c r="D301" t="s">
        <v>43</v>
      </c>
      <c r="G301" t="s">
        <v>44</v>
      </c>
      <c r="I301" t="s">
        <v>91</v>
      </c>
      <c r="J301" t="s">
        <v>20</v>
      </c>
      <c r="L301" t="s">
        <v>138</v>
      </c>
      <c r="M301" t="s">
        <v>2189</v>
      </c>
      <c r="N301" t="s">
        <v>2189</v>
      </c>
      <c r="O301" t="s">
        <v>73</v>
      </c>
      <c r="P301" t="s">
        <v>81</v>
      </c>
      <c r="Q301" t="s">
        <v>119</v>
      </c>
      <c r="R301" t="s">
        <v>2190</v>
      </c>
    </row>
    <row r="302" spans="1:18" x14ac:dyDescent="0.25">
      <c r="A302" t="s">
        <v>18803</v>
      </c>
      <c r="B302" t="s">
        <v>2191</v>
      </c>
      <c r="C302" t="str">
        <f>HYPERLINK("https://nematode.unl.edu/akrov10.jpg")</f>
        <v>https://nematode.unl.edu/akrov10.jpg</v>
      </c>
      <c r="D302" t="s">
        <v>43</v>
      </c>
      <c r="G302" t="s">
        <v>2192</v>
      </c>
      <c r="I302" t="s">
        <v>41</v>
      </c>
      <c r="J302" t="s">
        <v>20</v>
      </c>
      <c r="L302" t="s">
        <v>352</v>
      </c>
      <c r="M302" t="s">
        <v>2189</v>
      </c>
      <c r="N302" t="s">
        <v>2189</v>
      </c>
      <c r="O302" t="s">
        <v>73</v>
      </c>
      <c r="P302" t="s">
        <v>81</v>
      </c>
      <c r="Q302" t="s">
        <v>119</v>
      </c>
      <c r="R302" t="s">
        <v>2190</v>
      </c>
    </row>
    <row r="303" spans="1:18" x14ac:dyDescent="0.25">
      <c r="A303" t="s">
        <v>18804</v>
      </c>
      <c r="B303" t="s">
        <v>2193</v>
      </c>
      <c r="C303" t="str">
        <f>HYPERLINK("https://nematode.unl.edu/akrov11.jpg")</f>
        <v>https://nematode.unl.edu/akrov11.jpg</v>
      </c>
      <c r="D303" t="s">
        <v>43</v>
      </c>
      <c r="G303" t="s">
        <v>28</v>
      </c>
      <c r="I303" t="s">
        <v>19</v>
      </c>
      <c r="J303" t="s">
        <v>20</v>
      </c>
      <c r="L303" t="s">
        <v>64</v>
      </c>
      <c r="M303" t="s">
        <v>2189</v>
      </c>
      <c r="N303" t="s">
        <v>2189</v>
      </c>
      <c r="O303" t="s">
        <v>73</v>
      </c>
      <c r="P303" t="s">
        <v>81</v>
      </c>
      <c r="Q303" t="s">
        <v>119</v>
      </c>
      <c r="R303" t="s">
        <v>2190</v>
      </c>
    </row>
    <row r="304" spans="1:18" x14ac:dyDescent="0.25">
      <c r="A304" t="s">
        <v>18809</v>
      </c>
      <c r="B304" t="s">
        <v>2194</v>
      </c>
      <c r="C304" t="str">
        <f>HYPERLINK("https://nematode.unl.edu/akrov12.jpg")</f>
        <v>https://nematode.unl.edu/akrov12.jpg</v>
      </c>
      <c r="D304" t="s">
        <v>43</v>
      </c>
      <c r="G304" t="s">
        <v>51</v>
      </c>
      <c r="I304" t="s">
        <v>19</v>
      </c>
      <c r="J304" t="s">
        <v>20</v>
      </c>
      <c r="L304" t="s">
        <v>64</v>
      </c>
      <c r="M304" t="s">
        <v>2189</v>
      </c>
      <c r="N304" t="s">
        <v>2189</v>
      </c>
      <c r="O304" t="s">
        <v>73</v>
      </c>
      <c r="P304" t="s">
        <v>81</v>
      </c>
      <c r="Q304" t="s">
        <v>119</v>
      </c>
      <c r="R304" t="s">
        <v>2190</v>
      </c>
    </row>
    <row r="305" spans="1:18" x14ac:dyDescent="0.25">
      <c r="A305" t="s">
        <v>18790</v>
      </c>
      <c r="B305" t="s">
        <v>2195</v>
      </c>
      <c r="C305" t="str">
        <f>HYPERLINK("https://nematode.unl.edu/akrov13.jpg")</f>
        <v>https://nematode.unl.edu/akrov13.jpg</v>
      </c>
      <c r="D305" t="s">
        <v>43</v>
      </c>
      <c r="G305" t="s">
        <v>17</v>
      </c>
      <c r="H305" t="s">
        <v>18</v>
      </c>
      <c r="I305" t="s">
        <v>19</v>
      </c>
      <c r="J305" t="s">
        <v>20</v>
      </c>
      <c r="L305" t="s">
        <v>64</v>
      </c>
      <c r="M305" t="s">
        <v>2189</v>
      </c>
      <c r="N305" t="s">
        <v>2189</v>
      </c>
      <c r="O305" t="s">
        <v>73</v>
      </c>
      <c r="P305" t="s">
        <v>81</v>
      </c>
      <c r="Q305" t="s">
        <v>119</v>
      </c>
      <c r="R305" t="s">
        <v>2190</v>
      </c>
    </row>
    <row r="306" spans="1:18" x14ac:dyDescent="0.25">
      <c r="A306" t="s">
        <v>18792</v>
      </c>
      <c r="B306" t="s">
        <v>2196</v>
      </c>
      <c r="C306" t="str">
        <f>HYPERLINK("https://nematode.unl.edu/akrov14.jpg")</f>
        <v>https://nematode.unl.edu/akrov14.jpg</v>
      </c>
      <c r="D306" t="s">
        <v>16</v>
      </c>
      <c r="G306" t="s">
        <v>34</v>
      </c>
      <c r="H306" t="s">
        <v>18</v>
      </c>
      <c r="I306" t="s">
        <v>19</v>
      </c>
      <c r="J306" t="s">
        <v>20</v>
      </c>
      <c r="L306" t="s">
        <v>141</v>
      </c>
      <c r="M306" t="s">
        <v>2189</v>
      </c>
      <c r="N306" t="s">
        <v>2189</v>
      </c>
      <c r="O306" t="s">
        <v>73</v>
      </c>
      <c r="P306" t="s">
        <v>81</v>
      </c>
      <c r="Q306" t="s">
        <v>119</v>
      </c>
      <c r="R306" t="s">
        <v>2190</v>
      </c>
    </row>
    <row r="307" spans="1:18" x14ac:dyDescent="0.25">
      <c r="A307" t="s">
        <v>18805</v>
      </c>
      <c r="B307" t="s">
        <v>2197</v>
      </c>
      <c r="C307" t="str">
        <f>HYPERLINK("https://nematode.unl.edu/akrov15.jpg")</f>
        <v>https://nematode.unl.edu/akrov15.jpg</v>
      </c>
      <c r="D307" t="s">
        <v>16</v>
      </c>
      <c r="G307" t="s">
        <v>28</v>
      </c>
      <c r="I307" t="s">
        <v>19</v>
      </c>
      <c r="J307" t="s">
        <v>20</v>
      </c>
      <c r="M307" t="s">
        <v>2189</v>
      </c>
      <c r="N307" t="s">
        <v>2189</v>
      </c>
      <c r="O307" t="s">
        <v>73</v>
      </c>
      <c r="P307" t="s">
        <v>81</v>
      </c>
      <c r="Q307" t="s">
        <v>119</v>
      </c>
      <c r="R307" t="s">
        <v>2190</v>
      </c>
    </row>
    <row r="308" spans="1:18" x14ac:dyDescent="0.25">
      <c r="A308" t="s">
        <v>18806</v>
      </c>
      <c r="B308" t="s">
        <v>2198</v>
      </c>
      <c r="C308" t="str">
        <f>HYPERLINK("https://nematode.unl.edu/akrov16.jpg")</f>
        <v>https://nematode.unl.edu/akrov16.jpg</v>
      </c>
      <c r="D308" t="s">
        <v>16</v>
      </c>
      <c r="G308" t="s">
        <v>28</v>
      </c>
      <c r="I308" t="s">
        <v>19</v>
      </c>
      <c r="J308" t="s">
        <v>20</v>
      </c>
      <c r="L308" t="s">
        <v>64</v>
      </c>
      <c r="M308" t="s">
        <v>2189</v>
      </c>
      <c r="N308" t="s">
        <v>2189</v>
      </c>
      <c r="O308" t="s">
        <v>73</v>
      </c>
      <c r="P308" t="s">
        <v>81</v>
      </c>
      <c r="Q308" t="s">
        <v>119</v>
      </c>
      <c r="R308" t="s">
        <v>2190</v>
      </c>
    </row>
    <row r="309" spans="1:18" x14ac:dyDescent="0.25">
      <c r="A309" t="s">
        <v>18793</v>
      </c>
      <c r="B309" t="s">
        <v>2199</v>
      </c>
      <c r="C309" t="str">
        <f>HYPERLINK("https://nematode.unl.edu/akrov17.jpg")</f>
        <v>https://nematode.unl.edu/akrov17.jpg</v>
      </c>
      <c r="D309" t="s">
        <v>16</v>
      </c>
      <c r="G309" t="s">
        <v>34</v>
      </c>
      <c r="H309" t="s">
        <v>18</v>
      </c>
      <c r="I309" t="s">
        <v>19</v>
      </c>
      <c r="J309" t="s">
        <v>20</v>
      </c>
      <c r="M309" t="s">
        <v>2189</v>
      </c>
      <c r="N309" t="s">
        <v>2189</v>
      </c>
      <c r="O309" t="s">
        <v>73</v>
      </c>
      <c r="P309" t="s">
        <v>81</v>
      </c>
      <c r="Q309" t="s">
        <v>119</v>
      </c>
      <c r="R309" t="s">
        <v>2190</v>
      </c>
    </row>
    <row r="310" spans="1:18" x14ac:dyDescent="0.25">
      <c r="A310" t="s">
        <v>18794</v>
      </c>
      <c r="B310" t="s">
        <v>2200</v>
      </c>
      <c r="C310" t="str">
        <f>HYPERLINK("https://nematode.unl.edu/akrov18.jpg")</f>
        <v>https://nematode.unl.edu/akrov18.jpg</v>
      </c>
      <c r="D310" t="s">
        <v>43</v>
      </c>
      <c r="G310" t="s">
        <v>34</v>
      </c>
      <c r="H310" t="s">
        <v>18</v>
      </c>
      <c r="I310" t="s">
        <v>19</v>
      </c>
      <c r="J310" t="s">
        <v>20</v>
      </c>
      <c r="M310" t="s">
        <v>2189</v>
      </c>
      <c r="N310" t="s">
        <v>2189</v>
      </c>
      <c r="O310" t="s">
        <v>73</v>
      </c>
      <c r="P310" t="s">
        <v>81</v>
      </c>
      <c r="Q310" t="s">
        <v>119</v>
      </c>
      <c r="R310" t="s">
        <v>2190</v>
      </c>
    </row>
    <row r="311" spans="1:18" x14ac:dyDescent="0.25">
      <c r="A311" t="s">
        <v>18799</v>
      </c>
      <c r="B311" t="s">
        <v>2201</v>
      </c>
      <c r="C311" t="str">
        <f>HYPERLINK("https://nematode.unl.edu/akrov19.jpg")</f>
        <v>https://nematode.unl.edu/akrov19.jpg</v>
      </c>
      <c r="D311" t="s">
        <v>43</v>
      </c>
      <c r="G311" t="s">
        <v>87</v>
      </c>
      <c r="I311" t="s">
        <v>19</v>
      </c>
      <c r="J311" t="s">
        <v>20</v>
      </c>
      <c r="M311" t="s">
        <v>2189</v>
      </c>
      <c r="N311" t="s">
        <v>2189</v>
      </c>
      <c r="O311" t="s">
        <v>73</v>
      </c>
      <c r="P311" t="s">
        <v>81</v>
      </c>
      <c r="Q311" t="s">
        <v>119</v>
      </c>
      <c r="R311" t="s">
        <v>2190</v>
      </c>
    </row>
    <row r="312" spans="1:18" x14ac:dyDescent="0.25">
      <c r="A312" t="s">
        <v>18791</v>
      </c>
      <c r="B312" t="s">
        <v>2202</v>
      </c>
      <c r="C312" t="str">
        <f>HYPERLINK("https://nematode.unl.edu/akrov2.jpg")</f>
        <v>https://nematode.unl.edu/akrov2.jpg</v>
      </c>
      <c r="D312" t="s">
        <v>43</v>
      </c>
      <c r="G312" t="s">
        <v>17</v>
      </c>
      <c r="H312" t="s">
        <v>18</v>
      </c>
      <c r="I312" t="s">
        <v>45</v>
      </c>
      <c r="J312" t="s">
        <v>20</v>
      </c>
      <c r="L312" t="s">
        <v>138</v>
      </c>
      <c r="M312" t="s">
        <v>2189</v>
      </c>
      <c r="N312" t="s">
        <v>2189</v>
      </c>
      <c r="O312" t="s">
        <v>73</v>
      </c>
      <c r="P312" t="s">
        <v>81</v>
      </c>
      <c r="Q312" t="s">
        <v>119</v>
      </c>
      <c r="R312" t="s">
        <v>2190</v>
      </c>
    </row>
    <row r="313" spans="1:18" x14ac:dyDescent="0.25">
      <c r="A313" t="s">
        <v>18810</v>
      </c>
      <c r="B313" t="s">
        <v>2203</v>
      </c>
      <c r="C313" t="str">
        <f>HYPERLINK("https://nematode.unl.edu/akrov20.jpg")</f>
        <v>https://nematode.unl.edu/akrov20.jpg</v>
      </c>
      <c r="D313" t="s">
        <v>43</v>
      </c>
      <c r="G313" t="s">
        <v>51</v>
      </c>
      <c r="I313" t="s">
        <v>19</v>
      </c>
      <c r="J313" t="s">
        <v>20</v>
      </c>
      <c r="M313" t="s">
        <v>2189</v>
      </c>
      <c r="N313" t="s">
        <v>2189</v>
      </c>
      <c r="O313" t="s">
        <v>73</v>
      </c>
      <c r="P313" t="s">
        <v>81</v>
      </c>
      <c r="Q313" t="s">
        <v>119</v>
      </c>
      <c r="R313" t="s">
        <v>2190</v>
      </c>
    </row>
    <row r="314" spans="1:18" x14ac:dyDescent="0.25">
      <c r="A314" t="s">
        <v>18807</v>
      </c>
      <c r="B314" t="s">
        <v>2204</v>
      </c>
      <c r="C314" t="str">
        <f>HYPERLINK("https://nematode.unl.edu/akrov21.jpg")</f>
        <v>https://nematode.unl.edu/akrov21.jpg</v>
      </c>
      <c r="D314" t="s">
        <v>43</v>
      </c>
      <c r="G314" t="s">
        <v>28</v>
      </c>
      <c r="I314" t="s">
        <v>19</v>
      </c>
      <c r="J314" t="s">
        <v>20</v>
      </c>
      <c r="L314" t="s">
        <v>85</v>
      </c>
      <c r="M314" t="s">
        <v>2189</v>
      </c>
      <c r="N314" t="s">
        <v>2189</v>
      </c>
      <c r="O314" t="s">
        <v>73</v>
      </c>
      <c r="P314" t="s">
        <v>81</v>
      </c>
      <c r="Q314" t="s">
        <v>119</v>
      </c>
      <c r="R314" t="s">
        <v>2190</v>
      </c>
    </row>
    <row r="315" spans="1:18" x14ac:dyDescent="0.25">
      <c r="A315" t="s">
        <v>18795</v>
      </c>
      <c r="B315" t="s">
        <v>2205</v>
      </c>
      <c r="C315" t="str">
        <f>HYPERLINK("https://nematode.unl.edu/akrov22.jpg")</f>
        <v>https://nematode.unl.edu/akrov22.jpg</v>
      </c>
      <c r="D315" t="s">
        <v>43</v>
      </c>
      <c r="G315" t="s">
        <v>34</v>
      </c>
      <c r="H315" t="s">
        <v>18</v>
      </c>
      <c r="I315" t="s">
        <v>41</v>
      </c>
      <c r="J315" t="s">
        <v>20</v>
      </c>
      <c r="L315" t="s">
        <v>29</v>
      </c>
      <c r="M315" t="s">
        <v>2189</v>
      </c>
      <c r="N315" t="s">
        <v>2189</v>
      </c>
      <c r="O315" t="s">
        <v>73</v>
      </c>
      <c r="P315" t="s">
        <v>81</v>
      </c>
      <c r="Q315" t="s">
        <v>119</v>
      </c>
      <c r="R315" t="s">
        <v>2190</v>
      </c>
    </row>
    <row r="316" spans="1:18" x14ac:dyDescent="0.25">
      <c r="A316" t="s">
        <v>18808</v>
      </c>
      <c r="B316" t="s">
        <v>2206</v>
      </c>
      <c r="C316" t="str">
        <f>HYPERLINK("https://nematode.unl.edu/akrov3.jpg")</f>
        <v>https://nematode.unl.edu/akrov3.jpg</v>
      </c>
      <c r="D316" t="s">
        <v>43</v>
      </c>
      <c r="G316" t="s">
        <v>28</v>
      </c>
      <c r="I316" t="s">
        <v>19</v>
      </c>
      <c r="J316" t="s">
        <v>20</v>
      </c>
      <c r="L316" t="s">
        <v>138</v>
      </c>
      <c r="M316" t="s">
        <v>2189</v>
      </c>
      <c r="N316" t="s">
        <v>2189</v>
      </c>
      <c r="O316" t="s">
        <v>73</v>
      </c>
      <c r="P316" t="s">
        <v>81</v>
      </c>
      <c r="Q316" t="s">
        <v>119</v>
      </c>
      <c r="R316" t="s">
        <v>2190</v>
      </c>
    </row>
    <row r="317" spans="1:18" x14ac:dyDescent="0.25">
      <c r="A317" t="s">
        <v>18811</v>
      </c>
      <c r="B317" t="s">
        <v>2207</v>
      </c>
      <c r="C317" t="str">
        <f>HYPERLINK("https://nematode.unl.edu/akrov4.jpg")</f>
        <v>https://nematode.unl.edu/akrov4.jpg</v>
      </c>
      <c r="D317" t="s">
        <v>43</v>
      </c>
      <c r="G317" t="s">
        <v>51</v>
      </c>
      <c r="I317" t="s">
        <v>19</v>
      </c>
      <c r="J317" t="s">
        <v>20</v>
      </c>
      <c r="M317" t="s">
        <v>2189</v>
      </c>
      <c r="N317" t="s">
        <v>2189</v>
      </c>
      <c r="O317" t="s">
        <v>73</v>
      </c>
      <c r="P317" t="s">
        <v>81</v>
      </c>
      <c r="Q317" t="s">
        <v>119</v>
      </c>
      <c r="R317" t="s">
        <v>2190</v>
      </c>
    </row>
    <row r="318" spans="1:18" x14ac:dyDescent="0.25">
      <c r="A318" t="s">
        <v>18800</v>
      </c>
      <c r="B318" t="s">
        <v>2208</v>
      </c>
      <c r="C318" t="str">
        <f>HYPERLINK("https://nematode.unl.edu/akrov5.jpg")</f>
        <v>https://nematode.unl.edu/akrov5.jpg</v>
      </c>
      <c r="D318" t="s">
        <v>43</v>
      </c>
      <c r="G318" t="s">
        <v>87</v>
      </c>
      <c r="I318" t="s">
        <v>19</v>
      </c>
      <c r="J318" t="s">
        <v>20</v>
      </c>
      <c r="L318" t="s">
        <v>138</v>
      </c>
      <c r="M318" t="s">
        <v>2189</v>
      </c>
      <c r="N318" t="s">
        <v>2189</v>
      </c>
      <c r="O318" t="s">
        <v>73</v>
      </c>
      <c r="P318" t="s">
        <v>81</v>
      </c>
      <c r="Q318" t="s">
        <v>119</v>
      </c>
      <c r="R318" t="s">
        <v>2190</v>
      </c>
    </row>
    <row r="319" spans="1:18" x14ac:dyDescent="0.25">
      <c r="A319" t="s">
        <v>18796</v>
      </c>
      <c r="B319" t="s">
        <v>2209</v>
      </c>
      <c r="C319" t="str">
        <f>HYPERLINK("https://nematode.unl.edu/akrov6.jpg")</f>
        <v>https://nematode.unl.edu/akrov6.jpg</v>
      </c>
      <c r="D319" t="s">
        <v>43</v>
      </c>
      <c r="G319" t="s">
        <v>34</v>
      </c>
      <c r="H319" t="s">
        <v>18</v>
      </c>
      <c r="I319" t="s">
        <v>19</v>
      </c>
      <c r="J319" t="s">
        <v>20</v>
      </c>
      <c r="L319" t="s">
        <v>220</v>
      </c>
      <c r="M319" t="s">
        <v>2189</v>
      </c>
      <c r="N319" t="s">
        <v>2189</v>
      </c>
      <c r="O319" t="s">
        <v>73</v>
      </c>
      <c r="P319" t="s">
        <v>81</v>
      </c>
      <c r="Q319" t="s">
        <v>119</v>
      </c>
      <c r="R319" t="s">
        <v>2190</v>
      </c>
    </row>
    <row r="320" spans="1:18" x14ac:dyDescent="0.25">
      <c r="A320" t="s">
        <v>18812</v>
      </c>
      <c r="B320" t="s">
        <v>2210</v>
      </c>
      <c r="C320" t="str">
        <f>HYPERLINK("https://nematode.unl.edu/akrov7.jpg")</f>
        <v>https://nematode.unl.edu/akrov7.jpg</v>
      </c>
      <c r="D320" t="s">
        <v>43</v>
      </c>
      <c r="G320" t="s">
        <v>51</v>
      </c>
      <c r="I320" t="s">
        <v>19</v>
      </c>
      <c r="J320" t="s">
        <v>20</v>
      </c>
      <c r="M320" t="s">
        <v>2189</v>
      </c>
      <c r="N320" t="s">
        <v>2189</v>
      </c>
      <c r="O320" t="s">
        <v>73</v>
      </c>
      <c r="P320" t="s">
        <v>81</v>
      </c>
      <c r="Q320" t="s">
        <v>119</v>
      </c>
      <c r="R320" t="s">
        <v>2190</v>
      </c>
    </row>
    <row r="321" spans="1:18" x14ac:dyDescent="0.25">
      <c r="A321" t="s">
        <v>18797</v>
      </c>
      <c r="B321" t="s">
        <v>2211</v>
      </c>
      <c r="C321" t="str">
        <f>HYPERLINK("https://nematode.unl.edu/akrov8.jpg")</f>
        <v>https://nematode.unl.edu/akrov8.jpg</v>
      </c>
      <c r="D321" t="s">
        <v>43</v>
      </c>
      <c r="G321" t="s">
        <v>34</v>
      </c>
      <c r="H321" t="s">
        <v>18</v>
      </c>
      <c r="I321" t="s">
        <v>19</v>
      </c>
      <c r="J321" t="s">
        <v>20</v>
      </c>
      <c r="M321" t="s">
        <v>2189</v>
      </c>
      <c r="N321" t="s">
        <v>2189</v>
      </c>
      <c r="O321" t="s">
        <v>73</v>
      </c>
      <c r="P321" t="s">
        <v>81</v>
      </c>
      <c r="Q321" t="s">
        <v>119</v>
      </c>
      <c r="R321" t="s">
        <v>2190</v>
      </c>
    </row>
    <row r="322" spans="1:18" x14ac:dyDescent="0.25">
      <c r="A322" t="s">
        <v>18798</v>
      </c>
      <c r="B322" t="s">
        <v>2212</v>
      </c>
      <c r="C322" t="str">
        <f>HYPERLINK("https://nematode.unl.edu/akrov9.jpg")</f>
        <v>https://nematode.unl.edu/akrov9.jpg</v>
      </c>
      <c r="D322" t="s">
        <v>43</v>
      </c>
      <c r="G322" t="s">
        <v>34</v>
      </c>
      <c r="H322" t="s">
        <v>18</v>
      </c>
      <c r="I322" t="s">
        <v>41</v>
      </c>
      <c r="J322" t="s">
        <v>20</v>
      </c>
      <c r="L322" t="s">
        <v>141</v>
      </c>
      <c r="M322" t="s">
        <v>2189</v>
      </c>
      <c r="N322" t="s">
        <v>2189</v>
      </c>
      <c r="O322" t="s">
        <v>73</v>
      </c>
      <c r="P322" t="s">
        <v>81</v>
      </c>
      <c r="Q322" t="s">
        <v>119</v>
      </c>
      <c r="R322" t="s">
        <v>2190</v>
      </c>
    </row>
    <row r="323" spans="1:18" x14ac:dyDescent="0.25">
      <c r="A323" t="s">
        <v>18802</v>
      </c>
      <c r="B323" t="s">
        <v>2213</v>
      </c>
      <c r="C323" t="str">
        <f>HYPERLINK("https://nematode.unl.edu/akrovcmp.jpg")</f>
        <v>https://nematode.unl.edu/akrovcmp.jpg</v>
      </c>
      <c r="G323" t="s">
        <v>108</v>
      </c>
      <c r="M323" t="s">
        <v>2189</v>
      </c>
      <c r="N323" t="s">
        <v>2189</v>
      </c>
      <c r="O323" t="s">
        <v>73</v>
      </c>
      <c r="P323" t="s">
        <v>81</v>
      </c>
      <c r="Q323" t="s">
        <v>119</v>
      </c>
      <c r="R323" t="s">
        <v>2190</v>
      </c>
    </row>
    <row r="324" spans="1:18" x14ac:dyDescent="0.25">
      <c r="A324" t="s">
        <v>18958</v>
      </c>
      <c r="B324" t="s">
        <v>2709</v>
      </c>
      <c r="C324" t="str">
        <f>HYPERLINK("https://nematode.unl.edu/akry1.jpg")</f>
        <v>https://nematode.unl.edu/akry1.jpg</v>
      </c>
      <c r="D324" t="s">
        <v>43</v>
      </c>
      <c r="G324" t="s">
        <v>44</v>
      </c>
      <c r="I324" t="s">
        <v>91</v>
      </c>
      <c r="J324" t="s">
        <v>46</v>
      </c>
      <c r="L324" t="s">
        <v>105</v>
      </c>
      <c r="M324" t="s">
        <v>2710</v>
      </c>
      <c r="N324" t="s">
        <v>2710</v>
      </c>
      <c r="O324" t="s">
        <v>73</v>
      </c>
      <c r="P324" t="s">
        <v>81</v>
      </c>
      <c r="Q324" t="s">
        <v>119</v>
      </c>
      <c r="R324" t="s">
        <v>118</v>
      </c>
    </row>
    <row r="325" spans="1:18" x14ac:dyDescent="0.25">
      <c r="A325" t="s">
        <v>18929</v>
      </c>
      <c r="B325" t="s">
        <v>2711</v>
      </c>
      <c r="C325" t="str">
        <f>HYPERLINK("https://nematode.unl.edu/akry2.jpg")</f>
        <v>https://nematode.unl.edu/akry2.jpg</v>
      </c>
      <c r="D325" t="s">
        <v>43</v>
      </c>
      <c r="G325" t="s">
        <v>96</v>
      </c>
      <c r="H325" t="s">
        <v>18</v>
      </c>
      <c r="I325" t="s">
        <v>45</v>
      </c>
      <c r="J325" t="s">
        <v>46</v>
      </c>
      <c r="L325" t="s">
        <v>105</v>
      </c>
      <c r="M325" t="s">
        <v>2710</v>
      </c>
      <c r="N325" t="s">
        <v>2710</v>
      </c>
      <c r="O325" t="s">
        <v>73</v>
      </c>
      <c r="P325" t="s">
        <v>81</v>
      </c>
      <c r="Q325" t="s">
        <v>119</v>
      </c>
      <c r="R325" t="s">
        <v>118</v>
      </c>
    </row>
    <row r="326" spans="1:18" x14ac:dyDescent="0.25">
      <c r="A326" t="s">
        <v>18934</v>
      </c>
      <c r="B326" t="s">
        <v>2712</v>
      </c>
      <c r="C326" t="str">
        <f>HYPERLINK("https://nematode.unl.edu/akry3.jpg")</f>
        <v>https://nematode.unl.edu/akry3.jpg</v>
      </c>
      <c r="D326" t="s">
        <v>43</v>
      </c>
      <c r="G326" t="s">
        <v>34</v>
      </c>
      <c r="H326" t="s">
        <v>18</v>
      </c>
      <c r="I326" t="s">
        <v>19</v>
      </c>
      <c r="J326" t="s">
        <v>46</v>
      </c>
      <c r="L326" t="s">
        <v>105</v>
      </c>
      <c r="M326" t="s">
        <v>2710</v>
      </c>
      <c r="N326" t="s">
        <v>2710</v>
      </c>
      <c r="O326" t="s">
        <v>73</v>
      </c>
      <c r="P326" t="s">
        <v>81</v>
      </c>
      <c r="Q326" t="s">
        <v>119</v>
      </c>
      <c r="R326" t="s">
        <v>118</v>
      </c>
    </row>
    <row r="327" spans="1:18" x14ac:dyDescent="0.25">
      <c r="A327" t="s">
        <v>18932</v>
      </c>
      <c r="B327" t="s">
        <v>2713</v>
      </c>
      <c r="C327" t="str">
        <f>HYPERLINK("https://nematode.unl.edu/akry4.jpg")</f>
        <v>https://nematode.unl.edu/akry4.jpg</v>
      </c>
      <c r="D327" t="s">
        <v>43</v>
      </c>
      <c r="G327" t="s">
        <v>17</v>
      </c>
      <c r="H327" t="s">
        <v>18</v>
      </c>
      <c r="I327" t="s">
        <v>19</v>
      </c>
      <c r="J327" t="s">
        <v>46</v>
      </c>
      <c r="L327" t="s">
        <v>105</v>
      </c>
      <c r="M327" t="s">
        <v>2710</v>
      </c>
      <c r="N327" t="s">
        <v>2710</v>
      </c>
      <c r="O327" t="s">
        <v>73</v>
      </c>
      <c r="P327" t="s">
        <v>81</v>
      </c>
      <c r="Q327" t="s">
        <v>119</v>
      </c>
      <c r="R327" t="s">
        <v>118</v>
      </c>
    </row>
    <row r="328" spans="1:18" x14ac:dyDescent="0.25">
      <c r="A328" t="s">
        <v>18933</v>
      </c>
      <c r="B328" t="s">
        <v>2714</v>
      </c>
      <c r="C328" t="str">
        <f>HYPERLINK("https://nematode.unl.edu/akry5.jpg")</f>
        <v>https://nematode.unl.edu/akry5.jpg</v>
      </c>
      <c r="D328" t="s">
        <v>43</v>
      </c>
      <c r="G328" t="s">
        <v>17</v>
      </c>
      <c r="H328" t="s">
        <v>18</v>
      </c>
      <c r="I328" t="s">
        <v>19</v>
      </c>
      <c r="J328" t="s">
        <v>46</v>
      </c>
      <c r="L328" t="s">
        <v>105</v>
      </c>
      <c r="M328" t="s">
        <v>2710</v>
      </c>
      <c r="N328" t="s">
        <v>2710</v>
      </c>
      <c r="O328" t="s">
        <v>73</v>
      </c>
      <c r="P328" t="s">
        <v>81</v>
      </c>
      <c r="Q328" t="s">
        <v>119</v>
      </c>
      <c r="R328" t="s">
        <v>118</v>
      </c>
    </row>
    <row r="329" spans="1:18" x14ac:dyDescent="0.25">
      <c r="A329" t="s">
        <v>18951</v>
      </c>
      <c r="B329" t="s">
        <v>2715</v>
      </c>
      <c r="C329" t="str">
        <f>HYPERLINK("https://nematode.unl.edu/akry6.jpg")</f>
        <v>https://nematode.unl.edu/akry6.jpg</v>
      </c>
      <c r="D329" t="s">
        <v>43</v>
      </c>
      <c r="G329" t="s">
        <v>87</v>
      </c>
      <c r="I329" t="s">
        <v>19</v>
      </c>
      <c r="J329" t="s">
        <v>46</v>
      </c>
      <c r="L329" t="s">
        <v>105</v>
      </c>
      <c r="M329" t="s">
        <v>2710</v>
      </c>
      <c r="N329" t="s">
        <v>2710</v>
      </c>
      <c r="O329" t="s">
        <v>73</v>
      </c>
      <c r="P329" t="s">
        <v>81</v>
      </c>
      <c r="Q329" t="s">
        <v>119</v>
      </c>
      <c r="R329" t="s">
        <v>118</v>
      </c>
    </row>
    <row r="330" spans="1:18" x14ac:dyDescent="0.25">
      <c r="A330" t="s">
        <v>18975</v>
      </c>
      <c r="B330" t="s">
        <v>2716</v>
      </c>
      <c r="C330" t="str">
        <f>HYPERLINK("https://nematode.unl.edu/akry7.jpg")</f>
        <v>https://nematode.unl.edu/akry7.jpg</v>
      </c>
      <c r="D330" t="s">
        <v>43</v>
      </c>
      <c r="G330" t="s">
        <v>28</v>
      </c>
      <c r="I330" t="s">
        <v>19</v>
      </c>
      <c r="J330" t="s">
        <v>46</v>
      </c>
      <c r="M330" t="s">
        <v>2710</v>
      </c>
      <c r="N330" t="s">
        <v>2710</v>
      </c>
      <c r="O330" t="s">
        <v>73</v>
      </c>
      <c r="P330" t="s">
        <v>81</v>
      </c>
      <c r="Q330" t="s">
        <v>119</v>
      </c>
      <c r="R330" t="s">
        <v>118</v>
      </c>
    </row>
    <row r="331" spans="1:18" x14ac:dyDescent="0.25">
      <c r="A331" t="s">
        <v>18969</v>
      </c>
      <c r="B331" t="s">
        <v>2717</v>
      </c>
      <c r="C331" t="str">
        <f>HYPERLINK("https://nematode.unl.edu/akrycmp.jpg")</f>
        <v>https://nematode.unl.edu/akrycmp.jpg</v>
      </c>
      <c r="D331" t="s">
        <v>43</v>
      </c>
      <c r="G331" t="s">
        <v>108</v>
      </c>
      <c r="M331" t="s">
        <v>2710</v>
      </c>
      <c r="N331" t="s">
        <v>2710</v>
      </c>
      <c r="O331" t="s">
        <v>73</v>
      </c>
      <c r="P331" t="s">
        <v>81</v>
      </c>
      <c r="Q331" t="s">
        <v>119</v>
      </c>
      <c r="R331" t="s">
        <v>118</v>
      </c>
    </row>
    <row r="332" spans="1:18" x14ac:dyDescent="0.25">
      <c r="A332" t="s">
        <v>19187</v>
      </c>
      <c r="B332" t="s">
        <v>2816</v>
      </c>
      <c r="C332" t="str">
        <f>HYPERLINK("https://nematode.unl.edu/alabia1.jpg")</f>
        <v>https://nematode.unl.edu/alabia1.jpg</v>
      </c>
      <c r="D332" t="s">
        <v>43</v>
      </c>
      <c r="G332" t="s">
        <v>44</v>
      </c>
      <c r="I332" t="s">
        <v>91</v>
      </c>
      <c r="J332" t="s">
        <v>46</v>
      </c>
      <c r="L332" t="s">
        <v>105</v>
      </c>
      <c r="M332" t="s">
        <v>2817</v>
      </c>
      <c r="N332" t="s">
        <v>2817</v>
      </c>
      <c r="O332" t="s">
        <v>73</v>
      </c>
      <c r="P332" t="s">
        <v>81</v>
      </c>
      <c r="Q332" t="s">
        <v>119</v>
      </c>
      <c r="R332" t="s">
        <v>118</v>
      </c>
    </row>
    <row r="333" spans="1:18" x14ac:dyDescent="0.25">
      <c r="A333" t="s">
        <v>19185</v>
      </c>
      <c r="B333" t="s">
        <v>2818</v>
      </c>
      <c r="C333" t="str">
        <f>HYPERLINK("https://nematode.unl.edu/alabia2.jpg")</f>
        <v>https://nematode.unl.edu/alabia2.jpg</v>
      </c>
      <c r="D333" t="s">
        <v>43</v>
      </c>
      <c r="G333" t="s">
        <v>96</v>
      </c>
      <c r="H333" t="s">
        <v>18</v>
      </c>
      <c r="I333" t="s">
        <v>45</v>
      </c>
      <c r="J333" t="s">
        <v>46</v>
      </c>
      <c r="L333" t="s">
        <v>105</v>
      </c>
      <c r="M333" t="s">
        <v>2817</v>
      </c>
      <c r="N333" t="s">
        <v>2817</v>
      </c>
      <c r="O333" t="s">
        <v>73</v>
      </c>
      <c r="P333" t="s">
        <v>81</v>
      </c>
      <c r="Q333" t="s">
        <v>119</v>
      </c>
      <c r="R333" t="s">
        <v>118</v>
      </c>
    </row>
    <row r="334" spans="1:18" x14ac:dyDescent="0.25">
      <c r="A334" t="s">
        <v>19186</v>
      </c>
      <c r="B334" t="s">
        <v>2819</v>
      </c>
      <c r="C334" t="str">
        <f>HYPERLINK("https://nematode.unl.edu/alabia3.jpg")</f>
        <v>https://nematode.unl.edu/alabia3.jpg</v>
      </c>
      <c r="D334" t="s">
        <v>43</v>
      </c>
      <c r="G334" t="s">
        <v>34</v>
      </c>
      <c r="H334" t="s">
        <v>18</v>
      </c>
      <c r="I334" t="s">
        <v>19</v>
      </c>
      <c r="J334" t="s">
        <v>46</v>
      </c>
      <c r="L334" t="s">
        <v>105</v>
      </c>
      <c r="M334" t="s">
        <v>2817</v>
      </c>
      <c r="N334" t="s">
        <v>2817</v>
      </c>
      <c r="O334" t="s">
        <v>73</v>
      </c>
      <c r="P334" t="s">
        <v>81</v>
      </c>
      <c r="Q334" t="s">
        <v>119</v>
      </c>
      <c r="R334" t="s">
        <v>118</v>
      </c>
    </row>
    <row r="335" spans="1:18" x14ac:dyDescent="0.25">
      <c r="A335" t="s">
        <v>19190</v>
      </c>
      <c r="B335" t="s">
        <v>2820</v>
      </c>
      <c r="C335" t="str">
        <f>HYPERLINK("https://nematode.unl.edu/alabia4.jpg")</f>
        <v>https://nematode.unl.edu/alabia4.jpg</v>
      </c>
      <c r="D335" t="s">
        <v>43</v>
      </c>
      <c r="G335" t="s">
        <v>51</v>
      </c>
      <c r="I335" t="s">
        <v>19</v>
      </c>
      <c r="J335" t="s">
        <v>46</v>
      </c>
      <c r="L335" t="s">
        <v>105</v>
      </c>
      <c r="M335" t="s">
        <v>2817</v>
      </c>
      <c r="N335" t="s">
        <v>2817</v>
      </c>
      <c r="O335" t="s">
        <v>73</v>
      </c>
      <c r="P335" t="s">
        <v>81</v>
      </c>
      <c r="Q335" t="s">
        <v>119</v>
      </c>
      <c r="R335" t="s">
        <v>118</v>
      </c>
    </row>
    <row r="336" spans="1:18" x14ac:dyDescent="0.25">
      <c r="A336" t="s">
        <v>19188</v>
      </c>
      <c r="B336" t="s">
        <v>2821</v>
      </c>
      <c r="C336" t="str">
        <f>HYPERLINK("https://nematode.unl.edu/alabia5.jpg")</f>
        <v>https://nematode.unl.edu/alabia5.jpg</v>
      </c>
      <c r="D336" t="s">
        <v>43</v>
      </c>
      <c r="G336" t="s">
        <v>28</v>
      </c>
      <c r="I336" t="s">
        <v>45</v>
      </c>
      <c r="J336" t="s">
        <v>46</v>
      </c>
      <c r="L336" t="s">
        <v>105</v>
      </c>
      <c r="M336" t="s">
        <v>2817</v>
      </c>
      <c r="N336" t="s">
        <v>2817</v>
      </c>
      <c r="O336" t="s">
        <v>73</v>
      </c>
      <c r="P336" t="s">
        <v>81</v>
      </c>
      <c r="Q336" t="s">
        <v>119</v>
      </c>
      <c r="R336" t="s">
        <v>118</v>
      </c>
    </row>
    <row r="337" spans="1:18" x14ac:dyDescent="0.25">
      <c r="A337" t="s">
        <v>19189</v>
      </c>
      <c r="B337" t="s">
        <v>2822</v>
      </c>
      <c r="C337" t="str">
        <f>HYPERLINK("https://nematode.unl.edu/alabia6.jpg")</f>
        <v>https://nematode.unl.edu/alabia6.jpg</v>
      </c>
      <c r="D337" t="s">
        <v>43</v>
      </c>
      <c r="G337" t="s">
        <v>28</v>
      </c>
      <c r="I337" t="s">
        <v>19</v>
      </c>
      <c r="J337" t="s">
        <v>46</v>
      </c>
      <c r="L337" t="s">
        <v>105</v>
      </c>
      <c r="M337" t="s">
        <v>2817</v>
      </c>
      <c r="N337" t="s">
        <v>2817</v>
      </c>
      <c r="O337" t="s">
        <v>73</v>
      </c>
      <c r="P337" t="s">
        <v>81</v>
      </c>
      <c r="Q337" t="s">
        <v>119</v>
      </c>
      <c r="R337" t="s">
        <v>118</v>
      </c>
    </row>
    <row r="338" spans="1:18" x14ac:dyDescent="0.25">
      <c r="A338" t="s">
        <v>22127</v>
      </c>
      <c r="B338" t="s">
        <v>2220</v>
      </c>
      <c r="C338" t="str">
        <f>HYPERLINK("https://nematode.unl.edu/alacut1.jpg")</f>
        <v>https://nematode.unl.edu/alacut1.jpg</v>
      </c>
      <c r="D338" t="s">
        <v>43</v>
      </c>
      <c r="G338" t="s">
        <v>44</v>
      </c>
      <c r="I338" t="s">
        <v>45</v>
      </c>
      <c r="J338" t="s">
        <v>20</v>
      </c>
      <c r="L338" t="s">
        <v>85</v>
      </c>
      <c r="M338" t="s">
        <v>2221</v>
      </c>
      <c r="N338" t="s">
        <v>2221</v>
      </c>
      <c r="O338" t="s">
        <v>73</v>
      </c>
      <c r="P338" t="s">
        <v>74</v>
      </c>
      <c r="Q338" t="s">
        <v>75</v>
      </c>
      <c r="R338" t="s">
        <v>72</v>
      </c>
    </row>
    <row r="339" spans="1:18" x14ac:dyDescent="0.25">
      <c r="A339" t="s">
        <v>22125</v>
      </c>
      <c r="B339" t="s">
        <v>2222</v>
      </c>
      <c r="C339" t="str">
        <f>HYPERLINK("https://nematode.unl.edu/alacut2.jpg")</f>
        <v>https://nematode.unl.edu/alacut2.jpg</v>
      </c>
      <c r="D339" t="s">
        <v>43</v>
      </c>
      <c r="G339" t="s">
        <v>34</v>
      </c>
      <c r="H339" t="s">
        <v>18</v>
      </c>
      <c r="I339" t="s">
        <v>19</v>
      </c>
      <c r="J339" t="s">
        <v>20</v>
      </c>
      <c r="M339" t="s">
        <v>2221</v>
      </c>
      <c r="N339" t="s">
        <v>2221</v>
      </c>
      <c r="O339" t="s">
        <v>73</v>
      </c>
      <c r="P339" t="s">
        <v>74</v>
      </c>
      <c r="Q339" t="s">
        <v>75</v>
      </c>
      <c r="R339" t="s">
        <v>72</v>
      </c>
    </row>
    <row r="340" spans="1:18" x14ac:dyDescent="0.25">
      <c r="A340" t="s">
        <v>22129</v>
      </c>
      <c r="B340" t="s">
        <v>2223</v>
      </c>
      <c r="C340" t="str">
        <f>HYPERLINK("https://nematode.unl.edu/alacut3.jpg")</f>
        <v>https://nematode.unl.edu/alacut3.jpg</v>
      </c>
      <c r="D340" t="s">
        <v>43</v>
      </c>
      <c r="G340" t="s">
        <v>51</v>
      </c>
      <c r="I340" t="s">
        <v>19</v>
      </c>
      <c r="J340" t="s">
        <v>20</v>
      </c>
      <c r="M340" t="s">
        <v>2221</v>
      </c>
      <c r="N340" t="s">
        <v>2221</v>
      </c>
      <c r="O340" t="s">
        <v>73</v>
      </c>
      <c r="P340" t="s">
        <v>74</v>
      </c>
      <c r="Q340" t="s">
        <v>75</v>
      </c>
      <c r="R340" t="s">
        <v>72</v>
      </c>
    </row>
    <row r="341" spans="1:18" x14ac:dyDescent="0.25">
      <c r="A341" t="s">
        <v>22128</v>
      </c>
      <c r="B341" t="s">
        <v>2224</v>
      </c>
      <c r="C341" t="str">
        <f>HYPERLINK("https://nematode.unl.edu/alacut4.jpg")</f>
        <v>https://nematode.unl.edu/alacut4.jpg</v>
      </c>
      <c r="D341" t="s">
        <v>43</v>
      </c>
      <c r="G341" t="s">
        <v>28</v>
      </c>
      <c r="I341" t="s">
        <v>19</v>
      </c>
      <c r="J341" t="s">
        <v>20</v>
      </c>
      <c r="M341" t="s">
        <v>2221</v>
      </c>
      <c r="N341" t="s">
        <v>2221</v>
      </c>
      <c r="O341" t="s">
        <v>73</v>
      </c>
      <c r="P341" t="s">
        <v>74</v>
      </c>
      <c r="Q341" t="s">
        <v>75</v>
      </c>
      <c r="R341" t="s">
        <v>72</v>
      </c>
    </row>
    <row r="342" spans="1:18" x14ac:dyDescent="0.25">
      <c r="A342" t="s">
        <v>22126</v>
      </c>
      <c r="B342" t="s">
        <v>2225</v>
      </c>
      <c r="C342" t="str">
        <f>HYPERLINK("https://nematode.unl.edu/alacut5.jpg")</f>
        <v>https://nematode.unl.edu/alacut5.jpg</v>
      </c>
      <c r="D342" t="s">
        <v>43</v>
      </c>
      <c r="G342" t="s">
        <v>34</v>
      </c>
      <c r="H342" t="s">
        <v>18</v>
      </c>
      <c r="I342" t="s">
        <v>41</v>
      </c>
      <c r="J342" t="s">
        <v>20</v>
      </c>
      <c r="M342" t="s">
        <v>2221</v>
      </c>
      <c r="N342" t="s">
        <v>2221</v>
      </c>
      <c r="O342" t="s">
        <v>73</v>
      </c>
      <c r="P342" t="s">
        <v>74</v>
      </c>
      <c r="Q342" t="s">
        <v>75</v>
      </c>
      <c r="R342" t="s">
        <v>72</v>
      </c>
    </row>
    <row r="343" spans="1:18" x14ac:dyDescent="0.25">
      <c r="A343" t="s">
        <v>22137</v>
      </c>
      <c r="B343" t="s">
        <v>2234</v>
      </c>
      <c r="C343" t="str">
        <f>HYPERLINK("https://nematode.unl.edu/alaimino1.jpg")</f>
        <v>https://nematode.unl.edu/alaimino1.jpg</v>
      </c>
      <c r="D343" t="s">
        <v>43</v>
      </c>
      <c r="G343" t="s">
        <v>34</v>
      </c>
      <c r="H343" t="s">
        <v>18</v>
      </c>
      <c r="I343" t="s">
        <v>41</v>
      </c>
      <c r="J343" t="s">
        <v>161</v>
      </c>
      <c r="M343" t="s">
        <v>2235</v>
      </c>
      <c r="N343" t="s">
        <v>2235</v>
      </c>
      <c r="O343" t="s">
        <v>73</v>
      </c>
      <c r="P343" t="s">
        <v>74</v>
      </c>
      <c r="Q343" t="s">
        <v>75</v>
      </c>
      <c r="R343" t="s">
        <v>72</v>
      </c>
    </row>
    <row r="344" spans="1:18" x14ac:dyDescent="0.25">
      <c r="A344" t="s">
        <v>22140</v>
      </c>
      <c r="B344" t="s">
        <v>2236</v>
      </c>
      <c r="C344" t="str">
        <f>HYPERLINK("https://nematode.unl.edu/alaimino2.jpg")</f>
        <v>https://nematode.unl.edu/alaimino2.jpg</v>
      </c>
      <c r="D344" t="s">
        <v>43</v>
      </c>
      <c r="G344" t="s">
        <v>51</v>
      </c>
      <c r="I344" t="s">
        <v>41</v>
      </c>
      <c r="J344" t="s">
        <v>161</v>
      </c>
      <c r="L344" t="s">
        <v>162</v>
      </c>
      <c r="M344" t="s">
        <v>2235</v>
      </c>
      <c r="N344" t="s">
        <v>2235</v>
      </c>
      <c r="O344" t="s">
        <v>73</v>
      </c>
      <c r="P344" t="s">
        <v>74</v>
      </c>
      <c r="Q344" t="s">
        <v>75</v>
      </c>
      <c r="R344" t="s">
        <v>72</v>
      </c>
    </row>
    <row r="345" spans="1:18" x14ac:dyDescent="0.25">
      <c r="A345" t="s">
        <v>22138</v>
      </c>
      <c r="B345" t="s">
        <v>2237</v>
      </c>
      <c r="C345" t="str">
        <f>HYPERLINK("https://nematode.unl.edu/alaimino3.jpg")</f>
        <v>https://nematode.unl.edu/alaimino3.jpg</v>
      </c>
      <c r="D345" t="s">
        <v>43</v>
      </c>
      <c r="G345" t="s">
        <v>905</v>
      </c>
      <c r="I345" t="s">
        <v>41</v>
      </c>
      <c r="J345" t="s">
        <v>161</v>
      </c>
      <c r="M345" t="s">
        <v>2235</v>
      </c>
      <c r="N345" t="s">
        <v>2235</v>
      </c>
      <c r="O345" t="s">
        <v>73</v>
      </c>
      <c r="P345" t="s">
        <v>74</v>
      </c>
      <c r="Q345" t="s">
        <v>75</v>
      </c>
      <c r="R345" t="s">
        <v>72</v>
      </c>
    </row>
    <row r="346" spans="1:18" x14ac:dyDescent="0.25">
      <c r="A346" t="s">
        <v>22139</v>
      </c>
      <c r="B346" t="s">
        <v>2238</v>
      </c>
      <c r="C346" t="str">
        <f>HYPERLINK("https://nematode.unl.edu/alaimino4.jpg")</f>
        <v>https://nematode.unl.edu/alaimino4.jpg</v>
      </c>
      <c r="D346" t="s">
        <v>43</v>
      </c>
      <c r="G346" t="s">
        <v>28</v>
      </c>
      <c r="I346" t="s">
        <v>41</v>
      </c>
      <c r="J346" t="s">
        <v>161</v>
      </c>
      <c r="M346" t="s">
        <v>2235</v>
      </c>
      <c r="N346" t="s">
        <v>2235</v>
      </c>
      <c r="O346" t="s">
        <v>73</v>
      </c>
      <c r="P346" t="s">
        <v>74</v>
      </c>
      <c r="Q346" t="s">
        <v>75</v>
      </c>
      <c r="R346" t="s">
        <v>72</v>
      </c>
    </row>
    <row r="347" spans="1:18" x14ac:dyDescent="0.25">
      <c r="A347" t="s">
        <v>22146</v>
      </c>
      <c r="B347" t="s">
        <v>2239</v>
      </c>
      <c r="C347" t="str">
        <f>HYPERLINK("https://nematode.unl.edu/alaimu1.jpg")</f>
        <v>https://nematode.unl.edu/alaimu1.jpg</v>
      </c>
      <c r="D347" t="s">
        <v>43</v>
      </c>
      <c r="G347" t="s">
        <v>44</v>
      </c>
      <c r="I347" t="s">
        <v>45</v>
      </c>
      <c r="J347" t="s">
        <v>161</v>
      </c>
      <c r="L347" t="s">
        <v>162</v>
      </c>
      <c r="M347" t="s">
        <v>2240</v>
      </c>
      <c r="N347" t="s">
        <v>2240</v>
      </c>
      <c r="O347" t="s">
        <v>73</v>
      </c>
      <c r="P347" t="s">
        <v>74</v>
      </c>
      <c r="Q347" t="s">
        <v>75</v>
      </c>
      <c r="R347" t="s">
        <v>72</v>
      </c>
    </row>
    <row r="348" spans="1:18" x14ac:dyDescent="0.25">
      <c r="A348" t="s">
        <v>22141</v>
      </c>
      <c r="B348" t="s">
        <v>2241</v>
      </c>
      <c r="C348" t="str">
        <f>HYPERLINK("https://nematode.unl.edu/alaimu2.jpg")</f>
        <v>https://nematode.unl.edu/alaimu2.jpg</v>
      </c>
      <c r="D348" t="s">
        <v>43</v>
      </c>
      <c r="G348" t="s">
        <v>34</v>
      </c>
      <c r="H348" t="s">
        <v>18</v>
      </c>
      <c r="I348" t="s">
        <v>19</v>
      </c>
      <c r="J348" t="s">
        <v>161</v>
      </c>
      <c r="L348" t="s">
        <v>162</v>
      </c>
      <c r="M348" t="s">
        <v>2240</v>
      </c>
      <c r="N348" t="s">
        <v>2240</v>
      </c>
      <c r="O348" t="s">
        <v>73</v>
      </c>
      <c r="P348" t="s">
        <v>74</v>
      </c>
      <c r="Q348" t="s">
        <v>75</v>
      </c>
      <c r="R348" t="s">
        <v>72</v>
      </c>
    </row>
    <row r="349" spans="1:18" x14ac:dyDescent="0.25">
      <c r="A349" t="s">
        <v>22150</v>
      </c>
      <c r="B349" t="s">
        <v>2242</v>
      </c>
      <c r="C349" t="str">
        <f>HYPERLINK("https://nematode.unl.edu/alaimu3.jpg")</f>
        <v>https://nematode.unl.edu/alaimu3.jpg</v>
      </c>
      <c r="D349" t="s">
        <v>43</v>
      </c>
      <c r="G349" t="s">
        <v>51</v>
      </c>
      <c r="I349" t="s">
        <v>19</v>
      </c>
      <c r="J349" t="s">
        <v>161</v>
      </c>
      <c r="L349" t="s">
        <v>162</v>
      </c>
      <c r="M349" t="s">
        <v>2240</v>
      </c>
      <c r="N349" t="s">
        <v>2240</v>
      </c>
      <c r="O349" t="s">
        <v>73</v>
      </c>
      <c r="P349" t="s">
        <v>74</v>
      </c>
      <c r="Q349" t="s">
        <v>75</v>
      </c>
      <c r="R349" t="s">
        <v>72</v>
      </c>
    </row>
    <row r="350" spans="1:18" x14ac:dyDescent="0.25">
      <c r="A350" t="s">
        <v>22147</v>
      </c>
      <c r="B350" t="s">
        <v>2243</v>
      </c>
      <c r="C350" t="str">
        <f>HYPERLINK("https://nematode.unl.edu/alaimu4.jpg")</f>
        <v>https://nematode.unl.edu/alaimu4.jpg</v>
      </c>
      <c r="D350" t="s">
        <v>43</v>
      </c>
      <c r="G350" t="s">
        <v>28</v>
      </c>
      <c r="I350" t="s">
        <v>19</v>
      </c>
      <c r="J350" t="s">
        <v>161</v>
      </c>
      <c r="L350" t="s">
        <v>162</v>
      </c>
      <c r="M350" t="s">
        <v>2240</v>
      </c>
      <c r="N350" t="s">
        <v>2240</v>
      </c>
      <c r="O350" t="s">
        <v>73</v>
      </c>
      <c r="P350" t="s">
        <v>74</v>
      </c>
      <c r="Q350" t="s">
        <v>75</v>
      </c>
      <c r="R350" t="s">
        <v>72</v>
      </c>
    </row>
    <row r="351" spans="1:18" x14ac:dyDescent="0.25">
      <c r="A351" t="s">
        <v>22142</v>
      </c>
      <c r="B351" t="s">
        <v>2244</v>
      </c>
      <c r="C351" t="str">
        <f>HYPERLINK("https://nematode.unl.edu/alaimu5.jpg")</f>
        <v>https://nematode.unl.edu/alaimu5.jpg</v>
      </c>
      <c r="D351" t="s">
        <v>43</v>
      </c>
      <c r="G351" t="s">
        <v>34</v>
      </c>
      <c r="H351" t="s">
        <v>18</v>
      </c>
      <c r="I351" t="s">
        <v>41</v>
      </c>
      <c r="J351" t="s">
        <v>161</v>
      </c>
      <c r="M351" t="s">
        <v>2240</v>
      </c>
      <c r="N351" t="s">
        <v>2240</v>
      </c>
      <c r="O351" t="s">
        <v>73</v>
      </c>
      <c r="P351" t="s">
        <v>74</v>
      </c>
      <c r="Q351" t="s">
        <v>75</v>
      </c>
      <c r="R351" t="s">
        <v>72</v>
      </c>
    </row>
    <row r="352" spans="1:18" x14ac:dyDescent="0.25">
      <c r="A352" t="s">
        <v>22151</v>
      </c>
      <c r="B352" t="s">
        <v>2245</v>
      </c>
      <c r="C352" t="str">
        <f>HYPERLINK("https://nematode.unl.edu/alaimu6.jpg")</f>
        <v>https://nematode.unl.edu/alaimu6.jpg</v>
      </c>
      <c r="D352" t="s">
        <v>43</v>
      </c>
      <c r="G352" t="s">
        <v>51</v>
      </c>
      <c r="I352" t="s">
        <v>41</v>
      </c>
      <c r="J352" t="s">
        <v>161</v>
      </c>
      <c r="L352" t="s">
        <v>162</v>
      </c>
      <c r="M352" t="s">
        <v>2240</v>
      </c>
      <c r="N352" t="s">
        <v>2240</v>
      </c>
      <c r="O352" t="s">
        <v>73</v>
      </c>
      <c r="P352" t="s">
        <v>74</v>
      </c>
      <c r="Q352" t="s">
        <v>75</v>
      </c>
      <c r="R352" t="s">
        <v>72</v>
      </c>
    </row>
    <row r="353" spans="1:18" x14ac:dyDescent="0.25">
      <c r="A353" t="s">
        <v>22149</v>
      </c>
      <c r="B353" t="s">
        <v>2246</v>
      </c>
      <c r="C353" t="str">
        <f>HYPERLINK("https://nematode.unl.edu/alaimu7.jpg")</f>
        <v>https://nematode.unl.edu/alaimu7.jpg</v>
      </c>
      <c r="D353" t="s">
        <v>43</v>
      </c>
      <c r="G353" t="s">
        <v>422</v>
      </c>
      <c r="I353" t="s">
        <v>41</v>
      </c>
      <c r="J353" t="s">
        <v>161</v>
      </c>
      <c r="M353" t="s">
        <v>2240</v>
      </c>
      <c r="N353" t="s">
        <v>2240</v>
      </c>
      <c r="O353" t="s">
        <v>73</v>
      </c>
      <c r="P353" t="s">
        <v>74</v>
      </c>
      <c r="Q353" t="s">
        <v>75</v>
      </c>
      <c r="R353" t="s">
        <v>72</v>
      </c>
    </row>
    <row r="354" spans="1:18" x14ac:dyDescent="0.25">
      <c r="A354" t="s">
        <v>22122</v>
      </c>
      <c r="B354" t="s">
        <v>2214</v>
      </c>
      <c r="C354" t="str">
        <f>HYPERLINK("https://nematode.unl.edu/alaisp1.jpg")</f>
        <v>https://nematode.unl.edu/alaisp1.jpg</v>
      </c>
      <c r="D354" t="s">
        <v>16</v>
      </c>
      <c r="G354" t="s">
        <v>28</v>
      </c>
      <c r="I354" t="s">
        <v>19</v>
      </c>
      <c r="J354" t="s">
        <v>161</v>
      </c>
      <c r="L354" t="s">
        <v>128</v>
      </c>
      <c r="M354" t="s">
        <v>72</v>
      </c>
      <c r="N354" t="s">
        <v>72</v>
      </c>
      <c r="O354" t="s">
        <v>73</v>
      </c>
      <c r="P354" t="s">
        <v>74</v>
      </c>
      <c r="Q354" t="s">
        <v>75</v>
      </c>
      <c r="R354" t="s">
        <v>72</v>
      </c>
    </row>
    <row r="355" spans="1:18" x14ac:dyDescent="0.25">
      <c r="A355" t="s">
        <v>22119</v>
      </c>
      <c r="B355" t="s">
        <v>2215</v>
      </c>
      <c r="C355" t="str">
        <f>HYPERLINK("https://nematode.unl.edu/alaisp2.jpg")</f>
        <v>https://nematode.unl.edu/alaisp2.jpg</v>
      </c>
      <c r="D355" t="s">
        <v>43</v>
      </c>
      <c r="G355" t="s">
        <v>34</v>
      </c>
      <c r="H355" t="s">
        <v>18</v>
      </c>
      <c r="I355" t="s">
        <v>41</v>
      </c>
      <c r="J355" t="s">
        <v>161</v>
      </c>
      <c r="M355" t="s">
        <v>72</v>
      </c>
      <c r="N355" t="s">
        <v>72</v>
      </c>
      <c r="O355" t="s">
        <v>73</v>
      </c>
      <c r="P355" t="s">
        <v>74</v>
      </c>
      <c r="Q355" t="s">
        <v>75</v>
      </c>
      <c r="R355" t="s">
        <v>72</v>
      </c>
    </row>
    <row r="356" spans="1:18" x14ac:dyDescent="0.25">
      <c r="A356" t="s">
        <v>22121</v>
      </c>
      <c r="B356" t="s">
        <v>2216</v>
      </c>
      <c r="C356" t="str">
        <f>HYPERLINK("https://nematode.unl.edu/alaisp3.jpg")</f>
        <v>https://nematode.unl.edu/alaisp3.jpg</v>
      </c>
      <c r="D356" t="s">
        <v>43</v>
      </c>
      <c r="G356" t="s">
        <v>87</v>
      </c>
      <c r="I356" t="s">
        <v>41</v>
      </c>
      <c r="J356" t="s">
        <v>161</v>
      </c>
      <c r="M356" t="s">
        <v>72</v>
      </c>
      <c r="N356" t="s">
        <v>72</v>
      </c>
      <c r="O356" t="s">
        <v>73</v>
      </c>
      <c r="P356" t="s">
        <v>74</v>
      </c>
      <c r="Q356" t="s">
        <v>75</v>
      </c>
      <c r="R356" t="s">
        <v>72</v>
      </c>
    </row>
    <row r="357" spans="1:18" x14ac:dyDescent="0.25">
      <c r="A357" t="s">
        <v>22124</v>
      </c>
      <c r="B357" t="s">
        <v>2217</v>
      </c>
      <c r="C357" t="str">
        <f>HYPERLINK("https://nematode.unl.edu/alaisp4.jpg")</f>
        <v>https://nematode.unl.edu/alaisp4.jpg</v>
      </c>
      <c r="D357" t="s">
        <v>43</v>
      </c>
      <c r="G357" t="s">
        <v>51</v>
      </c>
      <c r="I357" t="s">
        <v>41</v>
      </c>
      <c r="J357" t="s">
        <v>161</v>
      </c>
      <c r="M357" t="s">
        <v>72</v>
      </c>
      <c r="N357" t="s">
        <v>72</v>
      </c>
      <c r="O357" t="s">
        <v>73</v>
      </c>
      <c r="P357" t="s">
        <v>74</v>
      </c>
      <c r="Q357" t="s">
        <v>75</v>
      </c>
      <c r="R357" t="s">
        <v>72</v>
      </c>
    </row>
    <row r="358" spans="1:18" x14ac:dyDescent="0.25">
      <c r="A358" t="s">
        <v>22120</v>
      </c>
      <c r="B358" t="s">
        <v>2218</v>
      </c>
      <c r="C358" t="str">
        <f>HYPERLINK("https://nematode.unl.edu/alaisp5.jpg")</f>
        <v>https://nematode.unl.edu/alaisp5.jpg</v>
      </c>
      <c r="D358" t="s">
        <v>43</v>
      </c>
      <c r="G358" t="s">
        <v>905</v>
      </c>
      <c r="I358" t="s">
        <v>41</v>
      </c>
      <c r="J358" t="s">
        <v>161</v>
      </c>
      <c r="L358" t="s">
        <v>128</v>
      </c>
      <c r="M358" t="s">
        <v>72</v>
      </c>
      <c r="N358" t="s">
        <v>72</v>
      </c>
      <c r="O358" t="s">
        <v>73</v>
      </c>
      <c r="P358" t="s">
        <v>74</v>
      </c>
      <c r="Q358" t="s">
        <v>75</v>
      </c>
      <c r="R358" t="s">
        <v>72</v>
      </c>
    </row>
    <row r="359" spans="1:18" x14ac:dyDescent="0.25">
      <c r="A359" t="s">
        <v>22123</v>
      </c>
      <c r="B359" t="s">
        <v>2219</v>
      </c>
      <c r="C359" t="str">
        <f>HYPERLINK("https://nematode.unl.edu/alaisp6.jpg")</f>
        <v>https://nematode.unl.edu/alaisp6.jpg</v>
      </c>
      <c r="D359" t="s">
        <v>43</v>
      </c>
      <c r="G359" t="s">
        <v>28</v>
      </c>
      <c r="I359" t="s">
        <v>41</v>
      </c>
      <c r="J359" t="s">
        <v>161</v>
      </c>
      <c r="L359" t="s">
        <v>131</v>
      </c>
      <c r="M359" t="s">
        <v>72</v>
      </c>
      <c r="N359" t="s">
        <v>72</v>
      </c>
      <c r="O359" t="s">
        <v>73</v>
      </c>
      <c r="P359" t="s">
        <v>74</v>
      </c>
      <c r="Q359" t="s">
        <v>75</v>
      </c>
      <c r="R359" t="s">
        <v>72</v>
      </c>
    </row>
    <row r="360" spans="1:18" x14ac:dyDescent="0.25">
      <c r="A360" t="s">
        <v>22143</v>
      </c>
      <c r="B360" t="s">
        <v>2247</v>
      </c>
      <c r="C360" t="str">
        <f>HYPERLINK("https://nematode.unl.edu/alam1.jpg")</f>
        <v>https://nematode.unl.edu/alam1.jpg</v>
      </c>
      <c r="D360" t="s">
        <v>16</v>
      </c>
      <c r="G360" t="s">
        <v>34</v>
      </c>
      <c r="H360" t="s">
        <v>18</v>
      </c>
      <c r="I360" t="s">
        <v>19</v>
      </c>
      <c r="J360" t="s">
        <v>20</v>
      </c>
      <c r="L360" t="s">
        <v>173</v>
      </c>
      <c r="M360" t="s">
        <v>2240</v>
      </c>
      <c r="N360" t="s">
        <v>2240</v>
      </c>
      <c r="O360" t="s">
        <v>73</v>
      </c>
      <c r="P360" t="s">
        <v>74</v>
      </c>
      <c r="Q360" t="s">
        <v>75</v>
      </c>
      <c r="R360" t="s">
        <v>72</v>
      </c>
    </row>
    <row r="361" spans="1:18" x14ac:dyDescent="0.25">
      <c r="A361" t="s">
        <v>22145</v>
      </c>
      <c r="B361" t="s">
        <v>2248</v>
      </c>
      <c r="C361" t="str">
        <f>HYPERLINK("https://nematode.unl.edu/alam2.jpg")</f>
        <v>https://nematode.unl.edu/alam2.jpg</v>
      </c>
      <c r="D361" t="s">
        <v>16</v>
      </c>
      <c r="G361" t="s">
        <v>87</v>
      </c>
      <c r="I361" t="s">
        <v>19</v>
      </c>
      <c r="J361" t="s">
        <v>20</v>
      </c>
      <c r="L361" t="s">
        <v>141</v>
      </c>
      <c r="M361" t="s">
        <v>2240</v>
      </c>
      <c r="N361" t="s">
        <v>2240</v>
      </c>
      <c r="O361" t="s">
        <v>73</v>
      </c>
      <c r="P361" t="s">
        <v>74</v>
      </c>
      <c r="Q361" t="s">
        <v>75</v>
      </c>
      <c r="R361" t="s">
        <v>72</v>
      </c>
    </row>
    <row r="362" spans="1:18" x14ac:dyDescent="0.25">
      <c r="A362" t="s">
        <v>22148</v>
      </c>
      <c r="B362" t="s">
        <v>2249</v>
      </c>
      <c r="C362" t="str">
        <f>HYPERLINK("https://nematode.unl.edu/alam3.jpg")</f>
        <v>https://nematode.unl.edu/alam3.jpg</v>
      </c>
      <c r="D362" t="s">
        <v>16</v>
      </c>
      <c r="G362" t="s">
        <v>28</v>
      </c>
      <c r="I362" t="s">
        <v>19</v>
      </c>
      <c r="J362" t="s">
        <v>20</v>
      </c>
      <c r="L362" t="s">
        <v>173</v>
      </c>
      <c r="M362" t="s">
        <v>2240</v>
      </c>
      <c r="N362" t="s">
        <v>2240</v>
      </c>
      <c r="O362" t="s">
        <v>73</v>
      </c>
      <c r="P362" t="s">
        <v>74</v>
      </c>
      <c r="Q362" t="s">
        <v>75</v>
      </c>
      <c r="R362" t="s">
        <v>72</v>
      </c>
    </row>
    <row r="363" spans="1:18" x14ac:dyDescent="0.25">
      <c r="A363" t="s">
        <v>22144</v>
      </c>
      <c r="B363" t="s">
        <v>2250</v>
      </c>
      <c r="C363" t="str">
        <f>HYPERLINK("https://nematode.unl.edu/alam4.jpg")</f>
        <v>https://nematode.unl.edu/alam4.jpg</v>
      </c>
      <c r="D363" t="s">
        <v>16</v>
      </c>
      <c r="G363" t="s">
        <v>34</v>
      </c>
      <c r="H363" t="s">
        <v>18</v>
      </c>
      <c r="I363" t="s">
        <v>41</v>
      </c>
      <c r="J363" t="s">
        <v>20</v>
      </c>
      <c r="L363" t="s">
        <v>138</v>
      </c>
      <c r="M363" t="s">
        <v>2240</v>
      </c>
      <c r="N363" t="s">
        <v>2240</v>
      </c>
      <c r="O363" t="s">
        <v>73</v>
      </c>
      <c r="P363" t="s">
        <v>74</v>
      </c>
      <c r="Q363" t="s">
        <v>75</v>
      </c>
      <c r="R363" t="s">
        <v>72</v>
      </c>
    </row>
    <row r="364" spans="1:18" x14ac:dyDescent="0.25">
      <c r="A364" t="s">
        <v>22152</v>
      </c>
      <c r="B364" t="s">
        <v>2251</v>
      </c>
      <c r="C364" t="str">
        <f>HYPERLINK("https://nematode.unl.edu/alamp1.jpg")</f>
        <v>https://nematode.unl.edu/alamp1.jpg</v>
      </c>
      <c r="D364" t="s">
        <v>16</v>
      </c>
      <c r="G364" t="s">
        <v>34</v>
      </c>
      <c r="H364" t="s">
        <v>18</v>
      </c>
      <c r="I364" t="s">
        <v>19</v>
      </c>
      <c r="J364" t="s">
        <v>20</v>
      </c>
      <c r="M364" t="s">
        <v>2252</v>
      </c>
      <c r="N364" t="s">
        <v>2252</v>
      </c>
      <c r="O364" t="s">
        <v>73</v>
      </c>
      <c r="P364" t="s">
        <v>74</v>
      </c>
      <c r="Q364" t="s">
        <v>75</v>
      </c>
      <c r="R364" t="s">
        <v>72</v>
      </c>
    </row>
    <row r="365" spans="1:18" x14ac:dyDescent="0.25">
      <c r="A365" t="s">
        <v>22165</v>
      </c>
      <c r="B365" t="s">
        <v>2253</v>
      </c>
      <c r="C365" t="str">
        <f>HYPERLINK("https://nematode.unl.edu/alamp10.jpg")</f>
        <v>https://nematode.unl.edu/alamp10.jpg</v>
      </c>
      <c r="D365" t="s">
        <v>43</v>
      </c>
      <c r="G365" t="s">
        <v>51</v>
      </c>
      <c r="I365" t="s">
        <v>19</v>
      </c>
      <c r="J365" t="s">
        <v>20</v>
      </c>
      <c r="L365" t="s">
        <v>752</v>
      </c>
      <c r="M365" t="s">
        <v>2252</v>
      </c>
      <c r="N365" t="s">
        <v>2252</v>
      </c>
      <c r="O365" t="s">
        <v>73</v>
      </c>
      <c r="P365" t="s">
        <v>74</v>
      </c>
      <c r="Q365" t="s">
        <v>75</v>
      </c>
      <c r="R365" t="s">
        <v>72</v>
      </c>
    </row>
    <row r="366" spans="1:18" x14ac:dyDescent="0.25">
      <c r="A366" t="s">
        <v>22161</v>
      </c>
      <c r="B366" t="s">
        <v>2254</v>
      </c>
      <c r="C366" t="str">
        <f>HYPERLINK("https://nematode.unl.edu/alamp11.jpg")</f>
        <v>https://nematode.unl.edu/alamp11.jpg</v>
      </c>
      <c r="D366" t="s">
        <v>43</v>
      </c>
      <c r="G366" t="s">
        <v>28</v>
      </c>
      <c r="I366" t="s">
        <v>19</v>
      </c>
      <c r="J366" t="s">
        <v>20</v>
      </c>
      <c r="L366" t="s">
        <v>752</v>
      </c>
      <c r="M366" t="s">
        <v>2252</v>
      </c>
      <c r="N366" t="s">
        <v>2252</v>
      </c>
      <c r="O366" t="s">
        <v>73</v>
      </c>
      <c r="P366" t="s">
        <v>74</v>
      </c>
      <c r="Q366" t="s">
        <v>75</v>
      </c>
      <c r="R366" t="s">
        <v>72</v>
      </c>
    </row>
    <row r="367" spans="1:18" x14ac:dyDescent="0.25">
      <c r="A367" t="s">
        <v>22153</v>
      </c>
      <c r="B367" t="s">
        <v>2255</v>
      </c>
      <c r="C367" t="str">
        <f>HYPERLINK("https://nematode.unl.edu/alamp12.jpg")</f>
        <v>https://nematode.unl.edu/alamp12.jpg</v>
      </c>
      <c r="D367" t="s">
        <v>43</v>
      </c>
      <c r="G367" t="s">
        <v>34</v>
      </c>
      <c r="H367" t="s">
        <v>18</v>
      </c>
      <c r="I367" t="s">
        <v>41</v>
      </c>
      <c r="J367" t="s">
        <v>20</v>
      </c>
      <c r="L367" t="s">
        <v>752</v>
      </c>
      <c r="M367" t="s">
        <v>2252</v>
      </c>
      <c r="N367" t="s">
        <v>2252</v>
      </c>
      <c r="O367" t="s">
        <v>73</v>
      </c>
      <c r="P367" t="s">
        <v>74</v>
      </c>
      <c r="Q367" t="s">
        <v>75</v>
      </c>
      <c r="R367" t="s">
        <v>72</v>
      </c>
    </row>
    <row r="368" spans="1:18" x14ac:dyDescent="0.25">
      <c r="A368" t="s">
        <v>22158</v>
      </c>
      <c r="B368" t="s">
        <v>2256</v>
      </c>
      <c r="C368" t="str">
        <f>HYPERLINK("https://nematode.unl.edu/alamp13.jpg")</f>
        <v>https://nematode.unl.edu/alamp13.jpg</v>
      </c>
      <c r="D368" t="s">
        <v>43</v>
      </c>
      <c r="G368" t="s">
        <v>87</v>
      </c>
      <c r="I368" t="s">
        <v>41</v>
      </c>
      <c r="J368" t="s">
        <v>20</v>
      </c>
      <c r="L368" t="s">
        <v>752</v>
      </c>
      <c r="M368" t="s">
        <v>2252</v>
      </c>
      <c r="N368" t="s">
        <v>2252</v>
      </c>
      <c r="O368" t="s">
        <v>73</v>
      </c>
      <c r="P368" t="s">
        <v>74</v>
      </c>
      <c r="Q368" t="s">
        <v>75</v>
      </c>
      <c r="R368" t="s">
        <v>72</v>
      </c>
    </row>
    <row r="369" spans="1:18" x14ac:dyDescent="0.25">
      <c r="A369" t="s">
        <v>22166</v>
      </c>
      <c r="B369" t="s">
        <v>2257</v>
      </c>
      <c r="C369" t="str">
        <f>HYPERLINK("https://nematode.unl.edu/alamp14.jpg")</f>
        <v>https://nematode.unl.edu/alamp14.jpg</v>
      </c>
      <c r="D369" t="s">
        <v>43</v>
      </c>
      <c r="G369" t="s">
        <v>51</v>
      </c>
      <c r="I369" t="s">
        <v>41</v>
      </c>
      <c r="J369" t="s">
        <v>20</v>
      </c>
      <c r="M369" t="s">
        <v>2252</v>
      </c>
      <c r="N369" t="s">
        <v>2252</v>
      </c>
      <c r="O369" t="s">
        <v>73</v>
      </c>
      <c r="P369" t="s">
        <v>74</v>
      </c>
      <c r="Q369" t="s">
        <v>75</v>
      </c>
      <c r="R369" t="s">
        <v>72</v>
      </c>
    </row>
    <row r="370" spans="1:18" x14ac:dyDescent="0.25">
      <c r="A370" t="s">
        <v>22159</v>
      </c>
      <c r="B370" t="s">
        <v>2258</v>
      </c>
      <c r="C370" t="str">
        <f>HYPERLINK("https://nematode.unl.edu/alamp15.jpg")</f>
        <v>https://nematode.unl.edu/alamp15.jpg</v>
      </c>
      <c r="D370" t="s">
        <v>43</v>
      </c>
      <c r="G370" t="s">
        <v>44</v>
      </c>
      <c r="I370" t="s">
        <v>45</v>
      </c>
      <c r="J370" t="s">
        <v>20</v>
      </c>
      <c r="L370" t="s">
        <v>752</v>
      </c>
      <c r="M370" t="s">
        <v>2252</v>
      </c>
      <c r="N370" t="s">
        <v>2252</v>
      </c>
      <c r="O370" t="s">
        <v>73</v>
      </c>
      <c r="P370" t="s">
        <v>74</v>
      </c>
      <c r="Q370" t="s">
        <v>75</v>
      </c>
      <c r="R370" t="s">
        <v>72</v>
      </c>
    </row>
    <row r="371" spans="1:18" x14ac:dyDescent="0.25">
      <c r="A371" t="s">
        <v>22154</v>
      </c>
      <c r="B371" t="s">
        <v>2259</v>
      </c>
      <c r="C371" t="str">
        <f>HYPERLINK("https://nematode.unl.edu/alamp16.jpg")</f>
        <v>https://nematode.unl.edu/alamp16.jpg</v>
      </c>
      <c r="D371" t="s">
        <v>43</v>
      </c>
      <c r="G371" t="s">
        <v>34</v>
      </c>
      <c r="H371" t="s">
        <v>18</v>
      </c>
      <c r="I371" t="s">
        <v>19</v>
      </c>
      <c r="J371" t="s">
        <v>20</v>
      </c>
      <c r="L371" t="s">
        <v>752</v>
      </c>
      <c r="M371" t="s">
        <v>2252</v>
      </c>
      <c r="N371" t="s">
        <v>2252</v>
      </c>
      <c r="O371" t="s">
        <v>73</v>
      </c>
      <c r="P371" t="s">
        <v>74</v>
      </c>
      <c r="Q371" t="s">
        <v>75</v>
      </c>
      <c r="R371" t="s">
        <v>72</v>
      </c>
    </row>
    <row r="372" spans="1:18" x14ac:dyDescent="0.25">
      <c r="A372" t="s">
        <v>22167</v>
      </c>
      <c r="B372" t="s">
        <v>2260</v>
      </c>
      <c r="C372" t="str">
        <f>HYPERLINK("https://nematode.unl.edu/alamp17.jpg")</f>
        <v>https://nematode.unl.edu/alamp17.jpg</v>
      </c>
      <c r="D372" t="s">
        <v>43</v>
      </c>
      <c r="G372" t="s">
        <v>51</v>
      </c>
      <c r="I372" t="s">
        <v>19</v>
      </c>
      <c r="J372" t="s">
        <v>20</v>
      </c>
      <c r="L372" t="s">
        <v>752</v>
      </c>
      <c r="M372" t="s">
        <v>2252</v>
      </c>
      <c r="N372" t="s">
        <v>2252</v>
      </c>
      <c r="O372" t="s">
        <v>73</v>
      </c>
      <c r="P372" t="s">
        <v>74</v>
      </c>
      <c r="Q372" t="s">
        <v>75</v>
      </c>
      <c r="R372" t="s">
        <v>72</v>
      </c>
    </row>
    <row r="373" spans="1:18" x14ac:dyDescent="0.25">
      <c r="A373" t="s">
        <v>22162</v>
      </c>
      <c r="B373" t="s">
        <v>2261</v>
      </c>
      <c r="C373" t="str">
        <f>HYPERLINK("https://nematode.unl.edu/alamp2.jpg")</f>
        <v>https://nematode.unl.edu/alamp2.jpg</v>
      </c>
      <c r="D373" t="s">
        <v>16</v>
      </c>
      <c r="G373" t="s">
        <v>28</v>
      </c>
      <c r="I373" t="s">
        <v>19</v>
      </c>
      <c r="J373" t="s">
        <v>20</v>
      </c>
      <c r="M373" t="s">
        <v>2252</v>
      </c>
      <c r="N373" t="s">
        <v>2252</v>
      </c>
      <c r="O373" t="s">
        <v>73</v>
      </c>
      <c r="P373" t="s">
        <v>74</v>
      </c>
      <c r="Q373" t="s">
        <v>75</v>
      </c>
      <c r="R373" t="s">
        <v>72</v>
      </c>
    </row>
    <row r="374" spans="1:18" x14ac:dyDescent="0.25">
      <c r="A374" t="s">
        <v>22155</v>
      </c>
      <c r="B374" t="s">
        <v>2262</v>
      </c>
      <c r="C374" t="str">
        <f>HYPERLINK("https://nematode.unl.edu/alamp3.jpg")</f>
        <v>https://nematode.unl.edu/alamp3.jpg</v>
      </c>
      <c r="D374" t="s">
        <v>16</v>
      </c>
      <c r="G374" t="s">
        <v>34</v>
      </c>
      <c r="H374" t="s">
        <v>18</v>
      </c>
      <c r="I374" t="s">
        <v>41</v>
      </c>
      <c r="J374" t="s">
        <v>20</v>
      </c>
      <c r="M374" t="s">
        <v>2252</v>
      </c>
      <c r="N374" t="s">
        <v>2252</v>
      </c>
      <c r="O374" t="s">
        <v>73</v>
      </c>
      <c r="P374" t="s">
        <v>74</v>
      </c>
      <c r="Q374" t="s">
        <v>75</v>
      </c>
      <c r="R374" t="s">
        <v>72</v>
      </c>
    </row>
    <row r="375" spans="1:18" x14ac:dyDescent="0.25">
      <c r="A375" t="s">
        <v>22163</v>
      </c>
      <c r="B375" t="s">
        <v>2263</v>
      </c>
      <c r="C375" t="str">
        <f>HYPERLINK("https://nematode.unl.edu/alamp4.jpg")</f>
        <v>https://nematode.unl.edu/alamp4.jpg</v>
      </c>
      <c r="D375" t="s">
        <v>16</v>
      </c>
      <c r="G375" t="s">
        <v>28</v>
      </c>
      <c r="I375" t="s">
        <v>41</v>
      </c>
      <c r="J375" t="s">
        <v>20</v>
      </c>
      <c r="M375" t="s">
        <v>2252</v>
      </c>
      <c r="N375" t="s">
        <v>2252</v>
      </c>
      <c r="O375" t="s">
        <v>73</v>
      </c>
      <c r="P375" t="s">
        <v>74</v>
      </c>
      <c r="Q375" t="s">
        <v>75</v>
      </c>
      <c r="R375" t="s">
        <v>72</v>
      </c>
    </row>
    <row r="376" spans="1:18" x14ac:dyDescent="0.25">
      <c r="A376" t="s">
        <v>22160</v>
      </c>
      <c r="B376" t="s">
        <v>2264</v>
      </c>
      <c r="C376" t="str">
        <f>HYPERLINK("https://nematode.unl.edu/alamp5.jpg")</f>
        <v>https://nematode.unl.edu/alamp5.jpg</v>
      </c>
      <c r="D376" t="s">
        <v>43</v>
      </c>
      <c r="G376" t="s">
        <v>44</v>
      </c>
      <c r="I376" t="s">
        <v>45</v>
      </c>
      <c r="J376" t="s">
        <v>20</v>
      </c>
      <c r="L376" t="s">
        <v>752</v>
      </c>
      <c r="M376" t="s">
        <v>2252</v>
      </c>
      <c r="N376" t="s">
        <v>2252</v>
      </c>
      <c r="O376" t="s">
        <v>73</v>
      </c>
      <c r="P376" t="s">
        <v>74</v>
      </c>
      <c r="Q376" t="s">
        <v>75</v>
      </c>
      <c r="R376" t="s">
        <v>72</v>
      </c>
    </row>
    <row r="377" spans="1:18" x14ac:dyDescent="0.25">
      <c r="A377" t="s">
        <v>22156</v>
      </c>
      <c r="B377" t="s">
        <v>2265</v>
      </c>
      <c r="C377" t="str">
        <f>HYPERLINK("https://nematode.unl.edu/alamp6.jpg")</f>
        <v>https://nematode.unl.edu/alamp6.jpg</v>
      </c>
      <c r="D377" t="s">
        <v>43</v>
      </c>
      <c r="G377" t="s">
        <v>34</v>
      </c>
      <c r="H377" t="s">
        <v>18</v>
      </c>
      <c r="I377" t="s">
        <v>19</v>
      </c>
      <c r="J377" t="s">
        <v>20</v>
      </c>
      <c r="L377" t="s">
        <v>752</v>
      </c>
      <c r="M377" t="s">
        <v>2252</v>
      </c>
      <c r="N377" t="s">
        <v>2252</v>
      </c>
      <c r="O377" t="s">
        <v>73</v>
      </c>
      <c r="P377" t="s">
        <v>74</v>
      </c>
      <c r="Q377" t="s">
        <v>75</v>
      </c>
      <c r="R377" t="s">
        <v>72</v>
      </c>
    </row>
    <row r="378" spans="1:18" x14ac:dyDescent="0.25">
      <c r="A378" t="s">
        <v>22168</v>
      </c>
      <c r="B378" t="s">
        <v>2266</v>
      </c>
      <c r="C378" t="str">
        <f>HYPERLINK("https://nematode.unl.edu/alamp7.jpg")</f>
        <v>https://nematode.unl.edu/alamp7.jpg</v>
      </c>
      <c r="D378" t="s">
        <v>43</v>
      </c>
      <c r="G378" t="s">
        <v>51</v>
      </c>
      <c r="I378" t="s">
        <v>19</v>
      </c>
      <c r="J378" t="s">
        <v>20</v>
      </c>
      <c r="L378" t="s">
        <v>752</v>
      </c>
      <c r="M378" t="s">
        <v>2252</v>
      </c>
      <c r="N378" t="s">
        <v>2252</v>
      </c>
      <c r="O378" t="s">
        <v>73</v>
      </c>
      <c r="P378" t="s">
        <v>74</v>
      </c>
      <c r="Q378" t="s">
        <v>75</v>
      </c>
      <c r="R378" t="s">
        <v>72</v>
      </c>
    </row>
    <row r="379" spans="1:18" x14ac:dyDescent="0.25">
      <c r="A379" t="s">
        <v>22164</v>
      </c>
      <c r="B379" t="s">
        <v>2267</v>
      </c>
      <c r="C379" t="str">
        <f>HYPERLINK("https://nematode.unl.edu/alamp8.jpg")</f>
        <v>https://nematode.unl.edu/alamp8.jpg</v>
      </c>
      <c r="D379" t="s">
        <v>43</v>
      </c>
      <c r="G379" t="s">
        <v>28</v>
      </c>
      <c r="I379" t="s">
        <v>19</v>
      </c>
      <c r="J379" t="s">
        <v>20</v>
      </c>
      <c r="M379" t="s">
        <v>2252</v>
      </c>
      <c r="N379" t="s">
        <v>2252</v>
      </c>
      <c r="O379" t="s">
        <v>73</v>
      </c>
      <c r="P379" t="s">
        <v>74</v>
      </c>
      <c r="Q379" t="s">
        <v>75</v>
      </c>
      <c r="R379" t="s">
        <v>72</v>
      </c>
    </row>
    <row r="380" spans="1:18" x14ac:dyDescent="0.25">
      <c r="A380" t="s">
        <v>22157</v>
      </c>
      <c r="B380" t="s">
        <v>2268</v>
      </c>
      <c r="C380" t="str">
        <f>HYPERLINK("https://nematode.unl.edu/alamp9.jpg")</f>
        <v>https://nematode.unl.edu/alamp9.jpg</v>
      </c>
      <c r="D380" t="s">
        <v>43</v>
      </c>
      <c r="G380" t="s">
        <v>34</v>
      </c>
      <c r="H380" t="s">
        <v>18</v>
      </c>
      <c r="I380" t="s">
        <v>19</v>
      </c>
      <c r="J380" t="s">
        <v>20</v>
      </c>
      <c r="L380" t="s">
        <v>752</v>
      </c>
      <c r="M380" t="s">
        <v>2252</v>
      </c>
      <c r="N380" t="s">
        <v>2252</v>
      </c>
      <c r="O380" t="s">
        <v>73</v>
      </c>
      <c r="P380" t="s">
        <v>74</v>
      </c>
      <c r="Q380" t="s">
        <v>75</v>
      </c>
      <c r="R380" t="s">
        <v>72</v>
      </c>
    </row>
    <row r="381" spans="1:18" x14ac:dyDescent="0.25">
      <c r="A381" t="s">
        <v>22130</v>
      </c>
      <c r="B381" t="s">
        <v>2226</v>
      </c>
      <c r="C381" t="str">
        <f>HYPERLINK("https://nematode.unl.edu/alar1.jpg")</f>
        <v>https://nematode.unl.edu/alar1.jpg</v>
      </c>
      <c r="D381" t="s">
        <v>16</v>
      </c>
      <c r="G381" t="s">
        <v>34</v>
      </c>
      <c r="H381" t="s">
        <v>18</v>
      </c>
      <c r="I381" t="s">
        <v>41</v>
      </c>
      <c r="J381" t="s">
        <v>20</v>
      </c>
      <c r="L381" t="s">
        <v>64</v>
      </c>
      <c r="M381" t="s">
        <v>2227</v>
      </c>
      <c r="N381" t="s">
        <v>2227</v>
      </c>
      <c r="O381" t="s">
        <v>73</v>
      </c>
      <c r="P381" t="s">
        <v>74</v>
      </c>
      <c r="Q381" t="s">
        <v>75</v>
      </c>
      <c r="R381" t="s">
        <v>72</v>
      </c>
    </row>
    <row r="382" spans="1:18" x14ac:dyDescent="0.25">
      <c r="A382" t="s">
        <v>22131</v>
      </c>
      <c r="B382" t="s">
        <v>2228</v>
      </c>
      <c r="C382" t="str">
        <f>HYPERLINK("https://nematode.unl.edu/alar2.jpg")</f>
        <v>https://nematode.unl.edu/alar2.jpg</v>
      </c>
      <c r="D382" t="s">
        <v>16</v>
      </c>
      <c r="G382" t="s">
        <v>34</v>
      </c>
      <c r="H382" t="s">
        <v>18</v>
      </c>
      <c r="I382" t="s">
        <v>19</v>
      </c>
      <c r="J382" t="s">
        <v>20</v>
      </c>
      <c r="L382" t="s">
        <v>64</v>
      </c>
      <c r="M382" t="s">
        <v>2227</v>
      </c>
      <c r="N382" t="s">
        <v>2227</v>
      </c>
      <c r="O382" t="s">
        <v>73</v>
      </c>
      <c r="P382" t="s">
        <v>74</v>
      </c>
      <c r="Q382" t="s">
        <v>75</v>
      </c>
      <c r="R382" t="s">
        <v>72</v>
      </c>
    </row>
    <row r="383" spans="1:18" x14ac:dyDescent="0.25">
      <c r="A383" t="s">
        <v>22133</v>
      </c>
      <c r="B383" t="s">
        <v>2229</v>
      </c>
      <c r="C383" t="str">
        <f>HYPERLINK("https://nematode.unl.edu/alar3.jpg")</f>
        <v>https://nematode.unl.edu/alar3.jpg</v>
      </c>
      <c r="D383" t="s">
        <v>16</v>
      </c>
      <c r="G383" t="s">
        <v>44</v>
      </c>
      <c r="I383" t="s">
        <v>45</v>
      </c>
      <c r="J383" t="s">
        <v>20</v>
      </c>
      <c r="L383" t="s">
        <v>64</v>
      </c>
      <c r="M383" t="s">
        <v>2227</v>
      </c>
      <c r="N383" t="s">
        <v>2227</v>
      </c>
      <c r="O383" t="s">
        <v>73</v>
      </c>
      <c r="P383" t="s">
        <v>74</v>
      </c>
      <c r="Q383" t="s">
        <v>75</v>
      </c>
      <c r="R383" t="s">
        <v>72</v>
      </c>
    </row>
    <row r="384" spans="1:18" x14ac:dyDescent="0.25">
      <c r="A384" t="s">
        <v>22134</v>
      </c>
      <c r="B384" t="s">
        <v>2230</v>
      </c>
      <c r="C384" t="str">
        <f>HYPERLINK("https://nematode.unl.edu/alimarc1.jpg")</f>
        <v>https://nematode.unl.edu/alimarc1.jpg</v>
      </c>
      <c r="D384" t="s">
        <v>43</v>
      </c>
      <c r="G384" t="s">
        <v>44</v>
      </c>
      <c r="I384" t="s">
        <v>45</v>
      </c>
      <c r="J384" t="s">
        <v>57</v>
      </c>
      <c r="M384" t="s">
        <v>2227</v>
      </c>
      <c r="N384" t="s">
        <v>2227</v>
      </c>
      <c r="O384" t="s">
        <v>73</v>
      </c>
      <c r="P384" t="s">
        <v>74</v>
      </c>
      <c r="Q384" t="s">
        <v>75</v>
      </c>
      <c r="R384" t="s">
        <v>72</v>
      </c>
    </row>
    <row r="385" spans="1:18" x14ac:dyDescent="0.25">
      <c r="A385" t="s">
        <v>22132</v>
      </c>
      <c r="B385" t="s">
        <v>2231</v>
      </c>
      <c r="C385" t="str">
        <f>HYPERLINK("https://nematode.unl.edu/alimarc2.jpg")</f>
        <v>https://nematode.unl.edu/alimarc2.jpg</v>
      </c>
      <c r="D385" t="s">
        <v>43</v>
      </c>
      <c r="G385" t="s">
        <v>34</v>
      </c>
      <c r="H385" t="s">
        <v>18</v>
      </c>
      <c r="I385" t="s">
        <v>19</v>
      </c>
      <c r="J385" t="s">
        <v>57</v>
      </c>
      <c r="M385" t="s">
        <v>2227</v>
      </c>
      <c r="N385" t="s">
        <v>2227</v>
      </c>
      <c r="O385" t="s">
        <v>73</v>
      </c>
      <c r="P385" t="s">
        <v>74</v>
      </c>
      <c r="Q385" t="s">
        <v>75</v>
      </c>
      <c r="R385" t="s">
        <v>72</v>
      </c>
    </row>
    <row r="386" spans="1:18" x14ac:dyDescent="0.25">
      <c r="A386" t="s">
        <v>22136</v>
      </c>
      <c r="B386" t="s">
        <v>2232</v>
      </c>
      <c r="C386" t="str">
        <f>HYPERLINK("https://nematode.unl.edu/alimarc3.jpg")</f>
        <v>https://nematode.unl.edu/alimarc3.jpg</v>
      </c>
      <c r="D386" t="s">
        <v>43</v>
      </c>
      <c r="G386" t="s">
        <v>51</v>
      </c>
      <c r="I386" t="s">
        <v>19</v>
      </c>
      <c r="J386" t="s">
        <v>57</v>
      </c>
      <c r="M386" t="s">
        <v>2227</v>
      </c>
      <c r="N386" t="s">
        <v>2227</v>
      </c>
      <c r="O386" t="s">
        <v>73</v>
      </c>
      <c r="P386" t="s">
        <v>74</v>
      </c>
      <c r="Q386" t="s">
        <v>75</v>
      </c>
      <c r="R386" t="s">
        <v>72</v>
      </c>
    </row>
    <row r="387" spans="1:18" x14ac:dyDescent="0.25">
      <c r="A387" t="s">
        <v>22135</v>
      </c>
      <c r="B387" t="s">
        <v>2233</v>
      </c>
      <c r="C387" t="str">
        <f>HYPERLINK("https://nematode.unl.edu/alimarc4.jpg")</f>
        <v>https://nematode.unl.edu/alimarc4.jpg</v>
      </c>
      <c r="D387" t="s">
        <v>43</v>
      </c>
      <c r="G387" t="s">
        <v>28</v>
      </c>
      <c r="I387" t="s">
        <v>19</v>
      </c>
      <c r="J387" t="s">
        <v>57</v>
      </c>
      <c r="M387" t="s">
        <v>2227</v>
      </c>
      <c r="N387" t="s">
        <v>2227</v>
      </c>
      <c r="O387" t="s">
        <v>73</v>
      </c>
      <c r="P387" t="s">
        <v>74</v>
      </c>
      <c r="Q387" t="s">
        <v>75</v>
      </c>
      <c r="R387" t="s">
        <v>72</v>
      </c>
    </row>
    <row r="388" spans="1:18" x14ac:dyDescent="0.25">
      <c r="A388" t="s">
        <v>20879</v>
      </c>
      <c r="B388" t="s">
        <v>2293</v>
      </c>
      <c r="C388" t="str">
        <f>HYPERLINK("https://nematode.unl.edu/alloall1.jpg")</f>
        <v>https://nematode.unl.edu/alloall1.jpg</v>
      </c>
      <c r="D388" t="s">
        <v>43</v>
      </c>
      <c r="G388" t="s">
        <v>44</v>
      </c>
      <c r="I388" t="s">
        <v>91</v>
      </c>
      <c r="J388" t="s">
        <v>482</v>
      </c>
      <c r="M388" t="s">
        <v>2294</v>
      </c>
      <c r="N388" t="s">
        <v>2294</v>
      </c>
      <c r="O388" t="s">
        <v>73</v>
      </c>
      <c r="P388" t="s">
        <v>81</v>
      </c>
      <c r="Q388" t="s">
        <v>82</v>
      </c>
      <c r="R388" t="s">
        <v>83</v>
      </c>
    </row>
    <row r="389" spans="1:18" x14ac:dyDescent="0.25">
      <c r="A389" t="s">
        <v>20880</v>
      </c>
      <c r="B389" t="s">
        <v>2295</v>
      </c>
      <c r="C389" t="str">
        <f>HYPERLINK("https://nematode.unl.edu/alloall10.jpg")</f>
        <v>https://nematode.unl.edu/alloall10.jpg</v>
      </c>
      <c r="D389" t="s">
        <v>43</v>
      </c>
      <c r="G389" t="s">
        <v>44</v>
      </c>
      <c r="I389" t="s">
        <v>45</v>
      </c>
      <c r="J389" t="s">
        <v>482</v>
      </c>
      <c r="M389" t="s">
        <v>2294</v>
      </c>
      <c r="N389" t="s">
        <v>2294</v>
      </c>
      <c r="O389" t="s">
        <v>73</v>
      </c>
      <c r="P389" t="s">
        <v>81</v>
      </c>
      <c r="Q389" t="s">
        <v>82</v>
      </c>
      <c r="R389" t="s">
        <v>83</v>
      </c>
    </row>
    <row r="390" spans="1:18" x14ac:dyDescent="0.25">
      <c r="A390" t="s">
        <v>20874</v>
      </c>
      <c r="B390" t="s">
        <v>2296</v>
      </c>
      <c r="C390" t="str">
        <f>HYPERLINK("https://nematode.unl.edu/alloall11.jpg")</f>
        <v>https://nematode.unl.edu/alloall11.jpg</v>
      </c>
      <c r="D390" t="s">
        <v>43</v>
      </c>
      <c r="G390" t="s">
        <v>34</v>
      </c>
      <c r="H390" t="s">
        <v>18</v>
      </c>
      <c r="I390" t="s">
        <v>19</v>
      </c>
      <c r="J390" t="s">
        <v>482</v>
      </c>
      <c r="M390" t="s">
        <v>2294</v>
      </c>
      <c r="N390" t="s">
        <v>2294</v>
      </c>
      <c r="O390" t="s">
        <v>73</v>
      </c>
      <c r="P390" t="s">
        <v>81</v>
      </c>
      <c r="Q390" t="s">
        <v>82</v>
      </c>
      <c r="R390" t="s">
        <v>83</v>
      </c>
    </row>
    <row r="391" spans="1:18" x14ac:dyDescent="0.25">
      <c r="A391" t="s">
        <v>20882</v>
      </c>
      <c r="B391" t="s">
        <v>2297</v>
      </c>
      <c r="C391" t="str">
        <f>HYPERLINK("https://nematode.unl.edu/alloall2.jpg")</f>
        <v>https://nematode.unl.edu/alloall2.jpg</v>
      </c>
      <c r="D391" t="s">
        <v>43</v>
      </c>
      <c r="G391" t="s">
        <v>28</v>
      </c>
      <c r="I391" t="s">
        <v>19</v>
      </c>
      <c r="J391" t="s">
        <v>482</v>
      </c>
      <c r="M391" t="s">
        <v>2294</v>
      </c>
      <c r="N391" t="s">
        <v>2294</v>
      </c>
      <c r="O391" t="s">
        <v>73</v>
      </c>
      <c r="P391" t="s">
        <v>81</v>
      </c>
      <c r="Q391" t="s">
        <v>82</v>
      </c>
      <c r="R391" t="s">
        <v>83</v>
      </c>
    </row>
    <row r="392" spans="1:18" x14ac:dyDescent="0.25">
      <c r="A392" t="s">
        <v>20884</v>
      </c>
      <c r="B392" t="s">
        <v>2298</v>
      </c>
      <c r="C392" t="str">
        <f>HYPERLINK("https://nematode.unl.edu/alloall3.jpg")</f>
        <v>https://nematode.unl.edu/alloall3.jpg</v>
      </c>
      <c r="D392" t="s">
        <v>43</v>
      </c>
      <c r="G392" t="s">
        <v>51</v>
      </c>
      <c r="I392" t="s">
        <v>19</v>
      </c>
      <c r="J392" t="s">
        <v>482</v>
      </c>
      <c r="M392" t="s">
        <v>2294</v>
      </c>
      <c r="N392" t="s">
        <v>2294</v>
      </c>
      <c r="O392" t="s">
        <v>73</v>
      </c>
      <c r="P392" t="s">
        <v>81</v>
      </c>
      <c r="Q392" t="s">
        <v>82</v>
      </c>
      <c r="R392" t="s">
        <v>83</v>
      </c>
    </row>
    <row r="393" spans="1:18" x14ac:dyDescent="0.25">
      <c r="A393" t="s">
        <v>20878</v>
      </c>
      <c r="B393" t="s">
        <v>2299</v>
      </c>
      <c r="C393" t="str">
        <f>HYPERLINK("https://nematode.unl.edu/alloall4.jpg")</f>
        <v>https://nematode.unl.edu/alloall4.jpg</v>
      </c>
      <c r="D393" t="s">
        <v>43</v>
      </c>
      <c r="G393" t="s">
        <v>87</v>
      </c>
      <c r="I393" t="s">
        <v>19</v>
      </c>
      <c r="J393" t="s">
        <v>482</v>
      </c>
      <c r="M393" t="s">
        <v>2294</v>
      </c>
      <c r="N393" t="s">
        <v>2294</v>
      </c>
      <c r="O393" t="s">
        <v>73</v>
      </c>
      <c r="P393" t="s">
        <v>81</v>
      </c>
      <c r="Q393" t="s">
        <v>82</v>
      </c>
      <c r="R393" t="s">
        <v>83</v>
      </c>
    </row>
    <row r="394" spans="1:18" x14ac:dyDescent="0.25">
      <c r="A394" t="s">
        <v>20875</v>
      </c>
      <c r="B394" t="s">
        <v>2300</v>
      </c>
      <c r="C394" t="str">
        <f>HYPERLINK("https://nematode.unl.edu/alloall5.jpg")</f>
        <v>https://nematode.unl.edu/alloall5.jpg</v>
      </c>
      <c r="D394" t="s">
        <v>43</v>
      </c>
      <c r="G394" t="s">
        <v>34</v>
      </c>
      <c r="H394" t="s">
        <v>18</v>
      </c>
      <c r="I394" t="s">
        <v>19</v>
      </c>
      <c r="J394" t="s">
        <v>482</v>
      </c>
      <c r="M394" t="s">
        <v>2294</v>
      </c>
      <c r="N394" t="s">
        <v>2294</v>
      </c>
      <c r="O394" t="s">
        <v>73</v>
      </c>
      <c r="P394" t="s">
        <v>81</v>
      </c>
      <c r="Q394" t="s">
        <v>82</v>
      </c>
      <c r="R394" t="s">
        <v>83</v>
      </c>
    </row>
    <row r="395" spans="1:18" x14ac:dyDescent="0.25">
      <c r="A395" t="s">
        <v>20876</v>
      </c>
      <c r="B395" t="s">
        <v>2301</v>
      </c>
      <c r="C395" t="str">
        <f>HYPERLINK("https://nematode.unl.edu/alloall6.jpg")</f>
        <v>https://nematode.unl.edu/alloall6.jpg</v>
      </c>
      <c r="D395" t="s">
        <v>43</v>
      </c>
      <c r="G395" t="s">
        <v>34</v>
      </c>
      <c r="H395" t="s">
        <v>18</v>
      </c>
      <c r="I395" t="s">
        <v>41</v>
      </c>
      <c r="J395" t="s">
        <v>482</v>
      </c>
      <c r="M395" t="s">
        <v>2294</v>
      </c>
      <c r="N395" t="s">
        <v>2294</v>
      </c>
      <c r="O395" t="s">
        <v>73</v>
      </c>
      <c r="P395" t="s">
        <v>81</v>
      </c>
      <c r="Q395" t="s">
        <v>82</v>
      </c>
      <c r="R395" t="s">
        <v>83</v>
      </c>
    </row>
    <row r="396" spans="1:18" x14ac:dyDescent="0.25">
      <c r="A396" t="s">
        <v>20877</v>
      </c>
      <c r="B396" t="s">
        <v>2302</v>
      </c>
      <c r="C396" t="str">
        <f>HYPERLINK("https://nematode.unl.edu/alloall7.jpg")</f>
        <v>https://nematode.unl.edu/alloall7.jpg</v>
      </c>
      <c r="D396" t="s">
        <v>43</v>
      </c>
      <c r="G396" t="s">
        <v>257</v>
      </c>
      <c r="H396" t="s">
        <v>18</v>
      </c>
      <c r="I396" t="s">
        <v>19</v>
      </c>
      <c r="J396" t="s">
        <v>482</v>
      </c>
      <c r="M396" t="s">
        <v>2294</v>
      </c>
      <c r="N396" t="s">
        <v>2294</v>
      </c>
      <c r="O396" t="s">
        <v>73</v>
      </c>
      <c r="P396" t="s">
        <v>81</v>
      </c>
      <c r="Q396" t="s">
        <v>82</v>
      </c>
      <c r="R396" t="s">
        <v>83</v>
      </c>
    </row>
    <row r="397" spans="1:18" x14ac:dyDescent="0.25">
      <c r="A397" t="s">
        <v>20883</v>
      </c>
      <c r="B397" t="s">
        <v>2303</v>
      </c>
      <c r="C397" t="str">
        <f>HYPERLINK("https://nematode.unl.edu/alloall8.jpg")</f>
        <v>https://nematode.unl.edu/alloall8.jpg</v>
      </c>
      <c r="D397" t="s">
        <v>43</v>
      </c>
      <c r="G397" t="s">
        <v>28</v>
      </c>
      <c r="I397" t="s">
        <v>19</v>
      </c>
      <c r="J397" t="s">
        <v>482</v>
      </c>
      <c r="M397" t="s">
        <v>2294</v>
      </c>
      <c r="N397" t="s">
        <v>2294</v>
      </c>
      <c r="O397" t="s">
        <v>73</v>
      </c>
      <c r="P397" t="s">
        <v>81</v>
      </c>
      <c r="Q397" t="s">
        <v>82</v>
      </c>
      <c r="R397" t="s">
        <v>83</v>
      </c>
    </row>
    <row r="398" spans="1:18" x14ac:dyDescent="0.25">
      <c r="A398" t="s">
        <v>20873</v>
      </c>
      <c r="B398" t="s">
        <v>2304</v>
      </c>
      <c r="C398" t="str">
        <f>HYPERLINK("https://nematode.unl.edu/alloall9.jpg")</f>
        <v>https://nematode.unl.edu/alloall9.jpg</v>
      </c>
      <c r="D398" t="s">
        <v>43</v>
      </c>
      <c r="G398" t="s">
        <v>17</v>
      </c>
      <c r="H398" t="s">
        <v>18</v>
      </c>
      <c r="I398" t="s">
        <v>19</v>
      </c>
      <c r="J398" t="s">
        <v>482</v>
      </c>
      <c r="M398" t="s">
        <v>2294</v>
      </c>
      <c r="N398" t="s">
        <v>2294</v>
      </c>
      <c r="O398" t="s">
        <v>73</v>
      </c>
      <c r="P398" t="s">
        <v>81</v>
      </c>
      <c r="Q398" t="s">
        <v>82</v>
      </c>
      <c r="R398" t="s">
        <v>83</v>
      </c>
    </row>
    <row r="399" spans="1:18" x14ac:dyDescent="0.25">
      <c r="A399" t="s">
        <v>20881</v>
      </c>
      <c r="B399" t="s">
        <v>2305</v>
      </c>
      <c r="C399" t="str">
        <f>HYPERLINK("https://nematode.unl.edu/alloallcmp.jpg")</f>
        <v>https://nematode.unl.edu/alloallcmp.jpg</v>
      </c>
      <c r="D399" t="s">
        <v>77</v>
      </c>
      <c r="G399" t="s">
        <v>108</v>
      </c>
      <c r="M399" t="s">
        <v>2294</v>
      </c>
      <c r="N399" t="s">
        <v>2294</v>
      </c>
      <c r="O399" t="s">
        <v>73</v>
      </c>
      <c r="P399" t="s">
        <v>81</v>
      </c>
      <c r="Q399" t="s">
        <v>82</v>
      </c>
      <c r="R399" t="s">
        <v>83</v>
      </c>
    </row>
    <row r="400" spans="1:18" x14ac:dyDescent="0.25">
      <c r="A400" t="s">
        <v>20888</v>
      </c>
      <c r="B400" t="s">
        <v>2306</v>
      </c>
      <c r="C400" t="str">
        <f>HYPERLINK("https://nematode.unl.edu/allou1.jpg")</f>
        <v>https://nematode.unl.edu/allou1.jpg</v>
      </c>
      <c r="D400" t="s">
        <v>43</v>
      </c>
      <c r="G400" t="s">
        <v>28</v>
      </c>
      <c r="I400" t="s">
        <v>137</v>
      </c>
      <c r="J400" t="s">
        <v>482</v>
      </c>
      <c r="M400" t="s">
        <v>2307</v>
      </c>
      <c r="N400" t="s">
        <v>2307</v>
      </c>
      <c r="O400" t="s">
        <v>73</v>
      </c>
      <c r="P400" t="s">
        <v>81</v>
      </c>
      <c r="Q400" t="s">
        <v>82</v>
      </c>
      <c r="R400" t="s">
        <v>83</v>
      </c>
    </row>
    <row r="401" spans="1:18" x14ac:dyDescent="0.25">
      <c r="A401" t="s">
        <v>20889</v>
      </c>
      <c r="B401" t="s">
        <v>2308</v>
      </c>
      <c r="C401" t="str">
        <f>HYPERLINK("https://nematode.unl.edu/allou2.jpg")</f>
        <v>https://nematode.unl.edu/allou2.jpg</v>
      </c>
      <c r="D401" t="s">
        <v>43</v>
      </c>
      <c r="G401" t="s">
        <v>51</v>
      </c>
      <c r="I401" t="s">
        <v>19</v>
      </c>
      <c r="J401" t="s">
        <v>482</v>
      </c>
      <c r="M401" t="s">
        <v>2307</v>
      </c>
      <c r="N401" t="s">
        <v>2307</v>
      </c>
      <c r="O401" t="s">
        <v>73</v>
      </c>
      <c r="P401" t="s">
        <v>81</v>
      </c>
      <c r="Q401" t="s">
        <v>82</v>
      </c>
      <c r="R401" t="s">
        <v>83</v>
      </c>
    </row>
    <row r="402" spans="1:18" x14ac:dyDescent="0.25">
      <c r="A402" t="s">
        <v>20886</v>
      </c>
      <c r="B402" t="s">
        <v>2309</v>
      </c>
      <c r="C402" t="str">
        <f>HYPERLINK("https://nematode.unl.edu/allou3.jpg")</f>
        <v>https://nematode.unl.edu/allou3.jpg</v>
      </c>
      <c r="D402" t="s">
        <v>43</v>
      </c>
      <c r="G402" t="s">
        <v>87</v>
      </c>
      <c r="I402" t="s">
        <v>19</v>
      </c>
      <c r="J402" t="s">
        <v>482</v>
      </c>
      <c r="M402" t="s">
        <v>2307</v>
      </c>
      <c r="N402" t="s">
        <v>2307</v>
      </c>
      <c r="O402" t="s">
        <v>73</v>
      </c>
      <c r="P402" t="s">
        <v>81</v>
      </c>
      <c r="Q402" t="s">
        <v>82</v>
      </c>
      <c r="R402" t="s">
        <v>83</v>
      </c>
    </row>
    <row r="403" spans="1:18" x14ac:dyDescent="0.25">
      <c r="A403" t="s">
        <v>20885</v>
      </c>
      <c r="B403" t="s">
        <v>2310</v>
      </c>
      <c r="C403" t="str">
        <f>HYPERLINK("https://nematode.unl.edu/allou4.jpg")</f>
        <v>https://nematode.unl.edu/allou4.jpg</v>
      </c>
      <c r="D403" t="s">
        <v>43</v>
      </c>
      <c r="G403" t="s">
        <v>34</v>
      </c>
      <c r="H403" t="s">
        <v>18</v>
      </c>
      <c r="I403" t="s">
        <v>19</v>
      </c>
      <c r="J403" t="s">
        <v>482</v>
      </c>
      <c r="M403" t="s">
        <v>2307</v>
      </c>
      <c r="N403" t="s">
        <v>2307</v>
      </c>
      <c r="O403" t="s">
        <v>73</v>
      </c>
      <c r="P403" t="s">
        <v>81</v>
      </c>
      <c r="Q403" t="s">
        <v>82</v>
      </c>
      <c r="R403" t="s">
        <v>83</v>
      </c>
    </row>
    <row r="404" spans="1:18" x14ac:dyDescent="0.25">
      <c r="A404" t="s">
        <v>20887</v>
      </c>
      <c r="B404" t="s">
        <v>2311</v>
      </c>
      <c r="C404" t="str">
        <f>HYPERLINK("https://nematode.unl.edu/alloucmp.jpg")</f>
        <v>https://nematode.unl.edu/alloucmp.jpg</v>
      </c>
      <c r="D404" t="s">
        <v>43</v>
      </c>
      <c r="G404" t="s">
        <v>108</v>
      </c>
      <c r="J404" t="s">
        <v>482</v>
      </c>
      <c r="M404" t="s">
        <v>2307</v>
      </c>
      <c r="N404" t="s">
        <v>2307</v>
      </c>
      <c r="O404" t="s">
        <v>73</v>
      </c>
      <c r="P404" t="s">
        <v>81</v>
      </c>
      <c r="Q404" t="s">
        <v>82</v>
      </c>
      <c r="R404" t="s">
        <v>83</v>
      </c>
    </row>
    <row r="405" spans="1:18" x14ac:dyDescent="0.25">
      <c r="A405" t="s">
        <v>22180</v>
      </c>
      <c r="B405" t="s">
        <v>2269</v>
      </c>
      <c r="C405" t="str">
        <f>HYPERLINK("https://nematode.unl.edu/alprimit1.jpg")</f>
        <v>https://nematode.unl.edu/alprimit1.jpg</v>
      </c>
      <c r="D405" t="s">
        <v>43</v>
      </c>
      <c r="G405" t="s">
        <v>44</v>
      </c>
      <c r="I405" t="s">
        <v>91</v>
      </c>
      <c r="J405" t="s">
        <v>116</v>
      </c>
      <c r="L405" t="s">
        <v>85</v>
      </c>
      <c r="M405" t="s">
        <v>2270</v>
      </c>
      <c r="N405" t="s">
        <v>2270</v>
      </c>
      <c r="O405" t="s">
        <v>73</v>
      </c>
      <c r="P405" t="s">
        <v>74</v>
      </c>
      <c r="Q405" t="s">
        <v>75</v>
      </c>
      <c r="R405" t="s">
        <v>72</v>
      </c>
    </row>
    <row r="406" spans="1:18" x14ac:dyDescent="0.25">
      <c r="A406" t="s">
        <v>22169</v>
      </c>
      <c r="B406" t="s">
        <v>2271</v>
      </c>
      <c r="C406" t="str">
        <f>HYPERLINK("https://nematode.unl.edu/alprimit2.jpg")</f>
        <v>https://nematode.unl.edu/alprimit2.jpg</v>
      </c>
      <c r="D406" t="s">
        <v>43</v>
      </c>
      <c r="G406" t="s">
        <v>34</v>
      </c>
      <c r="H406" t="s">
        <v>18</v>
      </c>
      <c r="I406" t="s">
        <v>19</v>
      </c>
      <c r="J406" t="s">
        <v>116</v>
      </c>
      <c r="L406" t="s">
        <v>85</v>
      </c>
      <c r="M406" t="s">
        <v>2270</v>
      </c>
      <c r="N406" t="s">
        <v>2270</v>
      </c>
      <c r="O406" t="s">
        <v>73</v>
      </c>
      <c r="P406" t="s">
        <v>74</v>
      </c>
      <c r="Q406" t="s">
        <v>75</v>
      </c>
      <c r="R406" t="s">
        <v>72</v>
      </c>
    </row>
    <row r="407" spans="1:18" x14ac:dyDescent="0.25">
      <c r="A407" t="s">
        <v>22189</v>
      </c>
      <c r="B407" t="s">
        <v>2272</v>
      </c>
      <c r="C407" t="str">
        <f>HYPERLINK("https://nematode.unl.edu/alprimit3.jpg")</f>
        <v>https://nematode.unl.edu/alprimit3.jpg</v>
      </c>
      <c r="D407" t="s">
        <v>43</v>
      </c>
      <c r="G407" t="s">
        <v>51</v>
      </c>
      <c r="I407" t="s">
        <v>19</v>
      </c>
      <c r="J407" t="s">
        <v>116</v>
      </c>
      <c r="L407" t="s">
        <v>85</v>
      </c>
      <c r="M407" t="s">
        <v>2270</v>
      </c>
      <c r="N407" t="s">
        <v>2270</v>
      </c>
      <c r="O407" t="s">
        <v>73</v>
      </c>
      <c r="P407" t="s">
        <v>74</v>
      </c>
      <c r="Q407" t="s">
        <v>75</v>
      </c>
      <c r="R407" t="s">
        <v>72</v>
      </c>
    </row>
    <row r="408" spans="1:18" x14ac:dyDescent="0.25">
      <c r="A408" t="s">
        <v>22184</v>
      </c>
      <c r="B408" t="s">
        <v>2273</v>
      </c>
      <c r="C408" t="str">
        <f>HYPERLINK("https://nematode.unl.edu/alprimit4.jpg")</f>
        <v>https://nematode.unl.edu/alprimit4.jpg</v>
      </c>
      <c r="D408" t="s">
        <v>43</v>
      </c>
      <c r="G408" t="s">
        <v>28</v>
      </c>
      <c r="I408" t="s">
        <v>19</v>
      </c>
      <c r="J408" t="s">
        <v>116</v>
      </c>
      <c r="L408" t="s">
        <v>85</v>
      </c>
      <c r="M408" t="s">
        <v>2270</v>
      </c>
      <c r="N408" t="s">
        <v>2270</v>
      </c>
      <c r="O408" t="s">
        <v>73</v>
      </c>
      <c r="P408" t="s">
        <v>74</v>
      </c>
      <c r="Q408" t="s">
        <v>75</v>
      </c>
      <c r="R408" t="s">
        <v>72</v>
      </c>
    </row>
    <row r="409" spans="1:18" x14ac:dyDescent="0.25">
      <c r="A409" t="s">
        <v>22170</v>
      </c>
      <c r="B409" t="s">
        <v>2274</v>
      </c>
      <c r="C409" t="str">
        <f>HYPERLINK("https://nematode.unl.edu/alprimit5.jpg")</f>
        <v>https://nematode.unl.edu/alprimit5.jpg</v>
      </c>
      <c r="D409" t="s">
        <v>43</v>
      </c>
      <c r="G409" t="s">
        <v>34</v>
      </c>
      <c r="H409" t="s">
        <v>18</v>
      </c>
      <c r="I409" t="s">
        <v>41</v>
      </c>
      <c r="J409" t="s">
        <v>116</v>
      </c>
      <c r="L409" t="s">
        <v>85</v>
      </c>
      <c r="M409" t="s">
        <v>2270</v>
      </c>
      <c r="N409" t="s">
        <v>2270</v>
      </c>
      <c r="O409" t="s">
        <v>73</v>
      </c>
      <c r="P409" t="s">
        <v>74</v>
      </c>
      <c r="Q409" t="s">
        <v>75</v>
      </c>
      <c r="R409" t="s">
        <v>72</v>
      </c>
    </row>
    <row r="410" spans="1:18" x14ac:dyDescent="0.25">
      <c r="A410" t="s">
        <v>13294</v>
      </c>
      <c r="B410" t="s">
        <v>56</v>
      </c>
      <c r="C410" t="str">
        <f>HYPERLINK("https://nematode.unl.edu/amino1.jpg")</f>
        <v>https://nematode.unl.edu/amino1.jpg</v>
      </c>
      <c r="D410" t="s">
        <v>43</v>
      </c>
      <c r="G410" t="s">
        <v>44</v>
      </c>
      <c r="I410" t="s">
        <v>45</v>
      </c>
      <c r="J410" t="s">
        <v>57</v>
      </c>
      <c r="M410" t="s">
        <v>47</v>
      </c>
      <c r="N410" t="s">
        <v>48</v>
      </c>
      <c r="O410" t="s">
        <v>23</v>
      </c>
      <c r="P410" t="s">
        <v>24</v>
      </c>
      <c r="Q410" t="s">
        <v>25</v>
      </c>
      <c r="R410" t="s">
        <v>32</v>
      </c>
    </row>
    <row r="411" spans="1:18" x14ac:dyDescent="0.25">
      <c r="A411" t="s">
        <v>13291</v>
      </c>
      <c r="B411" t="s">
        <v>58</v>
      </c>
      <c r="C411" t="str">
        <f>HYPERLINK("https://nematode.unl.edu/amino2.jpg")</f>
        <v>https://nematode.unl.edu/amino2.jpg</v>
      </c>
      <c r="D411" t="s">
        <v>43</v>
      </c>
      <c r="G411" t="s">
        <v>34</v>
      </c>
      <c r="H411" t="s">
        <v>18</v>
      </c>
      <c r="I411" t="s">
        <v>19</v>
      </c>
      <c r="J411" t="s">
        <v>57</v>
      </c>
      <c r="M411" t="s">
        <v>47</v>
      </c>
      <c r="N411" t="s">
        <v>48</v>
      </c>
      <c r="O411" t="s">
        <v>23</v>
      </c>
      <c r="P411" t="s">
        <v>24</v>
      </c>
      <c r="Q411" t="s">
        <v>25</v>
      </c>
      <c r="R411" t="s">
        <v>32</v>
      </c>
    </row>
    <row r="412" spans="1:18" x14ac:dyDescent="0.25">
      <c r="A412" t="s">
        <v>13299</v>
      </c>
      <c r="B412" t="s">
        <v>59</v>
      </c>
      <c r="C412" t="str">
        <f>HYPERLINK("https://nematode.unl.edu/amino3.jpg")</f>
        <v>https://nematode.unl.edu/amino3.jpg</v>
      </c>
      <c r="D412" t="s">
        <v>43</v>
      </c>
      <c r="G412" t="s">
        <v>51</v>
      </c>
      <c r="I412" t="s">
        <v>19</v>
      </c>
      <c r="J412" t="s">
        <v>57</v>
      </c>
      <c r="M412" t="s">
        <v>47</v>
      </c>
      <c r="N412" t="s">
        <v>48</v>
      </c>
      <c r="O412" t="s">
        <v>23</v>
      </c>
      <c r="P412" t="s">
        <v>24</v>
      </c>
      <c r="Q412" t="s">
        <v>25</v>
      </c>
      <c r="R412" t="s">
        <v>32</v>
      </c>
    </row>
    <row r="413" spans="1:18" x14ac:dyDescent="0.25">
      <c r="A413" t="s">
        <v>13297</v>
      </c>
      <c r="B413" t="s">
        <v>60</v>
      </c>
      <c r="C413" t="str">
        <f>HYPERLINK("https://nematode.unl.edu/amino4.jpg")</f>
        <v>https://nematode.unl.edu/amino4.jpg</v>
      </c>
      <c r="D413" t="s">
        <v>43</v>
      </c>
      <c r="G413" t="s">
        <v>28</v>
      </c>
      <c r="I413" t="s">
        <v>41</v>
      </c>
      <c r="J413" t="s">
        <v>57</v>
      </c>
      <c r="M413" t="s">
        <v>47</v>
      </c>
      <c r="N413" t="s">
        <v>48</v>
      </c>
      <c r="O413" t="s">
        <v>23</v>
      </c>
      <c r="P413" t="s">
        <v>24</v>
      </c>
      <c r="Q413" t="s">
        <v>25</v>
      </c>
      <c r="R413" t="s">
        <v>32</v>
      </c>
    </row>
    <row r="414" spans="1:18" x14ac:dyDescent="0.25">
      <c r="A414" t="s">
        <v>13292</v>
      </c>
      <c r="B414" t="s">
        <v>61</v>
      </c>
      <c r="C414" t="str">
        <f>HYPERLINK("https://nematode.unl.edu/amino5.jpg")</f>
        <v>https://nematode.unl.edu/amino5.jpg</v>
      </c>
      <c r="D414" t="s">
        <v>43</v>
      </c>
      <c r="G414" t="s">
        <v>34</v>
      </c>
      <c r="H414" t="s">
        <v>18</v>
      </c>
      <c r="I414" t="s">
        <v>41</v>
      </c>
      <c r="J414" t="s">
        <v>57</v>
      </c>
      <c r="M414" t="s">
        <v>47</v>
      </c>
      <c r="N414" t="s">
        <v>48</v>
      </c>
      <c r="O414" t="s">
        <v>23</v>
      </c>
      <c r="P414" t="s">
        <v>24</v>
      </c>
      <c r="Q414" t="s">
        <v>25</v>
      </c>
      <c r="R414" t="s">
        <v>32</v>
      </c>
    </row>
    <row r="415" spans="1:18" x14ac:dyDescent="0.25">
      <c r="A415" t="s">
        <v>13300</v>
      </c>
      <c r="B415" t="s">
        <v>62</v>
      </c>
      <c r="C415" t="str">
        <f>HYPERLINK("https://nematode.unl.edu/amino6.jpg")</f>
        <v>https://nematode.unl.edu/amino6.jpg</v>
      </c>
      <c r="D415" t="s">
        <v>43</v>
      </c>
      <c r="G415" t="s">
        <v>51</v>
      </c>
      <c r="I415" t="s">
        <v>41</v>
      </c>
      <c r="J415" t="s">
        <v>57</v>
      </c>
      <c r="M415" t="s">
        <v>47</v>
      </c>
      <c r="N415" t="s">
        <v>48</v>
      </c>
      <c r="O415" t="s">
        <v>23</v>
      </c>
      <c r="P415" t="s">
        <v>24</v>
      </c>
      <c r="Q415" t="s">
        <v>25</v>
      </c>
      <c r="R415" t="s">
        <v>32</v>
      </c>
    </row>
    <row r="416" spans="1:18" x14ac:dyDescent="0.25">
      <c r="A416" t="s">
        <v>22200</v>
      </c>
      <c r="B416" t="s">
        <v>2312</v>
      </c>
      <c r="C416" t="str">
        <f>HYPERLINK("https://nematode.unl.edu/amphid1.jpg")</f>
        <v>https://nematode.unl.edu/amphid1.jpg</v>
      </c>
      <c r="D416" t="s">
        <v>43</v>
      </c>
      <c r="G416" t="s">
        <v>44</v>
      </c>
      <c r="I416" t="s">
        <v>45</v>
      </c>
      <c r="J416" t="s">
        <v>267</v>
      </c>
      <c r="M416" t="s">
        <v>2313</v>
      </c>
      <c r="N416" t="s">
        <v>2313</v>
      </c>
      <c r="O416" t="s">
        <v>73</v>
      </c>
      <c r="P416" t="s">
        <v>74</v>
      </c>
      <c r="Q416" t="s">
        <v>75</v>
      </c>
      <c r="R416" t="s">
        <v>2313</v>
      </c>
    </row>
    <row r="417" spans="1:18" x14ac:dyDescent="0.25">
      <c r="A417" t="s">
        <v>22194</v>
      </c>
      <c r="B417" t="s">
        <v>2314</v>
      </c>
      <c r="C417" t="str">
        <f>HYPERLINK("https://nematode.unl.edu/amphid10.jpg")</f>
        <v>https://nematode.unl.edu/amphid10.jpg</v>
      </c>
      <c r="D417" t="s">
        <v>43</v>
      </c>
      <c r="G417" t="s">
        <v>34</v>
      </c>
      <c r="H417" t="s">
        <v>18</v>
      </c>
      <c r="I417" t="s">
        <v>41</v>
      </c>
      <c r="J417" t="s">
        <v>267</v>
      </c>
      <c r="M417" t="s">
        <v>2313</v>
      </c>
      <c r="N417" t="s">
        <v>2313</v>
      </c>
      <c r="O417" t="s">
        <v>73</v>
      </c>
      <c r="P417" t="s">
        <v>74</v>
      </c>
      <c r="Q417" t="s">
        <v>75</v>
      </c>
      <c r="R417" t="s">
        <v>2313</v>
      </c>
    </row>
    <row r="418" spans="1:18" x14ac:dyDescent="0.25">
      <c r="A418" t="s">
        <v>22210</v>
      </c>
      <c r="B418" t="s">
        <v>2315</v>
      </c>
      <c r="C418" t="str">
        <f>HYPERLINK("https://nematode.unl.edu/amphid11.jpg")</f>
        <v>https://nematode.unl.edu/amphid11.jpg</v>
      </c>
      <c r="D418" t="s">
        <v>43</v>
      </c>
      <c r="G418" t="s">
        <v>51</v>
      </c>
      <c r="I418" t="s">
        <v>41</v>
      </c>
      <c r="J418" t="s">
        <v>267</v>
      </c>
      <c r="M418" t="s">
        <v>2313</v>
      </c>
      <c r="N418" t="s">
        <v>2313</v>
      </c>
      <c r="O418" t="s">
        <v>73</v>
      </c>
      <c r="P418" t="s">
        <v>74</v>
      </c>
      <c r="Q418" t="s">
        <v>75</v>
      </c>
      <c r="R418" t="s">
        <v>2313</v>
      </c>
    </row>
    <row r="419" spans="1:18" x14ac:dyDescent="0.25">
      <c r="A419" t="s">
        <v>22201</v>
      </c>
      <c r="B419" t="s">
        <v>2316</v>
      </c>
      <c r="C419" t="str">
        <f>HYPERLINK("https://nematode.unl.edu/amphid12.jpg")</f>
        <v>https://nematode.unl.edu/amphid12.jpg</v>
      </c>
      <c r="D419" t="s">
        <v>43</v>
      </c>
      <c r="G419" t="s">
        <v>44</v>
      </c>
      <c r="I419" t="s">
        <v>137</v>
      </c>
      <c r="J419" t="s">
        <v>267</v>
      </c>
      <c r="M419" t="s">
        <v>2313</v>
      </c>
      <c r="N419" t="s">
        <v>2313</v>
      </c>
      <c r="O419" t="s">
        <v>73</v>
      </c>
      <c r="P419" t="s">
        <v>74</v>
      </c>
      <c r="Q419" t="s">
        <v>75</v>
      </c>
      <c r="R419" t="s">
        <v>2313</v>
      </c>
    </row>
    <row r="420" spans="1:18" x14ac:dyDescent="0.25">
      <c r="A420" t="s">
        <v>22202</v>
      </c>
      <c r="B420" t="s">
        <v>2317</v>
      </c>
      <c r="C420" t="str">
        <f>HYPERLINK("https://nematode.unl.edu/amphid13.jpg")</f>
        <v>https://nematode.unl.edu/amphid13.jpg</v>
      </c>
      <c r="D420" t="s">
        <v>43</v>
      </c>
      <c r="G420" t="s">
        <v>44</v>
      </c>
      <c r="I420" t="s">
        <v>45</v>
      </c>
      <c r="J420" t="s">
        <v>267</v>
      </c>
      <c r="M420" t="s">
        <v>2313</v>
      </c>
      <c r="N420" t="s">
        <v>2313</v>
      </c>
      <c r="O420" t="s">
        <v>73</v>
      </c>
      <c r="P420" t="s">
        <v>74</v>
      </c>
      <c r="Q420" t="s">
        <v>75</v>
      </c>
      <c r="R420" t="s">
        <v>2313</v>
      </c>
    </row>
    <row r="421" spans="1:18" x14ac:dyDescent="0.25">
      <c r="A421" t="s">
        <v>22197</v>
      </c>
      <c r="B421" t="s">
        <v>2318</v>
      </c>
      <c r="C421" t="str">
        <f>HYPERLINK("https://nematode.unl.edu/amphid14.jpg")</f>
        <v>https://nematode.unl.edu/amphid14.jpg</v>
      </c>
      <c r="D421" t="s">
        <v>43</v>
      </c>
      <c r="G421" t="s">
        <v>905</v>
      </c>
      <c r="I421" t="s">
        <v>41</v>
      </c>
      <c r="J421" t="s">
        <v>267</v>
      </c>
      <c r="M421" t="s">
        <v>2313</v>
      </c>
      <c r="N421" t="s">
        <v>2313</v>
      </c>
      <c r="O421" t="s">
        <v>73</v>
      </c>
      <c r="P421" t="s">
        <v>74</v>
      </c>
      <c r="Q421" t="s">
        <v>75</v>
      </c>
      <c r="R421" t="s">
        <v>2313</v>
      </c>
    </row>
    <row r="422" spans="1:18" x14ac:dyDescent="0.25">
      <c r="A422" t="s">
        <v>22211</v>
      </c>
      <c r="B422" t="s">
        <v>2319</v>
      </c>
      <c r="C422" t="str">
        <f>HYPERLINK("https://nematode.unl.edu/amphid15.jpg")</f>
        <v>https://nematode.unl.edu/amphid15.jpg</v>
      </c>
      <c r="D422" t="s">
        <v>43</v>
      </c>
      <c r="G422" t="s">
        <v>51</v>
      </c>
      <c r="I422" t="s">
        <v>41</v>
      </c>
      <c r="J422" t="s">
        <v>267</v>
      </c>
      <c r="M422" t="s">
        <v>2313</v>
      </c>
      <c r="N422" t="s">
        <v>2313</v>
      </c>
      <c r="O422" t="s">
        <v>73</v>
      </c>
      <c r="P422" t="s">
        <v>74</v>
      </c>
      <c r="Q422" t="s">
        <v>75</v>
      </c>
      <c r="R422" t="s">
        <v>2313</v>
      </c>
    </row>
    <row r="423" spans="1:18" x14ac:dyDescent="0.25">
      <c r="A423" t="s">
        <v>22203</v>
      </c>
      <c r="B423" t="s">
        <v>2320</v>
      </c>
      <c r="C423" t="str">
        <f>HYPERLINK("https://nematode.unl.edu/amphid16.jpg")</f>
        <v>https://nematode.unl.edu/amphid16.jpg</v>
      </c>
      <c r="D423" t="s">
        <v>16</v>
      </c>
      <c r="G423" t="s">
        <v>44</v>
      </c>
      <c r="I423" t="s">
        <v>45</v>
      </c>
      <c r="J423" t="s">
        <v>267</v>
      </c>
      <c r="M423" t="s">
        <v>2313</v>
      </c>
      <c r="N423" t="s">
        <v>2313</v>
      </c>
      <c r="O423" t="s">
        <v>73</v>
      </c>
      <c r="P423" t="s">
        <v>74</v>
      </c>
      <c r="Q423" t="s">
        <v>75</v>
      </c>
      <c r="R423" t="s">
        <v>2313</v>
      </c>
    </row>
    <row r="424" spans="1:18" x14ac:dyDescent="0.25">
      <c r="A424" t="s">
        <v>22204</v>
      </c>
      <c r="B424" t="s">
        <v>2321</v>
      </c>
      <c r="C424" t="str">
        <f>HYPERLINK("https://nematode.unl.edu/amphid17.jpg")</f>
        <v>https://nematode.unl.edu/amphid17.jpg</v>
      </c>
      <c r="D424" t="s">
        <v>43</v>
      </c>
      <c r="G424" t="s">
        <v>44</v>
      </c>
      <c r="I424" t="s">
        <v>45</v>
      </c>
      <c r="J424" t="s">
        <v>267</v>
      </c>
      <c r="M424" t="s">
        <v>2313</v>
      </c>
      <c r="N424" t="s">
        <v>2313</v>
      </c>
      <c r="O424" t="s">
        <v>73</v>
      </c>
      <c r="P424" t="s">
        <v>74</v>
      </c>
      <c r="Q424" t="s">
        <v>75</v>
      </c>
      <c r="R424" t="s">
        <v>2313</v>
      </c>
    </row>
    <row r="425" spans="1:18" x14ac:dyDescent="0.25">
      <c r="A425" t="s">
        <v>22193</v>
      </c>
      <c r="B425" t="s">
        <v>2322</v>
      </c>
      <c r="C425" t="str">
        <f>HYPERLINK("https://nematode.unl.edu/amphid18.jpg")</f>
        <v>https://nematode.unl.edu/amphid18.jpg</v>
      </c>
      <c r="D425" t="s">
        <v>43</v>
      </c>
      <c r="G425" t="s">
        <v>386</v>
      </c>
      <c r="H425" t="s">
        <v>18</v>
      </c>
      <c r="I425" t="s">
        <v>41</v>
      </c>
      <c r="J425" t="s">
        <v>267</v>
      </c>
      <c r="M425" t="s">
        <v>2313</v>
      </c>
      <c r="N425" t="s">
        <v>2313</v>
      </c>
      <c r="O425" t="s">
        <v>73</v>
      </c>
      <c r="P425" t="s">
        <v>74</v>
      </c>
      <c r="Q425" t="s">
        <v>75</v>
      </c>
      <c r="R425" t="s">
        <v>2313</v>
      </c>
    </row>
    <row r="426" spans="1:18" x14ac:dyDescent="0.25">
      <c r="A426" t="s">
        <v>22198</v>
      </c>
      <c r="B426" t="s">
        <v>2323</v>
      </c>
      <c r="C426" t="str">
        <f>HYPERLINK("https://nematode.unl.edu/amphid19.jpg")</f>
        <v>https://nematode.unl.edu/amphid19.jpg</v>
      </c>
      <c r="D426" t="s">
        <v>43</v>
      </c>
      <c r="G426" t="s">
        <v>905</v>
      </c>
      <c r="I426" t="s">
        <v>41</v>
      </c>
      <c r="J426" t="s">
        <v>267</v>
      </c>
      <c r="M426" t="s">
        <v>2313</v>
      </c>
      <c r="N426" t="s">
        <v>2313</v>
      </c>
      <c r="O426" t="s">
        <v>73</v>
      </c>
      <c r="P426" t="s">
        <v>74</v>
      </c>
      <c r="Q426" t="s">
        <v>75</v>
      </c>
      <c r="R426" t="s">
        <v>2313</v>
      </c>
    </row>
    <row r="427" spans="1:18" x14ac:dyDescent="0.25">
      <c r="A427" t="s">
        <v>22195</v>
      </c>
      <c r="B427" t="s">
        <v>2324</v>
      </c>
      <c r="C427" t="str">
        <f>HYPERLINK("https://nematode.unl.edu/amphid2.jpg")</f>
        <v>https://nematode.unl.edu/amphid2.jpg</v>
      </c>
      <c r="D427" t="s">
        <v>43</v>
      </c>
      <c r="G427" t="s">
        <v>34</v>
      </c>
      <c r="H427" t="s">
        <v>18</v>
      </c>
      <c r="I427" t="s">
        <v>41</v>
      </c>
      <c r="J427" t="s">
        <v>267</v>
      </c>
      <c r="M427" t="s">
        <v>2313</v>
      </c>
      <c r="N427" t="s">
        <v>2313</v>
      </c>
      <c r="O427" t="s">
        <v>73</v>
      </c>
      <c r="P427" t="s">
        <v>74</v>
      </c>
      <c r="Q427" t="s">
        <v>75</v>
      </c>
      <c r="R427" t="s">
        <v>2313</v>
      </c>
    </row>
    <row r="428" spans="1:18" x14ac:dyDescent="0.25">
      <c r="A428" t="s">
        <v>22199</v>
      </c>
      <c r="B428" t="s">
        <v>2325</v>
      </c>
      <c r="C428" t="str">
        <f>HYPERLINK("https://nematode.unl.edu/amphid20.jpg")</f>
        <v>https://nematode.unl.edu/amphid20.jpg</v>
      </c>
      <c r="D428" t="s">
        <v>43</v>
      </c>
      <c r="G428" t="s">
        <v>905</v>
      </c>
      <c r="I428" t="s">
        <v>41</v>
      </c>
      <c r="J428" t="s">
        <v>267</v>
      </c>
      <c r="M428" t="s">
        <v>2313</v>
      </c>
      <c r="N428" t="s">
        <v>2313</v>
      </c>
      <c r="O428" t="s">
        <v>73</v>
      </c>
      <c r="P428" t="s">
        <v>74</v>
      </c>
      <c r="Q428" t="s">
        <v>75</v>
      </c>
      <c r="R428" t="s">
        <v>2313</v>
      </c>
    </row>
    <row r="429" spans="1:18" x14ac:dyDescent="0.25">
      <c r="A429" t="s">
        <v>22205</v>
      </c>
      <c r="B429" t="s">
        <v>2326</v>
      </c>
      <c r="C429" t="str">
        <f>HYPERLINK("https://nematode.unl.edu/amphid21.jpg")</f>
        <v>https://nematode.unl.edu/amphid21.jpg</v>
      </c>
      <c r="D429" t="s">
        <v>43</v>
      </c>
      <c r="G429" t="s">
        <v>44</v>
      </c>
      <c r="I429" t="s">
        <v>137</v>
      </c>
      <c r="J429" t="s">
        <v>267</v>
      </c>
      <c r="M429" t="s">
        <v>2313</v>
      </c>
      <c r="N429" t="s">
        <v>2313</v>
      </c>
      <c r="O429" t="s">
        <v>73</v>
      </c>
      <c r="P429" t="s">
        <v>74</v>
      </c>
      <c r="Q429" t="s">
        <v>75</v>
      </c>
      <c r="R429" t="s">
        <v>2313</v>
      </c>
    </row>
    <row r="430" spans="1:18" x14ac:dyDescent="0.25">
      <c r="A430" t="s">
        <v>22212</v>
      </c>
      <c r="B430" t="s">
        <v>2327</v>
      </c>
      <c r="C430" t="str">
        <f>HYPERLINK("https://nematode.unl.edu/amphid3.jpg")</f>
        <v>https://nematode.unl.edu/amphid3.jpg</v>
      </c>
      <c r="D430" t="s">
        <v>43</v>
      </c>
      <c r="G430" t="s">
        <v>51</v>
      </c>
      <c r="I430" t="s">
        <v>41</v>
      </c>
      <c r="J430" t="s">
        <v>267</v>
      </c>
      <c r="M430" t="s">
        <v>2313</v>
      </c>
      <c r="N430" t="s">
        <v>2313</v>
      </c>
      <c r="O430" t="s">
        <v>73</v>
      </c>
      <c r="P430" t="s">
        <v>74</v>
      </c>
      <c r="Q430" t="s">
        <v>75</v>
      </c>
      <c r="R430" t="s">
        <v>2313</v>
      </c>
    </row>
    <row r="431" spans="1:18" x14ac:dyDescent="0.25">
      <c r="A431" t="s">
        <v>22206</v>
      </c>
      <c r="B431" t="s">
        <v>2328</v>
      </c>
      <c r="C431" t="str">
        <f>HYPERLINK("https://nematode.unl.edu/amphid4.jpg")</f>
        <v>https://nematode.unl.edu/amphid4.jpg</v>
      </c>
      <c r="D431" t="s">
        <v>43</v>
      </c>
      <c r="G431" t="s">
        <v>44</v>
      </c>
      <c r="I431" t="s">
        <v>45</v>
      </c>
      <c r="J431" t="s">
        <v>267</v>
      </c>
      <c r="M431" t="s">
        <v>2313</v>
      </c>
      <c r="N431" t="s">
        <v>2313</v>
      </c>
      <c r="O431" t="s">
        <v>73</v>
      </c>
      <c r="P431" t="s">
        <v>74</v>
      </c>
      <c r="Q431" t="s">
        <v>75</v>
      </c>
      <c r="R431" t="s">
        <v>2313</v>
      </c>
    </row>
    <row r="432" spans="1:18" x14ac:dyDescent="0.25">
      <c r="A432" t="s">
        <v>22196</v>
      </c>
      <c r="B432" t="s">
        <v>2329</v>
      </c>
      <c r="C432" t="str">
        <f>HYPERLINK("https://nematode.unl.edu/amphid5.jpg")</f>
        <v>https://nematode.unl.edu/amphid5.jpg</v>
      </c>
      <c r="D432" t="s">
        <v>43</v>
      </c>
      <c r="G432" t="s">
        <v>34</v>
      </c>
      <c r="H432" t="s">
        <v>18</v>
      </c>
      <c r="I432" t="s">
        <v>41</v>
      </c>
      <c r="J432" t="s">
        <v>267</v>
      </c>
      <c r="M432" t="s">
        <v>2313</v>
      </c>
      <c r="N432" t="s">
        <v>2313</v>
      </c>
      <c r="O432" t="s">
        <v>73</v>
      </c>
      <c r="P432" t="s">
        <v>74</v>
      </c>
      <c r="Q432" t="s">
        <v>75</v>
      </c>
      <c r="R432" t="s">
        <v>2313</v>
      </c>
    </row>
    <row r="433" spans="1:18" x14ac:dyDescent="0.25">
      <c r="A433" t="s">
        <v>22213</v>
      </c>
      <c r="B433" t="s">
        <v>2330</v>
      </c>
      <c r="C433" t="str">
        <f>HYPERLINK("https://nematode.unl.edu/amphid6.jpg")</f>
        <v>https://nematode.unl.edu/amphid6.jpg</v>
      </c>
      <c r="D433" t="s">
        <v>43</v>
      </c>
      <c r="G433" t="s">
        <v>51</v>
      </c>
      <c r="I433" t="s">
        <v>41</v>
      </c>
      <c r="J433" t="s">
        <v>267</v>
      </c>
      <c r="M433" t="s">
        <v>2313</v>
      </c>
      <c r="N433" t="s">
        <v>2313</v>
      </c>
      <c r="O433" t="s">
        <v>73</v>
      </c>
      <c r="P433" t="s">
        <v>74</v>
      </c>
      <c r="Q433" t="s">
        <v>75</v>
      </c>
      <c r="R433" t="s">
        <v>2313</v>
      </c>
    </row>
    <row r="434" spans="1:18" x14ac:dyDescent="0.25">
      <c r="A434" t="s">
        <v>22207</v>
      </c>
      <c r="B434" t="s">
        <v>2331</v>
      </c>
      <c r="C434" t="str">
        <f>HYPERLINK("https://nematode.unl.edu/amphid7.jpg")</f>
        <v>https://nematode.unl.edu/amphid7.jpg</v>
      </c>
      <c r="D434" t="s">
        <v>43</v>
      </c>
      <c r="G434" t="s">
        <v>44</v>
      </c>
      <c r="I434" t="s">
        <v>137</v>
      </c>
      <c r="J434" t="s">
        <v>267</v>
      </c>
      <c r="M434" t="s">
        <v>2313</v>
      </c>
      <c r="N434" t="s">
        <v>2313</v>
      </c>
      <c r="O434" t="s">
        <v>73</v>
      </c>
      <c r="P434" t="s">
        <v>74</v>
      </c>
      <c r="Q434" t="s">
        <v>75</v>
      </c>
      <c r="R434" t="s">
        <v>2313</v>
      </c>
    </row>
    <row r="435" spans="1:18" x14ac:dyDescent="0.25">
      <c r="A435" t="s">
        <v>22208</v>
      </c>
      <c r="B435" t="s">
        <v>2332</v>
      </c>
      <c r="C435" t="str">
        <f>HYPERLINK("https://nematode.unl.edu/amphid8.jpg")</f>
        <v>https://nematode.unl.edu/amphid8.jpg</v>
      </c>
      <c r="D435" t="s">
        <v>43</v>
      </c>
      <c r="G435" t="s">
        <v>44</v>
      </c>
      <c r="I435" t="s">
        <v>19</v>
      </c>
      <c r="J435" t="s">
        <v>267</v>
      </c>
      <c r="M435" t="s">
        <v>2313</v>
      </c>
      <c r="N435" t="s">
        <v>2313</v>
      </c>
      <c r="O435" t="s">
        <v>73</v>
      </c>
      <c r="P435" t="s">
        <v>74</v>
      </c>
      <c r="Q435" t="s">
        <v>75</v>
      </c>
      <c r="R435" t="s">
        <v>2313</v>
      </c>
    </row>
    <row r="436" spans="1:18" x14ac:dyDescent="0.25">
      <c r="A436" t="s">
        <v>22209</v>
      </c>
      <c r="B436" t="s">
        <v>2333</v>
      </c>
      <c r="C436" t="str">
        <f>HYPERLINK("https://nematode.unl.edu/amphid9.jpg")</f>
        <v>https://nematode.unl.edu/amphid9.jpg</v>
      </c>
      <c r="D436" t="s">
        <v>43</v>
      </c>
      <c r="G436" t="s">
        <v>44</v>
      </c>
      <c r="I436" t="s">
        <v>45</v>
      </c>
      <c r="J436" t="s">
        <v>267</v>
      </c>
      <c r="M436" t="s">
        <v>2313</v>
      </c>
      <c r="N436" t="s">
        <v>2313</v>
      </c>
      <c r="O436" t="s">
        <v>73</v>
      </c>
      <c r="P436" t="s">
        <v>74</v>
      </c>
      <c r="Q436" t="s">
        <v>75</v>
      </c>
      <c r="R436" t="s">
        <v>2313</v>
      </c>
    </row>
    <row r="437" spans="1:18" x14ac:dyDescent="0.25">
      <c r="A437" t="s">
        <v>22227</v>
      </c>
      <c r="B437" t="s">
        <v>1559</v>
      </c>
      <c r="C437" t="str">
        <f>HYPERLINK("https://nematode.unl.edu/amphido1.jpg")</f>
        <v>https://nematode.unl.edu/amphido1.jpg</v>
      </c>
      <c r="D437" t="s">
        <v>77</v>
      </c>
      <c r="G437" t="s">
        <v>34</v>
      </c>
      <c r="H437" t="s">
        <v>18</v>
      </c>
      <c r="I437" t="s">
        <v>41</v>
      </c>
      <c r="J437" t="s">
        <v>20</v>
      </c>
      <c r="L437" t="s">
        <v>29</v>
      </c>
      <c r="M437" t="s">
        <v>1560</v>
      </c>
      <c r="N437" t="s">
        <v>1561</v>
      </c>
      <c r="O437" t="s">
        <v>73</v>
      </c>
      <c r="P437" t="s">
        <v>74</v>
      </c>
      <c r="Q437" t="s">
        <v>75</v>
      </c>
      <c r="R437" t="s">
        <v>1562</v>
      </c>
    </row>
    <row r="438" spans="1:18" x14ac:dyDescent="0.25">
      <c r="A438" t="s">
        <v>22223</v>
      </c>
      <c r="B438" t="s">
        <v>2334</v>
      </c>
      <c r="C438" t="str">
        <f>HYPERLINK("https://nematode.unl.edu/amphis1.jpg")</f>
        <v>https://nematode.unl.edu/amphis1.jpg</v>
      </c>
      <c r="D438" t="s">
        <v>43</v>
      </c>
      <c r="G438" t="s">
        <v>44</v>
      </c>
      <c r="I438" t="s">
        <v>45</v>
      </c>
      <c r="J438" t="s">
        <v>267</v>
      </c>
      <c r="M438" t="s">
        <v>2335</v>
      </c>
      <c r="N438" t="s">
        <v>2335</v>
      </c>
      <c r="O438" t="s">
        <v>73</v>
      </c>
      <c r="P438" t="s">
        <v>74</v>
      </c>
      <c r="Q438" t="s">
        <v>75</v>
      </c>
      <c r="R438" t="s">
        <v>2313</v>
      </c>
    </row>
    <row r="439" spans="1:18" x14ac:dyDescent="0.25">
      <c r="A439" t="s">
        <v>22216</v>
      </c>
      <c r="B439" t="s">
        <v>2336</v>
      </c>
      <c r="C439" t="str">
        <f>HYPERLINK("https://nematode.unl.edu/amphis10.jpg")</f>
        <v>https://nematode.unl.edu/amphis10.jpg</v>
      </c>
      <c r="D439" t="s">
        <v>43</v>
      </c>
      <c r="G439" t="s">
        <v>34</v>
      </c>
      <c r="H439" t="s">
        <v>18</v>
      </c>
      <c r="I439" t="s">
        <v>19</v>
      </c>
      <c r="J439" t="s">
        <v>267</v>
      </c>
      <c r="M439" t="s">
        <v>2335</v>
      </c>
      <c r="N439" t="s">
        <v>2335</v>
      </c>
      <c r="O439" t="s">
        <v>73</v>
      </c>
      <c r="P439" t="s">
        <v>74</v>
      </c>
      <c r="Q439" t="s">
        <v>75</v>
      </c>
      <c r="R439" t="s">
        <v>2313</v>
      </c>
    </row>
    <row r="440" spans="1:18" x14ac:dyDescent="0.25">
      <c r="A440" t="s">
        <v>22217</v>
      </c>
      <c r="B440" t="s">
        <v>2337</v>
      </c>
      <c r="C440" t="str">
        <f>HYPERLINK("https://nematode.unl.edu/amphis11.jpg")</f>
        <v>https://nematode.unl.edu/amphis11.jpg</v>
      </c>
      <c r="D440" t="s">
        <v>16</v>
      </c>
      <c r="G440" t="s">
        <v>34</v>
      </c>
      <c r="H440" t="s">
        <v>18</v>
      </c>
      <c r="I440" t="s">
        <v>41</v>
      </c>
      <c r="J440" t="s">
        <v>267</v>
      </c>
      <c r="M440" t="s">
        <v>2335</v>
      </c>
      <c r="N440" t="s">
        <v>2335</v>
      </c>
      <c r="O440" t="s">
        <v>73</v>
      </c>
      <c r="P440" t="s">
        <v>74</v>
      </c>
      <c r="Q440" t="s">
        <v>75</v>
      </c>
      <c r="R440" t="s">
        <v>2313</v>
      </c>
    </row>
    <row r="441" spans="1:18" x14ac:dyDescent="0.25">
      <c r="A441" t="s">
        <v>22221</v>
      </c>
      <c r="B441" t="s">
        <v>2338</v>
      </c>
      <c r="C441" t="str">
        <f>HYPERLINK("https://nematode.unl.edu/amphis12.jpg")</f>
        <v>https://nematode.unl.edu/amphis12.jpg</v>
      </c>
      <c r="D441" t="s">
        <v>16</v>
      </c>
      <c r="G441" t="s">
        <v>87</v>
      </c>
      <c r="I441" t="s">
        <v>41</v>
      </c>
      <c r="J441" t="s">
        <v>267</v>
      </c>
      <c r="M441" t="s">
        <v>2335</v>
      </c>
      <c r="N441" t="s">
        <v>2335</v>
      </c>
      <c r="O441" t="s">
        <v>73</v>
      </c>
      <c r="P441" t="s">
        <v>74</v>
      </c>
      <c r="Q441" t="s">
        <v>75</v>
      </c>
      <c r="R441" t="s">
        <v>2313</v>
      </c>
    </row>
    <row r="442" spans="1:18" x14ac:dyDescent="0.25">
      <c r="A442" t="s">
        <v>22218</v>
      </c>
      <c r="B442" t="s">
        <v>2339</v>
      </c>
      <c r="C442" t="str">
        <f>HYPERLINK("https://nematode.unl.edu/amphis13.jpg")</f>
        <v>https://nematode.unl.edu/amphis13.jpg</v>
      </c>
      <c r="D442" t="s">
        <v>16</v>
      </c>
      <c r="G442" t="s">
        <v>34</v>
      </c>
      <c r="H442" t="s">
        <v>18</v>
      </c>
      <c r="I442" t="s">
        <v>41</v>
      </c>
      <c r="J442" t="s">
        <v>267</v>
      </c>
      <c r="M442" t="s">
        <v>2335</v>
      </c>
      <c r="N442" t="s">
        <v>2335</v>
      </c>
      <c r="O442" t="s">
        <v>73</v>
      </c>
      <c r="P442" t="s">
        <v>74</v>
      </c>
      <c r="Q442" t="s">
        <v>75</v>
      </c>
      <c r="R442" t="s">
        <v>2313</v>
      </c>
    </row>
    <row r="443" spans="1:18" x14ac:dyDescent="0.25">
      <c r="A443" t="s">
        <v>22219</v>
      </c>
      <c r="B443" t="s">
        <v>2340</v>
      </c>
      <c r="C443" t="str">
        <f>HYPERLINK("https://nematode.unl.edu/amphis2.jpg")</f>
        <v>https://nematode.unl.edu/amphis2.jpg</v>
      </c>
      <c r="D443" t="s">
        <v>43</v>
      </c>
      <c r="G443" t="s">
        <v>34</v>
      </c>
      <c r="H443" t="s">
        <v>18</v>
      </c>
      <c r="I443" t="s">
        <v>19</v>
      </c>
      <c r="J443" t="s">
        <v>267</v>
      </c>
      <c r="M443" t="s">
        <v>2335</v>
      </c>
      <c r="N443" t="s">
        <v>2335</v>
      </c>
      <c r="O443" t="s">
        <v>73</v>
      </c>
      <c r="P443" t="s">
        <v>74</v>
      </c>
      <c r="Q443" t="s">
        <v>75</v>
      </c>
      <c r="R443" t="s">
        <v>2313</v>
      </c>
    </row>
    <row r="444" spans="1:18" x14ac:dyDescent="0.25">
      <c r="A444" t="s">
        <v>22222</v>
      </c>
      <c r="B444" t="s">
        <v>2341</v>
      </c>
      <c r="C444" t="str">
        <f>HYPERLINK("https://nematode.unl.edu/amphis3.jpg")</f>
        <v>https://nematode.unl.edu/amphis3.jpg</v>
      </c>
      <c r="D444" t="s">
        <v>43</v>
      </c>
      <c r="G444" t="s">
        <v>87</v>
      </c>
      <c r="I444" t="s">
        <v>19</v>
      </c>
      <c r="J444" t="s">
        <v>267</v>
      </c>
      <c r="M444" t="s">
        <v>2335</v>
      </c>
      <c r="N444" t="s">
        <v>2335</v>
      </c>
      <c r="O444" t="s">
        <v>73</v>
      </c>
      <c r="P444" t="s">
        <v>74</v>
      </c>
      <c r="Q444" t="s">
        <v>75</v>
      </c>
      <c r="R444" t="s">
        <v>2313</v>
      </c>
    </row>
    <row r="445" spans="1:18" x14ac:dyDescent="0.25">
      <c r="A445" t="s">
        <v>22226</v>
      </c>
      <c r="B445" t="s">
        <v>2342</v>
      </c>
      <c r="C445" t="str">
        <f>HYPERLINK("https://nematode.unl.edu/amphis4.jpg")</f>
        <v>https://nematode.unl.edu/amphis4.jpg</v>
      </c>
      <c r="D445" t="s">
        <v>43</v>
      </c>
      <c r="G445" t="s">
        <v>51</v>
      </c>
      <c r="I445" t="s">
        <v>19</v>
      </c>
      <c r="J445" t="s">
        <v>267</v>
      </c>
      <c r="M445" t="s">
        <v>2335</v>
      </c>
      <c r="N445" t="s">
        <v>2335</v>
      </c>
      <c r="O445" t="s">
        <v>73</v>
      </c>
      <c r="P445" t="s">
        <v>74</v>
      </c>
      <c r="Q445" t="s">
        <v>75</v>
      </c>
      <c r="R445" t="s">
        <v>2313</v>
      </c>
    </row>
    <row r="446" spans="1:18" x14ac:dyDescent="0.25">
      <c r="A446" t="s">
        <v>22220</v>
      </c>
      <c r="B446" t="s">
        <v>2343</v>
      </c>
      <c r="C446" t="str">
        <f>HYPERLINK("https://nematode.unl.edu/amphis5.jpg")</f>
        <v>https://nematode.unl.edu/amphis5.jpg</v>
      </c>
      <c r="D446" t="s">
        <v>43</v>
      </c>
      <c r="G446" t="s">
        <v>34</v>
      </c>
      <c r="H446" t="s">
        <v>18</v>
      </c>
      <c r="I446" t="s">
        <v>41</v>
      </c>
      <c r="J446" t="s">
        <v>267</v>
      </c>
      <c r="M446" t="s">
        <v>2335</v>
      </c>
      <c r="N446" t="s">
        <v>2335</v>
      </c>
      <c r="O446" t="s">
        <v>73</v>
      </c>
      <c r="P446" t="s">
        <v>74</v>
      </c>
      <c r="Q446" t="s">
        <v>75</v>
      </c>
      <c r="R446" t="s">
        <v>2313</v>
      </c>
    </row>
    <row r="447" spans="1:18" x14ac:dyDescent="0.25">
      <c r="A447" t="s">
        <v>22224</v>
      </c>
      <c r="B447" t="s">
        <v>2344</v>
      </c>
      <c r="C447" t="str">
        <f>HYPERLINK("https://nematode.unl.edu/amphis6.jpg")</f>
        <v>https://nematode.unl.edu/amphis6.jpg</v>
      </c>
      <c r="D447" t="s">
        <v>43</v>
      </c>
      <c r="G447" t="s">
        <v>2345</v>
      </c>
      <c r="I447" t="s">
        <v>41</v>
      </c>
      <c r="J447" t="s">
        <v>267</v>
      </c>
      <c r="M447" t="s">
        <v>2335</v>
      </c>
      <c r="N447" t="s">
        <v>2335</v>
      </c>
      <c r="O447" t="s">
        <v>73</v>
      </c>
      <c r="P447" t="s">
        <v>74</v>
      </c>
      <c r="Q447" t="s">
        <v>75</v>
      </c>
      <c r="R447" t="s">
        <v>2313</v>
      </c>
    </row>
    <row r="448" spans="1:18" x14ac:dyDescent="0.25">
      <c r="A448" t="s">
        <v>22214</v>
      </c>
      <c r="B448" t="s">
        <v>2346</v>
      </c>
      <c r="C448" t="str">
        <f>HYPERLINK("https://nematode.unl.edu/amphis7.jpg")</f>
        <v>https://nematode.unl.edu/amphis7.jpg</v>
      </c>
      <c r="D448" t="s">
        <v>43</v>
      </c>
      <c r="G448" t="s">
        <v>386</v>
      </c>
      <c r="H448" t="s">
        <v>18</v>
      </c>
      <c r="I448" t="s">
        <v>41</v>
      </c>
      <c r="J448" t="s">
        <v>267</v>
      </c>
      <c r="M448" t="s">
        <v>2335</v>
      </c>
      <c r="N448" t="s">
        <v>2335</v>
      </c>
      <c r="O448" t="s">
        <v>73</v>
      </c>
      <c r="P448" t="s">
        <v>74</v>
      </c>
      <c r="Q448" t="s">
        <v>75</v>
      </c>
      <c r="R448" t="s">
        <v>2313</v>
      </c>
    </row>
    <row r="449" spans="1:18" x14ac:dyDescent="0.25">
      <c r="A449" t="s">
        <v>22215</v>
      </c>
      <c r="B449" t="s">
        <v>2347</v>
      </c>
      <c r="C449" t="str">
        <f>HYPERLINK("https://nematode.unl.edu/amphis8.jpg")</f>
        <v>https://nematode.unl.edu/amphis8.jpg</v>
      </c>
      <c r="D449" t="s">
        <v>43</v>
      </c>
      <c r="G449" t="s">
        <v>386</v>
      </c>
      <c r="H449" t="s">
        <v>18</v>
      </c>
      <c r="I449" t="s">
        <v>41</v>
      </c>
      <c r="J449" t="s">
        <v>267</v>
      </c>
      <c r="M449" t="s">
        <v>2335</v>
      </c>
      <c r="N449" t="s">
        <v>2335</v>
      </c>
      <c r="O449" t="s">
        <v>73</v>
      </c>
      <c r="P449" t="s">
        <v>74</v>
      </c>
      <c r="Q449" t="s">
        <v>75</v>
      </c>
      <c r="R449" t="s">
        <v>2313</v>
      </c>
    </row>
    <row r="450" spans="1:18" x14ac:dyDescent="0.25">
      <c r="A450" t="s">
        <v>22225</v>
      </c>
      <c r="B450" t="s">
        <v>2348</v>
      </c>
      <c r="C450" t="str">
        <f>HYPERLINK("https://nematode.unl.edu/amphis9.jpg")</f>
        <v>https://nematode.unl.edu/amphis9.jpg</v>
      </c>
      <c r="D450" t="s">
        <v>43</v>
      </c>
      <c r="G450" t="s">
        <v>28</v>
      </c>
      <c r="I450" t="s">
        <v>19</v>
      </c>
      <c r="J450" t="s">
        <v>267</v>
      </c>
      <c r="M450" t="s">
        <v>2335</v>
      </c>
      <c r="N450" t="s">
        <v>2335</v>
      </c>
      <c r="O450" t="s">
        <v>73</v>
      </c>
      <c r="P450" t="s">
        <v>74</v>
      </c>
      <c r="Q450" t="s">
        <v>75</v>
      </c>
      <c r="R450" t="s">
        <v>2313</v>
      </c>
    </row>
    <row r="451" spans="1:18" x14ac:dyDescent="0.25">
      <c r="A451" t="s">
        <v>22235</v>
      </c>
      <c r="B451" t="s">
        <v>1569</v>
      </c>
      <c r="C451" t="str">
        <f>HYPERLINK("https://nematode.unl.edu/ampus1.jpg")</f>
        <v>https://nematode.unl.edu/ampus1.jpg</v>
      </c>
      <c r="D451" t="s">
        <v>43</v>
      </c>
      <c r="G451" t="s">
        <v>44</v>
      </c>
      <c r="I451" t="s">
        <v>45</v>
      </c>
      <c r="J451" t="s">
        <v>46</v>
      </c>
      <c r="L451" t="s">
        <v>105</v>
      </c>
      <c r="M451" t="s">
        <v>1570</v>
      </c>
      <c r="N451" t="s">
        <v>1571</v>
      </c>
      <c r="O451" t="s">
        <v>73</v>
      </c>
      <c r="P451" t="s">
        <v>74</v>
      </c>
      <c r="Q451" t="s">
        <v>75</v>
      </c>
      <c r="R451" t="s">
        <v>1562</v>
      </c>
    </row>
    <row r="452" spans="1:18" x14ac:dyDescent="0.25">
      <c r="A452" t="s">
        <v>22233</v>
      </c>
      <c r="B452" t="s">
        <v>1572</v>
      </c>
      <c r="C452" t="str">
        <f>HYPERLINK("https://nematode.unl.edu/ampus2.jpg")</f>
        <v>https://nematode.unl.edu/ampus2.jpg</v>
      </c>
      <c r="D452" t="s">
        <v>43</v>
      </c>
      <c r="G452" t="s">
        <v>34</v>
      </c>
      <c r="H452" t="s">
        <v>18</v>
      </c>
      <c r="I452" t="s">
        <v>19</v>
      </c>
      <c r="J452" t="s">
        <v>46</v>
      </c>
      <c r="L452" t="s">
        <v>105</v>
      </c>
      <c r="M452" t="s">
        <v>1570</v>
      </c>
      <c r="N452" t="s">
        <v>1571</v>
      </c>
      <c r="O452" t="s">
        <v>73</v>
      </c>
      <c r="P452" t="s">
        <v>74</v>
      </c>
      <c r="Q452" t="s">
        <v>75</v>
      </c>
      <c r="R452" t="s">
        <v>1562</v>
      </c>
    </row>
    <row r="453" spans="1:18" x14ac:dyDescent="0.25">
      <c r="A453" t="s">
        <v>22237</v>
      </c>
      <c r="B453" t="s">
        <v>1573</v>
      </c>
      <c r="C453" t="str">
        <f>HYPERLINK("https://nematode.unl.edu/ampus3.jpg")</f>
        <v>https://nematode.unl.edu/ampus3.jpg</v>
      </c>
      <c r="D453" t="s">
        <v>43</v>
      </c>
      <c r="G453" t="s">
        <v>51</v>
      </c>
      <c r="I453" t="s">
        <v>19</v>
      </c>
      <c r="J453" t="s">
        <v>46</v>
      </c>
      <c r="L453" t="s">
        <v>105</v>
      </c>
      <c r="M453" t="s">
        <v>1570</v>
      </c>
      <c r="N453" t="s">
        <v>1571</v>
      </c>
      <c r="O453" t="s">
        <v>73</v>
      </c>
      <c r="P453" t="s">
        <v>74</v>
      </c>
      <c r="Q453" t="s">
        <v>75</v>
      </c>
      <c r="R453" t="s">
        <v>1562</v>
      </c>
    </row>
    <row r="454" spans="1:18" x14ac:dyDescent="0.25">
      <c r="A454" t="s">
        <v>22236</v>
      </c>
      <c r="B454" t="s">
        <v>1574</v>
      </c>
      <c r="C454" t="str">
        <f>HYPERLINK("https://nematode.unl.edu/ampus4.jpg")</f>
        <v>https://nematode.unl.edu/ampus4.jpg</v>
      </c>
      <c r="D454" t="s">
        <v>43</v>
      </c>
      <c r="G454" t="s">
        <v>28</v>
      </c>
      <c r="I454" t="s">
        <v>19</v>
      </c>
      <c r="J454" t="s">
        <v>46</v>
      </c>
      <c r="L454" t="s">
        <v>105</v>
      </c>
      <c r="M454" t="s">
        <v>1570</v>
      </c>
      <c r="N454" t="s">
        <v>1571</v>
      </c>
      <c r="O454" t="s">
        <v>73</v>
      </c>
      <c r="P454" t="s">
        <v>74</v>
      </c>
      <c r="Q454" t="s">
        <v>75</v>
      </c>
      <c r="R454" t="s">
        <v>1562</v>
      </c>
    </row>
    <row r="455" spans="1:18" x14ac:dyDescent="0.25">
      <c r="A455" t="s">
        <v>22232</v>
      </c>
      <c r="B455" t="s">
        <v>1575</v>
      </c>
      <c r="C455" t="str">
        <f>HYPERLINK("https://nematode.unl.edu/ampus5.jpg")</f>
        <v>https://nematode.unl.edu/ampus5.jpg</v>
      </c>
      <c r="D455" t="s">
        <v>43</v>
      </c>
      <c r="G455" t="s">
        <v>386</v>
      </c>
      <c r="H455" t="s">
        <v>18</v>
      </c>
      <c r="I455" t="s">
        <v>41</v>
      </c>
      <c r="J455" t="s">
        <v>46</v>
      </c>
      <c r="L455" t="s">
        <v>105</v>
      </c>
      <c r="M455" t="s">
        <v>1570</v>
      </c>
      <c r="N455" t="s">
        <v>1571</v>
      </c>
      <c r="O455" t="s">
        <v>73</v>
      </c>
      <c r="P455" t="s">
        <v>74</v>
      </c>
      <c r="Q455" t="s">
        <v>75</v>
      </c>
      <c r="R455" t="s">
        <v>1562</v>
      </c>
    </row>
    <row r="456" spans="1:18" x14ac:dyDescent="0.25">
      <c r="A456" t="s">
        <v>22234</v>
      </c>
      <c r="B456" t="s">
        <v>1576</v>
      </c>
      <c r="C456" t="str">
        <f>HYPERLINK("https://nematode.unl.edu/ampus6.jpg")</f>
        <v>https://nematode.unl.edu/ampus6.jpg</v>
      </c>
      <c r="D456" t="s">
        <v>43</v>
      </c>
      <c r="G456" t="s">
        <v>34</v>
      </c>
      <c r="H456" t="s">
        <v>18</v>
      </c>
      <c r="I456" t="s">
        <v>41</v>
      </c>
      <c r="J456" t="s">
        <v>46</v>
      </c>
      <c r="L456" t="s">
        <v>105</v>
      </c>
      <c r="M456" t="s">
        <v>1570</v>
      </c>
      <c r="N456" t="s">
        <v>1571</v>
      </c>
      <c r="O456" t="s">
        <v>73</v>
      </c>
      <c r="P456" t="s">
        <v>74</v>
      </c>
      <c r="Q456" t="s">
        <v>75</v>
      </c>
      <c r="R456" t="s">
        <v>1562</v>
      </c>
    </row>
    <row r="457" spans="1:18" x14ac:dyDescent="0.25">
      <c r="A457" t="s">
        <v>17701</v>
      </c>
      <c r="B457" t="s">
        <v>2176</v>
      </c>
      <c r="C457" t="str">
        <f>HYPERLINK("https://nematode.unl.edu/amuk1.jpg")</f>
        <v>https://nematode.unl.edu/amuk1.jpg</v>
      </c>
      <c r="D457" t="s">
        <v>43</v>
      </c>
      <c r="G457" t="s">
        <v>44</v>
      </c>
      <c r="I457" t="s">
        <v>45</v>
      </c>
      <c r="J457" t="s">
        <v>20</v>
      </c>
      <c r="L457" t="s">
        <v>85</v>
      </c>
      <c r="M457" t="s">
        <v>2177</v>
      </c>
      <c r="N457" t="s">
        <v>2177</v>
      </c>
      <c r="O457" t="s">
        <v>23</v>
      </c>
      <c r="P457" t="s">
        <v>24</v>
      </c>
      <c r="Q457" t="s">
        <v>69</v>
      </c>
      <c r="R457" t="s">
        <v>70</v>
      </c>
    </row>
    <row r="458" spans="1:18" x14ac:dyDescent="0.25">
      <c r="A458" t="s">
        <v>17696</v>
      </c>
      <c r="B458" t="s">
        <v>2178</v>
      </c>
      <c r="C458" t="str">
        <f>HYPERLINK("https://nematode.unl.edu/amuk10.jpg")</f>
        <v>https://nematode.unl.edu/amuk10.jpg</v>
      </c>
      <c r="D458" t="s">
        <v>43</v>
      </c>
      <c r="G458" t="s">
        <v>34</v>
      </c>
      <c r="H458" t="s">
        <v>18</v>
      </c>
      <c r="I458" t="s">
        <v>19</v>
      </c>
      <c r="J458" t="s">
        <v>20</v>
      </c>
      <c r="M458" t="s">
        <v>2177</v>
      </c>
      <c r="N458" t="s">
        <v>2177</v>
      </c>
      <c r="O458" t="s">
        <v>23</v>
      </c>
      <c r="P458" t="s">
        <v>24</v>
      </c>
      <c r="Q458" t="s">
        <v>69</v>
      </c>
      <c r="R458" t="s">
        <v>70</v>
      </c>
    </row>
    <row r="459" spans="1:18" x14ac:dyDescent="0.25">
      <c r="A459" t="s">
        <v>17697</v>
      </c>
      <c r="B459" t="s">
        <v>2179</v>
      </c>
      <c r="C459" t="str">
        <f>HYPERLINK("https://nematode.unl.edu/amuk11.jpg")</f>
        <v>https://nematode.unl.edu/amuk11.jpg</v>
      </c>
      <c r="D459" t="s">
        <v>43</v>
      </c>
      <c r="G459" t="s">
        <v>34</v>
      </c>
      <c r="H459" t="s">
        <v>18</v>
      </c>
      <c r="I459" t="s">
        <v>41</v>
      </c>
      <c r="J459" t="s">
        <v>20</v>
      </c>
      <c r="M459" t="s">
        <v>2177</v>
      </c>
      <c r="N459" t="s">
        <v>2177</v>
      </c>
      <c r="O459" t="s">
        <v>23</v>
      </c>
      <c r="P459" t="s">
        <v>24</v>
      </c>
      <c r="Q459" t="s">
        <v>69</v>
      </c>
      <c r="R459" t="s">
        <v>70</v>
      </c>
    </row>
    <row r="460" spans="1:18" x14ac:dyDescent="0.25">
      <c r="A460" t="s">
        <v>17704</v>
      </c>
      <c r="B460" t="s">
        <v>2180</v>
      </c>
      <c r="C460" t="str">
        <f>HYPERLINK("https://nematode.unl.edu/amuk2.jpg")</f>
        <v>https://nematode.unl.edu/amuk2.jpg</v>
      </c>
      <c r="D460" t="s">
        <v>43</v>
      </c>
      <c r="G460" t="s">
        <v>51</v>
      </c>
      <c r="I460" t="s">
        <v>19</v>
      </c>
      <c r="J460" t="s">
        <v>20</v>
      </c>
      <c r="M460" t="s">
        <v>2177</v>
      </c>
      <c r="N460" t="s">
        <v>2177</v>
      </c>
      <c r="O460" t="s">
        <v>23</v>
      </c>
      <c r="P460" t="s">
        <v>24</v>
      </c>
      <c r="Q460" t="s">
        <v>69</v>
      </c>
      <c r="R460" t="s">
        <v>70</v>
      </c>
    </row>
    <row r="461" spans="1:18" x14ac:dyDescent="0.25">
      <c r="A461" t="s">
        <v>17702</v>
      </c>
      <c r="B461" t="s">
        <v>2181</v>
      </c>
      <c r="C461" t="str">
        <f>HYPERLINK("https://nematode.unl.edu/amuk3.jpg")</f>
        <v>https://nematode.unl.edu/amuk3.jpg</v>
      </c>
      <c r="D461" t="s">
        <v>43</v>
      </c>
      <c r="G461" t="s">
        <v>28</v>
      </c>
      <c r="I461" t="s">
        <v>19</v>
      </c>
      <c r="J461" t="s">
        <v>20</v>
      </c>
      <c r="M461" t="s">
        <v>2177</v>
      </c>
      <c r="N461" t="s">
        <v>2177</v>
      </c>
      <c r="O461" t="s">
        <v>23</v>
      </c>
      <c r="P461" t="s">
        <v>24</v>
      </c>
      <c r="Q461" t="s">
        <v>69</v>
      </c>
      <c r="R461" t="s">
        <v>70</v>
      </c>
    </row>
    <row r="462" spans="1:18" x14ac:dyDescent="0.25">
      <c r="A462" t="s">
        <v>17698</v>
      </c>
      <c r="B462" t="s">
        <v>2182</v>
      </c>
      <c r="C462" t="str">
        <f>HYPERLINK("https://nematode.unl.edu/amuk4.jpg")</f>
        <v>https://nematode.unl.edu/amuk4.jpg</v>
      </c>
      <c r="D462" t="s">
        <v>43</v>
      </c>
      <c r="G462" t="s">
        <v>34</v>
      </c>
      <c r="H462" t="s">
        <v>18</v>
      </c>
      <c r="I462" t="s">
        <v>41</v>
      </c>
      <c r="J462" t="s">
        <v>20</v>
      </c>
      <c r="L462" t="s">
        <v>85</v>
      </c>
      <c r="M462" t="s">
        <v>2177</v>
      </c>
      <c r="N462" t="s">
        <v>2177</v>
      </c>
      <c r="O462" t="s">
        <v>23</v>
      </c>
      <c r="P462" t="s">
        <v>24</v>
      </c>
      <c r="Q462" t="s">
        <v>69</v>
      </c>
      <c r="R462" t="s">
        <v>70</v>
      </c>
    </row>
    <row r="463" spans="1:18" x14ac:dyDescent="0.25">
      <c r="A463" t="s">
        <v>17705</v>
      </c>
      <c r="B463" t="s">
        <v>2183</v>
      </c>
      <c r="C463" t="str">
        <f>HYPERLINK("https://nematode.unl.edu/amuk5.jpg")</f>
        <v>https://nematode.unl.edu/amuk5.jpg</v>
      </c>
      <c r="D463" t="s">
        <v>43</v>
      </c>
      <c r="G463" t="s">
        <v>51</v>
      </c>
      <c r="I463" t="s">
        <v>41</v>
      </c>
      <c r="J463" t="s">
        <v>20</v>
      </c>
      <c r="M463" t="s">
        <v>2177</v>
      </c>
      <c r="N463" t="s">
        <v>2177</v>
      </c>
      <c r="O463" t="s">
        <v>23</v>
      </c>
      <c r="P463" t="s">
        <v>24</v>
      </c>
      <c r="Q463" t="s">
        <v>69</v>
      </c>
      <c r="R463" t="s">
        <v>70</v>
      </c>
    </row>
    <row r="464" spans="1:18" x14ac:dyDescent="0.25">
      <c r="A464" t="s">
        <v>17699</v>
      </c>
      <c r="B464" t="s">
        <v>2184</v>
      </c>
      <c r="C464" t="str">
        <f>HYPERLINK("https://nematode.unl.edu/amuk6.jpg")</f>
        <v>https://nematode.unl.edu/amuk6.jpg</v>
      </c>
      <c r="D464" t="s">
        <v>43</v>
      </c>
      <c r="G464" t="s">
        <v>34</v>
      </c>
      <c r="H464" t="s">
        <v>18</v>
      </c>
      <c r="I464" t="s">
        <v>41</v>
      </c>
      <c r="J464" t="s">
        <v>20</v>
      </c>
      <c r="M464" t="s">
        <v>2177</v>
      </c>
      <c r="N464" t="s">
        <v>2177</v>
      </c>
      <c r="O464" t="s">
        <v>23</v>
      </c>
      <c r="P464" t="s">
        <v>24</v>
      </c>
      <c r="Q464" t="s">
        <v>69</v>
      </c>
      <c r="R464" t="s">
        <v>70</v>
      </c>
    </row>
    <row r="465" spans="1:18" x14ac:dyDescent="0.25">
      <c r="A465" t="s">
        <v>17703</v>
      </c>
      <c r="B465" t="s">
        <v>2185</v>
      </c>
      <c r="C465" t="str">
        <f>HYPERLINK("https://nematode.unl.edu/amuk7.jpg")</f>
        <v>https://nematode.unl.edu/amuk7.jpg</v>
      </c>
      <c r="D465" t="s">
        <v>43</v>
      </c>
      <c r="G465" t="s">
        <v>28</v>
      </c>
      <c r="I465" t="s">
        <v>19</v>
      </c>
      <c r="J465" t="s">
        <v>20</v>
      </c>
      <c r="L465" t="s">
        <v>752</v>
      </c>
      <c r="M465" t="s">
        <v>2177</v>
      </c>
      <c r="N465" t="s">
        <v>2177</v>
      </c>
      <c r="O465" t="s">
        <v>23</v>
      </c>
      <c r="P465" t="s">
        <v>24</v>
      </c>
      <c r="Q465" t="s">
        <v>69</v>
      </c>
      <c r="R465" t="s">
        <v>70</v>
      </c>
    </row>
    <row r="466" spans="1:18" x14ac:dyDescent="0.25">
      <c r="A466" t="s">
        <v>17706</v>
      </c>
      <c r="B466" t="s">
        <v>2186</v>
      </c>
      <c r="C466" t="str">
        <f>HYPERLINK("https://nematode.unl.edu/amuk8.jpg")</f>
        <v>https://nematode.unl.edu/amuk8.jpg</v>
      </c>
      <c r="D466" t="s">
        <v>43</v>
      </c>
      <c r="G466" t="s">
        <v>51</v>
      </c>
      <c r="I466" t="s">
        <v>19</v>
      </c>
      <c r="J466" t="s">
        <v>20</v>
      </c>
      <c r="L466" t="s">
        <v>752</v>
      </c>
      <c r="M466" t="s">
        <v>2177</v>
      </c>
      <c r="N466" t="s">
        <v>2177</v>
      </c>
      <c r="O466" t="s">
        <v>23</v>
      </c>
      <c r="P466" t="s">
        <v>24</v>
      </c>
      <c r="Q466" t="s">
        <v>69</v>
      </c>
      <c r="R466" t="s">
        <v>70</v>
      </c>
    </row>
    <row r="467" spans="1:18" x14ac:dyDescent="0.25">
      <c r="A467" t="s">
        <v>17700</v>
      </c>
      <c r="B467" t="s">
        <v>2187</v>
      </c>
      <c r="C467" t="str">
        <f>HYPERLINK("https://nematode.unl.edu/amuk9.jpg")</f>
        <v>https://nematode.unl.edu/amuk9.jpg</v>
      </c>
      <c r="D467" t="s">
        <v>43</v>
      </c>
      <c r="G467" t="s">
        <v>34</v>
      </c>
      <c r="H467" t="s">
        <v>18</v>
      </c>
      <c r="I467" t="s">
        <v>19</v>
      </c>
      <c r="J467" t="s">
        <v>20</v>
      </c>
      <c r="L467" t="s">
        <v>752</v>
      </c>
      <c r="M467" t="s">
        <v>2177</v>
      </c>
      <c r="N467" t="s">
        <v>2177</v>
      </c>
      <c r="O467" t="s">
        <v>23</v>
      </c>
      <c r="P467" t="s">
        <v>24</v>
      </c>
      <c r="Q467" t="s">
        <v>69</v>
      </c>
      <c r="R467" t="s">
        <v>70</v>
      </c>
    </row>
    <row r="468" spans="1:18" x14ac:dyDescent="0.25">
      <c r="A468" t="s">
        <v>12345</v>
      </c>
      <c r="B468" t="s">
        <v>2349</v>
      </c>
      <c r="C468" t="str">
        <f>HYPERLINK("https://nematode.unl.edu/anagsma1.jpg")</f>
        <v>https://nematode.unl.edu/anagsma1.jpg</v>
      </c>
      <c r="D468" t="s">
        <v>77</v>
      </c>
      <c r="G468" t="s">
        <v>44</v>
      </c>
      <c r="I468" t="s">
        <v>19</v>
      </c>
      <c r="J468" t="s">
        <v>2350</v>
      </c>
      <c r="M468" t="s">
        <v>2351</v>
      </c>
      <c r="N468" t="s">
        <v>2351</v>
      </c>
      <c r="O468" t="s">
        <v>23</v>
      </c>
      <c r="P468" t="s">
        <v>1649</v>
      </c>
      <c r="Q468" t="s">
        <v>1650</v>
      </c>
      <c r="R468" t="s">
        <v>2351</v>
      </c>
    </row>
    <row r="469" spans="1:18" x14ac:dyDescent="0.25">
      <c r="A469" t="s">
        <v>12326</v>
      </c>
      <c r="B469" t="s">
        <v>2352</v>
      </c>
      <c r="C469" t="str">
        <f>HYPERLINK("https://nematode.unl.edu/anagsma2.jpg")</f>
        <v>https://nematode.unl.edu/anagsma2.jpg</v>
      </c>
      <c r="D469" t="s">
        <v>77</v>
      </c>
      <c r="G469" t="s">
        <v>96</v>
      </c>
      <c r="H469" t="s">
        <v>18</v>
      </c>
      <c r="I469" t="s">
        <v>41</v>
      </c>
      <c r="J469" t="s">
        <v>2350</v>
      </c>
      <c r="M469" t="s">
        <v>2351</v>
      </c>
      <c r="N469" t="s">
        <v>2351</v>
      </c>
      <c r="O469" t="s">
        <v>23</v>
      </c>
      <c r="P469" t="s">
        <v>1649</v>
      </c>
      <c r="Q469" t="s">
        <v>1650</v>
      </c>
      <c r="R469" t="s">
        <v>2351</v>
      </c>
    </row>
    <row r="470" spans="1:18" x14ac:dyDescent="0.25">
      <c r="A470" t="s">
        <v>12322</v>
      </c>
      <c r="B470" t="s">
        <v>2353</v>
      </c>
      <c r="C470" t="str">
        <f>HYPERLINK("https://nematode.unl.edu/anagsma3.jpg")</f>
        <v>https://nematode.unl.edu/anagsma3.jpg</v>
      </c>
      <c r="D470" t="s">
        <v>77</v>
      </c>
      <c r="G470" t="s">
        <v>386</v>
      </c>
      <c r="H470" t="s">
        <v>18</v>
      </c>
      <c r="I470" t="s">
        <v>41</v>
      </c>
      <c r="J470" t="s">
        <v>2350</v>
      </c>
      <c r="M470" t="s">
        <v>2351</v>
      </c>
      <c r="N470" t="s">
        <v>2351</v>
      </c>
      <c r="O470" t="s">
        <v>23</v>
      </c>
      <c r="P470" t="s">
        <v>1649</v>
      </c>
      <c r="Q470" t="s">
        <v>1650</v>
      </c>
      <c r="R470" t="s">
        <v>2351</v>
      </c>
    </row>
    <row r="471" spans="1:18" x14ac:dyDescent="0.25">
      <c r="A471" t="s">
        <v>12353</v>
      </c>
      <c r="B471" t="s">
        <v>2354</v>
      </c>
      <c r="C471" t="str">
        <f>HYPERLINK("https://nematode.unl.edu/anagsma4.jpg")</f>
        <v>https://nematode.unl.edu/anagsma4.jpg</v>
      </c>
      <c r="D471" t="s">
        <v>77</v>
      </c>
      <c r="G471" t="s">
        <v>53</v>
      </c>
      <c r="I471" t="s">
        <v>41</v>
      </c>
      <c r="J471" t="s">
        <v>2350</v>
      </c>
      <c r="M471" t="s">
        <v>2351</v>
      </c>
      <c r="N471" t="s">
        <v>2351</v>
      </c>
      <c r="O471" t="s">
        <v>23</v>
      </c>
      <c r="P471" t="s">
        <v>1649</v>
      </c>
      <c r="Q471" t="s">
        <v>1650</v>
      </c>
      <c r="R471" t="s">
        <v>2351</v>
      </c>
    </row>
    <row r="472" spans="1:18" x14ac:dyDescent="0.25">
      <c r="A472" t="s">
        <v>12357</v>
      </c>
      <c r="B472" t="s">
        <v>2355</v>
      </c>
      <c r="C472" t="str">
        <f>HYPERLINK("https://nematode.unl.edu/anagsma5.jpg")</f>
        <v>https://nematode.unl.edu/anagsma5.jpg</v>
      </c>
      <c r="D472" t="s">
        <v>77</v>
      </c>
      <c r="G472" t="s">
        <v>181</v>
      </c>
      <c r="I472" t="s">
        <v>41</v>
      </c>
      <c r="J472" t="s">
        <v>2350</v>
      </c>
      <c r="M472" t="s">
        <v>2351</v>
      </c>
      <c r="N472" t="s">
        <v>2351</v>
      </c>
      <c r="O472" t="s">
        <v>23</v>
      </c>
      <c r="P472" t="s">
        <v>1649</v>
      </c>
      <c r="Q472" t="s">
        <v>1650</v>
      </c>
      <c r="R472" t="s">
        <v>2351</v>
      </c>
    </row>
    <row r="473" spans="1:18" x14ac:dyDescent="0.25">
      <c r="A473" t="s">
        <v>12356</v>
      </c>
      <c r="B473" t="s">
        <v>2356</v>
      </c>
      <c r="C473" t="str">
        <f>HYPERLINK("https://nematode.unl.edu/anagsma6.jpg")</f>
        <v>https://nematode.unl.edu/anagsma6.jpg</v>
      </c>
      <c r="D473" t="s">
        <v>77</v>
      </c>
      <c r="G473" t="s">
        <v>2357</v>
      </c>
      <c r="I473" t="s">
        <v>41</v>
      </c>
      <c r="J473" t="s">
        <v>2350</v>
      </c>
      <c r="M473" t="s">
        <v>2351</v>
      </c>
      <c r="N473" t="s">
        <v>2351</v>
      </c>
      <c r="O473" t="s">
        <v>23</v>
      </c>
      <c r="P473" t="s">
        <v>1649</v>
      </c>
      <c r="Q473" t="s">
        <v>1650</v>
      </c>
      <c r="R473" t="s">
        <v>2351</v>
      </c>
    </row>
    <row r="474" spans="1:18" x14ac:dyDescent="0.25">
      <c r="A474" t="s">
        <v>12328</v>
      </c>
      <c r="B474" t="s">
        <v>2358</v>
      </c>
      <c r="C474" t="str">
        <f>HYPERLINK("https://nematode.unl.edu/anapha1.jpg")</f>
        <v>https://nematode.unl.edu/anapha1.jpg</v>
      </c>
      <c r="D474" t="s">
        <v>16</v>
      </c>
      <c r="G474" t="s">
        <v>34</v>
      </c>
      <c r="H474" t="s">
        <v>18</v>
      </c>
      <c r="I474" t="s">
        <v>19</v>
      </c>
      <c r="J474" t="s">
        <v>267</v>
      </c>
      <c r="M474" t="s">
        <v>2351</v>
      </c>
      <c r="N474" t="s">
        <v>2351</v>
      </c>
      <c r="O474" t="s">
        <v>23</v>
      </c>
      <c r="P474" t="s">
        <v>1649</v>
      </c>
      <c r="Q474" t="s">
        <v>1650</v>
      </c>
      <c r="R474" t="s">
        <v>2351</v>
      </c>
    </row>
    <row r="475" spans="1:18" x14ac:dyDescent="0.25">
      <c r="A475" t="s">
        <v>12358</v>
      </c>
      <c r="B475" t="s">
        <v>2359</v>
      </c>
      <c r="C475" t="str">
        <f>HYPERLINK("https://nematode.unl.edu/anapha10.jpg")</f>
        <v>https://nematode.unl.edu/anapha10.jpg</v>
      </c>
      <c r="D475" t="s">
        <v>43</v>
      </c>
      <c r="G475" t="s">
        <v>28</v>
      </c>
      <c r="I475" t="s">
        <v>19</v>
      </c>
      <c r="J475" t="s">
        <v>267</v>
      </c>
      <c r="M475" t="s">
        <v>2351</v>
      </c>
      <c r="N475" t="s">
        <v>2351</v>
      </c>
      <c r="O475" t="s">
        <v>23</v>
      </c>
      <c r="P475" t="s">
        <v>1649</v>
      </c>
      <c r="Q475" t="s">
        <v>1650</v>
      </c>
      <c r="R475" t="s">
        <v>2351</v>
      </c>
    </row>
    <row r="476" spans="1:18" x14ac:dyDescent="0.25">
      <c r="A476" t="s">
        <v>12323</v>
      </c>
      <c r="B476" t="s">
        <v>2360</v>
      </c>
      <c r="C476" t="str">
        <f>HYPERLINK("https://nematode.unl.edu/anapha11.jpg")</f>
        <v>https://nematode.unl.edu/anapha11.jpg</v>
      </c>
      <c r="D476" t="s">
        <v>43</v>
      </c>
      <c r="G476" t="s">
        <v>386</v>
      </c>
      <c r="H476" t="s">
        <v>18</v>
      </c>
      <c r="I476" t="s">
        <v>41</v>
      </c>
      <c r="J476" t="s">
        <v>267</v>
      </c>
      <c r="M476" t="s">
        <v>2351</v>
      </c>
      <c r="N476" t="s">
        <v>2351</v>
      </c>
      <c r="O476" t="s">
        <v>23</v>
      </c>
      <c r="P476" t="s">
        <v>1649</v>
      </c>
      <c r="Q476" t="s">
        <v>1650</v>
      </c>
      <c r="R476" t="s">
        <v>2351</v>
      </c>
    </row>
    <row r="477" spans="1:18" x14ac:dyDescent="0.25">
      <c r="A477" t="s">
        <v>12354</v>
      </c>
      <c r="B477" t="s">
        <v>2361</v>
      </c>
      <c r="C477" t="str">
        <f>HYPERLINK("https://nematode.unl.edu/anapha12.jpg")</f>
        <v>https://nematode.unl.edu/anapha12.jpg</v>
      </c>
      <c r="D477" t="s">
        <v>43</v>
      </c>
      <c r="G477" t="s">
        <v>53</v>
      </c>
      <c r="I477" t="s">
        <v>41</v>
      </c>
      <c r="J477" t="s">
        <v>267</v>
      </c>
      <c r="M477" t="s">
        <v>2351</v>
      </c>
      <c r="N477" t="s">
        <v>2351</v>
      </c>
      <c r="O477" t="s">
        <v>23</v>
      </c>
      <c r="P477" t="s">
        <v>1649</v>
      </c>
      <c r="Q477" t="s">
        <v>1650</v>
      </c>
      <c r="R477" t="s">
        <v>2351</v>
      </c>
    </row>
    <row r="478" spans="1:18" x14ac:dyDescent="0.25">
      <c r="A478" t="s">
        <v>12329</v>
      </c>
      <c r="B478" t="s">
        <v>2362</v>
      </c>
      <c r="C478" t="str">
        <f>HYPERLINK("https://nematode.unl.edu/anapha13.jpg")</f>
        <v>https://nematode.unl.edu/anapha13.jpg</v>
      </c>
      <c r="D478" t="s">
        <v>16</v>
      </c>
      <c r="G478" t="s">
        <v>34</v>
      </c>
      <c r="H478" t="s">
        <v>18</v>
      </c>
      <c r="I478" t="s">
        <v>19</v>
      </c>
      <c r="J478" t="s">
        <v>267</v>
      </c>
      <c r="M478" t="s">
        <v>2351</v>
      </c>
      <c r="N478" t="s">
        <v>2351</v>
      </c>
      <c r="O478" t="s">
        <v>23</v>
      </c>
      <c r="P478" t="s">
        <v>1649</v>
      </c>
      <c r="Q478" t="s">
        <v>1650</v>
      </c>
      <c r="R478" t="s">
        <v>2351</v>
      </c>
    </row>
    <row r="479" spans="1:18" x14ac:dyDescent="0.25">
      <c r="A479" t="s">
        <v>12359</v>
      </c>
      <c r="B479" t="s">
        <v>2363</v>
      </c>
      <c r="C479" t="str">
        <f>HYPERLINK("https://nematode.unl.edu/anapha14.jpg")</f>
        <v>https://nematode.unl.edu/anapha14.jpg</v>
      </c>
      <c r="D479" t="s">
        <v>16</v>
      </c>
      <c r="G479" t="s">
        <v>28</v>
      </c>
      <c r="I479" t="s">
        <v>19</v>
      </c>
      <c r="J479" t="s">
        <v>267</v>
      </c>
      <c r="M479" t="s">
        <v>2351</v>
      </c>
      <c r="N479" t="s">
        <v>2351</v>
      </c>
      <c r="O479" t="s">
        <v>23</v>
      </c>
      <c r="P479" t="s">
        <v>1649</v>
      </c>
      <c r="Q479" t="s">
        <v>1650</v>
      </c>
      <c r="R479" t="s">
        <v>2351</v>
      </c>
    </row>
    <row r="480" spans="1:18" x14ac:dyDescent="0.25">
      <c r="A480" t="s">
        <v>12360</v>
      </c>
      <c r="B480" t="s">
        <v>2364</v>
      </c>
      <c r="C480" t="str">
        <f>HYPERLINK("https://nematode.unl.edu/anapha2.jpg")</f>
        <v>https://nematode.unl.edu/anapha2.jpg</v>
      </c>
      <c r="D480" t="s">
        <v>16</v>
      </c>
      <c r="G480" t="s">
        <v>28</v>
      </c>
      <c r="I480" t="s">
        <v>19</v>
      </c>
      <c r="J480" t="s">
        <v>267</v>
      </c>
      <c r="M480" t="s">
        <v>2351</v>
      </c>
      <c r="N480" t="s">
        <v>2351</v>
      </c>
      <c r="O480" t="s">
        <v>23</v>
      </c>
      <c r="P480" t="s">
        <v>1649</v>
      </c>
      <c r="Q480" t="s">
        <v>1650</v>
      </c>
      <c r="R480" t="s">
        <v>2351</v>
      </c>
    </row>
    <row r="481" spans="1:18" x14ac:dyDescent="0.25">
      <c r="A481" t="s">
        <v>12330</v>
      </c>
      <c r="B481" t="s">
        <v>2365</v>
      </c>
      <c r="C481" t="str">
        <f>HYPERLINK("https://nematode.unl.edu/anapha3.jpg")</f>
        <v>https://nematode.unl.edu/anapha3.jpg</v>
      </c>
      <c r="D481" t="s">
        <v>16</v>
      </c>
      <c r="G481" t="s">
        <v>34</v>
      </c>
      <c r="H481" t="s">
        <v>18</v>
      </c>
      <c r="I481" t="s">
        <v>41</v>
      </c>
      <c r="J481" t="s">
        <v>267</v>
      </c>
      <c r="M481" t="s">
        <v>2351</v>
      </c>
      <c r="N481" t="s">
        <v>2351</v>
      </c>
      <c r="O481" t="s">
        <v>23</v>
      </c>
      <c r="P481" t="s">
        <v>1649</v>
      </c>
      <c r="Q481" t="s">
        <v>1650</v>
      </c>
      <c r="R481" t="s">
        <v>2351</v>
      </c>
    </row>
    <row r="482" spans="1:18" x14ac:dyDescent="0.25">
      <c r="A482" t="s">
        <v>12341</v>
      </c>
      <c r="B482" s="1" t="s">
        <v>2366</v>
      </c>
      <c r="C482" s="1" t="str">
        <f>HYPERLINK("https://nematode.unl.edu/anapha4.jpg")</f>
        <v>https://nematode.unl.edu/anapha4.jpg</v>
      </c>
      <c r="D482" t="s">
        <v>16</v>
      </c>
      <c r="G482" t="s">
        <v>384</v>
      </c>
      <c r="I482" t="s">
        <v>41</v>
      </c>
      <c r="J482" t="s">
        <v>267</v>
      </c>
      <c r="M482" t="s">
        <v>2351</v>
      </c>
      <c r="N482" t="s">
        <v>2351</v>
      </c>
      <c r="O482" t="s">
        <v>23</v>
      </c>
      <c r="P482" t="s">
        <v>1649</v>
      </c>
      <c r="Q482" t="s">
        <v>1650</v>
      </c>
      <c r="R482" t="s">
        <v>2351</v>
      </c>
    </row>
    <row r="483" spans="1:18" x14ac:dyDescent="0.25">
      <c r="A483" t="s">
        <v>12331</v>
      </c>
      <c r="B483" t="s">
        <v>2367</v>
      </c>
      <c r="C483" t="str">
        <f>HYPERLINK("https://nematode.unl.edu/anapha5.jpg")</f>
        <v>https://nematode.unl.edu/anapha5.jpg</v>
      </c>
      <c r="D483" t="s">
        <v>16</v>
      </c>
      <c r="G483" t="s">
        <v>34</v>
      </c>
      <c r="H483" t="s">
        <v>18</v>
      </c>
      <c r="I483" t="s">
        <v>19</v>
      </c>
      <c r="J483" t="s">
        <v>267</v>
      </c>
      <c r="M483" t="s">
        <v>2351</v>
      </c>
      <c r="N483" t="s">
        <v>2351</v>
      </c>
      <c r="O483" t="s">
        <v>23</v>
      </c>
      <c r="P483" t="s">
        <v>1649</v>
      </c>
      <c r="Q483" t="s">
        <v>1650</v>
      </c>
      <c r="R483" t="s">
        <v>2351</v>
      </c>
    </row>
    <row r="484" spans="1:18" x14ac:dyDescent="0.25">
      <c r="A484" t="s">
        <v>12361</v>
      </c>
      <c r="B484" t="s">
        <v>2368</v>
      </c>
      <c r="C484" t="str">
        <f>HYPERLINK("https://nematode.unl.edu/anapha6.jpg")</f>
        <v>https://nematode.unl.edu/anapha6.jpg</v>
      </c>
      <c r="D484" t="s">
        <v>16</v>
      </c>
      <c r="G484" t="s">
        <v>28</v>
      </c>
      <c r="I484" t="s">
        <v>19</v>
      </c>
      <c r="J484" t="s">
        <v>267</v>
      </c>
      <c r="M484" t="s">
        <v>2351</v>
      </c>
      <c r="N484" t="s">
        <v>2351</v>
      </c>
      <c r="O484" t="s">
        <v>23</v>
      </c>
      <c r="P484" t="s">
        <v>1649</v>
      </c>
      <c r="Q484" t="s">
        <v>1650</v>
      </c>
      <c r="R484" t="s">
        <v>2351</v>
      </c>
    </row>
    <row r="485" spans="1:18" x14ac:dyDescent="0.25">
      <c r="A485" t="s">
        <v>12346</v>
      </c>
      <c r="B485" t="s">
        <v>2369</v>
      </c>
      <c r="C485" t="str">
        <f>HYPERLINK("https://nematode.unl.edu/anapha7.jpg")</f>
        <v>https://nematode.unl.edu/anapha7.jpg</v>
      </c>
      <c r="D485" t="s">
        <v>43</v>
      </c>
      <c r="G485" t="s">
        <v>44</v>
      </c>
      <c r="I485" t="s">
        <v>45</v>
      </c>
      <c r="J485" t="s">
        <v>267</v>
      </c>
      <c r="M485" t="s">
        <v>2351</v>
      </c>
      <c r="N485" t="s">
        <v>2351</v>
      </c>
      <c r="O485" t="s">
        <v>23</v>
      </c>
      <c r="P485" t="s">
        <v>1649</v>
      </c>
      <c r="Q485" t="s">
        <v>1650</v>
      </c>
      <c r="R485" t="s">
        <v>2351</v>
      </c>
    </row>
    <row r="486" spans="1:18" x14ac:dyDescent="0.25">
      <c r="A486" t="s">
        <v>12332</v>
      </c>
      <c r="B486" t="s">
        <v>2370</v>
      </c>
      <c r="C486" t="str">
        <f>HYPERLINK("https://nematode.unl.edu/anapha8.jpg")</f>
        <v>https://nematode.unl.edu/anapha8.jpg</v>
      </c>
      <c r="D486" t="s">
        <v>43</v>
      </c>
      <c r="G486" t="s">
        <v>34</v>
      </c>
      <c r="H486" t="s">
        <v>18</v>
      </c>
      <c r="I486" t="s">
        <v>19</v>
      </c>
      <c r="J486" t="s">
        <v>267</v>
      </c>
      <c r="M486" t="s">
        <v>2351</v>
      </c>
      <c r="N486" t="s">
        <v>2351</v>
      </c>
      <c r="O486" t="s">
        <v>23</v>
      </c>
      <c r="P486" t="s">
        <v>1649</v>
      </c>
      <c r="Q486" t="s">
        <v>1650</v>
      </c>
      <c r="R486" t="s">
        <v>2351</v>
      </c>
    </row>
    <row r="487" spans="1:18" x14ac:dyDescent="0.25">
      <c r="A487" t="s">
        <v>12369</v>
      </c>
      <c r="B487" t="s">
        <v>2371</v>
      </c>
      <c r="C487" t="str">
        <f>HYPERLINK("https://nematode.unl.edu/anapha9.jpg")</f>
        <v>https://nematode.unl.edu/anapha9.jpg</v>
      </c>
      <c r="D487" t="s">
        <v>43</v>
      </c>
      <c r="G487" t="s">
        <v>51</v>
      </c>
      <c r="I487" t="s">
        <v>19</v>
      </c>
      <c r="J487" t="s">
        <v>267</v>
      </c>
      <c r="M487" t="s">
        <v>2351</v>
      </c>
      <c r="N487" t="s">
        <v>2351</v>
      </c>
      <c r="O487" t="s">
        <v>23</v>
      </c>
      <c r="P487" t="s">
        <v>1649</v>
      </c>
      <c r="Q487" t="s">
        <v>1650</v>
      </c>
      <c r="R487" t="s">
        <v>2351</v>
      </c>
    </row>
    <row r="488" spans="1:18" x14ac:dyDescent="0.25">
      <c r="A488" t="s">
        <v>12347</v>
      </c>
      <c r="B488" t="s">
        <v>2372</v>
      </c>
      <c r="C488" t="str">
        <f>HYPERLINK("https://nematode.unl.edu/anapl22.jpg")</f>
        <v>https://nematode.unl.edu/anapl22.jpg</v>
      </c>
      <c r="D488" t="s">
        <v>43</v>
      </c>
      <c r="G488" t="s">
        <v>44</v>
      </c>
      <c r="I488" t="s">
        <v>91</v>
      </c>
      <c r="J488" t="s">
        <v>267</v>
      </c>
      <c r="M488" t="s">
        <v>2351</v>
      </c>
      <c r="N488" t="s">
        <v>2351</v>
      </c>
      <c r="O488" t="s">
        <v>23</v>
      </c>
      <c r="P488" t="s">
        <v>1649</v>
      </c>
      <c r="Q488" t="s">
        <v>1650</v>
      </c>
      <c r="R488" t="s">
        <v>2351</v>
      </c>
    </row>
    <row r="489" spans="1:18" x14ac:dyDescent="0.25">
      <c r="A489" t="s">
        <v>12333</v>
      </c>
      <c r="B489" t="s">
        <v>2373</v>
      </c>
      <c r="C489" t="str">
        <f>HYPERLINK("https://nematode.unl.edu/anapl23.jpg")</f>
        <v>https://nematode.unl.edu/anapl23.jpg</v>
      </c>
      <c r="D489" t="s">
        <v>43</v>
      </c>
      <c r="G489" t="s">
        <v>34</v>
      </c>
      <c r="H489" t="s">
        <v>18</v>
      </c>
      <c r="I489" t="s">
        <v>19</v>
      </c>
      <c r="J489" t="s">
        <v>267</v>
      </c>
      <c r="L489" t="s">
        <v>85</v>
      </c>
      <c r="M489" t="s">
        <v>2351</v>
      </c>
      <c r="N489" t="s">
        <v>2351</v>
      </c>
      <c r="O489" t="s">
        <v>23</v>
      </c>
      <c r="P489" t="s">
        <v>1649</v>
      </c>
      <c r="Q489" t="s">
        <v>1650</v>
      </c>
      <c r="R489" t="s">
        <v>2351</v>
      </c>
    </row>
    <row r="490" spans="1:18" x14ac:dyDescent="0.25">
      <c r="A490" t="s">
        <v>12352</v>
      </c>
      <c r="B490" t="s">
        <v>2374</v>
      </c>
      <c r="C490" t="str">
        <f>HYPERLINK("https://nematode.unl.edu/anapl24.jpg")</f>
        <v>https://nematode.unl.edu/anapl24.jpg</v>
      </c>
      <c r="D490" t="s">
        <v>43</v>
      </c>
      <c r="G490" t="s">
        <v>1555</v>
      </c>
      <c r="I490" t="s">
        <v>19</v>
      </c>
      <c r="J490" t="s">
        <v>267</v>
      </c>
      <c r="M490" t="s">
        <v>2351</v>
      </c>
      <c r="N490" t="s">
        <v>2351</v>
      </c>
      <c r="O490" t="s">
        <v>23</v>
      </c>
      <c r="P490" t="s">
        <v>1649</v>
      </c>
      <c r="Q490" t="s">
        <v>1650</v>
      </c>
      <c r="R490" t="s">
        <v>2351</v>
      </c>
    </row>
    <row r="491" spans="1:18" x14ac:dyDescent="0.25">
      <c r="A491" t="s">
        <v>12362</v>
      </c>
      <c r="B491" t="s">
        <v>2375</v>
      </c>
      <c r="C491" t="str">
        <f>HYPERLINK("https://nematode.unl.edu/anapl25.jpg")</f>
        <v>https://nematode.unl.edu/anapl25.jpg</v>
      </c>
      <c r="D491" t="s">
        <v>43</v>
      </c>
      <c r="G491" t="s">
        <v>28</v>
      </c>
      <c r="I491" t="s">
        <v>19</v>
      </c>
      <c r="J491" t="s">
        <v>267</v>
      </c>
      <c r="M491" t="s">
        <v>2351</v>
      </c>
      <c r="N491" t="s">
        <v>2351</v>
      </c>
      <c r="O491" t="s">
        <v>23</v>
      </c>
      <c r="P491" t="s">
        <v>1649</v>
      </c>
      <c r="Q491" t="s">
        <v>1650</v>
      </c>
      <c r="R491" t="s">
        <v>2351</v>
      </c>
    </row>
    <row r="492" spans="1:18" x14ac:dyDescent="0.25">
      <c r="A492" t="s">
        <v>12348</v>
      </c>
      <c r="B492" t="s">
        <v>2376</v>
      </c>
      <c r="C492" t="str">
        <f>HYPERLINK("https://nematode.unl.edu/anaplec1.jpg")</f>
        <v>https://nematode.unl.edu/anaplec1.jpg</v>
      </c>
      <c r="D492" t="s">
        <v>43</v>
      </c>
      <c r="G492" t="s">
        <v>44</v>
      </c>
      <c r="I492" t="s">
        <v>45</v>
      </c>
      <c r="J492" t="s">
        <v>1525</v>
      </c>
      <c r="L492" t="s">
        <v>1526</v>
      </c>
      <c r="M492" t="s">
        <v>2351</v>
      </c>
      <c r="N492" t="s">
        <v>2351</v>
      </c>
      <c r="O492" t="s">
        <v>23</v>
      </c>
      <c r="P492" t="s">
        <v>1649</v>
      </c>
      <c r="Q492" t="s">
        <v>1650</v>
      </c>
      <c r="R492" t="s">
        <v>2351</v>
      </c>
    </row>
    <row r="493" spans="1:18" x14ac:dyDescent="0.25">
      <c r="A493" t="s">
        <v>12367</v>
      </c>
      <c r="B493" t="s">
        <v>2377</v>
      </c>
      <c r="C493" t="str">
        <f>HYPERLINK("https://nematode.unl.edu/anaplec10.jpg")</f>
        <v>https://nematode.unl.edu/anaplec10.jpg</v>
      </c>
      <c r="D493" t="s">
        <v>43</v>
      </c>
      <c r="G493" t="s">
        <v>422</v>
      </c>
      <c r="I493" t="s">
        <v>41</v>
      </c>
      <c r="J493" t="s">
        <v>1525</v>
      </c>
      <c r="L493" t="s">
        <v>1526</v>
      </c>
      <c r="M493" t="s">
        <v>2351</v>
      </c>
      <c r="N493" t="s">
        <v>2351</v>
      </c>
      <c r="O493" t="s">
        <v>23</v>
      </c>
      <c r="P493" t="s">
        <v>1649</v>
      </c>
      <c r="Q493" t="s">
        <v>1650</v>
      </c>
      <c r="R493" t="s">
        <v>2351</v>
      </c>
    </row>
    <row r="494" spans="1:18" x14ac:dyDescent="0.25">
      <c r="A494" t="s">
        <v>12355</v>
      </c>
      <c r="B494" t="s">
        <v>2378</v>
      </c>
      <c r="C494" t="str">
        <f>HYPERLINK("https://nematode.unl.edu/anaplec11.jpg")</f>
        <v>https://nematode.unl.edu/anaplec11.jpg</v>
      </c>
      <c r="D494" t="s">
        <v>43</v>
      </c>
      <c r="G494" t="s">
        <v>53</v>
      </c>
      <c r="I494" t="s">
        <v>41</v>
      </c>
      <c r="J494" t="s">
        <v>1525</v>
      </c>
      <c r="L494" t="s">
        <v>1526</v>
      </c>
      <c r="M494" t="s">
        <v>2351</v>
      </c>
      <c r="N494" t="s">
        <v>2351</v>
      </c>
      <c r="O494" t="s">
        <v>23</v>
      </c>
      <c r="P494" t="s">
        <v>1649</v>
      </c>
      <c r="Q494" t="s">
        <v>1650</v>
      </c>
      <c r="R494" t="s">
        <v>2351</v>
      </c>
    </row>
    <row r="495" spans="1:18" x14ac:dyDescent="0.25">
      <c r="A495" t="s">
        <v>12349</v>
      </c>
      <c r="B495" t="s">
        <v>2379</v>
      </c>
      <c r="C495" t="str">
        <f>HYPERLINK("https://nematode.unl.edu/anaplec12.jpg")</f>
        <v>https://nematode.unl.edu/anaplec12.jpg</v>
      </c>
      <c r="D495" t="s">
        <v>77</v>
      </c>
      <c r="G495" t="s">
        <v>44</v>
      </c>
      <c r="I495" t="s">
        <v>137</v>
      </c>
      <c r="J495" t="s">
        <v>1525</v>
      </c>
      <c r="L495" t="s">
        <v>1526</v>
      </c>
      <c r="M495" t="s">
        <v>2351</v>
      </c>
      <c r="N495" t="s">
        <v>2351</v>
      </c>
      <c r="O495" t="s">
        <v>23</v>
      </c>
      <c r="P495" t="s">
        <v>1649</v>
      </c>
      <c r="Q495" t="s">
        <v>1650</v>
      </c>
      <c r="R495" t="s">
        <v>2351</v>
      </c>
    </row>
    <row r="496" spans="1:18" x14ac:dyDescent="0.25">
      <c r="A496" t="s">
        <v>12327</v>
      </c>
      <c r="B496" t="s">
        <v>2380</v>
      </c>
      <c r="C496" t="str">
        <f>HYPERLINK("https://nematode.unl.edu/anaplec13.jpg")</f>
        <v>https://nematode.unl.edu/anaplec13.jpg</v>
      </c>
      <c r="D496" t="s">
        <v>77</v>
      </c>
      <c r="G496" t="s">
        <v>96</v>
      </c>
      <c r="H496" t="s">
        <v>18</v>
      </c>
      <c r="I496" t="s">
        <v>19</v>
      </c>
      <c r="J496" t="s">
        <v>1525</v>
      </c>
      <c r="L496" t="s">
        <v>1526</v>
      </c>
      <c r="M496" t="s">
        <v>2351</v>
      </c>
      <c r="N496" t="s">
        <v>2351</v>
      </c>
      <c r="O496" t="s">
        <v>23</v>
      </c>
      <c r="P496" t="s">
        <v>1649</v>
      </c>
      <c r="Q496" t="s">
        <v>1650</v>
      </c>
      <c r="R496" t="s">
        <v>2351</v>
      </c>
    </row>
    <row r="497" spans="1:18" x14ac:dyDescent="0.25">
      <c r="A497" t="s">
        <v>12368</v>
      </c>
      <c r="B497" t="s">
        <v>2381</v>
      </c>
      <c r="C497" t="str">
        <f>HYPERLINK("https://nematode.unl.edu/anaplec14.jpg")</f>
        <v>https://nematode.unl.edu/anaplec14.jpg</v>
      </c>
      <c r="D497" t="s">
        <v>77</v>
      </c>
      <c r="G497" t="s">
        <v>2382</v>
      </c>
      <c r="I497" t="s">
        <v>19</v>
      </c>
      <c r="J497" t="s">
        <v>1525</v>
      </c>
      <c r="L497" t="s">
        <v>1526</v>
      </c>
      <c r="M497" t="s">
        <v>2351</v>
      </c>
      <c r="N497" t="s">
        <v>2351</v>
      </c>
      <c r="O497" t="s">
        <v>23</v>
      </c>
      <c r="P497" t="s">
        <v>1649</v>
      </c>
      <c r="Q497" t="s">
        <v>1650</v>
      </c>
      <c r="R497" t="s">
        <v>2351</v>
      </c>
    </row>
    <row r="498" spans="1:18" x14ac:dyDescent="0.25">
      <c r="A498" t="s">
        <v>12363</v>
      </c>
      <c r="B498" t="s">
        <v>2383</v>
      </c>
      <c r="C498" t="str">
        <f>HYPERLINK("https://nematode.unl.edu/anaplec15.jpg")</f>
        <v>https://nematode.unl.edu/anaplec15.jpg</v>
      </c>
      <c r="D498" t="s">
        <v>77</v>
      </c>
      <c r="G498" t="s">
        <v>28</v>
      </c>
      <c r="I498" t="s">
        <v>19</v>
      </c>
      <c r="J498" t="s">
        <v>1525</v>
      </c>
      <c r="L498" t="s">
        <v>1526</v>
      </c>
      <c r="M498" t="s">
        <v>2351</v>
      </c>
      <c r="N498" t="s">
        <v>2351</v>
      </c>
      <c r="O498" t="s">
        <v>23</v>
      </c>
      <c r="P498" t="s">
        <v>1649</v>
      </c>
      <c r="Q498" t="s">
        <v>1650</v>
      </c>
      <c r="R498" t="s">
        <v>2351</v>
      </c>
    </row>
    <row r="499" spans="1:18" x14ac:dyDescent="0.25">
      <c r="A499" t="s">
        <v>12334</v>
      </c>
      <c r="B499" t="s">
        <v>2384</v>
      </c>
      <c r="C499" t="str">
        <f>HYPERLINK("https://nematode.unl.edu/anaplec16.jpg")</f>
        <v>https://nematode.unl.edu/anaplec16.jpg</v>
      </c>
      <c r="D499" t="s">
        <v>77</v>
      </c>
      <c r="G499" t="s">
        <v>34</v>
      </c>
      <c r="H499" t="s">
        <v>18</v>
      </c>
      <c r="I499" t="s">
        <v>41</v>
      </c>
      <c r="J499" t="s">
        <v>1525</v>
      </c>
      <c r="L499" t="s">
        <v>1526</v>
      </c>
      <c r="M499" t="s">
        <v>2351</v>
      </c>
      <c r="N499" t="s">
        <v>2351</v>
      </c>
      <c r="O499" t="s">
        <v>23</v>
      </c>
      <c r="P499" t="s">
        <v>1649</v>
      </c>
      <c r="Q499" t="s">
        <v>1650</v>
      </c>
      <c r="R499" t="s">
        <v>2351</v>
      </c>
    </row>
    <row r="500" spans="1:18" x14ac:dyDescent="0.25">
      <c r="A500" t="s">
        <v>12324</v>
      </c>
      <c r="B500" t="s">
        <v>2385</v>
      </c>
      <c r="C500" t="str">
        <f>HYPERLINK("https://nematode.unl.edu/anaplec17.jpg")</f>
        <v>https://nematode.unl.edu/anaplec17.jpg</v>
      </c>
      <c r="D500" t="s">
        <v>77</v>
      </c>
      <c r="G500" t="s">
        <v>386</v>
      </c>
      <c r="H500" t="s">
        <v>18</v>
      </c>
      <c r="I500" t="s">
        <v>41</v>
      </c>
      <c r="J500" t="s">
        <v>1525</v>
      </c>
      <c r="L500" t="s">
        <v>1526</v>
      </c>
      <c r="M500" t="s">
        <v>2351</v>
      </c>
      <c r="N500" t="s">
        <v>2351</v>
      </c>
      <c r="O500" t="s">
        <v>23</v>
      </c>
      <c r="P500" t="s">
        <v>1649</v>
      </c>
      <c r="Q500" t="s">
        <v>1650</v>
      </c>
      <c r="R500" t="s">
        <v>2351</v>
      </c>
    </row>
    <row r="501" spans="1:18" x14ac:dyDescent="0.25">
      <c r="A501" t="s">
        <v>12342</v>
      </c>
      <c r="B501" t="s">
        <v>2386</v>
      </c>
      <c r="C501" t="str">
        <f>HYPERLINK("https://nematode.unl.edu/anaplec18.jpg")</f>
        <v>https://nematode.unl.edu/anaplec18.jpg</v>
      </c>
      <c r="D501" t="s">
        <v>77</v>
      </c>
      <c r="G501" t="s">
        <v>384</v>
      </c>
      <c r="I501" t="s">
        <v>41</v>
      </c>
      <c r="J501" t="s">
        <v>1525</v>
      </c>
      <c r="L501" t="s">
        <v>1526</v>
      </c>
      <c r="M501" t="s">
        <v>2351</v>
      </c>
      <c r="N501" t="s">
        <v>2351</v>
      </c>
      <c r="O501" t="s">
        <v>23</v>
      </c>
      <c r="P501" t="s">
        <v>1649</v>
      </c>
      <c r="Q501" t="s">
        <v>1650</v>
      </c>
      <c r="R501" t="s">
        <v>2351</v>
      </c>
    </row>
    <row r="502" spans="1:18" x14ac:dyDescent="0.25">
      <c r="A502" t="s">
        <v>12364</v>
      </c>
      <c r="B502" t="s">
        <v>2387</v>
      </c>
      <c r="C502" t="str">
        <f>HYPERLINK("https://nematode.unl.edu/anaplec19.jpg")</f>
        <v>https://nematode.unl.edu/anaplec19.jpg</v>
      </c>
      <c r="D502" t="s">
        <v>77</v>
      </c>
      <c r="G502" t="s">
        <v>28</v>
      </c>
      <c r="I502" t="s">
        <v>41</v>
      </c>
      <c r="J502" t="s">
        <v>1525</v>
      </c>
      <c r="L502" t="s">
        <v>1526</v>
      </c>
      <c r="M502" t="s">
        <v>2351</v>
      </c>
      <c r="N502" t="s">
        <v>2351</v>
      </c>
      <c r="O502" t="s">
        <v>23</v>
      </c>
      <c r="P502" t="s">
        <v>1649</v>
      </c>
      <c r="Q502" t="s">
        <v>1650</v>
      </c>
      <c r="R502" t="s">
        <v>2351</v>
      </c>
    </row>
    <row r="503" spans="1:18" x14ac:dyDescent="0.25">
      <c r="A503" t="s">
        <v>12350</v>
      </c>
      <c r="B503" t="s">
        <v>2388</v>
      </c>
      <c r="C503" t="str">
        <f>HYPERLINK("https://nematode.unl.edu/anaplec2.jpg")</f>
        <v>https://nematode.unl.edu/anaplec2.jpg</v>
      </c>
      <c r="D503" t="s">
        <v>43</v>
      </c>
      <c r="G503" t="s">
        <v>44</v>
      </c>
      <c r="I503" t="s">
        <v>137</v>
      </c>
      <c r="J503" t="s">
        <v>1525</v>
      </c>
      <c r="L503" t="s">
        <v>1526</v>
      </c>
      <c r="M503" t="s">
        <v>2351</v>
      </c>
      <c r="N503" t="s">
        <v>2351</v>
      </c>
      <c r="O503" t="s">
        <v>23</v>
      </c>
      <c r="P503" t="s">
        <v>1649</v>
      </c>
      <c r="Q503" t="s">
        <v>1650</v>
      </c>
      <c r="R503" t="s">
        <v>2351</v>
      </c>
    </row>
    <row r="504" spans="1:18" x14ac:dyDescent="0.25">
      <c r="A504" t="s">
        <v>12335</v>
      </c>
      <c r="B504" t="s">
        <v>2389</v>
      </c>
      <c r="C504" t="str">
        <f>HYPERLINK("https://nematode.unl.edu/anaplec3.jpg")</f>
        <v>https://nematode.unl.edu/anaplec3.jpg</v>
      </c>
      <c r="D504" t="s">
        <v>43</v>
      </c>
      <c r="G504" t="s">
        <v>34</v>
      </c>
      <c r="H504" t="s">
        <v>18</v>
      </c>
      <c r="I504" t="s">
        <v>19</v>
      </c>
      <c r="J504" t="s">
        <v>1525</v>
      </c>
      <c r="L504" t="s">
        <v>1526</v>
      </c>
      <c r="M504" t="s">
        <v>2351</v>
      </c>
      <c r="N504" t="s">
        <v>2351</v>
      </c>
      <c r="O504" t="s">
        <v>23</v>
      </c>
      <c r="P504" t="s">
        <v>1649</v>
      </c>
      <c r="Q504" t="s">
        <v>1650</v>
      </c>
      <c r="R504" t="s">
        <v>2351</v>
      </c>
    </row>
    <row r="505" spans="1:18" x14ac:dyDescent="0.25">
      <c r="A505" t="s">
        <v>12370</v>
      </c>
      <c r="B505" t="s">
        <v>2390</v>
      </c>
      <c r="C505" t="str">
        <f>HYPERLINK("https://nematode.unl.edu/anaplec4.jpg")</f>
        <v>https://nematode.unl.edu/anaplec4.jpg</v>
      </c>
      <c r="D505" t="s">
        <v>43</v>
      </c>
      <c r="G505" t="s">
        <v>51</v>
      </c>
      <c r="I505" t="s">
        <v>19</v>
      </c>
      <c r="J505" t="s">
        <v>1525</v>
      </c>
      <c r="L505" t="s">
        <v>1526</v>
      </c>
      <c r="M505" t="s">
        <v>2351</v>
      </c>
      <c r="N505" t="s">
        <v>2351</v>
      </c>
      <c r="O505" t="s">
        <v>23</v>
      </c>
      <c r="P505" t="s">
        <v>1649</v>
      </c>
      <c r="Q505" t="s">
        <v>1650</v>
      </c>
      <c r="R505" t="s">
        <v>2351</v>
      </c>
    </row>
    <row r="506" spans="1:18" x14ac:dyDescent="0.25">
      <c r="A506" t="s">
        <v>12340</v>
      </c>
      <c r="B506" t="s">
        <v>2391</v>
      </c>
      <c r="C506" t="str">
        <f>HYPERLINK("https://nematode.unl.edu/anaplec5.jpg")</f>
        <v>https://nematode.unl.edu/anaplec5.jpg</v>
      </c>
      <c r="D506" t="s">
        <v>43</v>
      </c>
      <c r="G506" t="s">
        <v>905</v>
      </c>
      <c r="I506" t="s">
        <v>19</v>
      </c>
      <c r="J506" t="s">
        <v>1525</v>
      </c>
      <c r="L506" t="s">
        <v>1526</v>
      </c>
      <c r="M506" t="s">
        <v>2351</v>
      </c>
      <c r="N506" t="s">
        <v>2351</v>
      </c>
      <c r="O506" t="s">
        <v>23</v>
      </c>
      <c r="P506" t="s">
        <v>1649</v>
      </c>
      <c r="Q506" t="s">
        <v>1650</v>
      </c>
      <c r="R506" t="s">
        <v>2351</v>
      </c>
    </row>
    <row r="507" spans="1:18" x14ac:dyDescent="0.25">
      <c r="A507" t="s">
        <v>12336</v>
      </c>
      <c r="B507" t="s">
        <v>2392</v>
      </c>
      <c r="C507" t="str">
        <f>HYPERLINK("https://nematode.unl.edu/anaplec6.jpg")</f>
        <v>https://nematode.unl.edu/anaplec6.jpg</v>
      </c>
      <c r="D507" t="s">
        <v>43</v>
      </c>
      <c r="G507" t="s">
        <v>34</v>
      </c>
      <c r="H507" t="s">
        <v>18</v>
      </c>
      <c r="I507" t="s">
        <v>41</v>
      </c>
      <c r="J507" t="s">
        <v>1525</v>
      </c>
      <c r="L507" t="s">
        <v>1526</v>
      </c>
      <c r="M507" t="s">
        <v>2351</v>
      </c>
      <c r="N507" t="s">
        <v>2351</v>
      </c>
      <c r="O507" t="s">
        <v>23</v>
      </c>
      <c r="P507" t="s">
        <v>1649</v>
      </c>
      <c r="Q507" t="s">
        <v>1650</v>
      </c>
      <c r="R507" t="s">
        <v>2351</v>
      </c>
    </row>
    <row r="508" spans="1:18" x14ac:dyDescent="0.25">
      <c r="A508" t="s">
        <v>12325</v>
      </c>
      <c r="B508" t="s">
        <v>2393</v>
      </c>
      <c r="C508" t="str">
        <f>HYPERLINK("https://nematode.unl.edu/anaplec7.jpg")</f>
        <v>https://nematode.unl.edu/anaplec7.jpg</v>
      </c>
      <c r="D508" t="s">
        <v>43</v>
      </c>
      <c r="G508" t="s">
        <v>386</v>
      </c>
      <c r="H508" t="s">
        <v>18</v>
      </c>
      <c r="I508" t="s">
        <v>41</v>
      </c>
      <c r="J508" t="s">
        <v>1525</v>
      </c>
      <c r="L508" t="s">
        <v>1526</v>
      </c>
      <c r="M508" t="s">
        <v>2351</v>
      </c>
      <c r="N508" t="s">
        <v>2351</v>
      </c>
      <c r="O508" t="s">
        <v>23</v>
      </c>
      <c r="P508" t="s">
        <v>1649</v>
      </c>
      <c r="Q508" t="s">
        <v>1650</v>
      </c>
      <c r="R508" t="s">
        <v>2351</v>
      </c>
    </row>
    <row r="509" spans="1:18" x14ac:dyDescent="0.25">
      <c r="A509" t="s">
        <v>12343</v>
      </c>
      <c r="B509" t="s">
        <v>2394</v>
      </c>
      <c r="C509" t="str">
        <f>HYPERLINK("https://nematode.unl.edu/anaplec8.jpg")</f>
        <v>https://nematode.unl.edu/anaplec8.jpg</v>
      </c>
      <c r="D509" t="s">
        <v>43</v>
      </c>
      <c r="G509" t="s">
        <v>384</v>
      </c>
      <c r="I509" t="s">
        <v>41</v>
      </c>
      <c r="J509" t="s">
        <v>1525</v>
      </c>
      <c r="L509" t="s">
        <v>1526</v>
      </c>
      <c r="M509" t="s">
        <v>2351</v>
      </c>
      <c r="N509" t="s">
        <v>2351</v>
      </c>
      <c r="O509" t="s">
        <v>23</v>
      </c>
      <c r="P509" t="s">
        <v>1649</v>
      </c>
      <c r="Q509" t="s">
        <v>1650</v>
      </c>
      <c r="R509" t="s">
        <v>2351</v>
      </c>
    </row>
    <row r="510" spans="1:18" x14ac:dyDescent="0.25">
      <c r="A510" t="s">
        <v>12371</v>
      </c>
      <c r="B510" t="s">
        <v>2395</v>
      </c>
      <c r="C510" t="str">
        <f>HYPERLINK("https://nematode.unl.edu/anaplec9.jpg")</f>
        <v>https://nematode.unl.edu/anaplec9.jpg</v>
      </c>
      <c r="D510" t="s">
        <v>43</v>
      </c>
      <c r="G510" t="s">
        <v>51</v>
      </c>
      <c r="I510" t="s">
        <v>41</v>
      </c>
      <c r="J510" t="s">
        <v>1525</v>
      </c>
      <c r="L510" t="s">
        <v>1526</v>
      </c>
      <c r="M510" t="s">
        <v>2351</v>
      </c>
      <c r="N510" t="s">
        <v>2351</v>
      </c>
      <c r="O510" t="s">
        <v>23</v>
      </c>
      <c r="P510" t="s">
        <v>1649</v>
      </c>
      <c r="Q510" t="s">
        <v>1650</v>
      </c>
      <c r="R510" t="s">
        <v>2351</v>
      </c>
    </row>
    <row r="511" spans="1:18" x14ac:dyDescent="0.25">
      <c r="A511" t="s">
        <v>12337</v>
      </c>
      <c r="B511" t="s">
        <v>2396</v>
      </c>
      <c r="C511" t="str">
        <f>HYPERLINK("https://nematode.unl.edu/anaptus1.jpg")</f>
        <v>https://nematode.unl.edu/anaptus1.jpg</v>
      </c>
      <c r="D511" t="s">
        <v>43</v>
      </c>
      <c r="G511" t="s">
        <v>34</v>
      </c>
      <c r="H511" t="s">
        <v>18</v>
      </c>
      <c r="I511" t="s">
        <v>19</v>
      </c>
      <c r="J511" t="s">
        <v>46</v>
      </c>
      <c r="M511" t="s">
        <v>2351</v>
      </c>
      <c r="N511" t="s">
        <v>2351</v>
      </c>
      <c r="O511" t="s">
        <v>23</v>
      </c>
      <c r="P511" t="s">
        <v>1649</v>
      </c>
      <c r="Q511" t="s">
        <v>1650</v>
      </c>
      <c r="R511" t="s">
        <v>2351</v>
      </c>
    </row>
    <row r="512" spans="1:18" x14ac:dyDescent="0.25">
      <c r="A512" t="s">
        <v>12344</v>
      </c>
      <c r="B512" t="s">
        <v>2397</v>
      </c>
      <c r="C512" t="str">
        <f>HYPERLINK("https://nematode.unl.edu/anaptus2.jpg")</f>
        <v>https://nematode.unl.edu/anaptus2.jpg</v>
      </c>
      <c r="D512" t="s">
        <v>43</v>
      </c>
      <c r="G512" t="s">
        <v>87</v>
      </c>
      <c r="I512" t="s">
        <v>19</v>
      </c>
      <c r="J512" t="s">
        <v>46</v>
      </c>
      <c r="M512" t="s">
        <v>2351</v>
      </c>
      <c r="N512" t="s">
        <v>2351</v>
      </c>
      <c r="O512" t="s">
        <v>23</v>
      </c>
      <c r="P512" t="s">
        <v>1649</v>
      </c>
      <c r="Q512" t="s">
        <v>1650</v>
      </c>
      <c r="R512" t="s">
        <v>2351</v>
      </c>
    </row>
    <row r="513" spans="1:18" x14ac:dyDescent="0.25">
      <c r="A513" t="s">
        <v>12351</v>
      </c>
      <c r="B513" t="s">
        <v>2398</v>
      </c>
      <c r="C513" t="str">
        <f>HYPERLINK("https://nematode.unl.edu/anaptus3.jpg")</f>
        <v>https://nematode.unl.edu/anaptus3.jpg</v>
      </c>
      <c r="D513" t="s">
        <v>43</v>
      </c>
      <c r="G513" t="s">
        <v>44</v>
      </c>
      <c r="I513" t="s">
        <v>137</v>
      </c>
      <c r="J513" t="s">
        <v>46</v>
      </c>
      <c r="L513" t="s">
        <v>105</v>
      </c>
      <c r="M513" t="s">
        <v>2351</v>
      </c>
      <c r="N513" t="s">
        <v>2351</v>
      </c>
      <c r="O513" t="s">
        <v>23</v>
      </c>
      <c r="P513" t="s">
        <v>1649</v>
      </c>
      <c r="Q513" t="s">
        <v>1650</v>
      </c>
      <c r="R513" t="s">
        <v>2351</v>
      </c>
    </row>
    <row r="514" spans="1:18" x14ac:dyDescent="0.25">
      <c r="A514" t="s">
        <v>12338</v>
      </c>
      <c r="B514" t="s">
        <v>2399</v>
      </c>
      <c r="C514" t="str">
        <f>HYPERLINK("https://nematode.unl.edu/anaptus4.jpg")</f>
        <v>https://nematode.unl.edu/anaptus4.jpg</v>
      </c>
      <c r="D514" t="s">
        <v>43</v>
      </c>
      <c r="G514" t="s">
        <v>34</v>
      </c>
      <c r="H514" t="s">
        <v>18</v>
      </c>
      <c r="I514" t="s">
        <v>137</v>
      </c>
      <c r="J514" t="s">
        <v>46</v>
      </c>
      <c r="L514" t="s">
        <v>105</v>
      </c>
      <c r="M514" t="s">
        <v>2351</v>
      </c>
      <c r="N514" t="s">
        <v>2351</v>
      </c>
      <c r="O514" t="s">
        <v>23</v>
      </c>
      <c r="P514" t="s">
        <v>1649</v>
      </c>
      <c r="Q514" t="s">
        <v>1650</v>
      </c>
      <c r="R514" t="s">
        <v>2351</v>
      </c>
    </row>
    <row r="515" spans="1:18" x14ac:dyDescent="0.25">
      <c r="A515" t="s">
        <v>12372</v>
      </c>
      <c r="B515" t="s">
        <v>2400</v>
      </c>
      <c r="C515" t="str">
        <f>HYPERLINK("https://nematode.unl.edu/anaptus5.jpg")</f>
        <v>https://nematode.unl.edu/anaptus5.jpg</v>
      </c>
      <c r="D515" t="s">
        <v>43</v>
      </c>
      <c r="G515" t="s">
        <v>51</v>
      </c>
      <c r="I515" t="s">
        <v>137</v>
      </c>
      <c r="J515" t="s">
        <v>46</v>
      </c>
      <c r="M515" t="s">
        <v>2351</v>
      </c>
      <c r="N515" t="s">
        <v>2351</v>
      </c>
      <c r="O515" t="s">
        <v>23</v>
      </c>
      <c r="P515" t="s">
        <v>1649</v>
      </c>
      <c r="Q515" t="s">
        <v>1650</v>
      </c>
      <c r="R515" t="s">
        <v>2351</v>
      </c>
    </row>
    <row r="516" spans="1:18" x14ac:dyDescent="0.25">
      <c r="A516" t="s">
        <v>12365</v>
      </c>
      <c r="B516" t="s">
        <v>2401</v>
      </c>
      <c r="C516" t="str">
        <f>HYPERLINK("https://nematode.unl.edu/anaptus6.jpg")</f>
        <v>https://nematode.unl.edu/anaptus6.jpg</v>
      </c>
      <c r="D516" t="s">
        <v>43</v>
      </c>
      <c r="G516" t="s">
        <v>28</v>
      </c>
      <c r="I516" t="s">
        <v>137</v>
      </c>
      <c r="J516" t="s">
        <v>46</v>
      </c>
      <c r="L516" t="s">
        <v>105</v>
      </c>
      <c r="M516" t="s">
        <v>2351</v>
      </c>
      <c r="N516" t="s">
        <v>2351</v>
      </c>
      <c r="O516" t="s">
        <v>23</v>
      </c>
      <c r="P516" t="s">
        <v>1649</v>
      </c>
      <c r="Q516" t="s">
        <v>1650</v>
      </c>
      <c r="R516" t="s">
        <v>2351</v>
      </c>
    </row>
    <row r="517" spans="1:18" x14ac:dyDescent="0.25">
      <c r="A517" t="s">
        <v>12339</v>
      </c>
      <c r="B517" t="s">
        <v>2402</v>
      </c>
      <c r="C517" t="str">
        <f>HYPERLINK("https://nematode.unl.edu/anaptus7.jpg")</f>
        <v>https://nematode.unl.edu/anaptus7.jpg</v>
      </c>
      <c r="D517" t="s">
        <v>43</v>
      </c>
      <c r="G517" t="s">
        <v>34</v>
      </c>
      <c r="H517" t="s">
        <v>18</v>
      </c>
      <c r="I517" t="s">
        <v>19</v>
      </c>
      <c r="J517" t="s">
        <v>46</v>
      </c>
      <c r="L517" t="s">
        <v>105</v>
      </c>
      <c r="M517" t="s">
        <v>2351</v>
      </c>
      <c r="N517" t="s">
        <v>2351</v>
      </c>
      <c r="O517" t="s">
        <v>23</v>
      </c>
      <c r="P517" t="s">
        <v>1649</v>
      </c>
      <c r="Q517" t="s">
        <v>1650</v>
      </c>
      <c r="R517" t="s">
        <v>2351</v>
      </c>
    </row>
    <row r="518" spans="1:18" x14ac:dyDescent="0.25">
      <c r="A518" t="s">
        <v>12366</v>
      </c>
      <c r="B518" t="s">
        <v>2403</v>
      </c>
      <c r="C518" t="str">
        <f>HYPERLINK("https://nematode.unl.edu/anaptus8.jpg")</f>
        <v>https://nematode.unl.edu/anaptus8.jpg</v>
      </c>
      <c r="D518" t="s">
        <v>43</v>
      </c>
      <c r="G518" t="s">
        <v>28</v>
      </c>
      <c r="I518" t="s">
        <v>19</v>
      </c>
      <c r="J518" t="s">
        <v>46</v>
      </c>
      <c r="L518" t="s">
        <v>105</v>
      </c>
      <c r="M518" t="s">
        <v>2351</v>
      </c>
      <c r="N518" t="s">
        <v>2351</v>
      </c>
      <c r="O518" t="s">
        <v>23</v>
      </c>
      <c r="P518" t="s">
        <v>1649</v>
      </c>
      <c r="Q518" t="s">
        <v>1650</v>
      </c>
      <c r="R518" t="s">
        <v>2351</v>
      </c>
    </row>
    <row r="519" spans="1:18" x14ac:dyDescent="0.25">
      <c r="A519" t="s">
        <v>12748</v>
      </c>
      <c r="B519" t="s">
        <v>2427</v>
      </c>
      <c r="C519" t="str">
        <f>HYPERLINK("https://nematode.unl.edu/anguipa1.jpg")</f>
        <v>https://nematode.unl.edu/anguipa1.jpg</v>
      </c>
      <c r="D519" t="s">
        <v>16</v>
      </c>
      <c r="G519" t="s">
        <v>44</v>
      </c>
      <c r="I519" t="s">
        <v>91</v>
      </c>
      <c r="J519" t="s">
        <v>2428</v>
      </c>
      <c r="M519" t="s">
        <v>2429</v>
      </c>
      <c r="N519" t="s">
        <v>2429</v>
      </c>
      <c r="O519" t="s">
        <v>23</v>
      </c>
      <c r="P519" t="s">
        <v>24</v>
      </c>
      <c r="Q519" t="s">
        <v>712</v>
      </c>
      <c r="R519" t="s">
        <v>2407</v>
      </c>
    </row>
    <row r="520" spans="1:18" x14ac:dyDescent="0.25">
      <c r="A520" t="s">
        <v>12749</v>
      </c>
      <c r="B520" t="s">
        <v>2430</v>
      </c>
      <c r="C520" t="str">
        <f>HYPERLINK("https://nematode.unl.edu/anguipa2.jpg")</f>
        <v>https://nematode.unl.edu/anguipa2.jpg</v>
      </c>
      <c r="D520" t="s">
        <v>16</v>
      </c>
      <c r="G520" t="s">
        <v>44</v>
      </c>
      <c r="I520" t="s">
        <v>45</v>
      </c>
      <c r="J520" t="s">
        <v>2428</v>
      </c>
      <c r="M520" t="s">
        <v>2429</v>
      </c>
      <c r="N520" t="s">
        <v>2429</v>
      </c>
      <c r="O520" t="s">
        <v>23</v>
      </c>
      <c r="P520" t="s">
        <v>24</v>
      </c>
      <c r="Q520" t="s">
        <v>712</v>
      </c>
      <c r="R520" t="s">
        <v>2407</v>
      </c>
    </row>
    <row r="521" spans="1:18" x14ac:dyDescent="0.25">
      <c r="A521" t="s">
        <v>12750</v>
      </c>
      <c r="B521" t="s">
        <v>2431</v>
      </c>
      <c r="C521" t="str">
        <f>HYPERLINK("https://nematode.unl.edu/anguipa3.jpg")</f>
        <v>https://nematode.unl.edu/anguipa3.jpg</v>
      </c>
      <c r="D521" t="s">
        <v>16</v>
      </c>
      <c r="G521" t="s">
        <v>44</v>
      </c>
      <c r="I521" t="s">
        <v>45</v>
      </c>
      <c r="J521" t="s">
        <v>2428</v>
      </c>
      <c r="M521" t="s">
        <v>2429</v>
      </c>
      <c r="N521" t="s">
        <v>2429</v>
      </c>
      <c r="O521" t="s">
        <v>23</v>
      </c>
      <c r="P521" t="s">
        <v>24</v>
      </c>
      <c r="Q521" t="s">
        <v>712</v>
      </c>
      <c r="R521" t="s">
        <v>2407</v>
      </c>
    </row>
    <row r="522" spans="1:18" x14ac:dyDescent="0.25">
      <c r="A522" t="s">
        <v>12751</v>
      </c>
      <c r="B522" t="s">
        <v>2432</v>
      </c>
      <c r="C522" t="str">
        <f>HYPERLINK("https://nematode.unl.edu/anguipa4.jpg")</f>
        <v>https://nematode.unl.edu/anguipa4.jpg</v>
      </c>
      <c r="D522" t="s">
        <v>16</v>
      </c>
      <c r="G522" t="s">
        <v>44</v>
      </c>
      <c r="I522" t="s">
        <v>137</v>
      </c>
      <c r="J522" t="s">
        <v>2428</v>
      </c>
      <c r="M522" t="s">
        <v>2429</v>
      </c>
      <c r="N522" t="s">
        <v>2429</v>
      </c>
      <c r="O522" t="s">
        <v>23</v>
      </c>
      <c r="P522" t="s">
        <v>24</v>
      </c>
      <c r="Q522" t="s">
        <v>712</v>
      </c>
      <c r="R522" t="s">
        <v>2407</v>
      </c>
    </row>
    <row r="523" spans="1:18" x14ac:dyDescent="0.25">
      <c r="A523" t="s">
        <v>12746</v>
      </c>
      <c r="B523" t="s">
        <v>2433</v>
      </c>
      <c r="C523" t="str">
        <f>HYPERLINK("https://nematode.unl.edu/anguipa5.jpg")</f>
        <v>https://nematode.unl.edu/anguipa5.jpg</v>
      </c>
      <c r="D523" t="s">
        <v>16</v>
      </c>
      <c r="G523" t="s">
        <v>96</v>
      </c>
      <c r="H523" t="s">
        <v>18</v>
      </c>
      <c r="I523" t="s">
        <v>19</v>
      </c>
      <c r="J523" t="s">
        <v>2428</v>
      </c>
      <c r="M523" t="s">
        <v>2429</v>
      </c>
      <c r="N523" t="s">
        <v>2429</v>
      </c>
      <c r="O523" t="s">
        <v>23</v>
      </c>
      <c r="P523" t="s">
        <v>24</v>
      </c>
      <c r="Q523" t="s">
        <v>712</v>
      </c>
      <c r="R523" t="s">
        <v>2407</v>
      </c>
    </row>
    <row r="524" spans="1:18" x14ac:dyDescent="0.25">
      <c r="A524" t="s">
        <v>12747</v>
      </c>
      <c r="B524" t="s">
        <v>2434</v>
      </c>
      <c r="C524" t="str">
        <f>HYPERLINK("https://nematode.unl.edu/anguipa6.jpg")</f>
        <v>https://nematode.unl.edu/anguipa6.jpg</v>
      </c>
      <c r="D524" t="s">
        <v>16</v>
      </c>
      <c r="G524" t="s">
        <v>96</v>
      </c>
      <c r="H524" t="s">
        <v>18</v>
      </c>
      <c r="I524" t="s">
        <v>19</v>
      </c>
      <c r="J524" t="s">
        <v>2428</v>
      </c>
      <c r="M524" t="s">
        <v>2429</v>
      </c>
      <c r="N524" t="s">
        <v>2429</v>
      </c>
      <c r="O524" t="s">
        <v>23</v>
      </c>
      <c r="P524" t="s">
        <v>24</v>
      </c>
      <c r="Q524" t="s">
        <v>712</v>
      </c>
      <c r="R524" t="s">
        <v>2407</v>
      </c>
    </row>
    <row r="525" spans="1:18" x14ac:dyDescent="0.25">
      <c r="A525" t="s">
        <v>12756</v>
      </c>
      <c r="B525" t="s">
        <v>2435</v>
      </c>
      <c r="C525" t="str">
        <f>HYPERLINK("https://nematode.unl.edu/antriti1.jpg")</f>
        <v>https://nematode.unl.edu/antriti1.jpg</v>
      </c>
      <c r="D525" t="s">
        <v>16</v>
      </c>
      <c r="G525" t="s">
        <v>44</v>
      </c>
      <c r="I525" t="s">
        <v>91</v>
      </c>
      <c r="J525" t="s">
        <v>2436</v>
      </c>
      <c r="M525" t="s">
        <v>2437</v>
      </c>
      <c r="N525" t="s">
        <v>2437</v>
      </c>
      <c r="O525" t="s">
        <v>23</v>
      </c>
      <c r="P525" t="s">
        <v>24</v>
      </c>
      <c r="Q525" t="s">
        <v>712</v>
      </c>
      <c r="R525" t="s">
        <v>2407</v>
      </c>
    </row>
    <row r="526" spans="1:18" x14ac:dyDescent="0.25">
      <c r="A526" t="s">
        <v>12753</v>
      </c>
      <c r="B526" t="s">
        <v>2438</v>
      </c>
      <c r="C526" t="str">
        <f>HYPERLINK("https://nematode.unl.edu/antriti10.jpg")</f>
        <v>https://nematode.unl.edu/antriti10.jpg</v>
      </c>
      <c r="D526" t="s">
        <v>16</v>
      </c>
      <c r="G526" t="s">
        <v>34</v>
      </c>
      <c r="H526" t="s">
        <v>18</v>
      </c>
      <c r="I526" t="s">
        <v>19</v>
      </c>
      <c r="J526" t="s">
        <v>2436</v>
      </c>
      <c r="M526" t="s">
        <v>2437</v>
      </c>
      <c r="N526" t="s">
        <v>2437</v>
      </c>
      <c r="O526" t="s">
        <v>23</v>
      </c>
      <c r="P526" t="s">
        <v>24</v>
      </c>
      <c r="Q526" t="s">
        <v>712</v>
      </c>
      <c r="R526" t="s">
        <v>2407</v>
      </c>
    </row>
    <row r="527" spans="1:18" x14ac:dyDescent="0.25">
      <c r="A527" t="s">
        <v>12763</v>
      </c>
      <c r="B527" t="s">
        <v>2439</v>
      </c>
      <c r="C527" t="str">
        <f>HYPERLINK("https://nematode.unl.edu/antriti11.jpg")</f>
        <v>https://nematode.unl.edu/antriti11.jpg</v>
      </c>
      <c r="D527" t="s">
        <v>16</v>
      </c>
      <c r="G527" t="s">
        <v>28</v>
      </c>
      <c r="I527" t="s">
        <v>19</v>
      </c>
      <c r="J527" t="s">
        <v>2436</v>
      </c>
      <c r="M527" t="s">
        <v>2437</v>
      </c>
      <c r="N527" t="s">
        <v>2437</v>
      </c>
      <c r="O527" t="s">
        <v>23</v>
      </c>
      <c r="P527" t="s">
        <v>24</v>
      </c>
      <c r="Q527" t="s">
        <v>712</v>
      </c>
      <c r="R527" t="s">
        <v>2407</v>
      </c>
    </row>
    <row r="528" spans="1:18" x14ac:dyDescent="0.25">
      <c r="A528" t="s">
        <v>12764</v>
      </c>
      <c r="B528" t="s">
        <v>2440</v>
      </c>
      <c r="C528" t="str">
        <f>HYPERLINK("https://nematode.unl.edu/antriti12.jpg")</f>
        <v>https://nematode.unl.edu/antriti12.jpg</v>
      </c>
      <c r="D528" t="s">
        <v>16</v>
      </c>
      <c r="G528" t="s">
        <v>28</v>
      </c>
      <c r="I528" t="s">
        <v>19</v>
      </c>
      <c r="J528" t="s">
        <v>2436</v>
      </c>
      <c r="M528" t="s">
        <v>2437</v>
      </c>
      <c r="N528" t="s">
        <v>2437</v>
      </c>
      <c r="O528" t="s">
        <v>23</v>
      </c>
      <c r="P528" t="s">
        <v>24</v>
      </c>
      <c r="Q528" t="s">
        <v>712</v>
      </c>
      <c r="R528" t="s">
        <v>2407</v>
      </c>
    </row>
    <row r="529" spans="1:18" x14ac:dyDescent="0.25">
      <c r="A529" t="s">
        <v>12754</v>
      </c>
      <c r="B529" t="s">
        <v>2441</v>
      </c>
      <c r="C529" t="str">
        <f>HYPERLINK("https://nematode.unl.edu/antriti13.jpg")</f>
        <v>https://nematode.unl.edu/antriti13.jpg</v>
      </c>
      <c r="D529" t="s">
        <v>16</v>
      </c>
      <c r="G529" t="s">
        <v>34</v>
      </c>
      <c r="H529" t="s">
        <v>18</v>
      </c>
      <c r="I529" t="s">
        <v>19</v>
      </c>
      <c r="J529" t="s">
        <v>2436</v>
      </c>
      <c r="M529" t="s">
        <v>2437</v>
      </c>
      <c r="N529" t="s">
        <v>2437</v>
      </c>
      <c r="O529" t="s">
        <v>23</v>
      </c>
      <c r="P529" t="s">
        <v>24</v>
      </c>
      <c r="Q529" t="s">
        <v>712</v>
      </c>
      <c r="R529" t="s">
        <v>2407</v>
      </c>
    </row>
    <row r="530" spans="1:18" x14ac:dyDescent="0.25">
      <c r="A530" t="s">
        <v>12752</v>
      </c>
      <c r="B530" t="s">
        <v>2442</v>
      </c>
      <c r="C530" t="str">
        <f>HYPERLINK("https://nematode.unl.edu/antriti14.jpg")</f>
        <v>https://nematode.unl.edu/antriti14.jpg</v>
      </c>
      <c r="D530" t="s">
        <v>16</v>
      </c>
      <c r="G530" t="s">
        <v>96</v>
      </c>
      <c r="H530" t="s">
        <v>18</v>
      </c>
      <c r="I530" t="s">
        <v>19</v>
      </c>
      <c r="J530" t="s">
        <v>2436</v>
      </c>
      <c r="M530" t="s">
        <v>2437</v>
      </c>
      <c r="N530" t="s">
        <v>2437</v>
      </c>
      <c r="O530" t="s">
        <v>23</v>
      </c>
      <c r="P530" t="s">
        <v>24</v>
      </c>
      <c r="Q530" t="s">
        <v>712</v>
      </c>
      <c r="R530" t="s">
        <v>2407</v>
      </c>
    </row>
    <row r="531" spans="1:18" x14ac:dyDescent="0.25">
      <c r="A531" t="s">
        <v>12765</v>
      </c>
      <c r="B531" t="s">
        <v>2443</v>
      </c>
      <c r="C531" t="str">
        <f>HYPERLINK("https://nematode.unl.edu/antriti15.jpg")</f>
        <v>https://nematode.unl.edu/antriti15.jpg</v>
      </c>
      <c r="D531" t="s">
        <v>16</v>
      </c>
      <c r="G531" t="s">
        <v>28</v>
      </c>
      <c r="I531" t="s">
        <v>19</v>
      </c>
      <c r="J531" t="s">
        <v>2436</v>
      </c>
      <c r="M531" t="s">
        <v>2437</v>
      </c>
      <c r="N531" t="s">
        <v>2437</v>
      </c>
      <c r="O531" t="s">
        <v>23</v>
      </c>
      <c r="P531" t="s">
        <v>24</v>
      </c>
      <c r="Q531" t="s">
        <v>712</v>
      </c>
      <c r="R531" t="s">
        <v>2407</v>
      </c>
    </row>
    <row r="532" spans="1:18" x14ac:dyDescent="0.25">
      <c r="A532" t="s">
        <v>12757</v>
      </c>
      <c r="B532" t="s">
        <v>2444</v>
      </c>
      <c r="C532" t="str">
        <f>HYPERLINK("https://nematode.unl.edu/antriti2.jpg")</f>
        <v>https://nematode.unl.edu/antriti2.jpg</v>
      </c>
      <c r="D532" t="s">
        <v>16</v>
      </c>
      <c r="G532" t="s">
        <v>44</v>
      </c>
      <c r="I532" t="s">
        <v>91</v>
      </c>
      <c r="J532" t="s">
        <v>2436</v>
      </c>
      <c r="M532" t="s">
        <v>2437</v>
      </c>
      <c r="N532" t="s">
        <v>2437</v>
      </c>
      <c r="O532" t="s">
        <v>23</v>
      </c>
      <c r="P532" t="s">
        <v>24</v>
      </c>
      <c r="Q532" t="s">
        <v>712</v>
      </c>
      <c r="R532" t="s">
        <v>2407</v>
      </c>
    </row>
    <row r="533" spans="1:18" x14ac:dyDescent="0.25">
      <c r="A533" t="s">
        <v>12758</v>
      </c>
      <c r="B533" t="s">
        <v>2445</v>
      </c>
      <c r="C533" t="str">
        <f>HYPERLINK("https://nematode.unl.edu/antriti3.jpg")</f>
        <v>https://nematode.unl.edu/antriti3.jpg</v>
      </c>
      <c r="D533" t="s">
        <v>16</v>
      </c>
      <c r="G533" t="s">
        <v>44</v>
      </c>
      <c r="I533" t="s">
        <v>91</v>
      </c>
      <c r="J533" t="s">
        <v>2436</v>
      </c>
      <c r="M533" t="s">
        <v>2437</v>
      </c>
      <c r="N533" t="s">
        <v>2437</v>
      </c>
      <c r="O533" t="s">
        <v>23</v>
      </c>
      <c r="P533" t="s">
        <v>24</v>
      </c>
      <c r="Q533" t="s">
        <v>712</v>
      </c>
      <c r="R533" t="s">
        <v>2407</v>
      </c>
    </row>
    <row r="534" spans="1:18" x14ac:dyDescent="0.25">
      <c r="A534" t="s">
        <v>12759</v>
      </c>
      <c r="B534" t="s">
        <v>2446</v>
      </c>
      <c r="C534" t="str">
        <f>HYPERLINK("https://nematode.unl.edu/antriti4.jpg")</f>
        <v>https://nematode.unl.edu/antriti4.jpg</v>
      </c>
      <c r="D534" t="s">
        <v>16</v>
      </c>
      <c r="G534" t="s">
        <v>44</v>
      </c>
      <c r="I534" t="s">
        <v>91</v>
      </c>
      <c r="J534" t="s">
        <v>2436</v>
      </c>
      <c r="M534" t="s">
        <v>2437</v>
      </c>
      <c r="N534" t="s">
        <v>2437</v>
      </c>
      <c r="O534" t="s">
        <v>23</v>
      </c>
      <c r="P534" t="s">
        <v>24</v>
      </c>
      <c r="Q534" t="s">
        <v>712</v>
      </c>
      <c r="R534" t="s">
        <v>2407</v>
      </c>
    </row>
    <row r="535" spans="1:18" x14ac:dyDescent="0.25">
      <c r="A535" t="s">
        <v>12760</v>
      </c>
      <c r="B535" t="s">
        <v>2447</v>
      </c>
      <c r="C535" t="str">
        <f>HYPERLINK("https://nematode.unl.edu/antriti5.jpg")</f>
        <v>https://nematode.unl.edu/antriti5.jpg</v>
      </c>
      <c r="D535" t="s">
        <v>16</v>
      </c>
      <c r="G535" t="s">
        <v>44</v>
      </c>
      <c r="I535" t="s">
        <v>45</v>
      </c>
      <c r="J535" t="s">
        <v>2436</v>
      </c>
      <c r="M535" t="s">
        <v>2437</v>
      </c>
      <c r="N535" t="s">
        <v>2437</v>
      </c>
      <c r="O535" t="s">
        <v>23</v>
      </c>
      <c r="P535" t="s">
        <v>24</v>
      </c>
      <c r="Q535" t="s">
        <v>712</v>
      </c>
      <c r="R535" t="s">
        <v>2407</v>
      </c>
    </row>
    <row r="536" spans="1:18" x14ac:dyDescent="0.25">
      <c r="A536" t="s">
        <v>12761</v>
      </c>
      <c r="B536" t="s">
        <v>2448</v>
      </c>
      <c r="C536" t="str">
        <f>HYPERLINK("https://nematode.unl.edu/antriti6.jpg")</f>
        <v>https://nematode.unl.edu/antriti6.jpg</v>
      </c>
      <c r="D536" t="s">
        <v>16</v>
      </c>
      <c r="G536" t="s">
        <v>44</v>
      </c>
      <c r="I536" t="s">
        <v>45</v>
      </c>
      <c r="J536" t="s">
        <v>2436</v>
      </c>
      <c r="M536" t="s">
        <v>2437</v>
      </c>
      <c r="N536" t="s">
        <v>2437</v>
      </c>
      <c r="O536" t="s">
        <v>23</v>
      </c>
      <c r="P536" t="s">
        <v>24</v>
      </c>
      <c r="Q536" t="s">
        <v>712</v>
      </c>
      <c r="R536" t="s">
        <v>2407</v>
      </c>
    </row>
    <row r="537" spans="1:18" x14ac:dyDescent="0.25">
      <c r="A537" t="s">
        <v>12762</v>
      </c>
      <c r="B537" t="s">
        <v>2449</v>
      </c>
      <c r="C537" t="str">
        <f>HYPERLINK("https://nematode.unl.edu/antriti7.jpg")</f>
        <v>https://nematode.unl.edu/antriti7.jpg</v>
      </c>
      <c r="D537" t="s">
        <v>16</v>
      </c>
      <c r="G537" t="s">
        <v>44</v>
      </c>
      <c r="I537" t="s">
        <v>45</v>
      </c>
      <c r="J537" t="s">
        <v>2436</v>
      </c>
      <c r="M537" t="s">
        <v>2437</v>
      </c>
      <c r="N537" t="s">
        <v>2437</v>
      </c>
      <c r="O537" t="s">
        <v>23</v>
      </c>
      <c r="P537" t="s">
        <v>24</v>
      </c>
      <c r="Q537" t="s">
        <v>712</v>
      </c>
      <c r="R537" t="s">
        <v>2407</v>
      </c>
    </row>
    <row r="538" spans="1:18" x14ac:dyDescent="0.25">
      <c r="A538" t="s">
        <v>12755</v>
      </c>
      <c r="B538" t="s">
        <v>2450</v>
      </c>
      <c r="C538" t="str">
        <f>HYPERLINK("https://nematode.unl.edu/antriti8.jpg")</f>
        <v>https://nematode.unl.edu/antriti8.jpg</v>
      </c>
      <c r="D538" t="s">
        <v>16</v>
      </c>
      <c r="G538" t="s">
        <v>34</v>
      </c>
      <c r="H538" t="s">
        <v>18</v>
      </c>
      <c r="I538" t="s">
        <v>137</v>
      </c>
      <c r="J538" t="s">
        <v>2436</v>
      </c>
      <c r="M538" t="s">
        <v>2437</v>
      </c>
      <c r="N538" t="s">
        <v>2437</v>
      </c>
      <c r="O538" t="s">
        <v>23</v>
      </c>
      <c r="P538" t="s">
        <v>24</v>
      </c>
      <c r="Q538" t="s">
        <v>712</v>
      </c>
      <c r="R538" t="s">
        <v>2407</v>
      </c>
    </row>
    <row r="539" spans="1:18" x14ac:dyDescent="0.25">
      <c r="A539" t="s">
        <v>12766</v>
      </c>
      <c r="B539" t="s">
        <v>2451</v>
      </c>
      <c r="C539" t="str">
        <f>HYPERLINK("https://nematode.unl.edu/antriti9.jpg")</f>
        <v>https://nematode.unl.edu/antriti9.jpg</v>
      </c>
      <c r="D539" t="s">
        <v>16</v>
      </c>
      <c r="G539" t="s">
        <v>28</v>
      </c>
      <c r="I539" t="s">
        <v>137</v>
      </c>
      <c r="J539" t="s">
        <v>2436</v>
      </c>
      <c r="M539" t="s">
        <v>2437</v>
      </c>
      <c r="N539" t="s">
        <v>2437</v>
      </c>
      <c r="O539" t="s">
        <v>23</v>
      </c>
      <c r="P539" t="s">
        <v>24</v>
      </c>
      <c r="Q539" t="s">
        <v>712</v>
      </c>
      <c r="R539" t="s">
        <v>2407</v>
      </c>
    </row>
    <row r="540" spans="1:18" x14ac:dyDescent="0.25">
      <c r="A540" t="s">
        <v>19030</v>
      </c>
      <c r="B540" t="s">
        <v>155</v>
      </c>
      <c r="C540" t="str">
        <f>HYPERLINK("https://nematode.unl.edu/aobcmp.jpg")</f>
        <v>https://nematode.unl.edu/aobcmp.jpg</v>
      </c>
      <c r="G540" t="s">
        <v>108</v>
      </c>
      <c r="M540" t="s">
        <v>156</v>
      </c>
      <c r="N540" t="s">
        <v>135</v>
      </c>
      <c r="O540" t="s">
        <v>73</v>
      </c>
      <c r="P540" t="s">
        <v>81</v>
      </c>
      <c r="Q540" t="s">
        <v>119</v>
      </c>
      <c r="R540" t="s">
        <v>118</v>
      </c>
    </row>
    <row r="541" spans="1:18" x14ac:dyDescent="0.25">
      <c r="A541" t="s">
        <v>19136</v>
      </c>
      <c r="B541" t="s">
        <v>133</v>
      </c>
      <c r="C541" t="str">
        <f>HYPERLINK("https://nematode.unl.edu/aobtu1.jpg")</f>
        <v>https://nematode.unl.edu/aobtu1.jpg</v>
      </c>
      <c r="D541" t="s">
        <v>43</v>
      </c>
      <c r="G541" t="s">
        <v>44</v>
      </c>
      <c r="I541" t="s">
        <v>45</v>
      </c>
      <c r="J541" t="s">
        <v>20</v>
      </c>
      <c r="L541" t="s">
        <v>64</v>
      </c>
      <c r="M541" t="s">
        <v>134</v>
      </c>
      <c r="N541" t="s">
        <v>135</v>
      </c>
      <c r="O541" t="s">
        <v>73</v>
      </c>
      <c r="P541" t="s">
        <v>81</v>
      </c>
      <c r="Q541" t="s">
        <v>119</v>
      </c>
      <c r="R541" t="s">
        <v>118</v>
      </c>
    </row>
    <row r="542" spans="1:18" x14ac:dyDescent="0.25">
      <c r="A542" t="s">
        <v>19130</v>
      </c>
      <c r="B542" t="s">
        <v>136</v>
      </c>
      <c r="C542" t="str">
        <f>HYPERLINK("https://nematode.unl.edu/aobtu10.jpg")</f>
        <v>https://nematode.unl.edu/aobtu10.jpg</v>
      </c>
      <c r="D542" t="s">
        <v>16</v>
      </c>
      <c r="G542" t="s">
        <v>34</v>
      </c>
      <c r="H542" t="s">
        <v>18</v>
      </c>
      <c r="I542" t="s">
        <v>137</v>
      </c>
      <c r="J542" t="s">
        <v>20</v>
      </c>
      <c r="L542" t="s">
        <v>138</v>
      </c>
      <c r="M542" t="s">
        <v>134</v>
      </c>
      <c r="N542" t="s">
        <v>135</v>
      </c>
      <c r="O542" t="s">
        <v>73</v>
      </c>
      <c r="P542" t="s">
        <v>81</v>
      </c>
      <c r="Q542" t="s">
        <v>119</v>
      </c>
      <c r="R542" t="s">
        <v>118</v>
      </c>
    </row>
    <row r="543" spans="1:18" x14ac:dyDescent="0.25">
      <c r="A543" t="s">
        <v>19138</v>
      </c>
      <c r="B543" t="s">
        <v>139</v>
      </c>
      <c r="C543" t="str">
        <f>HYPERLINK("https://nematode.unl.edu/aobtu11.jpg")</f>
        <v>https://nematode.unl.edu/aobtu11.jpg</v>
      </c>
      <c r="D543" t="s">
        <v>16</v>
      </c>
      <c r="G543" t="s">
        <v>28</v>
      </c>
      <c r="I543" t="s">
        <v>137</v>
      </c>
      <c r="J543" t="s">
        <v>20</v>
      </c>
      <c r="M543" t="s">
        <v>134</v>
      </c>
      <c r="N543" t="s">
        <v>135</v>
      </c>
      <c r="O543" t="s">
        <v>73</v>
      </c>
      <c r="P543" t="s">
        <v>81</v>
      </c>
      <c r="Q543" t="s">
        <v>119</v>
      </c>
      <c r="R543" t="s">
        <v>118</v>
      </c>
    </row>
    <row r="544" spans="1:18" x14ac:dyDescent="0.25">
      <c r="A544" t="s">
        <v>19139</v>
      </c>
      <c r="B544" t="s">
        <v>140</v>
      </c>
      <c r="C544" t="str">
        <f>HYPERLINK("https://nematode.unl.edu/aobtu12.jpg")</f>
        <v>https://nematode.unl.edu/aobtu12.jpg</v>
      </c>
      <c r="D544" t="s">
        <v>16</v>
      </c>
      <c r="G544" t="s">
        <v>28</v>
      </c>
      <c r="I544" t="s">
        <v>19</v>
      </c>
      <c r="J544" t="s">
        <v>20</v>
      </c>
      <c r="L544" t="s">
        <v>141</v>
      </c>
      <c r="M544" t="s">
        <v>134</v>
      </c>
      <c r="N544" t="s">
        <v>135</v>
      </c>
      <c r="O544" t="s">
        <v>73</v>
      </c>
      <c r="P544" t="s">
        <v>81</v>
      </c>
      <c r="Q544" t="s">
        <v>119</v>
      </c>
      <c r="R544" t="s">
        <v>118</v>
      </c>
    </row>
    <row r="545" spans="1:18" x14ac:dyDescent="0.25">
      <c r="A545" t="s">
        <v>19140</v>
      </c>
      <c r="B545" t="s">
        <v>142</v>
      </c>
      <c r="C545" t="str">
        <f>HYPERLINK("https://nematode.unl.edu/aobtu13.jpg")</f>
        <v>https://nematode.unl.edu/aobtu13.jpg</v>
      </c>
      <c r="D545" t="s">
        <v>16</v>
      </c>
      <c r="G545" t="s">
        <v>28</v>
      </c>
      <c r="I545" t="s">
        <v>19</v>
      </c>
      <c r="J545" t="s">
        <v>20</v>
      </c>
      <c r="M545" t="s">
        <v>134</v>
      </c>
      <c r="N545" t="s">
        <v>135</v>
      </c>
      <c r="O545" t="s">
        <v>73</v>
      </c>
      <c r="P545" t="s">
        <v>81</v>
      </c>
      <c r="Q545" t="s">
        <v>119</v>
      </c>
      <c r="R545" t="s">
        <v>118</v>
      </c>
    </row>
    <row r="546" spans="1:18" x14ac:dyDescent="0.25">
      <c r="A546" t="s">
        <v>19131</v>
      </c>
      <c r="B546" t="s">
        <v>143</v>
      </c>
      <c r="C546" t="str">
        <f>HYPERLINK("https://nematode.unl.edu/aobtu14.jpg")</f>
        <v>https://nematode.unl.edu/aobtu14.jpg</v>
      </c>
      <c r="D546" t="s">
        <v>16</v>
      </c>
      <c r="G546" t="s">
        <v>34</v>
      </c>
      <c r="H546" t="s">
        <v>18</v>
      </c>
      <c r="I546" t="s">
        <v>19</v>
      </c>
      <c r="J546" t="s">
        <v>20</v>
      </c>
      <c r="M546" t="s">
        <v>134</v>
      </c>
      <c r="N546" t="s">
        <v>135</v>
      </c>
      <c r="O546" t="s">
        <v>73</v>
      </c>
      <c r="P546" t="s">
        <v>81</v>
      </c>
      <c r="Q546" t="s">
        <v>119</v>
      </c>
      <c r="R546" t="s">
        <v>118</v>
      </c>
    </row>
    <row r="547" spans="1:18" x14ac:dyDescent="0.25">
      <c r="A547" t="s">
        <v>19141</v>
      </c>
      <c r="B547" t="s">
        <v>144</v>
      </c>
      <c r="C547" t="str">
        <f>HYPERLINK("https://nematode.unl.edu/aobtu15.jpg")</f>
        <v>https://nematode.unl.edu/aobtu15.jpg</v>
      </c>
      <c r="D547" t="s">
        <v>16</v>
      </c>
      <c r="G547" t="s">
        <v>28</v>
      </c>
      <c r="I547" t="s">
        <v>19</v>
      </c>
      <c r="J547" t="s">
        <v>20</v>
      </c>
      <c r="M547" t="s">
        <v>134</v>
      </c>
      <c r="N547" t="s">
        <v>135</v>
      </c>
      <c r="O547" t="s">
        <v>73</v>
      </c>
      <c r="P547" t="s">
        <v>81</v>
      </c>
      <c r="Q547" t="s">
        <v>119</v>
      </c>
      <c r="R547" t="s">
        <v>118</v>
      </c>
    </row>
    <row r="548" spans="1:18" x14ac:dyDescent="0.25">
      <c r="A548" t="s">
        <v>19132</v>
      </c>
      <c r="B548" t="s">
        <v>145</v>
      </c>
      <c r="C548" t="str">
        <f>HYPERLINK("https://nematode.unl.edu/aobtu16.jpg")</f>
        <v>https://nematode.unl.edu/aobtu16.jpg</v>
      </c>
      <c r="D548" t="s">
        <v>16</v>
      </c>
      <c r="G548" t="s">
        <v>34</v>
      </c>
      <c r="H548" t="s">
        <v>18</v>
      </c>
      <c r="I548" t="s">
        <v>19</v>
      </c>
      <c r="J548" t="s">
        <v>20</v>
      </c>
      <c r="M548" t="s">
        <v>134</v>
      </c>
      <c r="N548" t="s">
        <v>135</v>
      </c>
      <c r="O548" t="s">
        <v>73</v>
      </c>
      <c r="P548" t="s">
        <v>81</v>
      </c>
      <c r="Q548" t="s">
        <v>119</v>
      </c>
      <c r="R548" t="s">
        <v>118</v>
      </c>
    </row>
    <row r="549" spans="1:18" x14ac:dyDescent="0.25">
      <c r="A549" t="s">
        <v>19133</v>
      </c>
      <c r="B549" t="s">
        <v>146</v>
      </c>
      <c r="C549" t="str">
        <f>HYPERLINK("https://nematode.unl.edu/aobtu17.jpg")</f>
        <v>https://nematode.unl.edu/aobtu17.jpg</v>
      </c>
      <c r="D549" t="s">
        <v>16</v>
      </c>
      <c r="G549" t="s">
        <v>34</v>
      </c>
      <c r="H549" t="s">
        <v>18</v>
      </c>
      <c r="I549" t="s">
        <v>19</v>
      </c>
      <c r="J549" t="s">
        <v>20</v>
      </c>
      <c r="M549" t="s">
        <v>134</v>
      </c>
      <c r="N549" t="s">
        <v>135</v>
      </c>
      <c r="O549" t="s">
        <v>73</v>
      </c>
      <c r="P549" t="s">
        <v>81</v>
      </c>
      <c r="Q549" t="s">
        <v>119</v>
      </c>
      <c r="R549" t="s">
        <v>118</v>
      </c>
    </row>
    <row r="550" spans="1:18" x14ac:dyDescent="0.25">
      <c r="A550" t="s">
        <v>19134</v>
      </c>
      <c r="B550" t="s">
        <v>147</v>
      </c>
      <c r="C550" t="str">
        <f>HYPERLINK("https://nematode.unl.edu/aobtu2.jpg")</f>
        <v>https://nematode.unl.edu/aobtu2.jpg</v>
      </c>
      <c r="D550" t="s">
        <v>43</v>
      </c>
      <c r="G550" t="s">
        <v>34</v>
      </c>
      <c r="H550" t="s">
        <v>18</v>
      </c>
      <c r="I550" t="s">
        <v>19</v>
      </c>
      <c r="J550" t="s">
        <v>20</v>
      </c>
      <c r="L550" t="s">
        <v>64</v>
      </c>
      <c r="M550" t="s">
        <v>134</v>
      </c>
      <c r="N550" t="s">
        <v>135</v>
      </c>
      <c r="O550" t="s">
        <v>73</v>
      </c>
      <c r="P550" t="s">
        <v>81</v>
      </c>
      <c r="Q550" t="s">
        <v>119</v>
      </c>
      <c r="R550" t="s">
        <v>118</v>
      </c>
    </row>
    <row r="551" spans="1:18" x14ac:dyDescent="0.25">
      <c r="A551" t="s">
        <v>19142</v>
      </c>
      <c r="B551" t="s">
        <v>148</v>
      </c>
      <c r="C551" t="str">
        <f>HYPERLINK("https://nematode.unl.edu/aobtu3.jpg")</f>
        <v>https://nematode.unl.edu/aobtu3.jpg</v>
      </c>
      <c r="D551" t="s">
        <v>43</v>
      </c>
      <c r="G551" t="s">
        <v>28</v>
      </c>
      <c r="I551" t="s">
        <v>19</v>
      </c>
      <c r="J551" t="s">
        <v>20</v>
      </c>
      <c r="L551" t="s">
        <v>64</v>
      </c>
      <c r="M551" t="s">
        <v>134</v>
      </c>
      <c r="N551" t="s">
        <v>135</v>
      </c>
      <c r="O551" t="s">
        <v>73</v>
      </c>
      <c r="P551" t="s">
        <v>81</v>
      </c>
      <c r="Q551" t="s">
        <v>119</v>
      </c>
      <c r="R551" t="s">
        <v>118</v>
      </c>
    </row>
    <row r="552" spans="1:18" x14ac:dyDescent="0.25">
      <c r="A552" t="s">
        <v>19143</v>
      </c>
      <c r="B552" t="s">
        <v>149</v>
      </c>
      <c r="C552" t="str">
        <f>HYPERLINK("https://nematode.unl.edu/aobtu4.jpg")</f>
        <v>https://nematode.unl.edu/aobtu4.jpg</v>
      </c>
      <c r="D552" t="s">
        <v>43</v>
      </c>
      <c r="G552" t="s">
        <v>28</v>
      </c>
      <c r="I552" t="s">
        <v>41</v>
      </c>
      <c r="J552" t="s">
        <v>20</v>
      </c>
      <c r="L552" t="s">
        <v>64</v>
      </c>
      <c r="M552" t="s">
        <v>134</v>
      </c>
      <c r="N552" t="s">
        <v>135</v>
      </c>
      <c r="O552" t="s">
        <v>73</v>
      </c>
      <c r="P552" t="s">
        <v>81</v>
      </c>
      <c r="Q552" t="s">
        <v>119</v>
      </c>
      <c r="R552" t="s">
        <v>118</v>
      </c>
    </row>
    <row r="553" spans="1:18" x14ac:dyDescent="0.25">
      <c r="A553" t="s">
        <v>19145</v>
      </c>
      <c r="B553" t="s">
        <v>150</v>
      </c>
      <c r="C553" t="str">
        <f>HYPERLINK("https://nematode.unl.edu/aobtu5.jpg")</f>
        <v>https://nematode.unl.edu/aobtu5.jpg</v>
      </c>
      <c r="D553" t="s">
        <v>43</v>
      </c>
      <c r="G553" t="s">
        <v>51</v>
      </c>
      <c r="I553" t="s">
        <v>41</v>
      </c>
      <c r="J553" t="s">
        <v>20</v>
      </c>
      <c r="L553" t="s">
        <v>64</v>
      </c>
      <c r="M553" t="s">
        <v>134</v>
      </c>
      <c r="N553" t="s">
        <v>135</v>
      </c>
      <c r="O553" t="s">
        <v>73</v>
      </c>
      <c r="P553" t="s">
        <v>81</v>
      </c>
      <c r="Q553" t="s">
        <v>119</v>
      </c>
      <c r="R553" t="s">
        <v>118</v>
      </c>
    </row>
    <row r="554" spans="1:18" x14ac:dyDescent="0.25">
      <c r="A554" t="s">
        <v>19137</v>
      </c>
      <c r="B554" t="s">
        <v>151</v>
      </c>
      <c r="C554" t="str">
        <f>HYPERLINK("https://nematode.unl.edu/aobtu6.jpg")</f>
        <v>https://nematode.unl.edu/aobtu6.jpg</v>
      </c>
      <c r="D554" t="s">
        <v>43</v>
      </c>
      <c r="G554" t="s">
        <v>53</v>
      </c>
      <c r="I554" t="s">
        <v>41</v>
      </c>
      <c r="J554" t="s">
        <v>20</v>
      </c>
      <c r="M554" t="s">
        <v>134</v>
      </c>
      <c r="N554" t="s">
        <v>135</v>
      </c>
      <c r="O554" t="s">
        <v>73</v>
      </c>
      <c r="P554" t="s">
        <v>81</v>
      </c>
      <c r="Q554" t="s">
        <v>119</v>
      </c>
      <c r="R554" t="s">
        <v>118</v>
      </c>
    </row>
    <row r="555" spans="1:18" x14ac:dyDescent="0.25">
      <c r="A555" t="s">
        <v>19135</v>
      </c>
      <c r="B555" t="s">
        <v>152</v>
      </c>
      <c r="C555" t="str">
        <f>HYPERLINK("https://nematode.unl.edu/aobtu7.jpg")</f>
        <v>https://nematode.unl.edu/aobtu7.jpg</v>
      </c>
      <c r="D555" t="s">
        <v>43</v>
      </c>
      <c r="G555" t="s">
        <v>34</v>
      </c>
      <c r="H555" t="s">
        <v>18</v>
      </c>
      <c r="I555" t="s">
        <v>41</v>
      </c>
      <c r="J555" t="s">
        <v>20</v>
      </c>
      <c r="L555" t="s">
        <v>64</v>
      </c>
      <c r="M555" t="s">
        <v>134</v>
      </c>
      <c r="N555" t="s">
        <v>135</v>
      </c>
      <c r="O555" t="s">
        <v>73</v>
      </c>
      <c r="P555" t="s">
        <v>81</v>
      </c>
      <c r="Q555" t="s">
        <v>119</v>
      </c>
      <c r="R555" t="s">
        <v>118</v>
      </c>
    </row>
    <row r="556" spans="1:18" x14ac:dyDescent="0.25">
      <c r="A556" t="s">
        <v>19146</v>
      </c>
      <c r="B556" t="s">
        <v>153</v>
      </c>
      <c r="C556" t="str">
        <f>HYPERLINK("https://nematode.unl.edu/aobtu8.jpg")</f>
        <v>https://nematode.unl.edu/aobtu8.jpg</v>
      </c>
      <c r="D556" t="s">
        <v>43</v>
      </c>
      <c r="G556" t="s">
        <v>51</v>
      </c>
      <c r="I556" t="s">
        <v>19</v>
      </c>
      <c r="J556" t="s">
        <v>20</v>
      </c>
      <c r="M556" t="s">
        <v>134</v>
      </c>
      <c r="N556" t="s">
        <v>135</v>
      </c>
      <c r="O556" t="s">
        <v>73</v>
      </c>
      <c r="P556" t="s">
        <v>81</v>
      </c>
      <c r="Q556" t="s">
        <v>119</v>
      </c>
      <c r="R556" t="s">
        <v>118</v>
      </c>
    </row>
    <row r="557" spans="1:18" x14ac:dyDescent="0.25">
      <c r="A557" t="s">
        <v>19144</v>
      </c>
      <c r="B557" t="s">
        <v>154</v>
      </c>
      <c r="C557" t="str">
        <f>HYPERLINK("https://nematode.unl.edu/aobtu9.jpg")</f>
        <v>https://nematode.unl.edu/aobtu9.jpg</v>
      </c>
      <c r="D557" t="s">
        <v>43</v>
      </c>
      <c r="G557" t="s">
        <v>28</v>
      </c>
      <c r="I557" t="s">
        <v>19</v>
      </c>
      <c r="J557" t="s">
        <v>20</v>
      </c>
      <c r="M557" t="s">
        <v>134</v>
      </c>
      <c r="N557" t="s">
        <v>135</v>
      </c>
      <c r="O557" t="s">
        <v>73</v>
      </c>
      <c r="P557" t="s">
        <v>81</v>
      </c>
      <c r="Q557" t="s">
        <v>119</v>
      </c>
      <c r="R557" t="s">
        <v>118</v>
      </c>
    </row>
    <row r="558" spans="1:18" x14ac:dyDescent="0.25">
      <c r="A558" t="s">
        <v>13036</v>
      </c>
      <c r="B558" t="s">
        <v>2528</v>
      </c>
      <c r="C558" t="str">
        <f>HYPERLINK("https://nematode.unl.edu/aobtucmp.jpg")</f>
        <v>https://nematode.unl.edu/aobtucmp.jpg</v>
      </c>
      <c r="D558" t="s">
        <v>43</v>
      </c>
      <c r="G558" t="s">
        <v>108</v>
      </c>
      <c r="M558" t="s">
        <v>2529</v>
      </c>
      <c r="N558" t="s">
        <v>2529</v>
      </c>
      <c r="O558" t="s">
        <v>23</v>
      </c>
      <c r="P558" t="s">
        <v>24</v>
      </c>
      <c r="Q558" t="s">
        <v>102</v>
      </c>
      <c r="R558" t="s">
        <v>103</v>
      </c>
    </row>
    <row r="559" spans="1:18" x14ac:dyDescent="0.25">
      <c r="A559" t="s">
        <v>16389</v>
      </c>
      <c r="B559" t="s">
        <v>2457</v>
      </c>
      <c r="C559" t="str">
        <f>HYPERLINK("https://nematode.unl.edu/aorola1.jpg")</f>
        <v>https://nematode.unl.edu/aorola1.jpg</v>
      </c>
      <c r="D559" t="s">
        <v>16</v>
      </c>
      <c r="G559" t="s">
        <v>34</v>
      </c>
      <c r="H559" t="s">
        <v>18</v>
      </c>
      <c r="I559" t="s">
        <v>19</v>
      </c>
      <c r="J559" t="s">
        <v>20</v>
      </c>
      <c r="L559" t="s">
        <v>64</v>
      </c>
      <c r="M559" t="s">
        <v>2453</v>
      </c>
      <c r="N559" t="s">
        <v>2453</v>
      </c>
      <c r="O559" t="s">
        <v>23</v>
      </c>
      <c r="P559" t="s">
        <v>24</v>
      </c>
      <c r="Q559" t="s">
        <v>2454</v>
      </c>
      <c r="R559" t="s">
        <v>2453</v>
      </c>
    </row>
    <row r="560" spans="1:18" x14ac:dyDescent="0.25">
      <c r="A560" t="s">
        <v>16391</v>
      </c>
      <c r="B560" t="s">
        <v>2458</v>
      </c>
      <c r="C560" t="str">
        <f>HYPERLINK("https://nematode.unl.edu/aorola2.jpg")</f>
        <v>https://nematode.unl.edu/aorola2.jpg</v>
      </c>
      <c r="D560" t="s">
        <v>16</v>
      </c>
      <c r="G560" t="s">
        <v>28</v>
      </c>
      <c r="I560" t="s">
        <v>19</v>
      </c>
      <c r="J560" t="s">
        <v>20</v>
      </c>
      <c r="L560" t="s">
        <v>193</v>
      </c>
      <c r="M560" t="s">
        <v>2453</v>
      </c>
      <c r="N560" t="s">
        <v>2453</v>
      </c>
      <c r="O560" t="s">
        <v>23</v>
      </c>
      <c r="P560" t="s">
        <v>24</v>
      </c>
      <c r="Q560" t="s">
        <v>2454</v>
      </c>
      <c r="R560" t="s">
        <v>2453</v>
      </c>
    </row>
    <row r="561" spans="1:18" x14ac:dyDescent="0.25">
      <c r="A561" t="s">
        <v>12968</v>
      </c>
      <c r="B561" t="s">
        <v>2571</v>
      </c>
      <c r="C561" t="str">
        <f>HYPERLINK("https://nematode.unl.edu/apagw1.jpg")</f>
        <v>https://nematode.unl.edu/apagw1.jpg</v>
      </c>
      <c r="D561" t="s">
        <v>43</v>
      </c>
      <c r="G561" t="s">
        <v>44</v>
      </c>
      <c r="I561" t="s">
        <v>19</v>
      </c>
      <c r="J561" t="s">
        <v>2572</v>
      </c>
      <c r="M561" t="s">
        <v>2559</v>
      </c>
      <c r="N561" t="s">
        <v>2559</v>
      </c>
      <c r="O561" t="s">
        <v>23</v>
      </c>
      <c r="P561" t="s">
        <v>24</v>
      </c>
      <c r="Q561" t="s">
        <v>1580</v>
      </c>
      <c r="R561" t="s">
        <v>2553</v>
      </c>
    </row>
    <row r="562" spans="1:18" x14ac:dyDescent="0.25">
      <c r="A562" t="s">
        <v>12966</v>
      </c>
      <c r="B562" t="s">
        <v>2573</v>
      </c>
      <c r="C562" t="str">
        <f>HYPERLINK("https://nematode.unl.edu/apagw2.jpg")</f>
        <v>https://nematode.unl.edu/apagw2.jpg</v>
      </c>
      <c r="D562" t="s">
        <v>43</v>
      </c>
      <c r="G562" t="s">
        <v>34</v>
      </c>
      <c r="H562" t="s">
        <v>18</v>
      </c>
      <c r="I562" t="s">
        <v>41</v>
      </c>
      <c r="J562" t="s">
        <v>2572</v>
      </c>
      <c r="M562" t="s">
        <v>2559</v>
      </c>
      <c r="N562" t="s">
        <v>2559</v>
      </c>
      <c r="O562" t="s">
        <v>23</v>
      </c>
      <c r="P562" t="s">
        <v>24</v>
      </c>
      <c r="Q562" t="s">
        <v>1580</v>
      </c>
      <c r="R562" t="s">
        <v>2553</v>
      </c>
    </row>
    <row r="563" spans="1:18" x14ac:dyDescent="0.25">
      <c r="A563" t="s">
        <v>12969</v>
      </c>
      <c r="B563" t="s">
        <v>2574</v>
      </c>
      <c r="C563" t="str">
        <f>HYPERLINK("https://nematode.unl.edu/apagw3.jpg")</f>
        <v>https://nematode.unl.edu/apagw3.jpg</v>
      </c>
      <c r="D563" t="s">
        <v>43</v>
      </c>
      <c r="G563" t="s">
        <v>53</v>
      </c>
      <c r="I563" t="s">
        <v>41</v>
      </c>
      <c r="J563" t="s">
        <v>2572</v>
      </c>
      <c r="M563" t="s">
        <v>2559</v>
      </c>
      <c r="N563" t="s">
        <v>2559</v>
      </c>
      <c r="O563" t="s">
        <v>23</v>
      </c>
      <c r="P563" t="s">
        <v>24</v>
      </c>
      <c r="Q563" t="s">
        <v>1580</v>
      </c>
      <c r="R563" t="s">
        <v>2553</v>
      </c>
    </row>
    <row r="564" spans="1:18" x14ac:dyDescent="0.25">
      <c r="A564" t="s">
        <v>19202</v>
      </c>
      <c r="B564" t="s">
        <v>2825</v>
      </c>
      <c r="C564" t="str">
        <f>HYPERLINK("https://nematode.unl.edu/apamer1.jpg")</f>
        <v>https://nematode.unl.edu/apamer1.jpg</v>
      </c>
      <c r="D564" t="s">
        <v>43</v>
      </c>
      <c r="G564" t="s">
        <v>96</v>
      </c>
      <c r="H564" t="s">
        <v>18</v>
      </c>
      <c r="I564" t="s">
        <v>45</v>
      </c>
      <c r="J564" t="s">
        <v>1202</v>
      </c>
      <c r="M564" t="s">
        <v>2826</v>
      </c>
      <c r="N564" t="s">
        <v>2826</v>
      </c>
      <c r="O564" t="s">
        <v>73</v>
      </c>
      <c r="P564" t="s">
        <v>81</v>
      </c>
      <c r="Q564" t="s">
        <v>119</v>
      </c>
      <c r="R564" t="s">
        <v>320</v>
      </c>
    </row>
    <row r="565" spans="1:18" x14ac:dyDescent="0.25">
      <c r="A565" t="s">
        <v>19211</v>
      </c>
      <c r="B565" t="s">
        <v>2827</v>
      </c>
      <c r="C565" t="str">
        <f>HYPERLINK("https://nematode.unl.edu/apamer10.jpg")</f>
        <v>https://nematode.unl.edu/apamer10.jpg</v>
      </c>
      <c r="D565" t="s">
        <v>43</v>
      </c>
      <c r="G565" t="s">
        <v>257</v>
      </c>
      <c r="H565" t="s">
        <v>18</v>
      </c>
      <c r="I565" t="s">
        <v>41</v>
      </c>
      <c r="J565" t="s">
        <v>1202</v>
      </c>
      <c r="M565" t="s">
        <v>2826</v>
      </c>
      <c r="N565" t="s">
        <v>2826</v>
      </c>
      <c r="O565" t="s">
        <v>73</v>
      </c>
      <c r="P565" t="s">
        <v>81</v>
      </c>
      <c r="Q565" t="s">
        <v>119</v>
      </c>
      <c r="R565" t="s">
        <v>320</v>
      </c>
    </row>
    <row r="566" spans="1:18" x14ac:dyDescent="0.25">
      <c r="A566" t="s">
        <v>19204</v>
      </c>
      <c r="B566" t="s">
        <v>2828</v>
      </c>
      <c r="C566" t="str">
        <f>HYPERLINK("https://nematode.unl.edu/apamer11.jpg")</f>
        <v>https://nematode.unl.edu/apamer11.jpg</v>
      </c>
      <c r="D566" t="s">
        <v>77</v>
      </c>
      <c r="G566" t="s">
        <v>17</v>
      </c>
      <c r="H566" t="s">
        <v>18</v>
      </c>
      <c r="I566" t="s">
        <v>45</v>
      </c>
      <c r="J566" t="s">
        <v>1202</v>
      </c>
      <c r="M566" t="s">
        <v>2826</v>
      </c>
      <c r="N566" t="s">
        <v>2826</v>
      </c>
      <c r="O566" t="s">
        <v>73</v>
      </c>
      <c r="P566" t="s">
        <v>81</v>
      </c>
      <c r="Q566" t="s">
        <v>119</v>
      </c>
      <c r="R566" t="s">
        <v>320</v>
      </c>
    </row>
    <row r="567" spans="1:18" x14ac:dyDescent="0.25">
      <c r="A567" t="s">
        <v>19217</v>
      </c>
      <c r="B567" t="s">
        <v>2829</v>
      </c>
      <c r="C567" t="str">
        <f>HYPERLINK("https://nematode.unl.edu/apamer12.jpg")</f>
        <v>https://nematode.unl.edu/apamer12.jpg</v>
      </c>
      <c r="D567" t="s">
        <v>77</v>
      </c>
      <c r="G567" t="s">
        <v>230</v>
      </c>
      <c r="I567" t="s">
        <v>45</v>
      </c>
      <c r="J567" t="s">
        <v>1202</v>
      </c>
      <c r="M567" t="s">
        <v>2826</v>
      </c>
      <c r="N567" t="s">
        <v>2826</v>
      </c>
      <c r="O567" t="s">
        <v>73</v>
      </c>
      <c r="P567" t="s">
        <v>81</v>
      </c>
      <c r="Q567" t="s">
        <v>119</v>
      </c>
      <c r="R567" t="s">
        <v>320</v>
      </c>
    </row>
    <row r="568" spans="1:18" x14ac:dyDescent="0.25">
      <c r="A568" t="s">
        <v>19205</v>
      </c>
      <c r="B568" t="s">
        <v>2830</v>
      </c>
      <c r="C568" t="str">
        <f>HYPERLINK("https://nematode.unl.edu/apamer13.jpg")</f>
        <v>https://nematode.unl.edu/apamer13.jpg</v>
      </c>
      <c r="D568" t="s">
        <v>77</v>
      </c>
      <c r="G568" t="s">
        <v>34</v>
      </c>
      <c r="H568" t="s">
        <v>18</v>
      </c>
      <c r="I568" t="s">
        <v>19</v>
      </c>
      <c r="J568" t="s">
        <v>1202</v>
      </c>
      <c r="M568" t="s">
        <v>2826</v>
      </c>
      <c r="N568" t="s">
        <v>2826</v>
      </c>
      <c r="O568" t="s">
        <v>73</v>
      </c>
      <c r="P568" t="s">
        <v>81</v>
      </c>
      <c r="Q568" t="s">
        <v>119</v>
      </c>
      <c r="R568" t="s">
        <v>320</v>
      </c>
    </row>
    <row r="569" spans="1:18" x14ac:dyDescent="0.25">
      <c r="A569" t="s">
        <v>19222</v>
      </c>
      <c r="B569" t="s">
        <v>2831</v>
      </c>
      <c r="C569" t="str">
        <f>HYPERLINK("https://nematode.unl.edu/apamer14.jpg")</f>
        <v>https://nematode.unl.edu/apamer14.jpg</v>
      </c>
      <c r="D569" t="s">
        <v>77</v>
      </c>
      <c r="G569" t="s">
        <v>2113</v>
      </c>
      <c r="I569" t="s">
        <v>137</v>
      </c>
      <c r="J569" t="s">
        <v>1202</v>
      </c>
      <c r="M569" t="s">
        <v>2826</v>
      </c>
      <c r="N569" t="s">
        <v>2826</v>
      </c>
      <c r="O569" t="s">
        <v>73</v>
      </c>
      <c r="P569" t="s">
        <v>81</v>
      </c>
      <c r="Q569" t="s">
        <v>119</v>
      </c>
      <c r="R569" t="s">
        <v>320</v>
      </c>
    </row>
    <row r="570" spans="1:18" x14ac:dyDescent="0.25">
      <c r="A570" t="s">
        <v>19218</v>
      </c>
      <c r="B570" t="s">
        <v>2832</v>
      </c>
      <c r="C570" t="str">
        <f>HYPERLINK("https://nematode.unl.edu/apamer15.jpg")</f>
        <v>https://nematode.unl.edu/apamer15.jpg</v>
      </c>
      <c r="D570" t="s">
        <v>77</v>
      </c>
      <c r="G570" t="s">
        <v>230</v>
      </c>
      <c r="I570" t="s">
        <v>137</v>
      </c>
      <c r="J570" t="s">
        <v>1202</v>
      </c>
      <c r="M570" t="s">
        <v>2826</v>
      </c>
      <c r="N570" t="s">
        <v>2826</v>
      </c>
      <c r="O570" t="s">
        <v>73</v>
      </c>
      <c r="P570" t="s">
        <v>81</v>
      </c>
      <c r="Q570" t="s">
        <v>119</v>
      </c>
      <c r="R570" t="s">
        <v>320</v>
      </c>
    </row>
    <row r="571" spans="1:18" x14ac:dyDescent="0.25">
      <c r="A571" t="s">
        <v>19216</v>
      </c>
      <c r="B571" t="s">
        <v>2833</v>
      </c>
      <c r="C571" t="str">
        <f>HYPERLINK("https://nematode.unl.edu/apamer16.jpg")</f>
        <v>https://nematode.unl.edu/apamer16.jpg</v>
      </c>
      <c r="D571" t="s">
        <v>77</v>
      </c>
      <c r="G571" t="s">
        <v>224</v>
      </c>
      <c r="I571" t="s">
        <v>19</v>
      </c>
      <c r="J571" t="s">
        <v>1202</v>
      </c>
      <c r="M571" t="s">
        <v>2826</v>
      </c>
      <c r="N571" t="s">
        <v>2826</v>
      </c>
      <c r="O571" t="s">
        <v>73</v>
      </c>
      <c r="P571" t="s">
        <v>81</v>
      </c>
      <c r="Q571" t="s">
        <v>119</v>
      </c>
      <c r="R571" t="s">
        <v>320</v>
      </c>
    </row>
    <row r="572" spans="1:18" x14ac:dyDescent="0.25">
      <c r="A572" t="s">
        <v>19206</v>
      </c>
      <c r="B572" t="s">
        <v>2834</v>
      </c>
      <c r="C572" t="str">
        <f>HYPERLINK("https://nematode.unl.edu/apamer17.jpg")</f>
        <v>https://nematode.unl.edu/apamer17.jpg</v>
      </c>
      <c r="D572" t="s">
        <v>16</v>
      </c>
      <c r="G572" t="s">
        <v>34</v>
      </c>
      <c r="H572" t="s">
        <v>18</v>
      </c>
      <c r="I572" t="s">
        <v>41</v>
      </c>
      <c r="J572" t="s">
        <v>1202</v>
      </c>
      <c r="M572" t="s">
        <v>2826</v>
      </c>
      <c r="N572" t="s">
        <v>2826</v>
      </c>
      <c r="O572" t="s">
        <v>73</v>
      </c>
      <c r="P572" t="s">
        <v>81</v>
      </c>
      <c r="Q572" t="s">
        <v>119</v>
      </c>
      <c r="R572" t="s">
        <v>320</v>
      </c>
    </row>
    <row r="573" spans="1:18" x14ac:dyDescent="0.25">
      <c r="A573" t="s">
        <v>19203</v>
      </c>
      <c r="B573" t="s">
        <v>2835</v>
      </c>
      <c r="C573" t="str">
        <f>HYPERLINK("https://nematode.unl.edu/apamer2.jpg")</f>
        <v>https://nematode.unl.edu/apamer2.jpg</v>
      </c>
      <c r="D573" t="s">
        <v>43</v>
      </c>
      <c r="G573" t="s">
        <v>96</v>
      </c>
      <c r="H573" t="s">
        <v>18</v>
      </c>
      <c r="I573" t="s">
        <v>137</v>
      </c>
      <c r="J573" t="s">
        <v>1202</v>
      </c>
      <c r="M573" t="s">
        <v>2826</v>
      </c>
      <c r="N573" t="s">
        <v>2826</v>
      </c>
      <c r="O573" t="s">
        <v>73</v>
      </c>
      <c r="P573" t="s">
        <v>81</v>
      </c>
      <c r="Q573" t="s">
        <v>119</v>
      </c>
      <c r="R573" t="s">
        <v>320</v>
      </c>
    </row>
    <row r="574" spans="1:18" x14ac:dyDescent="0.25">
      <c r="A574" t="s">
        <v>19223</v>
      </c>
      <c r="B574" t="s">
        <v>2836</v>
      </c>
      <c r="C574" t="str">
        <f>HYPERLINK("https://nematode.unl.edu/apamer3.jpg")</f>
        <v>https://nematode.unl.edu/apamer3.jpg</v>
      </c>
      <c r="D574" t="s">
        <v>43</v>
      </c>
      <c r="G574" t="s">
        <v>51</v>
      </c>
      <c r="I574" t="s">
        <v>137</v>
      </c>
      <c r="J574" t="s">
        <v>1202</v>
      </c>
      <c r="M574" t="s">
        <v>2826</v>
      </c>
      <c r="N574" t="s">
        <v>2826</v>
      </c>
      <c r="O574" t="s">
        <v>73</v>
      </c>
      <c r="P574" t="s">
        <v>81</v>
      </c>
      <c r="Q574" t="s">
        <v>119</v>
      </c>
      <c r="R574" t="s">
        <v>320</v>
      </c>
    </row>
    <row r="575" spans="1:18" x14ac:dyDescent="0.25">
      <c r="A575" t="s">
        <v>19219</v>
      </c>
      <c r="B575" t="s">
        <v>2837</v>
      </c>
      <c r="C575" t="str">
        <f>HYPERLINK("https://nematode.unl.edu/apamer4.jpg")</f>
        <v>https://nematode.unl.edu/apamer4.jpg</v>
      </c>
      <c r="D575" t="s">
        <v>43</v>
      </c>
      <c r="G575" t="s">
        <v>28</v>
      </c>
      <c r="I575" t="s">
        <v>137</v>
      </c>
      <c r="J575" t="s">
        <v>1202</v>
      </c>
      <c r="M575" t="s">
        <v>2826</v>
      </c>
      <c r="N575" t="s">
        <v>2826</v>
      </c>
      <c r="O575" t="s">
        <v>73</v>
      </c>
      <c r="P575" t="s">
        <v>81</v>
      </c>
      <c r="Q575" t="s">
        <v>119</v>
      </c>
      <c r="R575" t="s">
        <v>320</v>
      </c>
    </row>
    <row r="576" spans="1:18" x14ac:dyDescent="0.25">
      <c r="A576" t="s">
        <v>19212</v>
      </c>
      <c r="B576" t="s">
        <v>2838</v>
      </c>
      <c r="C576" t="str">
        <f>HYPERLINK("https://nematode.unl.edu/apamer5.jpg")</f>
        <v>https://nematode.unl.edu/apamer5.jpg</v>
      </c>
      <c r="D576" t="s">
        <v>43</v>
      </c>
      <c r="G576" t="s">
        <v>87</v>
      </c>
      <c r="I576" t="s">
        <v>137</v>
      </c>
      <c r="J576" t="s">
        <v>1202</v>
      </c>
      <c r="M576" t="s">
        <v>2826</v>
      </c>
      <c r="N576" t="s">
        <v>2826</v>
      </c>
      <c r="O576" t="s">
        <v>73</v>
      </c>
      <c r="P576" t="s">
        <v>81</v>
      </c>
      <c r="Q576" t="s">
        <v>119</v>
      </c>
      <c r="R576" t="s">
        <v>320</v>
      </c>
    </row>
    <row r="577" spans="1:18" x14ac:dyDescent="0.25">
      <c r="A577" t="s">
        <v>19224</v>
      </c>
      <c r="B577" t="s">
        <v>2839</v>
      </c>
      <c r="C577" t="str">
        <f>HYPERLINK("https://nematode.unl.edu/apamer6.jpg")</f>
        <v>https://nematode.unl.edu/apamer6.jpg</v>
      </c>
      <c r="D577" t="s">
        <v>43</v>
      </c>
      <c r="G577" t="s">
        <v>51</v>
      </c>
      <c r="I577" t="s">
        <v>137</v>
      </c>
      <c r="J577" t="s">
        <v>1202</v>
      </c>
      <c r="M577" t="s">
        <v>2826</v>
      </c>
      <c r="N577" t="s">
        <v>2826</v>
      </c>
      <c r="O577" t="s">
        <v>73</v>
      </c>
      <c r="P577" t="s">
        <v>81</v>
      </c>
      <c r="Q577" t="s">
        <v>119</v>
      </c>
      <c r="R577" t="s">
        <v>320</v>
      </c>
    </row>
    <row r="578" spans="1:18" x14ac:dyDescent="0.25">
      <c r="A578" t="s">
        <v>19207</v>
      </c>
      <c r="B578" t="s">
        <v>2840</v>
      </c>
      <c r="C578" t="str">
        <f>HYPERLINK("https://nematode.unl.edu/apamer7.jpg")</f>
        <v>https://nematode.unl.edu/apamer7.jpg</v>
      </c>
      <c r="D578" t="s">
        <v>43</v>
      </c>
      <c r="G578" t="s">
        <v>34</v>
      </c>
      <c r="H578" t="s">
        <v>18</v>
      </c>
      <c r="I578" t="s">
        <v>19</v>
      </c>
      <c r="J578" t="s">
        <v>1202</v>
      </c>
      <c r="M578" t="s">
        <v>2826</v>
      </c>
      <c r="N578" t="s">
        <v>2826</v>
      </c>
      <c r="O578" t="s">
        <v>73</v>
      </c>
      <c r="P578" t="s">
        <v>81</v>
      </c>
      <c r="Q578" t="s">
        <v>119</v>
      </c>
      <c r="R578" t="s">
        <v>320</v>
      </c>
    </row>
    <row r="579" spans="1:18" x14ac:dyDescent="0.25">
      <c r="A579" t="s">
        <v>19225</v>
      </c>
      <c r="B579" t="s">
        <v>2841</v>
      </c>
      <c r="C579" t="str">
        <f>HYPERLINK("https://nematode.unl.edu/apamer8.jpg")</f>
        <v>https://nematode.unl.edu/apamer8.jpg</v>
      </c>
      <c r="D579" t="s">
        <v>43</v>
      </c>
      <c r="G579" t="s">
        <v>51</v>
      </c>
      <c r="I579" t="s">
        <v>19</v>
      </c>
      <c r="J579" t="s">
        <v>1202</v>
      </c>
      <c r="M579" t="s">
        <v>2826</v>
      </c>
      <c r="N579" t="s">
        <v>2826</v>
      </c>
      <c r="O579" t="s">
        <v>73</v>
      </c>
      <c r="P579" t="s">
        <v>81</v>
      </c>
      <c r="Q579" t="s">
        <v>119</v>
      </c>
      <c r="R579" t="s">
        <v>320</v>
      </c>
    </row>
    <row r="580" spans="1:18" x14ac:dyDescent="0.25">
      <c r="A580" t="s">
        <v>19220</v>
      </c>
      <c r="B580" t="s">
        <v>2842</v>
      </c>
      <c r="C580" t="str">
        <f>HYPERLINK("https://nematode.unl.edu/apamer9.jpg")</f>
        <v>https://nematode.unl.edu/apamer9.jpg</v>
      </c>
      <c r="D580" t="s">
        <v>43</v>
      </c>
      <c r="G580" t="s">
        <v>28</v>
      </c>
      <c r="I580" t="s">
        <v>19</v>
      </c>
      <c r="J580" t="s">
        <v>1202</v>
      </c>
      <c r="M580" t="s">
        <v>2826</v>
      </c>
      <c r="N580" t="s">
        <v>2826</v>
      </c>
      <c r="O580" t="s">
        <v>73</v>
      </c>
      <c r="P580" t="s">
        <v>81</v>
      </c>
      <c r="Q580" t="s">
        <v>119</v>
      </c>
      <c r="R580" t="s">
        <v>320</v>
      </c>
    </row>
    <row r="581" spans="1:18" x14ac:dyDescent="0.25">
      <c r="A581" t="s">
        <v>18857</v>
      </c>
      <c r="B581" t="s">
        <v>2613</v>
      </c>
      <c r="C581" t="str">
        <f>HYPERLINK("https://nematode.unl.edu/apcap1.jpg")</f>
        <v>https://nematode.unl.edu/apcap1.jpg</v>
      </c>
      <c r="D581" t="s">
        <v>16</v>
      </c>
      <c r="G581" t="s">
        <v>44</v>
      </c>
      <c r="I581" t="s">
        <v>91</v>
      </c>
      <c r="J581" t="s">
        <v>20</v>
      </c>
      <c r="L581" t="s">
        <v>64</v>
      </c>
      <c r="M581" t="s">
        <v>2612</v>
      </c>
      <c r="N581" t="s">
        <v>2612</v>
      </c>
      <c r="O581" t="s">
        <v>73</v>
      </c>
      <c r="P581" t="s">
        <v>81</v>
      </c>
      <c r="Q581" t="s">
        <v>119</v>
      </c>
      <c r="R581" t="s">
        <v>118</v>
      </c>
    </row>
    <row r="582" spans="1:18" x14ac:dyDescent="0.25">
      <c r="A582" t="s">
        <v>18852</v>
      </c>
      <c r="B582" t="s">
        <v>2614</v>
      </c>
      <c r="C582" t="str">
        <f>HYPERLINK("https://nematode.unl.edu/apcap10.jpg")</f>
        <v>https://nematode.unl.edu/apcap10.jpg</v>
      </c>
      <c r="D582" t="s">
        <v>43</v>
      </c>
      <c r="G582" t="s">
        <v>87</v>
      </c>
      <c r="I582" t="s">
        <v>137</v>
      </c>
      <c r="J582" t="s">
        <v>20</v>
      </c>
      <c r="L582" t="s">
        <v>64</v>
      </c>
      <c r="M582" t="s">
        <v>2612</v>
      </c>
      <c r="N582" t="s">
        <v>2612</v>
      </c>
      <c r="O582" t="s">
        <v>73</v>
      </c>
      <c r="P582" t="s">
        <v>81</v>
      </c>
      <c r="Q582" t="s">
        <v>119</v>
      </c>
      <c r="R582" t="s">
        <v>118</v>
      </c>
    </row>
    <row r="583" spans="1:18" x14ac:dyDescent="0.25">
      <c r="A583" t="s">
        <v>18839</v>
      </c>
      <c r="B583" t="s">
        <v>2615</v>
      </c>
      <c r="C583" t="str">
        <f>HYPERLINK("https://nematode.unl.edu/apcap11.jpg")</f>
        <v>https://nematode.unl.edu/apcap11.jpg</v>
      </c>
      <c r="D583" t="s">
        <v>43</v>
      </c>
      <c r="G583" t="s">
        <v>34</v>
      </c>
      <c r="H583" t="s">
        <v>18</v>
      </c>
      <c r="I583" t="s">
        <v>137</v>
      </c>
      <c r="J583" t="s">
        <v>20</v>
      </c>
      <c r="M583" t="s">
        <v>2612</v>
      </c>
      <c r="N583" t="s">
        <v>2612</v>
      </c>
      <c r="O583" t="s">
        <v>73</v>
      </c>
      <c r="P583" t="s">
        <v>81</v>
      </c>
      <c r="Q583" t="s">
        <v>119</v>
      </c>
      <c r="R583" t="s">
        <v>118</v>
      </c>
    </row>
    <row r="584" spans="1:18" x14ac:dyDescent="0.25">
      <c r="A584" t="s">
        <v>18840</v>
      </c>
      <c r="B584" t="s">
        <v>2616</v>
      </c>
      <c r="C584" t="str">
        <f>HYPERLINK("https://nematode.unl.edu/apcap12.jpg")</f>
        <v>https://nematode.unl.edu/apcap12.jpg</v>
      </c>
      <c r="D584" t="s">
        <v>43</v>
      </c>
      <c r="G584" t="s">
        <v>34</v>
      </c>
      <c r="H584" t="s">
        <v>18</v>
      </c>
      <c r="I584" t="s">
        <v>19</v>
      </c>
      <c r="J584" t="s">
        <v>20</v>
      </c>
      <c r="L584" t="s">
        <v>29</v>
      </c>
      <c r="M584" t="s">
        <v>2612</v>
      </c>
      <c r="N584" t="s">
        <v>2612</v>
      </c>
      <c r="O584" t="s">
        <v>73</v>
      </c>
      <c r="P584" t="s">
        <v>81</v>
      </c>
      <c r="Q584" t="s">
        <v>119</v>
      </c>
      <c r="R584" t="s">
        <v>118</v>
      </c>
    </row>
    <row r="585" spans="1:18" x14ac:dyDescent="0.25">
      <c r="A585" t="s">
        <v>18867</v>
      </c>
      <c r="B585" t="s">
        <v>2617</v>
      </c>
      <c r="C585" t="str">
        <f>HYPERLINK("https://nematode.unl.edu/apcap13.jpg")</f>
        <v>https://nematode.unl.edu/apcap13.jpg</v>
      </c>
      <c r="D585" t="s">
        <v>43</v>
      </c>
      <c r="G585" t="s">
        <v>28</v>
      </c>
      <c r="I585" t="s">
        <v>137</v>
      </c>
      <c r="J585" t="s">
        <v>20</v>
      </c>
      <c r="M585" t="s">
        <v>2612</v>
      </c>
      <c r="N585" t="s">
        <v>2612</v>
      </c>
      <c r="O585" t="s">
        <v>73</v>
      </c>
      <c r="P585" t="s">
        <v>81</v>
      </c>
      <c r="Q585" t="s">
        <v>119</v>
      </c>
      <c r="R585" t="s">
        <v>118</v>
      </c>
    </row>
    <row r="586" spans="1:18" x14ac:dyDescent="0.25">
      <c r="A586" t="s">
        <v>18858</v>
      </c>
      <c r="B586" t="s">
        <v>2618</v>
      </c>
      <c r="C586" t="str">
        <f>HYPERLINK("https://nematode.unl.edu/apcap14.jpg")</f>
        <v>https://nematode.unl.edu/apcap14.jpg</v>
      </c>
      <c r="D586" t="s">
        <v>43</v>
      </c>
      <c r="G586" t="s">
        <v>44</v>
      </c>
      <c r="I586" t="s">
        <v>91</v>
      </c>
      <c r="J586" t="s">
        <v>20</v>
      </c>
      <c r="L586" t="s">
        <v>35</v>
      </c>
      <c r="M586" t="s">
        <v>2612</v>
      </c>
      <c r="N586" t="s">
        <v>2612</v>
      </c>
      <c r="O586" t="s">
        <v>73</v>
      </c>
      <c r="P586" t="s">
        <v>81</v>
      </c>
      <c r="Q586" t="s">
        <v>119</v>
      </c>
      <c r="R586" t="s">
        <v>118</v>
      </c>
    </row>
    <row r="587" spans="1:18" x14ac:dyDescent="0.25">
      <c r="A587" t="s">
        <v>18841</v>
      </c>
      <c r="B587" t="s">
        <v>2619</v>
      </c>
      <c r="C587" t="str">
        <f>HYPERLINK("https://nematode.unl.edu/apcap15.jpg")</f>
        <v>https://nematode.unl.edu/apcap15.jpg</v>
      </c>
      <c r="D587" t="s">
        <v>43</v>
      </c>
      <c r="G587" t="s">
        <v>34</v>
      </c>
      <c r="H587" t="s">
        <v>18</v>
      </c>
      <c r="I587" t="s">
        <v>137</v>
      </c>
      <c r="J587" t="s">
        <v>20</v>
      </c>
      <c r="M587" t="s">
        <v>2612</v>
      </c>
      <c r="N587" t="s">
        <v>2612</v>
      </c>
      <c r="O587" t="s">
        <v>73</v>
      </c>
      <c r="P587" t="s">
        <v>81</v>
      </c>
      <c r="Q587" t="s">
        <v>119</v>
      </c>
      <c r="R587" t="s">
        <v>118</v>
      </c>
    </row>
    <row r="588" spans="1:18" x14ac:dyDescent="0.25">
      <c r="A588" t="s">
        <v>18876</v>
      </c>
      <c r="B588" t="s">
        <v>2620</v>
      </c>
      <c r="C588" t="str">
        <f>HYPERLINK("https://nematode.unl.edu/apcap16.jpg")</f>
        <v>https://nematode.unl.edu/apcap16.jpg</v>
      </c>
      <c r="D588" t="s">
        <v>43</v>
      </c>
      <c r="G588" t="s">
        <v>51</v>
      </c>
      <c r="I588" t="s">
        <v>137</v>
      </c>
      <c r="J588" t="s">
        <v>20</v>
      </c>
      <c r="L588" t="s">
        <v>35</v>
      </c>
      <c r="M588" t="s">
        <v>2612</v>
      </c>
      <c r="N588" t="s">
        <v>2612</v>
      </c>
      <c r="O588" t="s">
        <v>73</v>
      </c>
      <c r="P588" t="s">
        <v>81</v>
      </c>
      <c r="Q588" t="s">
        <v>119</v>
      </c>
      <c r="R588" t="s">
        <v>118</v>
      </c>
    </row>
    <row r="589" spans="1:18" x14ac:dyDescent="0.25">
      <c r="A589" t="s">
        <v>18868</v>
      </c>
      <c r="B589" t="s">
        <v>2621</v>
      </c>
      <c r="C589" t="str">
        <f>HYPERLINK("https://nematode.unl.edu/apcap17.jpg")</f>
        <v>https://nematode.unl.edu/apcap17.jpg</v>
      </c>
      <c r="D589" t="s">
        <v>43</v>
      </c>
      <c r="G589" t="s">
        <v>28</v>
      </c>
      <c r="I589" t="s">
        <v>137</v>
      </c>
      <c r="J589" t="s">
        <v>20</v>
      </c>
      <c r="L589" t="s">
        <v>35</v>
      </c>
      <c r="M589" t="s">
        <v>2612</v>
      </c>
      <c r="N589" t="s">
        <v>2612</v>
      </c>
      <c r="O589" t="s">
        <v>73</v>
      </c>
      <c r="P589" t="s">
        <v>81</v>
      </c>
      <c r="Q589" t="s">
        <v>119</v>
      </c>
      <c r="R589" t="s">
        <v>118</v>
      </c>
    </row>
    <row r="590" spans="1:18" x14ac:dyDescent="0.25">
      <c r="A590" t="s">
        <v>18842</v>
      </c>
      <c r="B590" t="s">
        <v>2622</v>
      </c>
      <c r="C590" t="str">
        <f>HYPERLINK("https://nematode.unl.edu/apcap18.jpg")</f>
        <v>https://nematode.unl.edu/apcap18.jpg</v>
      </c>
      <c r="D590" t="s">
        <v>43</v>
      </c>
      <c r="G590" t="s">
        <v>34</v>
      </c>
      <c r="H590" t="s">
        <v>18</v>
      </c>
      <c r="I590" t="s">
        <v>19</v>
      </c>
      <c r="J590" t="s">
        <v>20</v>
      </c>
      <c r="L590" t="s">
        <v>85</v>
      </c>
      <c r="M590" t="s">
        <v>2612</v>
      </c>
      <c r="N590" t="s">
        <v>2612</v>
      </c>
      <c r="O590" t="s">
        <v>73</v>
      </c>
      <c r="P590" t="s">
        <v>81</v>
      </c>
      <c r="Q590" t="s">
        <v>119</v>
      </c>
      <c r="R590" t="s">
        <v>118</v>
      </c>
    </row>
    <row r="591" spans="1:18" x14ac:dyDescent="0.25">
      <c r="A591" t="s">
        <v>18843</v>
      </c>
      <c r="B591" t="s">
        <v>2623</v>
      </c>
      <c r="C591" t="str">
        <f>HYPERLINK("https://nematode.unl.edu/apcap19.jpg")</f>
        <v>https://nematode.unl.edu/apcap19.jpg</v>
      </c>
      <c r="D591" t="s">
        <v>16</v>
      </c>
      <c r="G591" t="s">
        <v>34</v>
      </c>
      <c r="H591" t="s">
        <v>18</v>
      </c>
      <c r="I591" t="s">
        <v>19</v>
      </c>
      <c r="J591" t="s">
        <v>20</v>
      </c>
      <c r="L591" t="s">
        <v>141</v>
      </c>
      <c r="M591" t="s">
        <v>2612</v>
      </c>
      <c r="N591" t="s">
        <v>2612</v>
      </c>
      <c r="O591" t="s">
        <v>73</v>
      </c>
      <c r="P591" t="s">
        <v>81</v>
      </c>
      <c r="Q591" t="s">
        <v>119</v>
      </c>
      <c r="R591" t="s">
        <v>118</v>
      </c>
    </row>
    <row r="592" spans="1:18" x14ac:dyDescent="0.25">
      <c r="A592" t="s">
        <v>18844</v>
      </c>
      <c r="B592" t="s">
        <v>2624</v>
      </c>
      <c r="C592" t="str">
        <f>HYPERLINK("https://nematode.unl.edu/apcap2.jpg")</f>
        <v>https://nematode.unl.edu/apcap2.jpg</v>
      </c>
      <c r="D592" t="s">
        <v>16</v>
      </c>
      <c r="G592" t="s">
        <v>34</v>
      </c>
      <c r="H592" t="s">
        <v>18</v>
      </c>
      <c r="I592" t="s">
        <v>19</v>
      </c>
      <c r="J592" t="s">
        <v>20</v>
      </c>
      <c r="L592" t="s">
        <v>64</v>
      </c>
      <c r="M592" t="s">
        <v>2612</v>
      </c>
      <c r="N592" t="s">
        <v>2612</v>
      </c>
      <c r="O592" t="s">
        <v>73</v>
      </c>
      <c r="P592" t="s">
        <v>81</v>
      </c>
      <c r="Q592" t="s">
        <v>119</v>
      </c>
      <c r="R592" t="s">
        <v>118</v>
      </c>
    </row>
    <row r="593" spans="1:18" x14ac:dyDescent="0.25">
      <c r="A593" t="s">
        <v>18853</v>
      </c>
      <c r="B593" t="s">
        <v>2625</v>
      </c>
      <c r="C593" t="str">
        <f>HYPERLINK("https://nematode.unl.edu/apcap20.jpg")</f>
        <v>https://nematode.unl.edu/apcap20.jpg</v>
      </c>
      <c r="D593" t="s">
        <v>16</v>
      </c>
      <c r="G593" t="s">
        <v>87</v>
      </c>
      <c r="I593" t="s">
        <v>19</v>
      </c>
      <c r="J593" t="s">
        <v>20</v>
      </c>
      <c r="M593" t="s">
        <v>2612</v>
      </c>
      <c r="N593" t="s">
        <v>2612</v>
      </c>
      <c r="O593" t="s">
        <v>73</v>
      </c>
      <c r="P593" t="s">
        <v>81</v>
      </c>
      <c r="Q593" t="s">
        <v>119</v>
      </c>
      <c r="R593" t="s">
        <v>118</v>
      </c>
    </row>
    <row r="594" spans="1:18" x14ac:dyDescent="0.25">
      <c r="A594" t="s">
        <v>18869</v>
      </c>
      <c r="B594" t="s">
        <v>2626</v>
      </c>
      <c r="C594" t="str">
        <f>HYPERLINK("https://nematode.unl.edu/apcap21.jpg")</f>
        <v>https://nematode.unl.edu/apcap21.jpg</v>
      </c>
      <c r="D594" t="s">
        <v>16</v>
      </c>
      <c r="G594" t="s">
        <v>28</v>
      </c>
      <c r="I594" t="s">
        <v>19</v>
      </c>
      <c r="J594" t="s">
        <v>20</v>
      </c>
      <c r="L594" t="s">
        <v>141</v>
      </c>
      <c r="M594" t="s">
        <v>2612</v>
      </c>
      <c r="N594" t="s">
        <v>2612</v>
      </c>
      <c r="O594" t="s">
        <v>73</v>
      </c>
      <c r="P594" t="s">
        <v>81</v>
      </c>
      <c r="Q594" t="s">
        <v>119</v>
      </c>
      <c r="R594" t="s">
        <v>118</v>
      </c>
    </row>
    <row r="595" spans="1:18" x14ac:dyDescent="0.25">
      <c r="A595" t="s">
        <v>18865</v>
      </c>
      <c r="B595" t="s">
        <v>2627</v>
      </c>
      <c r="C595" t="str">
        <f>HYPERLINK("https://nematode.unl.edu/apcap22.jpg")</f>
        <v>https://nematode.unl.edu/apcap22.jpg</v>
      </c>
      <c r="D595" t="s">
        <v>16</v>
      </c>
      <c r="G595" t="s">
        <v>2628</v>
      </c>
      <c r="I595" t="s">
        <v>41</v>
      </c>
      <c r="J595" t="s">
        <v>20</v>
      </c>
      <c r="L595" t="s">
        <v>141</v>
      </c>
      <c r="M595" t="s">
        <v>2612</v>
      </c>
      <c r="N595" t="s">
        <v>2612</v>
      </c>
      <c r="O595" t="s">
        <v>73</v>
      </c>
      <c r="P595" t="s">
        <v>81</v>
      </c>
      <c r="Q595" t="s">
        <v>119</v>
      </c>
      <c r="R595" t="s">
        <v>118</v>
      </c>
    </row>
    <row r="596" spans="1:18" x14ac:dyDescent="0.25">
      <c r="A596" t="s">
        <v>18851</v>
      </c>
      <c r="B596" t="s">
        <v>2629</v>
      </c>
      <c r="C596" t="str">
        <f>HYPERLINK("https://nematode.unl.edu/apcap23.jpg")</f>
        <v>https://nematode.unl.edu/apcap23.jpg</v>
      </c>
      <c r="D596" t="s">
        <v>16</v>
      </c>
      <c r="G596" t="s">
        <v>257</v>
      </c>
      <c r="H596" t="s">
        <v>18</v>
      </c>
      <c r="I596" t="s">
        <v>41</v>
      </c>
      <c r="J596" t="s">
        <v>20</v>
      </c>
      <c r="L596" t="s">
        <v>193</v>
      </c>
      <c r="M596" t="s">
        <v>2612</v>
      </c>
      <c r="N596" t="s">
        <v>2612</v>
      </c>
      <c r="O596" t="s">
        <v>73</v>
      </c>
      <c r="P596" t="s">
        <v>81</v>
      </c>
      <c r="Q596" t="s">
        <v>119</v>
      </c>
      <c r="R596" t="s">
        <v>118</v>
      </c>
    </row>
    <row r="597" spans="1:18" x14ac:dyDescent="0.25">
      <c r="A597" t="s">
        <v>18864</v>
      </c>
      <c r="B597" t="s">
        <v>2630</v>
      </c>
      <c r="C597" t="str">
        <f>HYPERLINK("https://nematode.unl.edu/apcap24.jpg")</f>
        <v>https://nematode.unl.edu/apcap24.jpg</v>
      </c>
      <c r="D597" t="s">
        <v>16</v>
      </c>
      <c r="G597" t="s">
        <v>2192</v>
      </c>
      <c r="I597" t="s">
        <v>41</v>
      </c>
      <c r="J597" t="s">
        <v>20</v>
      </c>
      <c r="M597" t="s">
        <v>2612</v>
      </c>
      <c r="N597" t="s">
        <v>2612</v>
      </c>
      <c r="O597" t="s">
        <v>73</v>
      </c>
      <c r="P597" t="s">
        <v>81</v>
      </c>
      <c r="Q597" t="s">
        <v>119</v>
      </c>
      <c r="R597" t="s">
        <v>118</v>
      </c>
    </row>
    <row r="598" spans="1:18" x14ac:dyDescent="0.25">
      <c r="A598" t="s">
        <v>18845</v>
      </c>
      <c r="B598" t="s">
        <v>2631</v>
      </c>
      <c r="C598" t="str">
        <f>HYPERLINK("https://nematode.unl.edu/apcap25.jpg")</f>
        <v>https://nematode.unl.edu/apcap25.jpg</v>
      </c>
      <c r="D598" t="s">
        <v>16</v>
      </c>
      <c r="G598" t="s">
        <v>34</v>
      </c>
      <c r="H598" t="s">
        <v>18</v>
      </c>
      <c r="I598" t="s">
        <v>19</v>
      </c>
      <c r="J598" t="s">
        <v>20</v>
      </c>
      <c r="L598" t="s">
        <v>64</v>
      </c>
      <c r="M598" t="s">
        <v>2612</v>
      </c>
      <c r="N598" t="s">
        <v>2612</v>
      </c>
      <c r="O598" t="s">
        <v>73</v>
      </c>
      <c r="P598" t="s">
        <v>81</v>
      </c>
      <c r="Q598" t="s">
        <v>119</v>
      </c>
      <c r="R598" t="s">
        <v>118</v>
      </c>
    </row>
    <row r="599" spans="1:18" x14ac:dyDescent="0.25">
      <c r="A599" t="s">
        <v>18870</v>
      </c>
      <c r="B599" t="s">
        <v>2632</v>
      </c>
      <c r="C599" t="str">
        <f>HYPERLINK("https://nematode.unl.edu/apcap26.jpg")</f>
        <v>https://nematode.unl.edu/apcap26.jpg</v>
      </c>
      <c r="D599" t="s">
        <v>16</v>
      </c>
      <c r="G599" t="s">
        <v>28</v>
      </c>
      <c r="I599" t="s">
        <v>19</v>
      </c>
      <c r="J599" t="s">
        <v>20</v>
      </c>
      <c r="L599" t="s">
        <v>64</v>
      </c>
      <c r="M599" t="s">
        <v>2612</v>
      </c>
      <c r="N599" t="s">
        <v>2612</v>
      </c>
      <c r="O599" t="s">
        <v>73</v>
      </c>
      <c r="P599" t="s">
        <v>81</v>
      </c>
      <c r="Q599" t="s">
        <v>119</v>
      </c>
      <c r="R599" t="s">
        <v>118</v>
      </c>
    </row>
    <row r="600" spans="1:18" x14ac:dyDescent="0.25">
      <c r="A600" t="s">
        <v>18846</v>
      </c>
      <c r="B600" t="s">
        <v>2633</v>
      </c>
      <c r="C600" t="str">
        <f>HYPERLINK("https://nematode.unl.edu/apcap27.jpg")</f>
        <v>https://nematode.unl.edu/apcap27.jpg</v>
      </c>
      <c r="D600" t="s">
        <v>16</v>
      </c>
      <c r="G600" t="s">
        <v>34</v>
      </c>
      <c r="H600" t="s">
        <v>18</v>
      </c>
      <c r="I600" t="s">
        <v>19</v>
      </c>
      <c r="J600" t="s">
        <v>20</v>
      </c>
      <c r="L600" t="s">
        <v>220</v>
      </c>
      <c r="M600" t="s">
        <v>2612</v>
      </c>
      <c r="N600" t="s">
        <v>2612</v>
      </c>
      <c r="O600" t="s">
        <v>73</v>
      </c>
      <c r="P600" t="s">
        <v>81</v>
      </c>
      <c r="Q600" t="s">
        <v>119</v>
      </c>
      <c r="R600" t="s">
        <v>118</v>
      </c>
    </row>
    <row r="601" spans="1:18" x14ac:dyDescent="0.25">
      <c r="A601" t="s">
        <v>18871</v>
      </c>
      <c r="B601" t="s">
        <v>2634</v>
      </c>
      <c r="C601" t="str">
        <f>HYPERLINK("https://nematode.unl.edu/apcap28.jpg")</f>
        <v>https://nematode.unl.edu/apcap28.jpg</v>
      </c>
      <c r="D601" t="s">
        <v>16</v>
      </c>
      <c r="G601" t="s">
        <v>28</v>
      </c>
      <c r="I601" t="s">
        <v>19</v>
      </c>
      <c r="J601" t="s">
        <v>20</v>
      </c>
      <c r="L601" t="s">
        <v>64</v>
      </c>
      <c r="M601" t="s">
        <v>2612</v>
      </c>
      <c r="N601" t="s">
        <v>2612</v>
      </c>
      <c r="O601" t="s">
        <v>73</v>
      </c>
      <c r="P601" t="s">
        <v>81</v>
      </c>
      <c r="Q601" t="s">
        <v>119</v>
      </c>
      <c r="R601" t="s">
        <v>118</v>
      </c>
    </row>
    <row r="602" spans="1:18" x14ac:dyDescent="0.25">
      <c r="A602" t="s">
        <v>18872</v>
      </c>
      <c r="B602" t="s">
        <v>2635</v>
      </c>
      <c r="C602" t="str">
        <f>HYPERLINK("https://nematode.unl.edu/apcap29.jpg")</f>
        <v>https://nematode.unl.edu/apcap29.jpg</v>
      </c>
      <c r="D602" t="s">
        <v>16</v>
      </c>
      <c r="G602" t="s">
        <v>28</v>
      </c>
      <c r="I602" t="s">
        <v>19</v>
      </c>
      <c r="J602" t="s">
        <v>20</v>
      </c>
      <c r="L602" t="s">
        <v>64</v>
      </c>
      <c r="M602" t="s">
        <v>2612</v>
      </c>
      <c r="N602" t="s">
        <v>2612</v>
      </c>
      <c r="O602" t="s">
        <v>73</v>
      </c>
      <c r="P602" t="s">
        <v>81</v>
      </c>
      <c r="Q602" t="s">
        <v>119</v>
      </c>
      <c r="R602" t="s">
        <v>118</v>
      </c>
    </row>
    <row r="603" spans="1:18" x14ac:dyDescent="0.25">
      <c r="A603" t="s">
        <v>18873</v>
      </c>
      <c r="B603" t="s">
        <v>2636</v>
      </c>
      <c r="C603" t="str">
        <f>HYPERLINK("https://nematode.unl.edu/apcap3.jpg")</f>
        <v>https://nematode.unl.edu/apcap3.jpg</v>
      </c>
      <c r="D603" t="s">
        <v>16</v>
      </c>
      <c r="G603" t="s">
        <v>28</v>
      </c>
      <c r="I603" t="s">
        <v>19</v>
      </c>
      <c r="J603" t="s">
        <v>20</v>
      </c>
      <c r="L603" t="s">
        <v>64</v>
      </c>
      <c r="M603" t="s">
        <v>2612</v>
      </c>
      <c r="N603" t="s">
        <v>2612</v>
      </c>
      <c r="O603" t="s">
        <v>73</v>
      </c>
      <c r="P603" t="s">
        <v>81</v>
      </c>
      <c r="Q603" t="s">
        <v>119</v>
      </c>
      <c r="R603" t="s">
        <v>118</v>
      </c>
    </row>
    <row r="604" spans="1:18" x14ac:dyDescent="0.25">
      <c r="A604" t="s">
        <v>18861</v>
      </c>
      <c r="B604" t="s">
        <v>2637</v>
      </c>
      <c r="C604" t="str">
        <f>HYPERLINK("https://nematode.unl.edu/apcap30.jpg")</f>
        <v>https://nematode.unl.edu/apcap30.jpg</v>
      </c>
      <c r="D604" t="s">
        <v>43</v>
      </c>
      <c r="G604" t="s">
        <v>243</v>
      </c>
      <c r="I604" t="s">
        <v>19</v>
      </c>
      <c r="J604" t="s">
        <v>20</v>
      </c>
      <c r="L604" t="s">
        <v>29</v>
      </c>
      <c r="M604" t="s">
        <v>2612</v>
      </c>
      <c r="N604" t="s">
        <v>2612</v>
      </c>
      <c r="O604" t="s">
        <v>73</v>
      </c>
      <c r="P604" t="s">
        <v>81</v>
      </c>
      <c r="Q604" t="s">
        <v>119</v>
      </c>
      <c r="R604" t="s">
        <v>118</v>
      </c>
    </row>
    <row r="605" spans="1:18" x14ac:dyDescent="0.25">
      <c r="A605" t="s">
        <v>18847</v>
      </c>
      <c r="B605" t="s">
        <v>2638</v>
      </c>
      <c r="C605" t="str">
        <f>HYPERLINK("https://nematode.unl.edu/apcap31.jpg")</f>
        <v>https://nematode.unl.edu/apcap31.jpg</v>
      </c>
      <c r="D605" t="s">
        <v>43</v>
      </c>
      <c r="G605" t="s">
        <v>34</v>
      </c>
      <c r="H605" t="s">
        <v>18</v>
      </c>
      <c r="I605" t="s">
        <v>19</v>
      </c>
      <c r="J605" t="s">
        <v>20</v>
      </c>
      <c r="L605" t="s">
        <v>141</v>
      </c>
      <c r="M605" t="s">
        <v>2612</v>
      </c>
      <c r="N605" t="s">
        <v>2612</v>
      </c>
      <c r="O605" t="s">
        <v>73</v>
      </c>
      <c r="P605" t="s">
        <v>81</v>
      </c>
      <c r="Q605" t="s">
        <v>119</v>
      </c>
      <c r="R605" t="s">
        <v>118</v>
      </c>
    </row>
    <row r="606" spans="1:18" x14ac:dyDescent="0.25">
      <c r="A606" t="s">
        <v>18854</v>
      </c>
      <c r="B606" t="s">
        <v>2639</v>
      </c>
      <c r="C606" t="str">
        <f>HYPERLINK("https://nematode.unl.edu/apcap32.jpg")</f>
        <v>https://nematode.unl.edu/apcap32.jpg</v>
      </c>
      <c r="D606" t="s">
        <v>43</v>
      </c>
      <c r="G606" t="s">
        <v>87</v>
      </c>
      <c r="I606" t="s">
        <v>19</v>
      </c>
      <c r="J606" t="s">
        <v>20</v>
      </c>
      <c r="L606" t="s">
        <v>141</v>
      </c>
      <c r="M606" t="s">
        <v>2612</v>
      </c>
      <c r="N606" t="s">
        <v>2612</v>
      </c>
      <c r="O606" t="s">
        <v>73</v>
      </c>
      <c r="P606" t="s">
        <v>81</v>
      </c>
      <c r="Q606" t="s">
        <v>119</v>
      </c>
      <c r="R606" t="s">
        <v>118</v>
      </c>
    </row>
    <row r="607" spans="1:18" x14ac:dyDescent="0.25">
      <c r="A607" t="s">
        <v>18877</v>
      </c>
      <c r="B607" t="s">
        <v>2640</v>
      </c>
      <c r="C607" t="str">
        <f>HYPERLINK("https://nematode.unl.edu/apcap33.jpg")</f>
        <v>https://nematode.unl.edu/apcap33.jpg</v>
      </c>
      <c r="D607" t="s">
        <v>43</v>
      </c>
      <c r="G607" t="s">
        <v>51</v>
      </c>
      <c r="I607" t="s">
        <v>137</v>
      </c>
      <c r="J607" t="s">
        <v>20</v>
      </c>
      <c r="L607" t="s">
        <v>141</v>
      </c>
      <c r="M607" t="s">
        <v>2612</v>
      </c>
      <c r="N607" t="s">
        <v>2612</v>
      </c>
      <c r="O607" t="s">
        <v>73</v>
      </c>
      <c r="P607" t="s">
        <v>81</v>
      </c>
      <c r="Q607" t="s">
        <v>119</v>
      </c>
      <c r="R607" t="s">
        <v>118</v>
      </c>
    </row>
    <row r="608" spans="1:18" x14ac:dyDescent="0.25">
      <c r="A608" t="s">
        <v>18874</v>
      </c>
      <c r="B608" t="s">
        <v>2641</v>
      </c>
      <c r="C608" t="str">
        <f>HYPERLINK("https://nematode.unl.edu/apcap34.jpg")</f>
        <v>https://nematode.unl.edu/apcap34.jpg</v>
      </c>
      <c r="D608" t="s">
        <v>43</v>
      </c>
      <c r="G608" t="s">
        <v>28</v>
      </c>
      <c r="I608" t="s">
        <v>137</v>
      </c>
      <c r="J608" t="s">
        <v>20</v>
      </c>
      <c r="L608" t="s">
        <v>141</v>
      </c>
      <c r="M608" t="s">
        <v>2612</v>
      </c>
      <c r="N608" t="s">
        <v>2612</v>
      </c>
      <c r="O608" t="s">
        <v>73</v>
      </c>
      <c r="P608" t="s">
        <v>81</v>
      </c>
      <c r="Q608" t="s">
        <v>119</v>
      </c>
      <c r="R608" t="s">
        <v>118</v>
      </c>
    </row>
    <row r="609" spans="1:18" x14ac:dyDescent="0.25">
      <c r="A609" t="s">
        <v>18859</v>
      </c>
      <c r="B609" t="s">
        <v>2642</v>
      </c>
      <c r="C609" t="str">
        <f>HYPERLINK("https://nematode.unl.edu/apcap4.jpg")</f>
        <v>https://nematode.unl.edu/apcap4.jpg</v>
      </c>
      <c r="D609" t="s">
        <v>16</v>
      </c>
      <c r="G609" t="s">
        <v>44</v>
      </c>
      <c r="I609" t="s">
        <v>91</v>
      </c>
      <c r="J609" t="s">
        <v>20</v>
      </c>
      <c r="L609" t="s">
        <v>64</v>
      </c>
      <c r="M609" t="s">
        <v>2612</v>
      </c>
      <c r="N609" t="s">
        <v>2612</v>
      </c>
      <c r="O609" t="s">
        <v>73</v>
      </c>
      <c r="P609" t="s">
        <v>81</v>
      </c>
      <c r="Q609" t="s">
        <v>119</v>
      </c>
      <c r="R609" t="s">
        <v>118</v>
      </c>
    </row>
    <row r="610" spans="1:18" x14ac:dyDescent="0.25">
      <c r="A610" t="s">
        <v>18838</v>
      </c>
      <c r="B610" t="s">
        <v>2643</v>
      </c>
      <c r="C610" t="str">
        <f>HYPERLINK("https://nematode.unl.edu/apcap5.jpg")</f>
        <v>https://nematode.unl.edu/apcap5.jpg</v>
      </c>
      <c r="D610" t="s">
        <v>16</v>
      </c>
      <c r="G610" t="s">
        <v>96</v>
      </c>
      <c r="H610" t="s">
        <v>18</v>
      </c>
      <c r="I610" t="s">
        <v>45</v>
      </c>
      <c r="J610" t="s">
        <v>20</v>
      </c>
      <c r="L610" t="s">
        <v>193</v>
      </c>
      <c r="M610" t="s">
        <v>2612</v>
      </c>
      <c r="N610" t="s">
        <v>2612</v>
      </c>
      <c r="O610" t="s">
        <v>73</v>
      </c>
      <c r="P610" t="s">
        <v>81</v>
      </c>
      <c r="Q610" t="s">
        <v>119</v>
      </c>
      <c r="R610" t="s">
        <v>118</v>
      </c>
    </row>
    <row r="611" spans="1:18" x14ac:dyDescent="0.25">
      <c r="A611" t="s">
        <v>18848</v>
      </c>
      <c r="B611" t="s">
        <v>2644</v>
      </c>
      <c r="C611" t="str">
        <f>HYPERLINK("https://nematode.unl.edu/apcap6.jpg")</f>
        <v>https://nematode.unl.edu/apcap6.jpg</v>
      </c>
      <c r="D611" t="s">
        <v>16</v>
      </c>
      <c r="G611" t="s">
        <v>34</v>
      </c>
      <c r="H611" t="s">
        <v>18</v>
      </c>
      <c r="I611" t="s">
        <v>19</v>
      </c>
      <c r="J611" t="s">
        <v>20</v>
      </c>
      <c r="L611" t="s">
        <v>141</v>
      </c>
      <c r="M611" t="s">
        <v>2612</v>
      </c>
      <c r="N611" t="s">
        <v>2612</v>
      </c>
      <c r="O611" t="s">
        <v>73</v>
      </c>
      <c r="P611" t="s">
        <v>81</v>
      </c>
      <c r="Q611" t="s">
        <v>119</v>
      </c>
      <c r="R611" t="s">
        <v>118</v>
      </c>
    </row>
    <row r="612" spans="1:18" x14ac:dyDescent="0.25">
      <c r="A612" t="s">
        <v>18875</v>
      </c>
      <c r="B612" t="s">
        <v>2645</v>
      </c>
      <c r="C612" t="str">
        <f>HYPERLINK("https://nematode.unl.edu/apcap7.jpg")</f>
        <v>https://nematode.unl.edu/apcap7.jpg</v>
      </c>
      <c r="D612" t="s">
        <v>16</v>
      </c>
      <c r="G612" t="s">
        <v>28</v>
      </c>
      <c r="I612" t="s">
        <v>19</v>
      </c>
      <c r="J612" t="s">
        <v>20</v>
      </c>
      <c r="L612" t="s">
        <v>64</v>
      </c>
      <c r="M612" t="s">
        <v>2612</v>
      </c>
      <c r="N612" t="s">
        <v>2612</v>
      </c>
      <c r="O612" t="s">
        <v>73</v>
      </c>
      <c r="P612" t="s">
        <v>81</v>
      </c>
      <c r="Q612" t="s">
        <v>119</v>
      </c>
      <c r="R612" t="s">
        <v>118</v>
      </c>
    </row>
    <row r="613" spans="1:18" x14ac:dyDescent="0.25">
      <c r="A613" t="s">
        <v>18855</v>
      </c>
      <c r="B613" t="s">
        <v>2646</v>
      </c>
      <c r="C613" t="str">
        <f>HYPERLINK("https://nematode.unl.edu/apcap8.jpg")</f>
        <v>https://nematode.unl.edu/apcap8.jpg</v>
      </c>
      <c r="D613" t="s">
        <v>16</v>
      </c>
      <c r="G613" t="s">
        <v>87</v>
      </c>
      <c r="I613" t="s">
        <v>19</v>
      </c>
      <c r="J613" t="s">
        <v>20</v>
      </c>
      <c r="L613" t="s">
        <v>217</v>
      </c>
      <c r="M613" t="s">
        <v>2612</v>
      </c>
      <c r="N613" t="s">
        <v>2612</v>
      </c>
      <c r="O613" t="s">
        <v>73</v>
      </c>
      <c r="P613" t="s">
        <v>81</v>
      </c>
      <c r="Q613" t="s">
        <v>119</v>
      </c>
      <c r="R613" t="s">
        <v>118</v>
      </c>
    </row>
    <row r="614" spans="1:18" x14ac:dyDescent="0.25">
      <c r="A614" t="s">
        <v>18866</v>
      </c>
      <c r="B614" t="s">
        <v>2647</v>
      </c>
      <c r="C614" t="str">
        <f>HYPERLINK("https://nematode.unl.edu/apcap9.jpg")</f>
        <v>https://nematode.unl.edu/apcap9.jpg</v>
      </c>
      <c r="D614" t="s">
        <v>43</v>
      </c>
      <c r="G614" t="s">
        <v>205</v>
      </c>
      <c r="I614" t="s">
        <v>45</v>
      </c>
      <c r="J614" t="s">
        <v>20</v>
      </c>
      <c r="L614" t="s">
        <v>29</v>
      </c>
      <c r="M614" t="s">
        <v>2612</v>
      </c>
      <c r="N614" t="s">
        <v>2612</v>
      </c>
      <c r="O614" t="s">
        <v>73</v>
      </c>
      <c r="P614" t="s">
        <v>81</v>
      </c>
      <c r="Q614" t="s">
        <v>119</v>
      </c>
      <c r="R614" t="s">
        <v>118</v>
      </c>
    </row>
    <row r="615" spans="1:18" x14ac:dyDescent="0.25">
      <c r="A615" t="s">
        <v>18878</v>
      </c>
      <c r="B615" t="s">
        <v>2653</v>
      </c>
      <c r="C615" t="str">
        <f>HYPERLINK("https://nematode.unl.edu/apcla1.jpg")</f>
        <v>https://nematode.unl.edu/apcla1.jpg</v>
      </c>
      <c r="D615" t="s">
        <v>16</v>
      </c>
      <c r="G615" t="s">
        <v>34</v>
      </c>
      <c r="H615" t="s">
        <v>18</v>
      </c>
      <c r="I615" t="s">
        <v>19</v>
      </c>
      <c r="J615" t="s">
        <v>20</v>
      </c>
      <c r="L615" t="s">
        <v>206</v>
      </c>
      <c r="M615" t="s">
        <v>2654</v>
      </c>
      <c r="N615" t="s">
        <v>2654</v>
      </c>
      <c r="O615" t="s">
        <v>73</v>
      </c>
      <c r="P615" t="s">
        <v>81</v>
      </c>
      <c r="Q615" t="s">
        <v>119</v>
      </c>
      <c r="R615" t="s">
        <v>118</v>
      </c>
    </row>
    <row r="616" spans="1:18" x14ac:dyDescent="0.25">
      <c r="A616" t="s">
        <v>18882</v>
      </c>
      <c r="B616" t="s">
        <v>2655</v>
      </c>
      <c r="C616" t="str">
        <f>HYPERLINK("https://nematode.unl.edu/apcla10.jpg")</f>
        <v>https://nematode.unl.edu/apcla10.jpg</v>
      </c>
      <c r="D616" t="s">
        <v>16</v>
      </c>
      <c r="G616" t="s">
        <v>2656</v>
      </c>
      <c r="I616" t="s">
        <v>19</v>
      </c>
      <c r="J616" t="s">
        <v>20</v>
      </c>
      <c r="L616" t="s">
        <v>138</v>
      </c>
      <c r="M616" t="s">
        <v>2654</v>
      </c>
      <c r="N616" t="s">
        <v>2654</v>
      </c>
      <c r="O616" t="s">
        <v>73</v>
      </c>
      <c r="P616" t="s">
        <v>81</v>
      </c>
      <c r="Q616" t="s">
        <v>119</v>
      </c>
      <c r="R616" t="s">
        <v>118</v>
      </c>
    </row>
    <row r="617" spans="1:18" x14ac:dyDescent="0.25">
      <c r="A617" t="s">
        <v>18879</v>
      </c>
      <c r="B617" t="s">
        <v>2657</v>
      </c>
      <c r="C617" t="str">
        <f>HYPERLINK("https://nematode.unl.edu/apcla11.jpg")</f>
        <v>https://nematode.unl.edu/apcla11.jpg</v>
      </c>
      <c r="D617" t="s">
        <v>16</v>
      </c>
      <c r="G617" t="s">
        <v>34</v>
      </c>
      <c r="H617" t="s">
        <v>18</v>
      </c>
      <c r="I617" t="s">
        <v>19</v>
      </c>
      <c r="J617" t="s">
        <v>20</v>
      </c>
      <c r="L617" t="s">
        <v>206</v>
      </c>
      <c r="M617" t="s">
        <v>2654</v>
      </c>
      <c r="N617" t="s">
        <v>2654</v>
      </c>
      <c r="O617" t="s">
        <v>73</v>
      </c>
      <c r="P617" t="s">
        <v>81</v>
      </c>
      <c r="Q617" t="s">
        <v>119</v>
      </c>
      <c r="R617" t="s">
        <v>118</v>
      </c>
    </row>
    <row r="618" spans="1:18" x14ac:dyDescent="0.25">
      <c r="A618" t="s">
        <v>18883</v>
      </c>
      <c r="B618" t="s">
        <v>2658</v>
      </c>
      <c r="C618" t="str">
        <f>HYPERLINK("https://nematode.unl.edu/apcla2.jpg")</f>
        <v>https://nematode.unl.edu/apcla2.jpg</v>
      </c>
      <c r="D618" t="s">
        <v>16</v>
      </c>
      <c r="G618" t="s">
        <v>28</v>
      </c>
      <c r="I618" t="s">
        <v>19</v>
      </c>
      <c r="J618" t="s">
        <v>20</v>
      </c>
      <c r="M618" t="s">
        <v>2654</v>
      </c>
      <c r="N618" t="s">
        <v>2654</v>
      </c>
      <c r="O618" t="s">
        <v>73</v>
      </c>
      <c r="P618" t="s">
        <v>81</v>
      </c>
      <c r="Q618" t="s">
        <v>119</v>
      </c>
      <c r="R618" t="s">
        <v>118</v>
      </c>
    </row>
    <row r="619" spans="1:18" x14ac:dyDescent="0.25">
      <c r="A619" t="s">
        <v>18880</v>
      </c>
      <c r="B619" t="s">
        <v>2659</v>
      </c>
      <c r="C619" t="str">
        <f>HYPERLINK("https://nematode.unl.edu/apcla3.jpg")</f>
        <v>https://nematode.unl.edu/apcla3.jpg</v>
      </c>
      <c r="D619" t="s">
        <v>16</v>
      </c>
      <c r="G619" t="s">
        <v>34</v>
      </c>
      <c r="H619" t="s">
        <v>18</v>
      </c>
      <c r="I619" t="s">
        <v>19</v>
      </c>
      <c r="J619" t="s">
        <v>20</v>
      </c>
      <c r="L619" t="s">
        <v>206</v>
      </c>
      <c r="M619" t="s">
        <v>2654</v>
      </c>
      <c r="N619" t="s">
        <v>2654</v>
      </c>
      <c r="O619" t="s">
        <v>73</v>
      </c>
      <c r="P619" t="s">
        <v>81</v>
      </c>
      <c r="Q619" t="s">
        <v>119</v>
      </c>
      <c r="R619" t="s">
        <v>118</v>
      </c>
    </row>
    <row r="620" spans="1:18" x14ac:dyDescent="0.25">
      <c r="A620" t="s">
        <v>18884</v>
      </c>
      <c r="B620" t="s">
        <v>2660</v>
      </c>
      <c r="C620" t="str">
        <f>HYPERLINK("https://nematode.unl.edu/apcla4.jpg")</f>
        <v>https://nematode.unl.edu/apcla4.jpg</v>
      </c>
      <c r="D620" t="s">
        <v>16</v>
      </c>
      <c r="G620" t="s">
        <v>28</v>
      </c>
      <c r="I620" t="s">
        <v>19</v>
      </c>
      <c r="J620" t="s">
        <v>20</v>
      </c>
      <c r="L620" t="s">
        <v>206</v>
      </c>
      <c r="M620" t="s">
        <v>2654</v>
      </c>
      <c r="N620" t="s">
        <v>2654</v>
      </c>
      <c r="O620" t="s">
        <v>73</v>
      </c>
      <c r="P620" t="s">
        <v>81</v>
      </c>
      <c r="Q620" t="s">
        <v>119</v>
      </c>
      <c r="R620" t="s">
        <v>118</v>
      </c>
    </row>
    <row r="621" spans="1:18" x14ac:dyDescent="0.25">
      <c r="A621" t="s">
        <v>18885</v>
      </c>
      <c r="B621" t="s">
        <v>2661</v>
      </c>
      <c r="C621" t="str">
        <f>HYPERLINK("https://nematode.unl.edu/apcla5.jpg")</f>
        <v>https://nematode.unl.edu/apcla5.jpg</v>
      </c>
      <c r="D621" t="s">
        <v>16</v>
      </c>
      <c r="G621" t="s">
        <v>28</v>
      </c>
      <c r="I621" t="s">
        <v>19</v>
      </c>
      <c r="J621" t="s">
        <v>20</v>
      </c>
      <c r="L621" t="s">
        <v>29</v>
      </c>
      <c r="M621" t="s">
        <v>2654</v>
      </c>
      <c r="N621" t="s">
        <v>2654</v>
      </c>
      <c r="O621" t="s">
        <v>73</v>
      </c>
      <c r="P621" t="s">
        <v>81</v>
      </c>
      <c r="Q621" t="s">
        <v>119</v>
      </c>
      <c r="R621" t="s">
        <v>118</v>
      </c>
    </row>
    <row r="622" spans="1:18" x14ac:dyDescent="0.25">
      <c r="A622" t="s">
        <v>18886</v>
      </c>
      <c r="B622" t="s">
        <v>2662</v>
      </c>
      <c r="C622" t="str">
        <f>HYPERLINK("https://nematode.unl.edu/apcla6.jpg")</f>
        <v>https://nematode.unl.edu/apcla6.jpg</v>
      </c>
      <c r="D622" t="s">
        <v>16</v>
      </c>
      <c r="G622" t="s">
        <v>28</v>
      </c>
      <c r="I622" t="s">
        <v>19</v>
      </c>
      <c r="J622" t="s">
        <v>20</v>
      </c>
      <c r="M622" t="s">
        <v>2654</v>
      </c>
      <c r="N622" t="s">
        <v>2654</v>
      </c>
      <c r="O622" t="s">
        <v>73</v>
      </c>
      <c r="P622" t="s">
        <v>81</v>
      </c>
      <c r="Q622" t="s">
        <v>119</v>
      </c>
      <c r="R622" t="s">
        <v>118</v>
      </c>
    </row>
    <row r="623" spans="1:18" x14ac:dyDescent="0.25">
      <c r="A623" t="s">
        <v>18887</v>
      </c>
      <c r="B623" t="s">
        <v>2663</v>
      </c>
      <c r="C623" t="str">
        <f>HYPERLINK("https://nematode.unl.edu/apcla7.jpg")</f>
        <v>https://nematode.unl.edu/apcla7.jpg</v>
      </c>
      <c r="D623" t="s">
        <v>16</v>
      </c>
      <c r="G623" t="s">
        <v>28</v>
      </c>
      <c r="I623" t="s">
        <v>19</v>
      </c>
      <c r="J623" t="s">
        <v>20</v>
      </c>
      <c r="L623" t="s">
        <v>138</v>
      </c>
      <c r="M623" t="s">
        <v>2654</v>
      </c>
      <c r="N623" t="s">
        <v>2654</v>
      </c>
      <c r="O623" t="s">
        <v>73</v>
      </c>
      <c r="P623" t="s">
        <v>81</v>
      </c>
      <c r="Q623" t="s">
        <v>119</v>
      </c>
      <c r="R623" t="s">
        <v>118</v>
      </c>
    </row>
    <row r="624" spans="1:18" x14ac:dyDescent="0.25">
      <c r="A624" t="s">
        <v>18881</v>
      </c>
      <c r="B624" t="s">
        <v>2664</v>
      </c>
      <c r="C624" t="str">
        <f>HYPERLINK("https://nematode.unl.edu/apcla8.jpg")</f>
        <v>https://nematode.unl.edu/apcla8.jpg</v>
      </c>
      <c r="D624" t="s">
        <v>16</v>
      </c>
      <c r="G624" t="s">
        <v>34</v>
      </c>
      <c r="H624" t="s">
        <v>18</v>
      </c>
      <c r="I624" t="s">
        <v>19</v>
      </c>
      <c r="J624" t="s">
        <v>20</v>
      </c>
      <c r="L624" t="s">
        <v>138</v>
      </c>
      <c r="M624" t="s">
        <v>2654</v>
      </c>
      <c r="N624" t="s">
        <v>2654</v>
      </c>
      <c r="O624" t="s">
        <v>73</v>
      </c>
      <c r="P624" t="s">
        <v>81</v>
      </c>
      <c r="Q624" t="s">
        <v>119</v>
      </c>
      <c r="R624" t="s">
        <v>118</v>
      </c>
    </row>
    <row r="625" spans="1:18" x14ac:dyDescent="0.25">
      <c r="A625" t="s">
        <v>18888</v>
      </c>
      <c r="B625" t="s">
        <v>2665</v>
      </c>
      <c r="C625" t="str">
        <f>HYPERLINK("https://nematode.unl.edu/apcla9.jpg")</f>
        <v>https://nematode.unl.edu/apcla9.jpg</v>
      </c>
      <c r="D625" t="s">
        <v>16</v>
      </c>
      <c r="G625" t="s">
        <v>28</v>
      </c>
      <c r="I625" t="s">
        <v>19</v>
      </c>
      <c r="J625" t="s">
        <v>20</v>
      </c>
      <c r="L625" t="s">
        <v>206</v>
      </c>
      <c r="M625" t="s">
        <v>2654</v>
      </c>
      <c r="N625" t="s">
        <v>2654</v>
      </c>
      <c r="O625" t="s">
        <v>73</v>
      </c>
      <c r="P625" t="s">
        <v>81</v>
      </c>
      <c r="Q625" t="s">
        <v>119</v>
      </c>
      <c r="R625" t="s">
        <v>118</v>
      </c>
    </row>
    <row r="626" spans="1:18" x14ac:dyDescent="0.25">
      <c r="A626" t="s">
        <v>20919</v>
      </c>
      <c r="B626" t="s">
        <v>699</v>
      </c>
      <c r="C626" t="str">
        <f>HYPERLINK("https://nematode.unl.edu/apdu1.jpg")</f>
        <v>https://nematode.unl.edu/apdu1.jpg</v>
      </c>
      <c r="D626" t="s">
        <v>16</v>
      </c>
      <c r="G626" t="s">
        <v>34</v>
      </c>
      <c r="H626" t="s">
        <v>18</v>
      </c>
      <c r="I626" t="s">
        <v>19</v>
      </c>
      <c r="J626" t="s">
        <v>20</v>
      </c>
      <c r="L626" t="s">
        <v>141</v>
      </c>
      <c r="M626" t="s">
        <v>700</v>
      </c>
      <c r="N626" t="s">
        <v>701</v>
      </c>
      <c r="O626" t="s">
        <v>73</v>
      </c>
      <c r="P626" t="s">
        <v>81</v>
      </c>
      <c r="Q626" t="s">
        <v>82</v>
      </c>
      <c r="R626" t="s">
        <v>702</v>
      </c>
    </row>
    <row r="627" spans="1:18" x14ac:dyDescent="0.25">
      <c r="A627" t="s">
        <v>20921</v>
      </c>
      <c r="B627" t="s">
        <v>703</v>
      </c>
      <c r="C627" t="str">
        <f>HYPERLINK("https://nematode.unl.edu/apdu2.jpg")</f>
        <v>https://nematode.unl.edu/apdu2.jpg</v>
      </c>
      <c r="D627" t="s">
        <v>16</v>
      </c>
      <c r="G627" t="s">
        <v>87</v>
      </c>
      <c r="I627" t="s">
        <v>19</v>
      </c>
      <c r="J627" t="s">
        <v>20</v>
      </c>
      <c r="L627" t="s">
        <v>220</v>
      </c>
      <c r="M627" t="s">
        <v>700</v>
      </c>
      <c r="N627" t="s">
        <v>701</v>
      </c>
      <c r="O627" t="s">
        <v>73</v>
      </c>
      <c r="P627" t="s">
        <v>81</v>
      </c>
      <c r="Q627" t="s">
        <v>82</v>
      </c>
      <c r="R627" t="s">
        <v>702</v>
      </c>
    </row>
    <row r="628" spans="1:18" x14ac:dyDescent="0.25">
      <c r="A628" t="s">
        <v>20923</v>
      </c>
      <c r="B628" t="s">
        <v>704</v>
      </c>
      <c r="C628" t="str">
        <f>HYPERLINK("https://nematode.unl.edu/apdu3.jpg")</f>
        <v>https://nematode.unl.edu/apdu3.jpg</v>
      </c>
      <c r="D628" t="s">
        <v>16</v>
      </c>
      <c r="G628" t="s">
        <v>28</v>
      </c>
      <c r="I628" t="s">
        <v>19</v>
      </c>
      <c r="J628" t="s">
        <v>20</v>
      </c>
      <c r="M628" t="s">
        <v>700</v>
      </c>
      <c r="N628" t="s">
        <v>701</v>
      </c>
      <c r="O628" t="s">
        <v>73</v>
      </c>
      <c r="P628" t="s">
        <v>81</v>
      </c>
      <c r="Q628" t="s">
        <v>82</v>
      </c>
      <c r="R628" t="s">
        <v>702</v>
      </c>
    </row>
    <row r="629" spans="1:18" x14ac:dyDescent="0.25">
      <c r="A629" t="s">
        <v>20920</v>
      </c>
      <c r="B629" t="s">
        <v>705</v>
      </c>
      <c r="C629" t="str">
        <f>HYPERLINK("https://nematode.unl.edu/apdu4.jpg")</f>
        <v>https://nematode.unl.edu/apdu4.jpg</v>
      </c>
      <c r="D629" t="s">
        <v>16</v>
      </c>
      <c r="G629" t="s">
        <v>34</v>
      </c>
      <c r="H629" t="s">
        <v>18</v>
      </c>
      <c r="I629" t="s">
        <v>41</v>
      </c>
      <c r="J629" t="s">
        <v>20</v>
      </c>
      <c r="L629" t="s">
        <v>220</v>
      </c>
      <c r="M629" t="s">
        <v>700</v>
      </c>
      <c r="N629" t="s">
        <v>701</v>
      </c>
      <c r="O629" t="s">
        <v>73</v>
      </c>
      <c r="P629" t="s">
        <v>81</v>
      </c>
      <c r="Q629" t="s">
        <v>82</v>
      </c>
      <c r="R629" t="s">
        <v>702</v>
      </c>
    </row>
    <row r="630" spans="1:18" x14ac:dyDescent="0.25">
      <c r="A630" t="s">
        <v>20922</v>
      </c>
      <c r="B630" t="s">
        <v>706</v>
      </c>
      <c r="C630" t="str">
        <f>HYPERLINK("https://nematode.unl.edu/apdu5.jpg")</f>
        <v>https://nematode.unl.edu/apdu5.jpg</v>
      </c>
      <c r="D630" t="s">
        <v>16</v>
      </c>
      <c r="G630" t="s">
        <v>87</v>
      </c>
      <c r="I630" t="s">
        <v>41</v>
      </c>
      <c r="J630" t="s">
        <v>20</v>
      </c>
      <c r="M630" t="s">
        <v>700</v>
      </c>
      <c r="N630" t="s">
        <v>701</v>
      </c>
      <c r="O630" t="s">
        <v>73</v>
      </c>
      <c r="P630" t="s">
        <v>81</v>
      </c>
      <c r="Q630" t="s">
        <v>82</v>
      </c>
      <c r="R630" t="s">
        <v>702</v>
      </c>
    </row>
    <row r="631" spans="1:18" x14ac:dyDescent="0.25">
      <c r="A631" t="s">
        <v>18910</v>
      </c>
      <c r="B631" t="s">
        <v>2688</v>
      </c>
      <c r="C631" t="str">
        <f>HYPERLINK("https://nematode.unl.edu/apeleg1.jpg")</f>
        <v>https://nematode.unl.edu/apeleg1.jpg</v>
      </c>
      <c r="D631" t="s">
        <v>16</v>
      </c>
      <c r="G631" t="s">
        <v>34</v>
      </c>
      <c r="H631" t="s">
        <v>18</v>
      </c>
      <c r="I631" t="s">
        <v>45</v>
      </c>
      <c r="J631" t="s">
        <v>20</v>
      </c>
      <c r="M631" t="s">
        <v>2689</v>
      </c>
      <c r="N631" t="s">
        <v>2689</v>
      </c>
      <c r="O631" t="s">
        <v>73</v>
      </c>
      <c r="P631" t="s">
        <v>81</v>
      </c>
      <c r="Q631" t="s">
        <v>119</v>
      </c>
      <c r="R631" t="s">
        <v>118</v>
      </c>
    </row>
    <row r="632" spans="1:18" x14ac:dyDescent="0.25">
      <c r="A632" t="s">
        <v>18916</v>
      </c>
      <c r="B632" t="s">
        <v>2690</v>
      </c>
      <c r="C632" t="str">
        <f>HYPERLINK("https://nematode.unl.edu/apeleg10.jpg")</f>
        <v>https://nematode.unl.edu/apeleg10.jpg</v>
      </c>
      <c r="D632" t="s">
        <v>16</v>
      </c>
      <c r="G632" t="s">
        <v>44</v>
      </c>
      <c r="I632" t="s">
        <v>91</v>
      </c>
      <c r="J632" t="s">
        <v>20</v>
      </c>
      <c r="M632" t="s">
        <v>2689</v>
      </c>
      <c r="N632" t="s">
        <v>2689</v>
      </c>
      <c r="O632" t="s">
        <v>73</v>
      </c>
      <c r="P632" t="s">
        <v>81</v>
      </c>
      <c r="Q632" t="s">
        <v>119</v>
      </c>
      <c r="R632" t="s">
        <v>118</v>
      </c>
    </row>
    <row r="633" spans="1:18" x14ac:dyDescent="0.25">
      <c r="A633" t="s">
        <v>18917</v>
      </c>
      <c r="B633" t="s">
        <v>2691</v>
      </c>
      <c r="C633" t="str">
        <f>HYPERLINK("https://nematode.unl.edu/apeleg2.jpg")</f>
        <v>https://nematode.unl.edu/apeleg2.jpg</v>
      </c>
      <c r="D633" t="s">
        <v>16</v>
      </c>
      <c r="G633" t="s">
        <v>28</v>
      </c>
      <c r="I633" t="s">
        <v>45</v>
      </c>
      <c r="J633" t="s">
        <v>20</v>
      </c>
      <c r="M633" t="s">
        <v>2689</v>
      </c>
      <c r="N633" t="s">
        <v>2689</v>
      </c>
      <c r="O633" t="s">
        <v>73</v>
      </c>
      <c r="P633" t="s">
        <v>81</v>
      </c>
      <c r="Q633" t="s">
        <v>119</v>
      </c>
      <c r="R633" t="s">
        <v>118</v>
      </c>
    </row>
    <row r="634" spans="1:18" x14ac:dyDescent="0.25">
      <c r="A634" t="s">
        <v>18911</v>
      </c>
      <c r="B634" t="s">
        <v>2692</v>
      </c>
      <c r="C634" t="str">
        <f>HYPERLINK("https://nematode.unl.edu/apeleg3.jpg")</f>
        <v>https://nematode.unl.edu/apeleg3.jpg</v>
      </c>
      <c r="D634" t="s">
        <v>16</v>
      </c>
      <c r="G634" t="s">
        <v>34</v>
      </c>
      <c r="H634" t="s">
        <v>18</v>
      </c>
      <c r="I634" t="s">
        <v>19</v>
      </c>
      <c r="J634" t="s">
        <v>20</v>
      </c>
      <c r="M634" t="s">
        <v>2689</v>
      </c>
      <c r="N634" t="s">
        <v>2689</v>
      </c>
      <c r="O634" t="s">
        <v>73</v>
      </c>
      <c r="P634" t="s">
        <v>81</v>
      </c>
      <c r="Q634" t="s">
        <v>119</v>
      </c>
      <c r="R634" t="s">
        <v>118</v>
      </c>
    </row>
    <row r="635" spans="1:18" x14ac:dyDescent="0.25">
      <c r="A635" t="s">
        <v>18915</v>
      </c>
      <c r="B635" t="s">
        <v>2693</v>
      </c>
      <c r="C635" t="str">
        <f>HYPERLINK("https://nematode.unl.edu/apeleg4.jpg")</f>
        <v>https://nematode.unl.edu/apeleg4.jpg</v>
      </c>
      <c r="D635" t="s">
        <v>16</v>
      </c>
      <c r="G635" t="s">
        <v>87</v>
      </c>
      <c r="I635" t="s">
        <v>19</v>
      </c>
      <c r="J635" t="s">
        <v>20</v>
      </c>
      <c r="M635" t="s">
        <v>2689</v>
      </c>
      <c r="N635" t="s">
        <v>2689</v>
      </c>
      <c r="O635" t="s">
        <v>73</v>
      </c>
      <c r="P635" t="s">
        <v>81</v>
      </c>
      <c r="Q635" t="s">
        <v>119</v>
      </c>
      <c r="R635" t="s">
        <v>118</v>
      </c>
    </row>
    <row r="636" spans="1:18" x14ac:dyDescent="0.25">
      <c r="A636" t="s">
        <v>18918</v>
      </c>
      <c r="B636" t="s">
        <v>2694</v>
      </c>
      <c r="C636" t="str">
        <f>HYPERLINK("https://nematode.unl.edu/apeleg5.jpg")</f>
        <v>https://nematode.unl.edu/apeleg5.jpg</v>
      </c>
      <c r="D636" t="s">
        <v>16</v>
      </c>
      <c r="G636" t="s">
        <v>28</v>
      </c>
      <c r="I636" t="s">
        <v>19</v>
      </c>
      <c r="J636" t="s">
        <v>20</v>
      </c>
      <c r="M636" t="s">
        <v>2689</v>
      </c>
      <c r="N636" t="s">
        <v>2689</v>
      </c>
      <c r="O636" t="s">
        <v>73</v>
      </c>
      <c r="P636" t="s">
        <v>81</v>
      </c>
      <c r="Q636" t="s">
        <v>119</v>
      </c>
      <c r="R636" t="s">
        <v>118</v>
      </c>
    </row>
    <row r="637" spans="1:18" x14ac:dyDescent="0.25">
      <c r="A637" t="s">
        <v>18912</v>
      </c>
      <c r="B637" t="s">
        <v>2695</v>
      </c>
      <c r="C637" t="str">
        <f>HYPERLINK("https://nematode.unl.edu/apeleg6.jpg")</f>
        <v>https://nematode.unl.edu/apeleg6.jpg</v>
      </c>
      <c r="D637" t="s">
        <v>16</v>
      </c>
      <c r="G637" t="s">
        <v>34</v>
      </c>
      <c r="H637" t="s">
        <v>18</v>
      </c>
      <c r="I637" t="s">
        <v>19</v>
      </c>
      <c r="J637" t="s">
        <v>20</v>
      </c>
      <c r="M637" t="s">
        <v>2689</v>
      </c>
      <c r="N637" t="s">
        <v>2689</v>
      </c>
      <c r="O637" t="s">
        <v>73</v>
      </c>
      <c r="P637" t="s">
        <v>81</v>
      </c>
      <c r="Q637" t="s">
        <v>119</v>
      </c>
      <c r="R637" t="s">
        <v>118</v>
      </c>
    </row>
    <row r="638" spans="1:18" x14ac:dyDescent="0.25">
      <c r="A638" t="s">
        <v>18913</v>
      </c>
      <c r="B638" t="s">
        <v>2696</v>
      </c>
      <c r="C638" t="str">
        <f>HYPERLINK("https://nematode.unl.edu/apeleg7.jpg")</f>
        <v>https://nematode.unl.edu/apeleg7.jpg</v>
      </c>
      <c r="D638" t="s">
        <v>16</v>
      </c>
      <c r="G638" t="s">
        <v>34</v>
      </c>
      <c r="H638" t="s">
        <v>18</v>
      </c>
      <c r="I638" t="s">
        <v>19</v>
      </c>
      <c r="J638" t="s">
        <v>20</v>
      </c>
      <c r="L638" t="s">
        <v>85</v>
      </c>
      <c r="M638" t="s">
        <v>2689</v>
      </c>
      <c r="N638" t="s">
        <v>2689</v>
      </c>
      <c r="O638" t="s">
        <v>73</v>
      </c>
      <c r="P638" t="s">
        <v>81</v>
      </c>
      <c r="Q638" t="s">
        <v>119</v>
      </c>
      <c r="R638" t="s">
        <v>118</v>
      </c>
    </row>
    <row r="639" spans="1:18" x14ac:dyDescent="0.25">
      <c r="A639" t="s">
        <v>18914</v>
      </c>
      <c r="B639" t="s">
        <v>2697</v>
      </c>
      <c r="C639" t="str">
        <f>HYPERLINK("https://nematode.unl.edu/apeleg8.jpg")</f>
        <v>https://nematode.unl.edu/apeleg8.jpg</v>
      </c>
      <c r="D639" t="s">
        <v>16</v>
      </c>
      <c r="G639" t="s">
        <v>34</v>
      </c>
      <c r="H639" t="s">
        <v>18</v>
      </c>
      <c r="I639" t="s">
        <v>45</v>
      </c>
      <c r="J639" t="s">
        <v>20</v>
      </c>
      <c r="M639" t="s">
        <v>2689</v>
      </c>
      <c r="N639" t="s">
        <v>2689</v>
      </c>
      <c r="O639" t="s">
        <v>73</v>
      </c>
      <c r="P639" t="s">
        <v>81</v>
      </c>
      <c r="Q639" t="s">
        <v>119</v>
      </c>
      <c r="R639" t="s">
        <v>118</v>
      </c>
    </row>
    <row r="640" spans="1:18" x14ac:dyDescent="0.25">
      <c r="A640" t="s">
        <v>18919</v>
      </c>
      <c r="B640" t="s">
        <v>2698</v>
      </c>
      <c r="C640" t="str">
        <f>HYPERLINK("https://nematode.unl.edu/apeleg9.jpg")</f>
        <v>https://nematode.unl.edu/apeleg9.jpg</v>
      </c>
      <c r="D640" t="s">
        <v>16</v>
      </c>
      <c r="G640" t="s">
        <v>28</v>
      </c>
      <c r="I640" t="s">
        <v>45</v>
      </c>
      <c r="J640" t="s">
        <v>20</v>
      </c>
      <c r="L640" t="s">
        <v>85</v>
      </c>
      <c r="M640" t="s">
        <v>2689</v>
      </c>
      <c r="N640" t="s">
        <v>2689</v>
      </c>
      <c r="O640" t="s">
        <v>73</v>
      </c>
      <c r="P640" t="s">
        <v>81</v>
      </c>
      <c r="Q640" t="s">
        <v>119</v>
      </c>
      <c r="R640" t="s">
        <v>118</v>
      </c>
    </row>
    <row r="641" spans="1:18" x14ac:dyDescent="0.25">
      <c r="A641" t="s">
        <v>18925</v>
      </c>
      <c r="B641" t="s">
        <v>2699</v>
      </c>
      <c r="C641" t="str">
        <f>HYPERLINK("https://nematode.unl.edu/apeury10.jpg")</f>
        <v>https://nematode.unl.edu/apeury10.jpg</v>
      </c>
      <c r="D641" t="s">
        <v>43</v>
      </c>
      <c r="G641" t="s">
        <v>87</v>
      </c>
      <c r="I641" t="s">
        <v>19</v>
      </c>
      <c r="J641" t="s">
        <v>20</v>
      </c>
      <c r="L641" t="s">
        <v>29</v>
      </c>
      <c r="M641" t="s">
        <v>2700</v>
      </c>
      <c r="N641" t="s">
        <v>2700</v>
      </c>
      <c r="O641" t="s">
        <v>73</v>
      </c>
      <c r="P641" t="s">
        <v>81</v>
      </c>
      <c r="Q641" t="s">
        <v>119</v>
      </c>
      <c r="R641" t="s">
        <v>118</v>
      </c>
    </row>
    <row r="642" spans="1:18" x14ac:dyDescent="0.25">
      <c r="A642" t="s">
        <v>18921</v>
      </c>
      <c r="B642" t="s">
        <v>2701</v>
      </c>
      <c r="C642" t="str">
        <f>HYPERLINK("https://nematode.unl.edu/apeury11.jpg")</f>
        <v>https://nematode.unl.edu/apeury11.jpg</v>
      </c>
      <c r="D642" t="s">
        <v>43</v>
      </c>
      <c r="G642" t="s">
        <v>34</v>
      </c>
      <c r="H642" t="s">
        <v>18</v>
      </c>
      <c r="I642" t="s">
        <v>19</v>
      </c>
      <c r="J642" t="s">
        <v>20</v>
      </c>
      <c r="M642" t="s">
        <v>2700</v>
      </c>
      <c r="N642" t="s">
        <v>2700</v>
      </c>
      <c r="O642" t="s">
        <v>73</v>
      </c>
      <c r="P642" t="s">
        <v>81</v>
      </c>
      <c r="Q642" t="s">
        <v>119</v>
      </c>
      <c r="R642" t="s">
        <v>118</v>
      </c>
    </row>
    <row r="643" spans="1:18" x14ac:dyDescent="0.25">
      <c r="A643" t="s">
        <v>18926</v>
      </c>
      <c r="B643" t="s">
        <v>2702</v>
      </c>
      <c r="C643" t="str">
        <f>HYPERLINK("https://nematode.unl.edu/apeury12.jpg")</f>
        <v>https://nematode.unl.edu/apeury12.jpg</v>
      </c>
      <c r="D643" t="s">
        <v>16</v>
      </c>
      <c r="G643" t="s">
        <v>28</v>
      </c>
      <c r="I643" t="s">
        <v>137</v>
      </c>
      <c r="J643" t="s">
        <v>20</v>
      </c>
      <c r="L643" t="s">
        <v>85</v>
      </c>
      <c r="M643" t="s">
        <v>2700</v>
      </c>
      <c r="N643" t="s">
        <v>2700</v>
      </c>
      <c r="O643" t="s">
        <v>73</v>
      </c>
      <c r="P643" t="s">
        <v>81</v>
      </c>
      <c r="Q643" t="s">
        <v>119</v>
      </c>
      <c r="R643" t="s">
        <v>118</v>
      </c>
    </row>
    <row r="644" spans="1:18" x14ac:dyDescent="0.25">
      <c r="A644" t="s">
        <v>18920</v>
      </c>
      <c r="B644" t="s">
        <v>2703</v>
      </c>
      <c r="C644" t="str">
        <f>HYPERLINK("https://nematode.unl.edu/apeury13.jpg")</f>
        <v>https://nematode.unl.edu/apeury13.jpg</v>
      </c>
      <c r="D644" t="s">
        <v>16</v>
      </c>
      <c r="G644" t="s">
        <v>96</v>
      </c>
      <c r="H644" t="s">
        <v>18</v>
      </c>
      <c r="I644" t="s">
        <v>137</v>
      </c>
      <c r="J644" t="s">
        <v>20</v>
      </c>
      <c r="M644" t="s">
        <v>2700</v>
      </c>
      <c r="N644" t="s">
        <v>2700</v>
      </c>
      <c r="O644" t="s">
        <v>73</v>
      </c>
      <c r="P644" t="s">
        <v>81</v>
      </c>
      <c r="Q644" t="s">
        <v>119</v>
      </c>
      <c r="R644" t="s">
        <v>118</v>
      </c>
    </row>
    <row r="645" spans="1:18" x14ac:dyDescent="0.25">
      <c r="A645" t="s">
        <v>18922</v>
      </c>
      <c r="B645" t="s">
        <v>2704</v>
      </c>
      <c r="C645" t="str">
        <f>HYPERLINK("https://nematode.unl.edu/apeury14.jpg")</f>
        <v>https://nematode.unl.edu/apeury14.jpg</v>
      </c>
      <c r="D645" t="s">
        <v>16</v>
      </c>
      <c r="G645" t="s">
        <v>34</v>
      </c>
      <c r="H645" t="s">
        <v>18</v>
      </c>
      <c r="I645" t="s">
        <v>19</v>
      </c>
      <c r="J645" t="s">
        <v>20</v>
      </c>
      <c r="M645" t="s">
        <v>2700</v>
      </c>
      <c r="N645" t="s">
        <v>2700</v>
      </c>
      <c r="O645" t="s">
        <v>73</v>
      </c>
      <c r="P645" t="s">
        <v>81</v>
      </c>
      <c r="Q645" t="s">
        <v>119</v>
      </c>
      <c r="R645" t="s">
        <v>118</v>
      </c>
    </row>
    <row r="646" spans="1:18" x14ac:dyDescent="0.25">
      <c r="A646" t="s">
        <v>18927</v>
      </c>
      <c r="B646" t="s">
        <v>2705</v>
      </c>
      <c r="C646" t="str">
        <f>HYPERLINK("https://nematode.unl.edu/apeury15.jpg")</f>
        <v>https://nematode.unl.edu/apeury15.jpg</v>
      </c>
      <c r="D646" t="s">
        <v>16</v>
      </c>
      <c r="G646" t="s">
        <v>28</v>
      </c>
      <c r="I646" t="s">
        <v>137</v>
      </c>
      <c r="J646" t="s">
        <v>20</v>
      </c>
      <c r="L646" t="s">
        <v>29</v>
      </c>
      <c r="M646" t="s">
        <v>2700</v>
      </c>
      <c r="N646" t="s">
        <v>2700</v>
      </c>
      <c r="O646" t="s">
        <v>73</v>
      </c>
      <c r="P646" t="s">
        <v>81</v>
      </c>
      <c r="Q646" t="s">
        <v>119</v>
      </c>
      <c r="R646" t="s">
        <v>118</v>
      </c>
    </row>
    <row r="647" spans="1:18" x14ac:dyDescent="0.25">
      <c r="A647" t="s">
        <v>18923</v>
      </c>
      <c r="B647" t="s">
        <v>2706</v>
      </c>
      <c r="C647" t="str">
        <f>HYPERLINK("https://nematode.unl.edu/apeury16.jpg")</f>
        <v>https://nematode.unl.edu/apeury16.jpg</v>
      </c>
      <c r="D647" t="s">
        <v>16</v>
      </c>
      <c r="G647" t="s">
        <v>34</v>
      </c>
      <c r="H647" t="s">
        <v>18</v>
      </c>
      <c r="I647" t="s">
        <v>137</v>
      </c>
      <c r="J647" t="s">
        <v>20</v>
      </c>
      <c r="M647" t="s">
        <v>2700</v>
      </c>
      <c r="N647" t="s">
        <v>2700</v>
      </c>
      <c r="O647" t="s">
        <v>73</v>
      </c>
      <c r="P647" t="s">
        <v>81</v>
      </c>
      <c r="Q647" t="s">
        <v>119</v>
      </c>
      <c r="R647" t="s">
        <v>118</v>
      </c>
    </row>
    <row r="648" spans="1:18" x14ac:dyDescent="0.25">
      <c r="A648" t="s">
        <v>18924</v>
      </c>
      <c r="B648" t="s">
        <v>2707</v>
      </c>
      <c r="C648" t="str">
        <f>HYPERLINK("https://nematode.unl.edu/apeury17.jpg")</f>
        <v>https://nematode.unl.edu/apeury17.jpg</v>
      </c>
      <c r="D648" t="s">
        <v>16</v>
      </c>
      <c r="G648" t="s">
        <v>34</v>
      </c>
      <c r="H648" t="s">
        <v>18</v>
      </c>
      <c r="I648" t="s">
        <v>19</v>
      </c>
      <c r="J648" t="s">
        <v>20</v>
      </c>
      <c r="M648" t="s">
        <v>2700</v>
      </c>
      <c r="N648" t="s">
        <v>2700</v>
      </c>
      <c r="O648" t="s">
        <v>73</v>
      </c>
      <c r="P648" t="s">
        <v>81</v>
      </c>
      <c r="Q648" t="s">
        <v>119</v>
      </c>
      <c r="R648" t="s">
        <v>118</v>
      </c>
    </row>
    <row r="649" spans="1:18" x14ac:dyDescent="0.25">
      <c r="A649" t="s">
        <v>18928</v>
      </c>
      <c r="B649" t="s">
        <v>2708</v>
      </c>
      <c r="C649" t="str">
        <f>HYPERLINK("https://nematode.unl.edu/apeury9.jpg")</f>
        <v>https://nematode.unl.edu/apeury9.jpg</v>
      </c>
      <c r="D649" t="s">
        <v>43</v>
      </c>
      <c r="G649" t="s">
        <v>28</v>
      </c>
      <c r="I649" t="s">
        <v>19</v>
      </c>
      <c r="J649" t="s">
        <v>20</v>
      </c>
      <c r="L649" t="s">
        <v>29</v>
      </c>
      <c r="M649" t="s">
        <v>2700</v>
      </c>
      <c r="N649" t="s">
        <v>2700</v>
      </c>
      <c r="O649" t="s">
        <v>73</v>
      </c>
      <c r="P649" t="s">
        <v>81</v>
      </c>
      <c r="Q649" t="s">
        <v>119</v>
      </c>
      <c r="R649" t="s">
        <v>118</v>
      </c>
    </row>
    <row r="650" spans="1:18" x14ac:dyDescent="0.25">
      <c r="A650" t="s">
        <v>12307</v>
      </c>
      <c r="B650" t="s">
        <v>2466</v>
      </c>
      <c r="C650" t="str">
        <f>HYPERLINK("https://nematode.unl.edu/aphas1.jpg")</f>
        <v>https://nematode.unl.edu/aphas1.jpg</v>
      </c>
      <c r="D650" t="s">
        <v>16</v>
      </c>
      <c r="G650" t="s">
        <v>1667</v>
      </c>
      <c r="I650" t="s">
        <v>41</v>
      </c>
      <c r="J650" t="s">
        <v>46</v>
      </c>
      <c r="L650" t="s">
        <v>727</v>
      </c>
      <c r="M650" t="s">
        <v>2467</v>
      </c>
      <c r="N650" t="s">
        <v>2467</v>
      </c>
      <c r="O650" t="s">
        <v>23</v>
      </c>
      <c r="P650" t="s">
        <v>1649</v>
      </c>
      <c r="Q650" t="s">
        <v>2468</v>
      </c>
      <c r="R650" t="s">
        <v>2467</v>
      </c>
    </row>
    <row r="651" spans="1:18" x14ac:dyDescent="0.25">
      <c r="A651" t="s">
        <v>12961</v>
      </c>
      <c r="B651" t="s">
        <v>2575</v>
      </c>
      <c r="C651" t="str">
        <f>HYPERLINK("https://nematode.unl.edu/aphave1.jpg")</f>
        <v>https://nematode.unl.edu/aphave1.jpg</v>
      </c>
      <c r="D651" t="s">
        <v>43</v>
      </c>
      <c r="G651" t="s">
        <v>96</v>
      </c>
      <c r="H651" t="s">
        <v>18</v>
      </c>
      <c r="I651" t="s">
        <v>19</v>
      </c>
      <c r="J651" t="s">
        <v>46</v>
      </c>
      <c r="L651" t="s">
        <v>105</v>
      </c>
      <c r="M651" t="s">
        <v>2559</v>
      </c>
      <c r="N651" t="s">
        <v>2559</v>
      </c>
      <c r="O651" t="s">
        <v>23</v>
      </c>
      <c r="P651" t="s">
        <v>24</v>
      </c>
      <c r="Q651" t="s">
        <v>1580</v>
      </c>
      <c r="R651" t="s">
        <v>2553</v>
      </c>
    </row>
    <row r="652" spans="1:18" x14ac:dyDescent="0.25">
      <c r="A652" t="s">
        <v>13009</v>
      </c>
      <c r="B652" t="s">
        <v>2496</v>
      </c>
      <c r="C652" t="str">
        <f>HYPERLINK("https://nematode.unl.edu/aphbic1.jpg")</f>
        <v>https://nematode.unl.edu/aphbic1.jpg</v>
      </c>
      <c r="D652" t="s">
        <v>16</v>
      </c>
      <c r="G652" t="s">
        <v>34</v>
      </c>
      <c r="H652" t="s">
        <v>18</v>
      </c>
      <c r="I652" t="s">
        <v>19</v>
      </c>
      <c r="J652" t="s">
        <v>20</v>
      </c>
      <c r="L652" t="s">
        <v>64</v>
      </c>
      <c r="M652" t="s">
        <v>2497</v>
      </c>
      <c r="N652" t="s">
        <v>2497</v>
      </c>
      <c r="O652" t="s">
        <v>23</v>
      </c>
      <c r="P652" t="s">
        <v>24</v>
      </c>
      <c r="Q652" t="s">
        <v>102</v>
      </c>
      <c r="R652" t="s">
        <v>103</v>
      </c>
    </row>
    <row r="653" spans="1:18" x14ac:dyDescent="0.25">
      <c r="A653" t="s">
        <v>13011</v>
      </c>
      <c r="B653" t="s">
        <v>2498</v>
      </c>
      <c r="C653" t="str">
        <f>HYPERLINK("https://nematode.unl.edu/aphbic2.jpg")</f>
        <v>https://nematode.unl.edu/aphbic2.jpg</v>
      </c>
      <c r="D653" t="s">
        <v>16</v>
      </c>
      <c r="G653" t="s">
        <v>28</v>
      </c>
      <c r="I653" t="s">
        <v>19</v>
      </c>
      <c r="J653" t="s">
        <v>20</v>
      </c>
      <c r="M653" t="s">
        <v>2497</v>
      </c>
      <c r="N653" t="s">
        <v>2497</v>
      </c>
      <c r="O653" t="s">
        <v>23</v>
      </c>
      <c r="P653" t="s">
        <v>24</v>
      </c>
      <c r="Q653" t="s">
        <v>102</v>
      </c>
      <c r="R653" t="s">
        <v>103</v>
      </c>
    </row>
    <row r="654" spans="1:18" x14ac:dyDescent="0.25">
      <c r="A654" t="s">
        <v>13010</v>
      </c>
      <c r="B654" t="s">
        <v>2499</v>
      </c>
      <c r="C654" t="str">
        <f>HYPERLINK("https://nematode.unl.edu/aphbic3.jpg")</f>
        <v>https://nematode.unl.edu/aphbic3.jpg</v>
      </c>
      <c r="D654" t="s">
        <v>16</v>
      </c>
      <c r="G654" t="s">
        <v>44</v>
      </c>
      <c r="I654" t="s">
        <v>45</v>
      </c>
      <c r="J654" t="s">
        <v>20</v>
      </c>
      <c r="L654" t="s">
        <v>64</v>
      </c>
      <c r="M654" t="s">
        <v>2497</v>
      </c>
      <c r="N654" t="s">
        <v>2497</v>
      </c>
      <c r="O654" t="s">
        <v>23</v>
      </c>
      <c r="P654" t="s">
        <v>24</v>
      </c>
      <c r="Q654" t="s">
        <v>102</v>
      </c>
      <c r="R654" t="s">
        <v>103</v>
      </c>
    </row>
    <row r="655" spans="1:18" x14ac:dyDescent="0.25">
      <c r="A655" t="s">
        <v>13014</v>
      </c>
      <c r="B655" t="s">
        <v>2500</v>
      </c>
      <c r="C655" t="str">
        <f>HYPERLINK("https://nematode.unl.edu/aphcent1.jpg")</f>
        <v>https://nematode.unl.edu/aphcent1.jpg</v>
      </c>
      <c r="D655" t="s">
        <v>43</v>
      </c>
      <c r="G655" t="s">
        <v>44</v>
      </c>
      <c r="I655" t="s">
        <v>45</v>
      </c>
      <c r="J655" t="s">
        <v>267</v>
      </c>
      <c r="M655" t="s">
        <v>2501</v>
      </c>
      <c r="N655" t="s">
        <v>2501</v>
      </c>
      <c r="O655" t="s">
        <v>23</v>
      </c>
      <c r="P655" t="s">
        <v>24</v>
      </c>
      <c r="Q655" t="s">
        <v>102</v>
      </c>
      <c r="R655" t="s">
        <v>103</v>
      </c>
    </row>
    <row r="656" spans="1:18" x14ac:dyDescent="0.25">
      <c r="A656" t="s">
        <v>13012</v>
      </c>
      <c r="B656" t="s">
        <v>2502</v>
      </c>
      <c r="C656" t="str">
        <f>HYPERLINK("https://nematode.unl.edu/aphcent2.jpg")</f>
        <v>https://nematode.unl.edu/aphcent2.jpg</v>
      </c>
      <c r="D656" t="s">
        <v>43</v>
      </c>
      <c r="G656" t="s">
        <v>96</v>
      </c>
      <c r="H656" t="s">
        <v>18</v>
      </c>
      <c r="I656" t="s">
        <v>19</v>
      </c>
      <c r="J656" t="s">
        <v>267</v>
      </c>
      <c r="M656" t="s">
        <v>2501</v>
      </c>
      <c r="N656" t="s">
        <v>2501</v>
      </c>
      <c r="O656" t="s">
        <v>23</v>
      </c>
      <c r="P656" t="s">
        <v>24</v>
      </c>
      <c r="Q656" t="s">
        <v>102</v>
      </c>
      <c r="R656" t="s">
        <v>103</v>
      </c>
    </row>
    <row r="657" spans="1:18" x14ac:dyDescent="0.25">
      <c r="A657" t="s">
        <v>13017</v>
      </c>
      <c r="B657" t="s">
        <v>2503</v>
      </c>
      <c r="C657" t="str">
        <f>HYPERLINK("https://nematode.unl.edu/aphcent3.jpg")</f>
        <v>https://nematode.unl.edu/aphcent3.jpg</v>
      </c>
      <c r="D657" t="s">
        <v>43</v>
      </c>
      <c r="G657" t="s">
        <v>51</v>
      </c>
      <c r="I657" t="s">
        <v>19</v>
      </c>
      <c r="J657" t="s">
        <v>267</v>
      </c>
      <c r="M657" t="s">
        <v>2501</v>
      </c>
      <c r="N657" t="s">
        <v>2501</v>
      </c>
      <c r="O657" t="s">
        <v>23</v>
      </c>
      <c r="P657" t="s">
        <v>24</v>
      </c>
      <c r="Q657" t="s">
        <v>102</v>
      </c>
      <c r="R657" t="s">
        <v>103</v>
      </c>
    </row>
    <row r="658" spans="1:18" x14ac:dyDescent="0.25">
      <c r="A658" t="s">
        <v>13013</v>
      </c>
      <c r="B658" t="s">
        <v>2504</v>
      </c>
      <c r="C658" t="str">
        <f>HYPERLINK("https://nematode.unl.edu/aphcent4.jpg")</f>
        <v>https://nematode.unl.edu/aphcent4.jpg</v>
      </c>
      <c r="D658" t="s">
        <v>43</v>
      </c>
      <c r="G658" t="s">
        <v>96</v>
      </c>
      <c r="H658" t="s">
        <v>18</v>
      </c>
      <c r="I658" t="s">
        <v>41</v>
      </c>
      <c r="J658" t="s">
        <v>267</v>
      </c>
      <c r="M658" t="s">
        <v>2501</v>
      </c>
      <c r="N658" t="s">
        <v>2501</v>
      </c>
      <c r="O658" t="s">
        <v>23</v>
      </c>
      <c r="P658" t="s">
        <v>24</v>
      </c>
      <c r="Q658" t="s">
        <v>102</v>
      </c>
      <c r="R658" t="s">
        <v>103</v>
      </c>
    </row>
    <row r="659" spans="1:18" x14ac:dyDescent="0.25">
      <c r="A659" t="s">
        <v>13015</v>
      </c>
      <c r="B659" t="s">
        <v>2505</v>
      </c>
      <c r="C659" t="str">
        <f>HYPERLINK("https://nematode.unl.edu/aphcent5.jpg")</f>
        <v>https://nematode.unl.edu/aphcent5.jpg</v>
      </c>
      <c r="D659" t="s">
        <v>43</v>
      </c>
      <c r="G659" t="s">
        <v>53</v>
      </c>
      <c r="I659" t="s">
        <v>41</v>
      </c>
      <c r="J659" t="s">
        <v>267</v>
      </c>
      <c r="M659" t="s">
        <v>2501</v>
      </c>
      <c r="N659" t="s">
        <v>2501</v>
      </c>
      <c r="O659" t="s">
        <v>23</v>
      </c>
      <c r="P659" t="s">
        <v>24</v>
      </c>
      <c r="Q659" t="s">
        <v>102</v>
      </c>
      <c r="R659" t="s">
        <v>103</v>
      </c>
    </row>
    <row r="660" spans="1:18" x14ac:dyDescent="0.25">
      <c r="A660" t="s">
        <v>13016</v>
      </c>
      <c r="B660" t="s">
        <v>2506</v>
      </c>
      <c r="C660" t="str">
        <f>HYPERLINK("https://nematode.unl.edu/aphcent6.jpg")</f>
        <v>https://nematode.unl.edu/aphcent6.jpg</v>
      </c>
      <c r="D660" t="s">
        <v>43</v>
      </c>
      <c r="G660" t="s">
        <v>28</v>
      </c>
      <c r="I660" t="s">
        <v>41</v>
      </c>
      <c r="J660" t="s">
        <v>267</v>
      </c>
      <c r="M660" t="s">
        <v>2501</v>
      </c>
      <c r="N660" t="s">
        <v>2501</v>
      </c>
      <c r="O660" t="s">
        <v>23</v>
      </c>
      <c r="P660" t="s">
        <v>24</v>
      </c>
      <c r="Q660" t="s">
        <v>102</v>
      </c>
      <c r="R660" t="s">
        <v>103</v>
      </c>
    </row>
    <row r="661" spans="1:18" x14ac:dyDescent="0.25">
      <c r="A661" t="s">
        <v>13021</v>
      </c>
      <c r="B661" t="s">
        <v>2507</v>
      </c>
      <c r="C661" t="str">
        <f>HYPERLINK("https://nematode.unl.edu/aphcla1.jpg")</f>
        <v>https://nematode.unl.edu/aphcla1.jpg</v>
      </c>
      <c r="D661" t="s">
        <v>43</v>
      </c>
      <c r="G661" t="s">
        <v>44</v>
      </c>
      <c r="I661" t="s">
        <v>45</v>
      </c>
      <c r="J661" t="s">
        <v>20</v>
      </c>
      <c r="M661" t="s">
        <v>2508</v>
      </c>
      <c r="N661" t="s">
        <v>2508</v>
      </c>
      <c r="O661" t="s">
        <v>23</v>
      </c>
      <c r="P661" t="s">
        <v>24</v>
      </c>
      <c r="Q661" t="s">
        <v>102</v>
      </c>
      <c r="R661" t="s">
        <v>103</v>
      </c>
    </row>
    <row r="662" spans="1:18" x14ac:dyDescent="0.25">
      <c r="A662" t="s">
        <v>13018</v>
      </c>
      <c r="B662" t="s">
        <v>2509</v>
      </c>
      <c r="C662" t="str">
        <f>HYPERLINK("https://nematode.unl.edu/aphcla10.jpg")</f>
        <v>https://nematode.unl.edu/aphcla10.jpg</v>
      </c>
      <c r="D662" t="s">
        <v>43</v>
      </c>
      <c r="G662" t="s">
        <v>34</v>
      </c>
      <c r="H662" t="s">
        <v>18</v>
      </c>
      <c r="I662" t="s">
        <v>19</v>
      </c>
      <c r="J662" t="s">
        <v>20</v>
      </c>
      <c r="L662" t="s">
        <v>141</v>
      </c>
      <c r="M662" t="s">
        <v>2508</v>
      </c>
      <c r="N662" t="s">
        <v>2508</v>
      </c>
      <c r="O662" t="s">
        <v>23</v>
      </c>
      <c r="P662" t="s">
        <v>24</v>
      </c>
      <c r="Q662" t="s">
        <v>102</v>
      </c>
      <c r="R662" t="s">
        <v>103</v>
      </c>
    </row>
    <row r="663" spans="1:18" x14ac:dyDescent="0.25">
      <c r="A663" t="s">
        <v>13026</v>
      </c>
      <c r="B663" t="s">
        <v>2510</v>
      </c>
      <c r="C663" t="str">
        <f>HYPERLINK("https://nematode.unl.edu/aphcla11.jpg")</f>
        <v>https://nematode.unl.edu/aphcla11.jpg</v>
      </c>
      <c r="D663" t="s">
        <v>43</v>
      </c>
      <c r="G663" t="s">
        <v>28</v>
      </c>
      <c r="I663" t="s">
        <v>19</v>
      </c>
      <c r="J663" t="s">
        <v>20</v>
      </c>
      <c r="L663" t="s">
        <v>352</v>
      </c>
      <c r="M663" t="s">
        <v>2508</v>
      </c>
      <c r="N663" t="s">
        <v>2508</v>
      </c>
      <c r="O663" t="s">
        <v>23</v>
      </c>
      <c r="P663" t="s">
        <v>24</v>
      </c>
      <c r="Q663" t="s">
        <v>102</v>
      </c>
      <c r="R663" t="s">
        <v>103</v>
      </c>
    </row>
    <row r="664" spans="1:18" x14ac:dyDescent="0.25">
      <c r="A664" t="s">
        <v>13019</v>
      </c>
      <c r="B664" t="s">
        <v>2511</v>
      </c>
      <c r="C664" t="str">
        <f>HYPERLINK("https://nematode.unl.edu/aphcla2.jpg")</f>
        <v>https://nematode.unl.edu/aphcla2.jpg</v>
      </c>
      <c r="D664" t="s">
        <v>43</v>
      </c>
      <c r="G664" t="s">
        <v>34</v>
      </c>
      <c r="H664" t="s">
        <v>18</v>
      </c>
      <c r="I664" t="s">
        <v>19</v>
      </c>
      <c r="J664" t="s">
        <v>20</v>
      </c>
      <c r="M664" t="s">
        <v>2508</v>
      </c>
      <c r="N664" t="s">
        <v>2508</v>
      </c>
      <c r="O664" t="s">
        <v>23</v>
      </c>
      <c r="P664" t="s">
        <v>24</v>
      </c>
      <c r="Q664" t="s">
        <v>102</v>
      </c>
      <c r="R664" t="s">
        <v>103</v>
      </c>
    </row>
    <row r="665" spans="1:18" x14ac:dyDescent="0.25">
      <c r="A665" t="s">
        <v>13027</v>
      </c>
      <c r="B665" t="s">
        <v>2512</v>
      </c>
      <c r="C665" t="str">
        <f>HYPERLINK("https://nematode.unl.edu/aphcla3.jpg")</f>
        <v>https://nematode.unl.edu/aphcla3.jpg</v>
      </c>
      <c r="D665" t="s">
        <v>43</v>
      </c>
      <c r="G665" t="s">
        <v>28</v>
      </c>
      <c r="I665" t="s">
        <v>19</v>
      </c>
      <c r="J665" t="s">
        <v>20</v>
      </c>
      <c r="M665" t="s">
        <v>2508</v>
      </c>
      <c r="N665" t="s">
        <v>2508</v>
      </c>
      <c r="O665" t="s">
        <v>23</v>
      </c>
      <c r="P665" t="s">
        <v>24</v>
      </c>
      <c r="Q665" t="s">
        <v>102</v>
      </c>
      <c r="R665" t="s">
        <v>103</v>
      </c>
    </row>
    <row r="666" spans="1:18" x14ac:dyDescent="0.25">
      <c r="A666" t="s">
        <v>13020</v>
      </c>
      <c r="B666" t="s">
        <v>2513</v>
      </c>
      <c r="C666" t="str">
        <f>HYPERLINK("https://nematode.unl.edu/aphcla4.jpg")</f>
        <v>https://nematode.unl.edu/aphcla4.jpg</v>
      </c>
      <c r="D666" t="s">
        <v>43</v>
      </c>
      <c r="G666" t="s">
        <v>34</v>
      </c>
      <c r="H666" t="s">
        <v>18</v>
      </c>
      <c r="I666" t="s">
        <v>41</v>
      </c>
      <c r="J666" t="s">
        <v>20</v>
      </c>
      <c r="M666" t="s">
        <v>2508</v>
      </c>
      <c r="N666" t="s">
        <v>2508</v>
      </c>
      <c r="O666" t="s">
        <v>23</v>
      </c>
      <c r="P666" t="s">
        <v>24</v>
      </c>
      <c r="Q666" t="s">
        <v>102</v>
      </c>
      <c r="R666" t="s">
        <v>103</v>
      </c>
    </row>
    <row r="667" spans="1:18" x14ac:dyDescent="0.25">
      <c r="A667" t="s">
        <v>13025</v>
      </c>
      <c r="B667" t="s">
        <v>2514</v>
      </c>
      <c r="C667" t="str">
        <f>HYPERLINK("https://nematode.unl.edu/aphcla5.jpg")</f>
        <v>https://nematode.unl.edu/aphcla5.jpg</v>
      </c>
      <c r="D667" t="s">
        <v>43</v>
      </c>
      <c r="G667" t="s">
        <v>53</v>
      </c>
      <c r="I667" t="s">
        <v>41</v>
      </c>
      <c r="J667" t="s">
        <v>20</v>
      </c>
      <c r="L667" t="s">
        <v>220</v>
      </c>
      <c r="M667" t="s">
        <v>2508</v>
      </c>
      <c r="N667" t="s">
        <v>2508</v>
      </c>
      <c r="O667" t="s">
        <v>23</v>
      </c>
      <c r="P667" t="s">
        <v>24</v>
      </c>
      <c r="Q667" t="s">
        <v>102</v>
      </c>
      <c r="R667" t="s">
        <v>103</v>
      </c>
    </row>
    <row r="668" spans="1:18" x14ac:dyDescent="0.25">
      <c r="A668" t="s">
        <v>13022</v>
      </c>
      <c r="B668" t="s">
        <v>2515</v>
      </c>
      <c r="C668" t="str">
        <f>HYPERLINK("https://nematode.unl.edu/aphcla6.jpg")</f>
        <v>https://nematode.unl.edu/aphcla6.jpg</v>
      </c>
      <c r="D668" t="s">
        <v>43</v>
      </c>
      <c r="G668" t="s">
        <v>44</v>
      </c>
      <c r="I668" t="s">
        <v>19</v>
      </c>
      <c r="J668" t="s">
        <v>20</v>
      </c>
      <c r="L668" t="s">
        <v>141</v>
      </c>
      <c r="M668" t="s">
        <v>2508</v>
      </c>
      <c r="N668" t="s">
        <v>2508</v>
      </c>
      <c r="O668" t="s">
        <v>23</v>
      </c>
      <c r="P668" t="s">
        <v>24</v>
      </c>
      <c r="Q668" t="s">
        <v>102</v>
      </c>
      <c r="R668" t="s">
        <v>103</v>
      </c>
    </row>
    <row r="669" spans="1:18" x14ac:dyDescent="0.25">
      <c r="A669" t="s">
        <v>13028</v>
      </c>
      <c r="B669" t="s">
        <v>2516</v>
      </c>
      <c r="C669" t="str">
        <f>HYPERLINK("https://nematode.unl.edu/aphcla7.jpg")</f>
        <v>https://nematode.unl.edu/aphcla7.jpg</v>
      </c>
      <c r="D669" t="s">
        <v>43</v>
      </c>
      <c r="G669" t="s">
        <v>51</v>
      </c>
      <c r="I669" t="s">
        <v>19</v>
      </c>
      <c r="J669" t="s">
        <v>20</v>
      </c>
      <c r="L669" t="s">
        <v>141</v>
      </c>
      <c r="M669" t="s">
        <v>2508</v>
      </c>
      <c r="N669" t="s">
        <v>2508</v>
      </c>
      <c r="O669" t="s">
        <v>23</v>
      </c>
      <c r="P669" t="s">
        <v>24</v>
      </c>
      <c r="Q669" t="s">
        <v>102</v>
      </c>
      <c r="R669" t="s">
        <v>103</v>
      </c>
    </row>
    <row r="670" spans="1:18" x14ac:dyDescent="0.25">
      <c r="A670" t="s">
        <v>13023</v>
      </c>
      <c r="B670" t="s">
        <v>2517</v>
      </c>
      <c r="C670" t="str">
        <f>HYPERLINK("https://nematode.unl.edu/aphcla9.jpg")</f>
        <v>https://nematode.unl.edu/aphcla9.jpg</v>
      </c>
      <c r="D670" t="s">
        <v>43</v>
      </c>
      <c r="G670" t="s">
        <v>44</v>
      </c>
      <c r="I670" t="s">
        <v>45</v>
      </c>
      <c r="J670" t="s">
        <v>20</v>
      </c>
      <c r="L670" t="s">
        <v>220</v>
      </c>
      <c r="M670" t="s">
        <v>2508</v>
      </c>
      <c r="N670" t="s">
        <v>2508</v>
      </c>
      <c r="O670" t="s">
        <v>23</v>
      </c>
      <c r="P670" t="s">
        <v>24</v>
      </c>
      <c r="Q670" t="s">
        <v>102</v>
      </c>
      <c r="R670" t="s">
        <v>103</v>
      </c>
    </row>
    <row r="671" spans="1:18" x14ac:dyDescent="0.25">
      <c r="A671" t="s">
        <v>13024</v>
      </c>
      <c r="B671" t="s">
        <v>2518</v>
      </c>
      <c r="C671" t="str">
        <f>HYPERLINK("https://nematode.unl.edu/aphclacmp.jpg")</f>
        <v>https://nematode.unl.edu/aphclacmp.jpg</v>
      </c>
      <c r="G671" t="s">
        <v>108</v>
      </c>
      <c r="M671" t="s">
        <v>2508</v>
      </c>
      <c r="N671" t="s">
        <v>2508</v>
      </c>
      <c r="O671" t="s">
        <v>23</v>
      </c>
      <c r="P671" t="s">
        <v>24</v>
      </c>
      <c r="Q671" t="s">
        <v>102</v>
      </c>
      <c r="R671" t="s">
        <v>103</v>
      </c>
    </row>
    <row r="672" spans="1:18" x14ac:dyDescent="0.25">
      <c r="A672" t="s">
        <v>13033</v>
      </c>
      <c r="B672" t="s">
        <v>2524</v>
      </c>
      <c r="C672" t="str">
        <f>HYPERLINK("https://nematode.unl.edu/aphdac1.jpg")</f>
        <v>https://nematode.unl.edu/aphdac1.jpg</v>
      </c>
      <c r="D672" t="s">
        <v>43</v>
      </c>
      <c r="G672" t="s">
        <v>414</v>
      </c>
      <c r="I672" t="s">
        <v>19</v>
      </c>
      <c r="J672" t="s">
        <v>20</v>
      </c>
      <c r="M672" t="s">
        <v>2525</v>
      </c>
      <c r="N672" t="s">
        <v>2525</v>
      </c>
      <c r="O672" t="s">
        <v>23</v>
      </c>
      <c r="P672" t="s">
        <v>24</v>
      </c>
      <c r="Q672" t="s">
        <v>102</v>
      </c>
      <c r="R672" t="s">
        <v>103</v>
      </c>
    </row>
    <row r="673" spans="1:18" x14ac:dyDescent="0.25">
      <c r="A673" t="s">
        <v>13035</v>
      </c>
      <c r="B673" t="s">
        <v>2526</v>
      </c>
      <c r="C673" t="str">
        <f>HYPERLINK("https://nematode.unl.edu/aphdac2.jpg")</f>
        <v>https://nematode.unl.edu/aphdac2.jpg</v>
      </c>
      <c r="D673" t="s">
        <v>43</v>
      </c>
      <c r="G673" t="s">
        <v>51</v>
      </c>
      <c r="I673" t="s">
        <v>19</v>
      </c>
      <c r="J673" t="s">
        <v>20</v>
      </c>
      <c r="M673" t="s">
        <v>2525</v>
      </c>
      <c r="N673" t="s">
        <v>2525</v>
      </c>
      <c r="O673" t="s">
        <v>23</v>
      </c>
      <c r="P673" t="s">
        <v>24</v>
      </c>
      <c r="Q673" t="s">
        <v>102</v>
      </c>
      <c r="R673" t="s">
        <v>103</v>
      </c>
    </row>
    <row r="674" spans="1:18" x14ac:dyDescent="0.25">
      <c r="A674" t="s">
        <v>13034</v>
      </c>
      <c r="B674" t="s">
        <v>2527</v>
      </c>
      <c r="C674" t="str">
        <f>HYPERLINK("https://nematode.unl.edu/aphdac3.jpg")</f>
        <v>https://nematode.unl.edu/aphdac3.jpg</v>
      </c>
      <c r="D674" t="s">
        <v>43</v>
      </c>
      <c r="G674" t="s">
        <v>28</v>
      </c>
      <c r="I674" t="s">
        <v>19</v>
      </c>
      <c r="J674" t="s">
        <v>20</v>
      </c>
      <c r="M674" t="s">
        <v>2525</v>
      </c>
      <c r="N674" t="s">
        <v>2525</v>
      </c>
      <c r="O674" t="s">
        <v>23</v>
      </c>
      <c r="P674" t="s">
        <v>24</v>
      </c>
      <c r="Q674" t="s">
        <v>102</v>
      </c>
      <c r="R674" t="s">
        <v>103</v>
      </c>
    </row>
    <row r="675" spans="1:18" x14ac:dyDescent="0.25">
      <c r="A675" t="s">
        <v>12988</v>
      </c>
      <c r="B675" t="s">
        <v>2469</v>
      </c>
      <c r="C675" t="str">
        <f>HYPERLINK("https://nematode.unl.edu/aphelha1.jpg")</f>
        <v>https://nematode.unl.edu/aphelha1.jpg</v>
      </c>
      <c r="D675" t="s">
        <v>16</v>
      </c>
      <c r="G675" t="s">
        <v>44</v>
      </c>
      <c r="I675" t="s">
        <v>45</v>
      </c>
      <c r="J675" t="s">
        <v>267</v>
      </c>
      <c r="M675" t="s">
        <v>103</v>
      </c>
      <c r="N675" t="s">
        <v>103</v>
      </c>
      <c r="O675" t="s">
        <v>23</v>
      </c>
      <c r="P675" t="s">
        <v>24</v>
      </c>
      <c r="Q675" t="s">
        <v>102</v>
      </c>
      <c r="R675" t="s">
        <v>103</v>
      </c>
    </row>
    <row r="676" spans="1:18" x14ac:dyDescent="0.25">
      <c r="A676" t="s">
        <v>12984</v>
      </c>
      <c r="B676" t="s">
        <v>2470</v>
      </c>
      <c r="C676" t="str">
        <f>HYPERLINK("https://nematode.unl.edu/aphelha2.jpg")</f>
        <v>https://nematode.unl.edu/aphelha2.jpg</v>
      </c>
      <c r="D676" t="s">
        <v>16</v>
      </c>
      <c r="G676" t="s">
        <v>34</v>
      </c>
      <c r="H676" t="s">
        <v>18</v>
      </c>
      <c r="I676" t="s">
        <v>19</v>
      </c>
      <c r="J676" t="s">
        <v>267</v>
      </c>
      <c r="M676" t="s">
        <v>103</v>
      </c>
      <c r="N676" t="s">
        <v>103</v>
      </c>
      <c r="O676" t="s">
        <v>23</v>
      </c>
      <c r="P676" t="s">
        <v>24</v>
      </c>
      <c r="Q676" t="s">
        <v>102</v>
      </c>
      <c r="R676" t="s">
        <v>103</v>
      </c>
    </row>
    <row r="677" spans="1:18" x14ac:dyDescent="0.25">
      <c r="A677" t="s">
        <v>12989</v>
      </c>
      <c r="B677" t="s">
        <v>2471</v>
      </c>
      <c r="C677" t="str">
        <f>HYPERLINK("https://nematode.unl.edu/aphelha3.jpg")</f>
        <v>https://nematode.unl.edu/aphelha3.jpg</v>
      </c>
      <c r="D677" t="s">
        <v>16</v>
      </c>
      <c r="G677" t="s">
        <v>28</v>
      </c>
      <c r="I677" t="s">
        <v>19</v>
      </c>
      <c r="J677" t="s">
        <v>267</v>
      </c>
      <c r="M677" t="s">
        <v>103</v>
      </c>
      <c r="N677" t="s">
        <v>103</v>
      </c>
      <c r="O677" t="s">
        <v>23</v>
      </c>
      <c r="P677" t="s">
        <v>24</v>
      </c>
      <c r="Q677" t="s">
        <v>102</v>
      </c>
      <c r="R677" t="s">
        <v>103</v>
      </c>
    </row>
    <row r="678" spans="1:18" x14ac:dyDescent="0.25">
      <c r="A678" t="s">
        <v>12990</v>
      </c>
      <c r="B678" t="s">
        <v>2472</v>
      </c>
      <c r="C678" t="str">
        <f>HYPERLINK("https://nematode.unl.edu/aphelha4.jpg")</f>
        <v>https://nematode.unl.edu/aphelha4.jpg</v>
      </c>
      <c r="D678" t="s">
        <v>43</v>
      </c>
      <c r="G678" t="s">
        <v>28</v>
      </c>
      <c r="I678" t="s">
        <v>19</v>
      </c>
      <c r="J678" t="s">
        <v>267</v>
      </c>
      <c r="M678" t="s">
        <v>103</v>
      </c>
      <c r="N678" t="s">
        <v>103</v>
      </c>
      <c r="O678" t="s">
        <v>23</v>
      </c>
      <c r="P678" t="s">
        <v>24</v>
      </c>
      <c r="Q678" t="s">
        <v>102</v>
      </c>
      <c r="R678" t="s">
        <v>103</v>
      </c>
    </row>
    <row r="679" spans="1:18" x14ac:dyDescent="0.25">
      <c r="A679" t="s">
        <v>12985</v>
      </c>
      <c r="B679" t="s">
        <v>2473</v>
      </c>
      <c r="C679" t="str">
        <f>HYPERLINK("https://nematode.unl.edu/aphelha5.jpg")</f>
        <v>https://nematode.unl.edu/aphelha5.jpg</v>
      </c>
      <c r="D679" t="s">
        <v>16</v>
      </c>
      <c r="G679" t="s">
        <v>34</v>
      </c>
      <c r="H679" t="s">
        <v>18</v>
      </c>
      <c r="I679" t="s">
        <v>19</v>
      </c>
      <c r="J679" t="s">
        <v>267</v>
      </c>
      <c r="M679" t="s">
        <v>103</v>
      </c>
      <c r="N679" t="s">
        <v>103</v>
      </c>
      <c r="O679" t="s">
        <v>23</v>
      </c>
      <c r="P679" t="s">
        <v>24</v>
      </c>
      <c r="Q679" t="s">
        <v>102</v>
      </c>
      <c r="R679" t="s">
        <v>103</v>
      </c>
    </row>
    <row r="680" spans="1:18" x14ac:dyDescent="0.25">
      <c r="A680" t="s">
        <v>12991</v>
      </c>
      <c r="B680" t="s">
        <v>2474</v>
      </c>
      <c r="C680" t="str">
        <f>HYPERLINK("https://nematode.unl.edu/aphelha6.jpg")</f>
        <v>https://nematode.unl.edu/aphelha6.jpg</v>
      </c>
      <c r="D680" t="s">
        <v>16</v>
      </c>
      <c r="G680" t="s">
        <v>28</v>
      </c>
      <c r="I680" t="s">
        <v>19</v>
      </c>
      <c r="J680" t="s">
        <v>267</v>
      </c>
      <c r="M680" t="s">
        <v>103</v>
      </c>
      <c r="N680" t="s">
        <v>103</v>
      </c>
      <c r="O680" t="s">
        <v>23</v>
      </c>
      <c r="P680" t="s">
        <v>24</v>
      </c>
      <c r="Q680" t="s">
        <v>102</v>
      </c>
      <c r="R680" t="s">
        <v>103</v>
      </c>
    </row>
    <row r="681" spans="1:18" x14ac:dyDescent="0.25">
      <c r="A681" t="s">
        <v>12986</v>
      </c>
      <c r="B681" t="s">
        <v>2475</v>
      </c>
      <c r="C681" t="str">
        <f>HYPERLINK("https://nematode.unl.edu/aphelha7.jpg")</f>
        <v>https://nematode.unl.edu/aphelha7.jpg</v>
      </c>
      <c r="D681" t="s">
        <v>16</v>
      </c>
      <c r="G681" t="s">
        <v>34</v>
      </c>
      <c r="H681" t="s">
        <v>18</v>
      </c>
      <c r="I681" t="s">
        <v>19</v>
      </c>
      <c r="J681" t="s">
        <v>267</v>
      </c>
      <c r="M681" t="s">
        <v>103</v>
      </c>
      <c r="N681" t="s">
        <v>103</v>
      </c>
      <c r="O681" t="s">
        <v>23</v>
      </c>
      <c r="P681" t="s">
        <v>24</v>
      </c>
      <c r="Q681" t="s">
        <v>102</v>
      </c>
      <c r="R681" t="s">
        <v>103</v>
      </c>
    </row>
    <row r="682" spans="1:18" x14ac:dyDescent="0.25">
      <c r="A682" t="s">
        <v>12987</v>
      </c>
      <c r="B682" t="s">
        <v>2476</v>
      </c>
      <c r="C682" t="str">
        <f>HYPERLINK("https://nematode.unl.edu/aphelha8.jpg")</f>
        <v>https://nematode.unl.edu/aphelha8.jpg</v>
      </c>
      <c r="D682" t="s">
        <v>16</v>
      </c>
      <c r="G682" t="s">
        <v>34</v>
      </c>
      <c r="H682" t="s">
        <v>18</v>
      </c>
      <c r="I682" t="s">
        <v>19</v>
      </c>
      <c r="J682" t="s">
        <v>267</v>
      </c>
      <c r="M682" t="s">
        <v>103</v>
      </c>
      <c r="N682" t="s">
        <v>103</v>
      </c>
      <c r="O682" t="s">
        <v>23</v>
      </c>
      <c r="P682" t="s">
        <v>24</v>
      </c>
      <c r="Q682" t="s">
        <v>102</v>
      </c>
      <c r="R682" t="s">
        <v>103</v>
      </c>
    </row>
    <row r="683" spans="1:18" x14ac:dyDescent="0.25">
      <c r="A683" t="s">
        <v>12958</v>
      </c>
      <c r="B683" t="s">
        <v>2552</v>
      </c>
      <c r="C683" t="str">
        <f>HYPERLINK("https://nematode.unl.edu/aphen1.jpg")</f>
        <v>https://nematode.unl.edu/aphen1.jpg</v>
      </c>
      <c r="D683" t="s">
        <v>43</v>
      </c>
      <c r="G683" t="s">
        <v>44</v>
      </c>
      <c r="I683" t="s">
        <v>45</v>
      </c>
      <c r="J683" t="s">
        <v>20</v>
      </c>
      <c r="L683" t="s">
        <v>85</v>
      </c>
      <c r="M683" t="s">
        <v>2553</v>
      </c>
      <c r="N683" t="s">
        <v>2553</v>
      </c>
      <c r="O683" t="s">
        <v>23</v>
      </c>
      <c r="P683" t="s">
        <v>24</v>
      </c>
      <c r="Q683" t="s">
        <v>1580</v>
      </c>
      <c r="R683" t="s">
        <v>2553</v>
      </c>
    </row>
    <row r="684" spans="1:18" x14ac:dyDescent="0.25">
      <c r="A684" t="s">
        <v>12956</v>
      </c>
      <c r="B684" t="s">
        <v>2554</v>
      </c>
      <c r="C684" t="str">
        <f>HYPERLINK("https://nematode.unl.edu/aphen2.jpg")</f>
        <v>https://nematode.unl.edu/aphen2.jpg</v>
      </c>
      <c r="D684" t="s">
        <v>43</v>
      </c>
      <c r="G684" t="s">
        <v>34</v>
      </c>
      <c r="H684" t="s">
        <v>18</v>
      </c>
      <c r="I684" t="s">
        <v>19</v>
      </c>
      <c r="J684" t="s">
        <v>20</v>
      </c>
      <c r="L684" t="s">
        <v>85</v>
      </c>
      <c r="M684" t="s">
        <v>2553</v>
      </c>
      <c r="N684" t="s">
        <v>2553</v>
      </c>
      <c r="O684" t="s">
        <v>23</v>
      </c>
      <c r="P684" t="s">
        <v>24</v>
      </c>
      <c r="Q684" t="s">
        <v>1580</v>
      </c>
      <c r="R684" t="s">
        <v>2553</v>
      </c>
    </row>
    <row r="685" spans="1:18" x14ac:dyDescent="0.25">
      <c r="A685" t="s">
        <v>12959</v>
      </c>
      <c r="B685" t="s">
        <v>2555</v>
      </c>
      <c r="C685" t="str">
        <f>HYPERLINK("https://nematode.unl.edu/aphen3.jpg")</f>
        <v>https://nematode.unl.edu/aphen3.jpg</v>
      </c>
      <c r="D685" t="s">
        <v>43</v>
      </c>
      <c r="G685" t="s">
        <v>28</v>
      </c>
      <c r="I685" t="s">
        <v>19</v>
      </c>
      <c r="J685" t="s">
        <v>20</v>
      </c>
      <c r="L685" t="s">
        <v>85</v>
      </c>
      <c r="M685" t="s">
        <v>2553</v>
      </c>
      <c r="N685" t="s">
        <v>2553</v>
      </c>
      <c r="O685" t="s">
        <v>23</v>
      </c>
      <c r="P685" t="s">
        <v>24</v>
      </c>
      <c r="Q685" t="s">
        <v>1580</v>
      </c>
      <c r="R685" t="s">
        <v>2553</v>
      </c>
    </row>
    <row r="686" spans="1:18" x14ac:dyDescent="0.25">
      <c r="A686" t="s">
        <v>12957</v>
      </c>
      <c r="B686" t="s">
        <v>2556</v>
      </c>
      <c r="C686" t="str">
        <f>HYPERLINK("https://nematode.unl.edu/aphen4.jpg")</f>
        <v>https://nematode.unl.edu/aphen4.jpg</v>
      </c>
      <c r="D686" t="s">
        <v>43</v>
      </c>
      <c r="G686" t="s">
        <v>34</v>
      </c>
      <c r="H686" t="s">
        <v>18</v>
      </c>
      <c r="I686" t="s">
        <v>19</v>
      </c>
      <c r="J686" t="s">
        <v>20</v>
      </c>
      <c r="L686" t="s">
        <v>105</v>
      </c>
      <c r="M686" t="s">
        <v>2553</v>
      </c>
      <c r="N686" t="s">
        <v>2553</v>
      </c>
      <c r="O686" t="s">
        <v>23</v>
      </c>
      <c r="P686" t="s">
        <v>24</v>
      </c>
      <c r="Q686" t="s">
        <v>1580</v>
      </c>
      <c r="R686" t="s">
        <v>2553</v>
      </c>
    </row>
    <row r="687" spans="1:18" x14ac:dyDescent="0.25">
      <c r="A687" t="s">
        <v>12960</v>
      </c>
      <c r="B687" t="s">
        <v>2557</v>
      </c>
      <c r="C687" t="str">
        <f>HYPERLINK("https://nematode.unl.edu/aphen5.jpg")</f>
        <v>https://nematode.unl.edu/aphen5.jpg</v>
      </c>
      <c r="D687" t="s">
        <v>43</v>
      </c>
      <c r="G687" t="s">
        <v>28</v>
      </c>
      <c r="I687" t="s">
        <v>137</v>
      </c>
      <c r="J687" t="s">
        <v>20</v>
      </c>
      <c r="L687" t="s">
        <v>105</v>
      </c>
      <c r="M687" t="s">
        <v>2553</v>
      </c>
      <c r="N687" t="s">
        <v>2553</v>
      </c>
      <c r="O687" t="s">
        <v>23</v>
      </c>
      <c r="P687" t="s">
        <v>24</v>
      </c>
      <c r="Q687" t="s">
        <v>1580</v>
      </c>
      <c r="R687" t="s">
        <v>2553</v>
      </c>
    </row>
    <row r="688" spans="1:18" x14ac:dyDescent="0.25">
      <c r="A688" t="s">
        <v>13038</v>
      </c>
      <c r="B688" t="s">
        <v>2530</v>
      </c>
      <c r="C688" t="str">
        <f>HYPERLINK("https://nematode.unl.edu/aphpa1.jpg")</f>
        <v>https://nematode.unl.edu/aphpa1.jpg</v>
      </c>
      <c r="D688" t="s">
        <v>43</v>
      </c>
      <c r="G688" t="s">
        <v>44</v>
      </c>
      <c r="I688" t="s">
        <v>45</v>
      </c>
      <c r="J688" t="s">
        <v>20</v>
      </c>
      <c r="M688" t="s">
        <v>2531</v>
      </c>
      <c r="N688" t="s">
        <v>2531</v>
      </c>
      <c r="O688" t="s">
        <v>23</v>
      </c>
      <c r="P688" t="s">
        <v>24</v>
      </c>
      <c r="Q688" t="s">
        <v>102</v>
      </c>
      <c r="R688" t="s">
        <v>103</v>
      </c>
    </row>
    <row r="689" spans="1:18" x14ac:dyDescent="0.25">
      <c r="A689" t="s">
        <v>13037</v>
      </c>
      <c r="B689" t="s">
        <v>2532</v>
      </c>
      <c r="C689" t="str">
        <f>HYPERLINK("https://nematode.unl.edu/aphpa2.jpg")</f>
        <v>https://nematode.unl.edu/aphpa2.jpg</v>
      </c>
      <c r="D689" t="s">
        <v>43</v>
      </c>
      <c r="G689" t="s">
        <v>17</v>
      </c>
      <c r="H689" t="s">
        <v>18</v>
      </c>
      <c r="I689" t="s">
        <v>19</v>
      </c>
      <c r="J689" t="s">
        <v>20</v>
      </c>
      <c r="L689" t="s">
        <v>173</v>
      </c>
      <c r="M689" t="s">
        <v>2531</v>
      </c>
      <c r="N689" t="s">
        <v>2531</v>
      </c>
      <c r="O689" t="s">
        <v>23</v>
      </c>
      <c r="P689" t="s">
        <v>24</v>
      </c>
      <c r="Q689" t="s">
        <v>102</v>
      </c>
      <c r="R689" t="s">
        <v>103</v>
      </c>
    </row>
    <row r="690" spans="1:18" x14ac:dyDescent="0.25">
      <c r="A690" t="s">
        <v>13040</v>
      </c>
      <c r="B690" t="s">
        <v>2534</v>
      </c>
      <c r="C690" t="str">
        <f>HYPERLINK("https://nematode.unl.edu/aphpa3.jpg")</f>
        <v>https://nematode.unl.edu/aphpa3.jpg</v>
      </c>
      <c r="D690" t="s">
        <v>43</v>
      </c>
      <c r="G690" t="s">
        <v>51</v>
      </c>
      <c r="I690" t="s">
        <v>19</v>
      </c>
      <c r="J690" t="s">
        <v>20</v>
      </c>
      <c r="L690" t="s">
        <v>138</v>
      </c>
      <c r="M690" t="s">
        <v>2535</v>
      </c>
      <c r="N690" t="s">
        <v>2535</v>
      </c>
      <c r="O690" t="s">
        <v>23</v>
      </c>
      <c r="P690" t="s">
        <v>24</v>
      </c>
      <c r="Q690" t="s">
        <v>102</v>
      </c>
      <c r="R690" t="s">
        <v>103</v>
      </c>
    </row>
    <row r="691" spans="1:18" x14ac:dyDescent="0.25">
      <c r="A691" t="s">
        <v>13039</v>
      </c>
      <c r="B691" t="s">
        <v>2533</v>
      </c>
      <c r="C691" t="str">
        <f>HYPERLINK("https://nematode.unl.edu/aphpa4.jpg")</f>
        <v>https://nematode.unl.edu/aphpa4.jpg</v>
      </c>
      <c r="D691" t="s">
        <v>43</v>
      </c>
      <c r="G691" t="s">
        <v>28</v>
      </c>
      <c r="I691" t="s">
        <v>19</v>
      </c>
      <c r="J691" t="s">
        <v>20</v>
      </c>
      <c r="M691" t="s">
        <v>2531</v>
      </c>
      <c r="N691" t="s">
        <v>2531</v>
      </c>
      <c r="O691" t="s">
        <v>23</v>
      </c>
      <c r="P691" t="s">
        <v>24</v>
      </c>
      <c r="Q691" t="s">
        <v>102</v>
      </c>
      <c r="R691" t="s">
        <v>103</v>
      </c>
    </row>
    <row r="692" spans="1:18" x14ac:dyDescent="0.25">
      <c r="A692" t="s">
        <v>13061</v>
      </c>
      <c r="B692" t="s">
        <v>2548</v>
      </c>
      <c r="C692" t="str">
        <f>HYPERLINK("https://nematode.unl.edu/aphvi1.jpg")</f>
        <v>https://nematode.unl.edu/aphvi1.jpg</v>
      </c>
      <c r="D692" t="s">
        <v>16</v>
      </c>
      <c r="G692" t="s">
        <v>34</v>
      </c>
      <c r="H692" t="s">
        <v>18</v>
      </c>
      <c r="I692" t="s">
        <v>19</v>
      </c>
      <c r="J692" t="s">
        <v>20</v>
      </c>
      <c r="L692" t="s">
        <v>38</v>
      </c>
      <c r="M692" t="s">
        <v>2549</v>
      </c>
      <c r="N692" t="s">
        <v>2549</v>
      </c>
      <c r="O692" t="s">
        <v>23</v>
      </c>
      <c r="P692" t="s">
        <v>24</v>
      </c>
      <c r="Q692" t="s">
        <v>102</v>
      </c>
      <c r="R692" t="s">
        <v>103</v>
      </c>
    </row>
    <row r="693" spans="1:18" x14ac:dyDescent="0.25">
      <c r="A693" t="s">
        <v>13063</v>
      </c>
      <c r="B693" t="s">
        <v>2550</v>
      </c>
      <c r="C693" t="str">
        <f>HYPERLINK("https://nematode.unl.edu/aphvi2.jpg")</f>
        <v>https://nematode.unl.edu/aphvi2.jpg</v>
      </c>
      <c r="D693" t="s">
        <v>16</v>
      </c>
      <c r="G693" t="s">
        <v>28</v>
      </c>
      <c r="I693" t="s">
        <v>19</v>
      </c>
      <c r="J693" t="s">
        <v>20</v>
      </c>
      <c r="L693" t="s">
        <v>38</v>
      </c>
      <c r="M693" t="s">
        <v>2549</v>
      </c>
      <c r="N693" t="s">
        <v>2549</v>
      </c>
      <c r="O693" t="s">
        <v>23</v>
      </c>
      <c r="P693" t="s">
        <v>24</v>
      </c>
      <c r="Q693" t="s">
        <v>102</v>
      </c>
      <c r="R693" t="s">
        <v>103</v>
      </c>
    </row>
    <row r="694" spans="1:18" x14ac:dyDescent="0.25">
      <c r="A694" t="s">
        <v>13062</v>
      </c>
      <c r="B694" t="s">
        <v>2551</v>
      </c>
      <c r="C694" t="str">
        <f>HYPERLINK("https://nematode.unl.edu/aphvicmp.jpg")</f>
        <v>https://nematode.unl.edu/aphvicmp.jpg</v>
      </c>
      <c r="G694" t="s">
        <v>108</v>
      </c>
      <c r="M694" t="s">
        <v>2549</v>
      </c>
      <c r="N694" t="s">
        <v>2549</v>
      </c>
      <c r="O694" t="s">
        <v>23</v>
      </c>
      <c r="P694" t="s">
        <v>24</v>
      </c>
      <c r="Q694" t="s">
        <v>102</v>
      </c>
      <c r="R694" t="s">
        <v>103</v>
      </c>
    </row>
    <row r="695" spans="1:18" x14ac:dyDescent="0.25">
      <c r="A695" t="s">
        <v>18959</v>
      </c>
      <c r="B695" t="s">
        <v>2718</v>
      </c>
      <c r="C695" t="str">
        <f>HYPERLINK("https://nematode.unl.edu/apkry1.jpg")</f>
        <v>https://nematode.unl.edu/apkry1.jpg</v>
      </c>
      <c r="D695" t="s">
        <v>43</v>
      </c>
      <c r="G695" t="s">
        <v>44</v>
      </c>
      <c r="I695" t="s">
        <v>91</v>
      </c>
      <c r="J695" t="s">
        <v>20</v>
      </c>
      <c r="L695" t="s">
        <v>85</v>
      </c>
      <c r="M695" t="s">
        <v>2710</v>
      </c>
      <c r="N695" t="s">
        <v>2710</v>
      </c>
      <c r="O695" t="s">
        <v>73</v>
      </c>
      <c r="P695" t="s">
        <v>81</v>
      </c>
      <c r="Q695" t="s">
        <v>119</v>
      </c>
      <c r="R695" t="s">
        <v>118</v>
      </c>
    </row>
    <row r="696" spans="1:18" x14ac:dyDescent="0.25">
      <c r="A696" t="s">
        <v>18935</v>
      </c>
      <c r="B696" t="s">
        <v>2719</v>
      </c>
      <c r="C696" t="str">
        <f>HYPERLINK("https://nematode.unl.edu/apkry10.jpg")</f>
        <v>https://nematode.unl.edu/apkry10.jpg</v>
      </c>
      <c r="D696" t="s">
        <v>43</v>
      </c>
      <c r="G696" t="s">
        <v>34</v>
      </c>
      <c r="H696" t="s">
        <v>18</v>
      </c>
      <c r="I696" t="s">
        <v>19</v>
      </c>
      <c r="J696" t="s">
        <v>20</v>
      </c>
      <c r="L696" t="s">
        <v>64</v>
      </c>
      <c r="M696" t="s">
        <v>2710</v>
      </c>
      <c r="N696" t="s">
        <v>2710</v>
      </c>
      <c r="O696" t="s">
        <v>73</v>
      </c>
      <c r="P696" t="s">
        <v>81</v>
      </c>
      <c r="Q696" t="s">
        <v>119</v>
      </c>
      <c r="R696" t="s">
        <v>118</v>
      </c>
    </row>
    <row r="697" spans="1:18" x14ac:dyDescent="0.25">
      <c r="A697" t="s">
        <v>18994</v>
      </c>
      <c r="B697" t="s">
        <v>2720</v>
      </c>
      <c r="C697" t="str">
        <f>HYPERLINK("https://nematode.unl.edu/apkry11.jpg")</f>
        <v>https://nematode.unl.edu/apkry11.jpg</v>
      </c>
      <c r="D697" t="s">
        <v>43</v>
      </c>
      <c r="G697" t="s">
        <v>51</v>
      </c>
      <c r="I697" t="s">
        <v>19</v>
      </c>
      <c r="J697" t="s">
        <v>20</v>
      </c>
      <c r="L697" t="s">
        <v>64</v>
      </c>
      <c r="M697" t="s">
        <v>2710</v>
      </c>
      <c r="N697" t="s">
        <v>2710</v>
      </c>
      <c r="O697" t="s">
        <v>73</v>
      </c>
      <c r="P697" t="s">
        <v>81</v>
      </c>
      <c r="Q697" t="s">
        <v>119</v>
      </c>
      <c r="R697" t="s">
        <v>118</v>
      </c>
    </row>
    <row r="698" spans="1:18" x14ac:dyDescent="0.25">
      <c r="A698" t="s">
        <v>18952</v>
      </c>
      <c r="B698" t="s">
        <v>2721</v>
      </c>
      <c r="C698" t="str">
        <f>HYPERLINK("https://nematode.unl.edu/apkry12.jpg")</f>
        <v>https://nematode.unl.edu/apkry12.jpg</v>
      </c>
      <c r="D698" t="s">
        <v>43</v>
      </c>
      <c r="G698" t="s">
        <v>87</v>
      </c>
      <c r="I698" t="s">
        <v>19</v>
      </c>
      <c r="J698" t="s">
        <v>20</v>
      </c>
      <c r="M698" t="s">
        <v>2710</v>
      </c>
      <c r="N698" t="s">
        <v>2710</v>
      </c>
      <c r="O698" t="s">
        <v>73</v>
      </c>
      <c r="P698" t="s">
        <v>81</v>
      </c>
      <c r="Q698" t="s">
        <v>119</v>
      </c>
      <c r="R698" t="s">
        <v>118</v>
      </c>
    </row>
    <row r="699" spans="1:18" x14ac:dyDescent="0.25">
      <c r="A699" t="s">
        <v>18976</v>
      </c>
      <c r="B699" t="s">
        <v>2722</v>
      </c>
      <c r="C699" t="str">
        <f>HYPERLINK("https://nematode.unl.edu/apkry13.jpg")</f>
        <v>https://nematode.unl.edu/apkry13.jpg</v>
      </c>
      <c r="D699" t="s">
        <v>43</v>
      </c>
      <c r="G699" t="s">
        <v>28</v>
      </c>
      <c r="I699" t="s">
        <v>19</v>
      </c>
      <c r="J699" t="s">
        <v>20</v>
      </c>
      <c r="L699" t="s">
        <v>64</v>
      </c>
      <c r="M699" t="s">
        <v>2710</v>
      </c>
      <c r="N699" t="s">
        <v>2710</v>
      </c>
      <c r="O699" t="s">
        <v>73</v>
      </c>
      <c r="P699" t="s">
        <v>81</v>
      </c>
      <c r="Q699" t="s">
        <v>119</v>
      </c>
      <c r="R699" t="s">
        <v>118</v>
      </c>
    </row>
    <row r="700" spans="1:18" x14ac:dyDescent="0.25">
      <c r="A700" t="s">
        <v>18970</v>
      </c>
      <c r="B700" t="s">
        <v>2723</v>
      </c>
      <c r="C700" t="str">
        <f>HYPERLINK("https://nematode.unl.edu/apkry14.jpg")</f>
        <v>https://nematode.unl.edu/apkry14.jpg</v>
      </c>
      <c r="D700" t="s">
        <v>43</v>
      </c>
      <c r="G700" t="s">
        <v>224</v>
      </c>
      <c r="I700" t="s">
        <v>19</v>
      </c>
      <c r="J700" t="s">
        <v>20</v>
      </c>
      <c r="M700" t="s">
        <v>2710</v>
      </c>
      <c r="N700" t="s">
        <v>2710</v>
      </c>
      <c r="O700" t="s">
        <v>73</v>
      </c>
      <c r="P700" t="s">
        <v>81</v>
      </c>
      <c r="Q700" t="s">
        <v>119</v>
      </c>
      <c r="R700" t="s">
        <v>118</v>
      </c>
    </row>
    <row r="701" spans="1:18" x14ac:dyDescent="0.25">
      <c r="A701" t="s">
        <v>18936</v>
      </c>
      <c r="B701" t="s">
        <v>2724</v>
      </c>
      <c r="C701" t="str">
        <f>HYPERLINK("https://nematode.unl.edu/apkry15.jpg")</f>
        <v>https://nematode.unl.edu/apkry15.jpg</v>
      </c>
      <c r="D701" t="s">
        <v>43</v>
      </c>
      <c r="G701" t="s">
        <v>34</v>
      </c>
      <c r="H701" t="s">
        <v>18</v>
      </c>
      <c r="I701" t="s">
        <v>19</v>
      </c>
      <c r="J701" t="s">
        <v>20</v>
      </c>
      <c r="L701" t="s">
        <v>64</v>
      </c>
      <c r="M701" t="s">
        <v>2710</v>
      </c>
      <c r="N701" t="s">
        <v>2710</v>
      </c>
      <c r="O701" t="s">
        <v>73</v>
      </c>
      <c r="P701" t="s">
        <v>81</v>
      </c>
      <c r="Q701" t="s">
        <v>119</v>
      </c>
      <c r="R701" t="s">
        <v>118</v>
      </c>
    </row>
    <row r="702" spans="1:18" x14ac:dyDescent="0.25">
      <c r="A702" t="s">
        <v>18977</v>
      </c>
      <c r="B702" t="s">
        <v>2725</v>
      </c>
      <c r="C702" t="str">
        <f>HYPERLINK("https://nematode.unl.edu/apkry16.jpg")</f>
        <v>https://nematode.unl.edu/apkry16.jpg</v>
      </c>
      <c r="D702" t="s">
        <v>43</v>
      </c>
      <c r="G702" t="s">
        <v>28</v>
      </c>
      <c r="I702" t="s">
        <v>19</v>
      </c>
      <c r="J702" t="s">
        <v>20</v>
      </c>
      <c r="M702" t="s">
        <v>2710</v>
      </c>
      <c r="N702" t="s">
        <v>2710</v>
      </c>
      <c r="O702" t="s">
        <v>73</v>
      </c>
      <c r="P702" t="s">
        <v>81</v>
      </c>
      <c r="Q702" t="s">
        <v>119</v>
      </c>
      <c r="R702" t="s">
        <v>118</v>
      </c>
    </row>
    <row r="703" spans="1:18" x14ac:dyDescent="0.25">
      <c r="A703" t="s">
        <v>18995</v>
      </c>
      <c r="B703" t="s">
        <v>2726</v>
      </c>
      <c r="C703" t="str">
        <f>HYPERLINK("https://nematode.unl.edu/apkry17.jpg")</f>
        <v>https://nematode.unl.edu/apkry17.jpg</v>
      </c>
      <c r="D703" t="s">
        <v>43</v>
      </c>
      <c r="G703" t="s">
        <v>51</v>
      </c>
      <c r="I703" t="s">
        <v>19</v>
      </c>
      <c r="J703" t="s">
        <v>20</v>
      </c>
      <c r="L703" t="s">
        <v>85</v>
      </c>
      <c r="M703" t="s">
        <v>2710</v>
      </c>
      <c r="N703" t="s">
        <v>2710</v>
      </c>
      <c r="O703" t="s">
        <v>73</v>
      </c>
      <c r="P703" t="s">
        <v>81</v>
      </c>
      <c r="Q703" t="s">
        <v>119</v>
      </c>
      <c r="R703" t="s">
        <v>118</v>
      </c>
    </row>
    <row r="704" spans="1:18" x14ac:dyDescent="0.25">
      <c r="A704" t="s">
        <v>18930</v>
      </c>
      <c r="B704" t="s">
        <v>2727</v>
      </c>
      <c r="C704" t="str">
        <f>HYPERLINK("https://nematode.unl.edu/apkry18.jpg")</f>
        <v>https://nematode.unl.edu/apkry18.jpg</v>
      </c>
      <c r="D704" t="s">
        <v>43</v>
      </c>
      <c r="G704" t="s">
        <v>96</v>
      </c>
      <c r="H704" t="s">
        <v>18</v>
      </c>
      <c r="I704" t="s">
        <v>45</v>
      </c>
      <c r="J704" t="s">
        <v>20</v>
      </c>
      <c r="M704" t="s">
        <v>2710</v>
      </c>
      <c r="N704" t="s">
        <v>2710</v>
      </c>
      <c r="O704" t="s">
        <v>73</v>
      </c>
      <c r="P704" t="s">
        <v>81</v>
      </c>
      <c r="Q704" t="s">
        <v>119</v>
      </c>
      <c r="R704" t="s">
        <v>118</v>
      </c>
    </row>
    <row r="705" spans="1:18" x14ac:dyDescent="0.25">
      <c r="A705" t="s">
        <v>18996</v>
      </c>
      <c r="B705" t="s">
        <v>2728</v>
      </c>
      <c r="C705" t="str">
        <f>HYPERLINK("https://nematode.unl.edu/apkry19.jpg")</f>
        <v>https://nematode.unl.edu/apkry19.jpg</v>
      </c>
      <c r="D705" t="s">
        <v>43</v>
      </c>
      <c r="G705" t="s">
        <v>51</v>
      </c>
      <c r="I705" t="s">
        <v>45</v>
      </c>
      <c r="J705" t="s">
        <v>20</v>
      </c>
      <c r="M705" t="s">
        <v>2710</v>
      </c>
      <c r="N705" t="s">
        <v>2710</v>
      </c>
      <c r="O705" t="s">
        <v>73</v>
      </c>
      <c r="P705" t="s">
        <v>81</v>
      </c>
      <c r="Q705" t="s">
        <v>119</v>
      </c>
      <c r="R705" t="s">
        <v>118</v>
      </c>
    </row>
    <row r="706" spans="1:18" x14ac:dyDescent="0.25">
      <c r="A706" t="s">
        <v>18937</v>
      </c>
      <c r="B706" t="s">
        <v>2729</v>
      </c>
      <c r="C706" t="str">
        <f>HYPERLINK("https://nematode.unl.edu/apkry2.jpg")</f>
        <v>https://nematode.unl.edu/apkry2.jpg</v>
      </c>
      <c r="D706" t="s">
        <v>43</v>
      </c>
      <c r="G706" t="s">
        <v>34</v>
      </c>
      <c r="H706" t="s">
        <v>18</v>
      </c>
      <c r="I706" t="s">
        <v>45</v>
      </c>
      <c r="J706" t="s">
        <v>20</v>
      </c>
      <c r="M706" t="s">
        <v>2710</v>
      </c>
      <c r="N706" t="s">
        <v>2710</v>
      </c>
      <c r="O706" t="s">
        <v>73</v>
      </c>
      <c r="P706" t="s">
        <v>81</v>
      </c>
      <c r="Q706" t="s">
        <v>119</v>
      </c>
      <c r="R706" t="s">
        <v>118</v>
      </c>
    </row>
    <row r="707" spans="1:18" x14ac:dyDescent="0.25">
      <c r="A707" t="s">
        <v>18978</v>
      </c>
      <c r="B707" t="s">
        <v>2730</v>
      </c>
      <c r="C707" t="str">
        <f>HYPERLINK("https://nematode.unl.edu/apkry20.jpg")</f>
        <v>https://nematode.unl.edu/apkry20.jpg</v>
      </c>
      <c r="D707" t="s">
        <v>43</v>
      </c>
      <c r="G707" t="s">
        <v>28</v>
      </c>
      <c r="I707" t="s">
        <v>19</v>
      </c>
      <c r="J707" t="s">
        <v>20</v>
      </c>
      <c r="M707" t="s">
        <v>2710</v>
      </c>
      <c r="N707" t="s">
        <v>2710</v>
      </c>
      <c r="O707" t="s">
        <v>73</v>
      </c>
      <c r="P707" t="s">
        <v>81</v>
      </c>
      <c r="Q707" t="s">
        <v>119</v>
      </c>
      <c r="R707" t="s">
        <v>118</v>
      </c>
    </row>
    <row r="708" spans="1:18" x14ac:dyDescent="0.25">
      <c r="A708" t="s">
        <v>18997</v>
      </c>
      <c r="B708" t="s">
        <v>2731</v>
      </c>
      <c r="C708" t="str">
        <f>HYPERLINK("https://nematode.unl.edu/apkry21.jpg")</f>
        <v>https://nematode.unl.edu/apkry21.jpg</v>
      </c>
      <c r="D708" t="s">
        <v>43</v>
      </c>
      <c r="G708" t="s">
        <v>51</v>
      </c>
      <c r="I708" t="s">
        <v>19</v>
      </c>
      <c r="J708" t="s">
        <v>20</v>
      </c>
      <c r="M708" t="s">
        <v>2710</v>
      </c>
      <c r="N708" t="s">
        <v>2710</v>
      </c>
      <c r="O708" t="s">
        <v>73</v>
      </c>
      <c r="P708" t="s">
        <v>81</v>
      </c>
      <c r="Q708" t="s">
        <v>119</v>
      </c>
      <c r="R708" t="s">
        <v>118</v>
      </c>
    </row>
    <row r="709" spans="1:18" x14ac:dyDescent="0.25">
      <c r="A709" t="s">
        <v>18938</v>
      </c>
      <c r="B709" t="s">
        <v>2732</v>
      </c>
      <c r="C709" t="str">
        <f>HYPERLINK("https://nematode.unl.edu/apkry22.jpg")</f>
        <v>https://nematode.unl.edu/apkry22.jpg</v>
      </c>
      <c r="D709" t="s">
        <v>43</v>
      </c>
      <c r="G709" t="s">
        <v>34</v>
      </c>
      <c r="H709" t="s">
        <v>18</v>
      </c>
      <c r="I709" t="s">
        <v>19</v>
      </c>
      <c r="J709" t="s">
        <v>20</v>
      </c>
      <c r="M709" t="s">
        <v>2710</v>
      </c>
      <c r="N709" t="s">
        <v>2710</v>
      </c>
      <c r="O709" t="s">
        <v>73</v>
      </c>
      <c r="P709" t="s">
        <v>81</v>
      </c>
      <c r="Q709" t="s">
        <v>119</v>
      </c>
      <c r="R709" t="s">
        <v>118</v>
      </c>
    </row>
    <row r="710" spans="1:18" x14ac:dyDescent="0.25">
      <c r="A710" t="s">
        <v>18979</v>
      </c>
      <c r="B710" t="s">
        <v>2733</v>
      </c>
      <c r="C710" t="str">
        <f>HYPERLINK("https://nematode.unl.edu/apkry23.jpg")</f>
        <v>https://nematode.unl.edu/apkry23.jpg</v>
      </c>
      <c r="D710" t="s">
        <v>43</v>
      </c>
      <c r="G710" t="s">
        <v>28</v>
      </c>
      <c r="I710" t="s">
        <v>137</v>
      </c>
      <c r="J710" t="s">
        <v>20</v>
      </c>
      <c r="M710" t="s">
        <v>2710</v>
      </c>
      <c r="N710" t="s">
        <v>2710</v>
      </c>
      <c r="O710" t="s">
        <v>73</v>
      </c>
      <c r="P710" t="s">
        <v>81</v>
      </c>
      <c r="Q710" t="s">
        <v>119</v>
      </c>
      <c r="R710" t="s">
        <v>118</v>
      </c>
    </row>
    <row r="711" spans="1:18" x14ac:dyDescent="0.25">
      <c r="A711" t="s">
        <v>18960</v>
      </c>
      <c r="B711" t="s">
        <v>2734</v>
      </c>
      <c r="C711" t="str">
        <f>HYPERLINK("https://nematode.unl.edu/apkry24.jpg")</f>
        <v>https://nematode.unl.edu/apkry24.jpg</v>
      </c>
      <c r="D711" t="s">
        <v>43</v>
      </c>
      <c r="G711" t="s">
        <v>44</v>
      </c>
      <c r="I711" t="s">
        <v>91</v>
      </c>
      <c r="J711" t="s">
        <v>20</v>
      </c>
      <c r="M711" t="s">
        <v>2710</v>
      </c>
      <c r="N711" t="s">
        <v>2710</v>
      </c>
      <c r="O711" t="s">
        <v>73</v>
      </c>
      <c r="P711" t="s">
        <v>81</v>
      </c>
      <c r="Q711" t="s">
        <v>119</v>
      </c>
      <c r="R711" t="s">
        <v>118</v>
      </c>
    </row>
    <row r="712" spans="1:18" x14ac:dyDescent="0.25">
      <c r="A712" t="s">
        <v>18939</v>
      </c>
      <c r="B712" t="s">
        <v>2735</v>
      </c>
      <c r="C712" t="str">
        <f>HYPERLINK("https://nematode.unl.edu/apkry25.jpg")</f>
        <v>https://nematode.unl.edu/apkry25.jpg</v>
      </c>
      <c r="D712" t="s">
        <v>43</v>
      </c>
      <c r="G712" t="s">
        <v>34</v>
      </c>
      <c r="H712" t="s">
        <v>18</v>
      </c>
      <c r="I712" t="s">
        <v>137</v>
      </c>
      <c r="J712" t="s">
        <v>20</v>
      </c>
      <c r="M712" t="s">
        <v>2710</v>
      </c>
      <c r="N712" t="s">
        <v>2710</v>
      </c>
      <c r="O712" t="s">
        <v>73</v>
      </c>
      <c r="P712" t="s">
        <v>81</v>
      </c>
      <c r="Q712" t="s">
        <v>119</v>
      </c>
      <c r="R712" t="s">
        <v>118</v>
      </c>
    </row>
    <row r="713" spans="1:18" x14ac:dyDescent="0.25">
      <c r="A713" t="s">
        <v>18980</v>
      </c>
      <c r="B713" t="s">
        <v>2736</v>
      </c>
      <c r="C713" t="str">
        <f>HYPERLINK("https://nematode.unl.edu/apkry27.jpg")</f>
        <v>https://nematode.unl.edu/apkry27.jpg</v>
      </c>
      <c r="D713" t="s">
        <v>43</v>
      </c>
      <c r="G713" t="s">
        <v>28</v>
      </c>
      <c r="I713" t="s">
        <v>137</v>
      </c>
      <c r="J713" t="s">
        <v>20</v>
      </c>
      <c r="L713" t="s">
        <v>141</v>
      </c>
      <c r="M713" t="s">
        <v>2710</v>
      </c>
      <c r="N713" t="s">
        <v>2710</v>
      </c>
      <c r="O713" t="s">
        <v>73</v>
      </c>
      <c r="P713" t="s">
        <v>81</v>
      </c>
      <c r="Q713" t="s">
        <v>119</v>
      </c>
      <c r="R713" t="s">
        <v>118</v>
      </c>
    </row>
    <row r="714" spans="1:18" x14ac:dyDescent="0.25">
      <c r="A714" t="s">
        <v>18961</v>
      </c>
      <c r="B714" t="s">
        <v>2737</v>
      </c>
      <c r="C714" t="str">
        <f>HYPERLINK("https://nematode.unl.edu/apkry28.jpg")</f>
        <v>https://nematode.unl.edu/apkry28.jpg</v>
      </c>
      <c r="D714" t="s">
        <v>43</v>
      </c>
      <c r="G714" t="s">
        <v>44</v>
      </c>
      <c r="I714" t="s">
        <v>91</v>
      </c>
      <c r="J714" t="s">
        <v>20</v>
      </c>
      <c r="L714" t="s">
        <v>352</v>
      </c>
      <c r="M714" t="s">
        <v>2710</v>
      </c>
      <c r="N714" t="s">
        <v>2710</v>
      </c>
      <c r="O714" t="s">
        <v>73</v>
      </c>
      <c r="P714" t="s">
        <v>81</v>
      </c>
      <c r="Q714" t="s">
        <v>119</v>
      </c>
      <c r="R714" t="s">
        <v>118</v>
      </c>
    </row>
    <row r="715" spans="1:18" x14ac:dyDescent="0.25">
      <c r="A715" t="s">
        <v>18972</v>
      </c>
      <c r="B715" t="s">
        <v>2738</v>
      </c>
      <c r="C715" t="str">
        <f>HYPERLINK("https://nematode.unl.edu/apkry29.jpg")</f>
        <v>https://nematode.unl.edu/apkry29.jpg</v>
      </c>
      <c r="D715" t="s">
        <v>43</v>
      </c>
      <c r="G715" t="s">
        <v>205</v>
      </c>
      <c r="I715" t="s">
        <v>45</v>
      </c>
      <c r="J715" t="s">
        <v>20</v>
      </c>
      <c r="L715" t="s">
        <v>141</v>
      </c>
      <c r="M715" t="s">
        <v>2710</v>
      </c>
      <c r="N715" t="s">
        <v>2710</v>
      </c>
      <c r="O715" t="s">
        <v>73</v>
      </c>
      <c r="P715" t="s">
        <v>81</v>
      </c>
      <c r="Q715" t="s">
        <v>119</v>
      </c>
      <c r="R715" t="s">
        <v>118</v>
      </c>
    </row>
    <row r="716" spans="1:18" x14ac:dyDescent="0.25">
      <c r="A716" t="s">
        <v>18981</v>
      </c>
      <c r="B716" t="s">
        <v>2739</v>
      </c>
      <c r="C716" t="str">
        <f>HYPERLINK("https://nematode.unl.edu/apkry3.jpg")</f>
        <v>https://nematode.unl.edu/apkry3.jpg</v>
      </c>
      <c r="D716" t="s">
        <v>43</v>
      </c>
      <c r="G716" t="s">
        <v>28</v>
      </c>
      <c r="I716" t="s">
        <v>19</v>
      </c>
      <c r="J716" t="s">
        <v>20</v>
      </c>
      <c r="L716" t="s">
        <v>85</v>
      </c>
      <c r="M716" t="s">
        <v>2710</v>
      </c>
      <c r="N716" t="s">
        <v>2710</v>
      </c>
      <c r="O716" t="s">
        <v>73</v>
      </c>
      <c r="P716" t="s">
        <v>81</v>
      </c>
      <c r="Q716" t="s">
        <v>119</v>
      </c>
      <c r="R716" t="s">
        <v>118</v>
      </c>
    </row>
    <row r="717" spans="1:18" x14ac:dyDescent="0.25">
      <c r="A717" t="s">
        <v>18940</v>
      </c>
      <c r="B717" t="s">
        <v>2740</v>
      </c>
      <c r="C717" t="str">
        <f>HYPERLINK("https://nematode.unl.edu/apkry30.jpg")</f>
        <v>https://nematode.unl.edu/apkry30.jpg</v>
      </c>
      <c r="D717" t="s">
        <v>43</v>
      </c>
      <c r="G717" t="s">
        <v>34</v>
      </c>
      <c r="H717" t="s">
        <v>18</v>
      </c>
      <c r="I717" t="s">
        <v>19</v>
      </c>
      <c r="J717" t="s">
        <v>20</v>
      </c>
      <c r="M717" t="s">
        <v>2710</v>
      </c>
      <c r="N717" t="s">
        <v>2710</v>
      </c>
      <c r="O717" t="s">
        <v>73</v>
      </c>
      <c r="P717" t="s">
        <v>81</v>
      </c>
      <c r="Q717" t="s">
        <v>119</v>
      </c>
      <c r="R717" t="s">
        <v>118</v>
      </c>
    </row>
    <row r="718" spans="1:18" x14ac:dyDescent="0.25">
      <c r="A718" t="s">
        <v>18973</v>
      </c>
      <c r="B718" t="s">
        <v>2741</v>
      </c>
      <c r="C718" t="str">
        <f>HYPERLINK("https://nematode.unl.edu/apkry31.jpg")</f>
        <v>https://nematode.unl.edu/apkry31.jpg</v>
      </c>
      <c r="D718" t="s">
        <v>43</v>
      </c>
      <c r="G718" t="s">
        <v>205</v>
      </c>
      <c r="I718" t="s">
        <v>137</v>
      </c>
      <c r="J718" t="s">
        <v>20</v>
      </c>
      <c r="M718" t="s">
        <v>2710</v>
      </c>
      <c r="N718" t="s">
        <v>2710</v>
      </c>
      <c r="O718" t="s">
        <v>73</v>
      </c>
      <c r="P718" t="s">
        <v>81</v>
      </c>
      <c r="Q718" t="s">
        <v>119</v>
      </c>
      <c r="R718" t="s">
        <v>118</v>
      </c>
    </row>
    <row r="719" spans="1:18" x14ac:dyDescent="0.25">
      <c r="A719" t="s">
        <v>18982</v>
      </c>
      <c r="B719" t="s">
        <v>2742</v>
      </c>
      <c r="C719" t="str">
        <f>HYPERLINK("https://nematode.unl.edu/apkry32.jpg")</f>
        <v>https://nematode.unl.edu/apkry32.jpg</v>
      </c>
      <c r="D719" t="s">
        <v>43</v>
      </c>
      <c r="G719" t="s">
        <v>28</v>
      </c>
      <c r="I719" t="s">
        <v>137</v>
      </c>
      <c r="J719" t="s">
        <v>20</v>
      </c>
      <c r="L719" t="s">
        <v>85</v>
      </c>
      <c r="M719" t="s">
        <v>2710</v>
      </c>
      <c r="N719" t="s">
        <v>2710</v>
      </c>
      <c r="O719" t="s">
        <v>73</v>
      </c>
      <c r="P719" t="s">
        <v>81</v>
      </c>
      <c r="Q719" t="s">
        <v>119</v>
      </c>
      <c r="R719" t="s">
        <v>118</v>
      </c>
    </row>
    <row r="720" spans="1:18" x14ac:dyDescent="0.25">
      <c r="A720" t="s">
        <v>18983</v>
      </c>
      <c r="B720" t="s">
        <v>2743</v>
      </c>
      <c r="C720" t="str">
        <f>HYPERLINK("https://nematode.unl.edu/apkry33.jpg")</f>
        <v>https://nematode.unl.edu/apkry33.jpg</v>
      </c>
      <c r="D720" t="s">
        <v>43</v>
      </c>
      <c r="G720" t="s">
        <v>28</v>
      </c>
      <c r="I720" t="s">
        <v>137</v>
      </c>
      <c r="J720" t="s">
        <v>20</v>
      </c>
      <c r="M720" t="s">
        <v>2710</v>
      </c>
      <c r="N720" t="s">
        <v>2710</v>
      </c>
      <c r="O720" t="s">
        <v>73</v>
      </c>
      <c r="P720" t="s">
        <v>81</v>
      </c>
      <c r="Q720" t="s">
        <v>119</v>
      </c>
      <c r="R720" t="s">
        <v>118</v>
      </c>
    </row>
    <row r="721" spans="1:18" x14ac:dyDescent="0.25">
      <c r="A721" t="s">
        <v>18953</v>
      </c>
      <c r="B721" t="s">
        <v>2744</v>
      </c>
      <c r="C721" t="str">
        <f>HYPERLINK("https://nematode.unl.edu/apkry34.jpg")</f>
        <v>https://nematode.unl.edu/apkry34.jpg</v>
      </c>
      <c r="D721" t="s">
        <v>43</v>
      </c>
      <c r="G721" t="s">
        <v>87</v>
      </c>
      <c r="I721" t="s">
        <v>19</v>
      </c>
      <c r="J721" t="s">
        <v>20</v>
      </c>
      <c r="M721" t="s">
        <v>2710</v>
      </c>
      <c r="N721" t="s">
        <v>2710</v>
      </c>
      <c r="O721" t="s">
        <v>73</v>
      </c>
      <c r="P721" t="s">
        <v>81</v>
      </c>
      <c r="Q721" t="s">
        <v>119</v>
      </c>
      <c r="R721" t="s">
        <v>118</v>
      </c>
    </row>
    <row r="722" spans="1:18" x14ac:dyDescent="0.25">
      <c r="A722" t="s">
        <v>18998</v>
      </c>
      <c r="B722" t="s">
        <v>2745</v>
      </c>
      <c r="C722" t="str">
        <f>HYPERLINK("https://nematode.unl.edu/apkry35.jpg")</f>
        <v>https://nematode.unl.edu/apkry35.jpg</v>
      </c>
      <c r="D722" t="s">
        <v>43</v>
      </c>
      <c r="G722" t="s">
        <v>51</v>
      </c>
      <c r="I722" t="s">
        <v>137</v>
      </c>
      <c r="J722" t="s">
        <v>20</v>
      </c>
      <c r="M722" t="s">
        <v>2710</v>
      </c>
      <c r="N722" t="s">
        <v>2710</v>
      </c>
      <c r="O722" t="s">
        <v>73</v>
      </c>
      <c r="P722" t="s">
        <v>81</v>
      </c>
      <c r="Q722" t="s">
        <v>119</v>
      </c>
      <c r="R722" t="s">
        <v>118</v>
      </c>
    </row>
    <row r="723" spans="1:18" x14ac:dyDescent="0.25">
      <c r="A723" t="s">
        <v>18941</v>
      </c>
      <c r="B723" t="s">
        <v>2746</v>
      </c>
      <c r="C723" t="str">
        <f>HYPERLINK("https://nematode.unl.edu/apkry36.jpg")</f>
        <v>https://nematode.unl.edu/apkry36.jpg</v>
      </c>
      <c r="D723" t="s">
        <v>43</v>
      </c>
      <c r="G723" t="s">
        <v>34</v>
      </c>
      <c r="H723" t="s">
        <v>18</v>
      </c>
      <c r="I723" t="s">
        <v>19</v>
      </c>
      <c r="J723" t="s">
        <v>20</v>
      </c>
      <c r="M723" t="s">
        <v>2710</v>
      </c>
      <c r="N723" t="s">
        <v>2710</v>
      </c>
      <c r="O723" t="s">
        <v>73</v>
      </c>
      <c r="P723" t="s">
        <v>81</v>
      </c>
      <c r="Q723" t="s">
        <v>119</v>
      </c>
      <c r="R723" t="s">
        <v>118</v>
      </c>
    </row>
    <row r="724" spans="1:18" x14ac:dyDescent="0.25">
      <c r="A724" t="s">
        <v>18962</v>
      </c>
      <c r="B724" t="s">
        <v>2747</v>
      </c>
      <c r="C724" t="str">
        <f>HYPERLINK("https://nematode.unl.edu/apkry37.jpg")</f>
        <v>https://nematode.unl.edu/apkry37.jpg</v>
      </c>
      <c r="D724" t="s">
        <v>43</v>
      </c>
      <c r="G724" t="s">
        <v>44</v>
      </c>
      <c r="I724" t="s">
        <v>45</v>
      </c>
      <c r="J724" t="s">
        <v>20</v>
      </c>
      <c r="L724" t="s">
        <v>141</v>
      </c>
      <c r="M724" t="s">
        <v>2710</v>
      </c>
      <c r="N724" t="s">
        <v>2710</v>
      </c>
      <c r="O724" t="s">
        <v>73</v>
      </c>
      <c r="P724" t="s">
        <v>81</v>
      </c>
      <c r="Q724" t="s">
        <v>119</v>
      </c>
      <c r="R724" t="s">
        <v>118</v>
      </c>
    </row>
    <row r="725" spans="1:18" x14ac:dyDescent="0.25">
      <c r="A725" t="s">
        <v>18963</v>
      </c>
      <c r="B725" t="s">
        <v>2748</v>
      </c>
      <c r="C725" t="str">
        <f>HYPERLINK("https://nematode.unl.edu/apkry38.jpg")</f>
        <v>https://nematode.unl.edu/apkry38.jpg</v>
      </c>
      <c r="D725" t="s">
        <v>43</v>
      </c>
      <c r="G725" t="s">
        <v>44</v>
      </c>
      <c r="I725" t="s">
        <v>45</v>
      </c>
      <c r="J725" t="s">
        <v>20</v>
      </c>
      <c r="L725" t="s">
        <v>141</v>
      </c>
      <c r="M725" t="s">
        <v>2710</v>
      </c>
      <c r="N725" t="s">
        <v>2710</v>
      </c>
      <c r="O725" t="s">
        <v>73</v>
      </c>
      <c r="P725" t="s">
        <v>81</v>
      </c>
      <c r="Q725" t="s">
        <v>119</v>
      </c>
      <c r="R725" t="s">
        <v>118</v>
      </c>
    </row>
    <row r="726" spans="1:18" x14ac:dyDescent="0.25">
      <c r="A726" t="s">
        <v>18931</v>
      </c>
      <c r="B726" t="s">
        <v>2749</v>
      </c>
      <c r="C726" t="str">
        <f>HYPERLINK("https://nematode.unl.edu/apkry39.jpg")</f>
        <v>https://nematode.unl.edu/apkry39.jpg</v>
      </c>
      <c r="D726" t="s">
        <v>43</v>
      </c>
      <c r="G726" t="s">
        <v>96</v>
      </c>
      <c r="H726" t="s">
        <v>18</v>
      </c>
      <c r="I726" t="s">
        <v>45</v>
      </c>
      <c r="J726" t="s">
        <v>20</v>
      </c>
      <c r="M726" t="s">
        <v>2710</v>
      </c>
      <c r="N726" t="s">
        <v>2710</v>
      </c>
      <c r="O726" t="s">
        <v>73</v>
      </c>
      <c r="P726" t="s">
        <v>81</v>
      </c>
      <c r="Q726" t="s">
        <v>119</v>
      </c>
      <c r="R726" t="s">
        <v>118</v>
      </c>
    </row>
    <row r="727" spans="1:18" x14ac:dyDescent="0.25">
      <c r="A727" t="s">
        <v>18999</v>
      </c>
      <c r="B727" t="s">
        <v>2750</v>
      </c>
      <c r="C727" t="str">
        <f>HYPERLINK("https://nematode.unl.edu/apkry4.jpg")</f>
        <v>https://nematode.unl.edu/apkry4.jpg</v>
      </c>
      <c r="D727" t="s">
        <v>43</v>
      </c>
      <c r="G727" t="s">
        <v>51</v>
      </c>
      <c r="I727" t="s">
        <v>45</v>
      </c>
      <c r="J727" t="s">
        <v>20</v>
      </c>
      <c r="L727" t="s">
        <v>64</v>
      </c>
      <c r="M727" t="s">
        <v>2710</v>
      </c>
      <c r="N727" t="s">
        <v>2710</v>
      </c>
      <c r="O727" t="s">
        <v>73</v>
      </c>
      <c r="P727" t="s">
        <v>81</v>
      </c>
      <c r="Q727" t="s">
        <v>119</v>
      </c>
      <c r="R727" t="s">
        <v>118</v>
      </c>
    </row>
    <row r="728" spans="1:18" x14ac:dyDescent="0.25">
      <c r="A728" t="s">
        <v>18971</v>
      </c>
      <c r="B728" t="s">
        <v>2751</v>
      </c>
      <c r="C728" t="str">
        <f>HYPERLINK("https://nematode.unl.edu/apkry40.jpg")</f>
        <v>https://nematode.unl.edu/apkry40.jpg</v>
      </c>
      <c r="D728" t="s">
        <v>43</v>
      </c>
      <c r="G728" t="s">
        <v>178</v>
      </c>
      <c r="I728" t="s">
        <v>45</v>
      </c>
      <c r="J728" t="s">
        <v>20</v>
      </c>
      <c r="M728" t="s">
        <v>2710</v>
      </c>
      <c r="N728" t="s">
        <v>2710</v>
      </c>
      <c r="O728" t="s">
        <v>73</v>
      </c>
      <c r="P728" t="s">
        <v>81</v>
      </c>
      <c r="Q728" t="s">
        <v>119</v>
      </c>
      <c r="R728" t="s">
        <v>118</v>
      </c>
    </row>
    <row r="729" spans="1:18" x14ac:dyDescent="0.25">
      <c r="A729" t="s">
        <v>18974</v>
      </c>
      <c r="B729" t="s">
        <v>2752</v>
      </c>
      <c r="C729" t="str">
        <f>HYPERLINK("https://nematode.unl.edu/apkry41.jpg")</f>
        <v>https://nematode.unl.edu/apkry41.jpg</v>
      </c>
      <c r="D729" t="s">
        <v>43</v>
      </c>
      <c r="G729" t="s">
        <v>181</v>
      </c>
      <c r="I729" t="s">
        <v>45</v>
      </c>
      <c r="J729" t="s">
        <v>20</v>
      </c>
      <c r="M729" t="s">
        <v>2710</v>
      </c>
      <c r="N729" t="s">
        <v>2710</v>
      </c>
      <c r="O729" t="s">
        <v>73</v>
      </c>
      <c r="P729" t="s">
        <v>81</v>
      </c>
      <c r="Q729" t="s">
        <v>119</v>
      </c>
      <c r="R729" t="s">
        <v>118</v>
      </c>
    </row>
    <row r="730" spans="1:18" x14ac:dyDescent="0.25">
      <c r="A730" t="s">
        <v>18984</v>
      </c>
      <c r="B730" t="s">
        <v>2753</v>
      </c>
      <c r="C730" t="str">
        <f>HYPERLINK("https://nematode.unl.edu/apkry42.jpg")</f>
        <v>https://nematode.unl.edu/apkry42.jpg</v>
      </c>
      <c r="D730" t="s">
        <v>16</v>
      </c>
      <c r="G730" t="s">
        <v>28</v>
      </c>
      <c r="I730" t="s">
        <v>19</v>
      </c>
      <c r="J730" t="s">
        <v>20</v>
      </c>
      <c r="L730" t="s">
        <v>141</v>
      </c>
      <c r="M730" t="s">
        <v>2710</v>
      </c>
      <c r="N730" t="s">
        <v>2710</v>
      </c>
      <c r="O730" t="s">
        <v>73</v>
      </c>
      <c r="P730" t="s">
        <v>81</v>
      </c>
      <c r="Q730" t="s">
        <v>119</v>
      </c>
      <c r="R730" t="s">
        <v>118</v>
      </c>
    </row>
    <row r="731" spans="1:18" x14ac:dyDescent="0.25">
      <c r="A731" t="s">
        <v>18964</v>
      </c>
      <c r="B731" t="s">
        <v>2754</v>
      </c>
      <c r="C731" t="str">
        <f>HYPERLINK("https://nematode.unl.edu/apkry43.jpg")</f>
        <v>https://nematode.unl.edu/apkry43.jpg</v>
      </c>
      <c r="D731" t="s">
        <v>43</v>
      </c>
      <c r="G731" t="s">
        <v>44</v>
      </c>
      <c r="I731" t="s">
        <v>45</v>
      </c>
      <c r="J731" t="s">
        <v>20</v>
      </c>
      <c r="L731" t="s">
        <v>173</v>
      </c>
      <c r="M731" t="s">
        <v>2710</v>
      </c>
      <c r="N731" t="s">
        <v>2710</v>
      </c>
      <c r="O731" t="s">
        <v>73</v>
      </c>
      <c r="P731" t="s">
        <v>81</v>
      </c>
      <c r="Q731" t="s">
        <v>119</v>
      </c>
      <c r="R731" t="s">
        <v>118</v>
      </c>
    </row>
    <row r="732" spans="1:18" x14ac:dyDescent="0.25">
      <c r="A732" t="s">
        <v>18942</v>
      </c>
      <c r="B732" t="s">
        <v>2755</v>
      </c>
      <c r="C732" t="str">
        <f>HYPERLINK("https://nematode.unl.edu/apkry44.jpg")</f>
        <v>https://nematode.unl.edu/apkry44.jpg</v>
      </c>
      <c r="D732" t="s">
        <v>43</v>
      </c>
      <c r="G732" t="s">
        <v>34</v>
      </c>
      <c r="H732" t="s">
        <v>18</v>
      </c>
      <c r="I732" t="s">
        <v>19</v>
      </c>
      <c r="J732" t="s">
        <v>20</v>
      </c>
      <c r="M732" t="s">
        <v>2710</v>
      </c>
      <c r="N732" t="s">
        <v>2710</v>
      </c>
      <c r="O732" t="s">
        <v>73</v>
      </c>
      <c r="P732" t="s">
        <v>81</v>
      </c>
      <c r="Q732" t="s">
        <v>119</v>
      </c>
      <c r="R732" t="s">
        <v>118</v>
      </c>
    </row>
    <row r="733" spans="1:18" x14ac:dyDescent="0.25">
      <c r="A733" t="s">
        <v>18954</v>
      </c>
      <c r="B733" t="s">
        <v>2756</v>
      </c>
      <c r="C733" t="str">
        <f>HYPERLINK("https://nematode.unl.edu/apkry45.jpg")</f>
        <v>https://nematode.unl.edu/apkry45.jpg</v>
      </c>
      <c r="D733" t="s">
        <v>43</v>
      </c>
      <c r="G733" t="s">
        <v>87</v>
      </c>
      <c r="I733" t="s">
        <v>19</v>
      </c>
      <c r="J733" t="s">
        <v>20</v>
      </c>
      <c r="L733" t="s">
        <v>85</v>
      </c>
      <c r="M733" t="s">
        <v>2710</v>
      </c>
      <c r="N733" t="s">
        <v>2710</v>
      </c>
      <c r="O733" t="s">
        <v>73</v>
      </c>
      <c r="P733" t="s">
        <v>81</v>
      </c>
      <c r="Q733" t="s">
        <v>119</v>
      </c>
      <c r="R733" t="s">
        <v>118</v>
      </c>
    </row>
    <row r="734" spans="1:18" x14ac:dyDescent="0.25">
      <c r="A734" t="s">
        <v>19000</v>
      </c>
      <c r="B734" t="s">
        <v>2757</v>
      </c>
      <c r="C734" t="str">
        <f>HYPERLINK("https://nematode.unl.edu/apkry46.jpg")</f>
        <v>https://nematode.unl.edu/apkry46.jpg</v>
      </c>
      <c r="D734" t="s">
        <v>43</v>
      </c>
      <c r="G734" t="s">
        <v>51</v>
      </c>
      <c r="I734" t="s">
        <v>19</v>
      </c>
      <c r="J734" t="s">
        <v>20</v>
      </c>
      <c r="L734" t="s">
        <v>85</v>
      </c>
      <c r="M734" t="s">
        <v>2710</v>
      </c>
      <c r="N734" t="s">
        <v>2710</v>
      </c>
      <c r="O734" t="s">
        <v>73</v>
      </c>
      <c r="P734" t="s">
        <v>81</v>
      </c>
      <c r="Q734" t="s">
        <v>119</v>
      </c>
      <c r="R734" t="s">
        <v>118</v>
      </c>
    </row>
    <row r="735" spans="1:18" x14ac:dyDescent="0.25">
      <c r="A735" t="s">
        <v>18985</v>
      </c>
      <c r="B735" t="s">
        <v>2758</v>
      </c>
      <c r="C735" t="str">
        <f>HYPERLINK("https://nematode.unl.edu/apkry47.jpg")</f>
        <v>https://nematode.unl.edu/apkry47.jpg</v>
      </c>
      <c r="D735" t="s">
        <v>43</v>
      </c>
      <c r="G735" t="s">
        <v>28</v>
      </c>
      <c r="I735" t="s">
        <v>19</v>
      </c>
      <c r="J735" t="s">
        <v>20</v>
      </c>
      <c r="M735" t="s">
        <v>2710</v>
      </c>
      <c r="N735" t="s">
        <v>2710</v>
      </c>
      <c r="O735" t="s">
        <v>73</v>
      </c>
      <c r="P735" t="s">
        <v>81</v>
      </c>
      <c r="Q735" t="s">
        <v>119</v>
      </c>
      <c r="R735" t="s">
        <v>118</v>
      </c>
    </row>
    <row r="736" spans="1:18" x14ac:dyDescent="0.25">
      <c r="A736" t="s">
        <v>18986</v>
      </c>
      <c r="B736" t="s">
        <v>2759</v>
      </c>
      <c r="C736" t="str">
        <f>HYPERLINK("https://nematode.unl.edu/apkry48.jpg")</f>
        <v>https://nematode.unl.edu/apkry48.jpg</v>
      </c>
      <c r="D736" t="s">
        <v>43</v>
      </c>
      <c r="G736" t="s">
        <v>28</v>
      </c>
      <c r="I736" t="s">
        <v>19</v>
      </c>
      <c r="J736" t="s">
        <v>20</v>
      </c>
      <c r="L736" t="s">
        <v>85</v>
      </c>
      <c r="M736" t="s">
        <v>2710</v>
      </c>
      <c r="N736" t="s">
        <v>2710</v>
      </c>
      <c r="O736" t="s">
        <v>73</v>
      </c>
      <c r="P736" t="s">
        <v>81</v>
      </c>
      <c r="Q736" t="s">
        <v>119</v>
      </c>
      <c r="R736" t="s">
        <v>118</v>
      </c>
    </row>
    <row r="737" spans="1:18" x14ac:dyDescent="0.25">
      <c r="A737" t="s">
        <v>18943</v>
      </c>
      <c r="B737" t="s">
        <v>2760</v>
      </c>
      <c r="C737" t="str">
        <f>HYPERLINK("https://nematode.unl.edu/apkry49.jpg")</f>
        <v>https://nematode.unl.edu/apkry49.jpg</v>
      </c>
      <c r="D737" t="s">
        <v>43</v>
      </c>
      <c r="G737" t="s">
        <v>34</v>
      </c>
      <c r="H737" t="s">
        <v>18</v>
      </c>
      <c r="I737" t="s">
        <v>19</v>
      </c>
      <c r="J737" t="s">
        <v>20</v>
      </c>
      <c r="M737" t="s">
        <v>2710</v>
      </c>
      <c r="N737" t="s">
        <v>2710</v>
      </c>
      <c r="O737" t="s">
        <v>73</v>
      </c>
      <c r="P737" t="s">
        <v>81</v>
      </c>
      <c r="Q737" t="s">
        <v>119</v>
      </c>
      <c r="R737" t="s">
        <v>118</v>
      </c>
    </row>
    <row r="738" spans="1:18" x14ac:dyDescent="0.25">
      <c r="A738" t="s">
        <v>18944</v>
      </c>
      <c r="B738" t="s">
        <v>2761</v>
      </c>
      <c r="C738" t="str">
        <f>HYPERLINK("https://nematode.unl.edu/apkry5.jpg")</f>
        <v>https://nematode.unl.edu/apkry5.jpg</v>
      </c>
      <c r="D738" t="s">
        <v>43</v>
      </c>
      <c r="G738" t="s">
        <v>34</v>
      </c>
      <c r="H738" t="s">
        <v>18</v>
      </c>
      <c r="I738" t="s">
        <v>19</v>
      </c>
      <c r="J738" t="s">
        <v>20</v>
      </c>
      <c r="L738" t="s">
        <v>64</v>
      </c>
      <c r="M738" t="s">
        <v>2710</v>
      </c>
      <c r="N738" t="s">
        <v>2710</v>
      </c>
      <c r="O738" t="s">
        <v>73</v>
      </c>
      <c r="P738" t="s">
        <v>81</v>
      </c>
      <c r="Q738" t="s">
        <v>119</v>
      </c>
      <c r="R738" t="s">
        <v>118</v>
      </c>
    </row>
    <row r="739" spans="1:18" x14ac:dyDescent="0.25">
      <c r="A739" t="s">
        <v>18955</v>
      </c>
      <c r="B739" t="s">
        <v>2762</v>
      </c>
      <c r="C739" t="str">
        <f>HYPERLINK("https://nematode.unl.edu/apkry50.jpg")</f>
        <v>https://nematode.unl.edu/apkry50.jpg</v>
      </c>
      <c r="D739" t="s">
        <v>16</v>
      </c>
      <c r="G739" t="s">
        <v>87</v>
      </c>
      <c r="I739" t="s">
        <v>19</v>
      </c>
      <c r="J739" t="s">
        <v>20</v>
      </c>
      <c r="L739" t="s">
        <v>193</v>
      </c>
      <c r="M739" t="s">
        <v>2710</v>
      </c>
      <c r="N739" t="s">
        <v>2710</v>
      </c>
      <c r="O739" t="s">
        <v>73</v>
      </c>
      <c r="P739" t="s">
        <v>81</v>
      </c>
      <c r="Q739" t="s">
        <v>119</v>
      </c>
      <c r="R739" t="s">
        <v>118</v>
      </c>
    </row>
    <row r="740" spans="1:18" x14ac:dyDescent="0.25">
      <c r="A740" t="s">
        <v>18945</v>
      </c>
      <c r="B740" t="s">
        <v>2763</v>
      </c>
      <c r="C740" t="str">
        <f>HYPERLINK("https://nematode.unl.edu/apkry51.jpg")</f>
        <v>https://nematode.unl.edu/apkry51.jpg</v>
      </c>
      <c r="D740" t="s">
        <v>16</v>
      </c>
      <c r="G740" t="s">
        <v>34</v>
      </c>
      <c r="H740" t="s">
        <v>18</v>
      </c>
      <c r="I740" t="s">
        <v>19</v>
      </c>
      <c r="J740" t="s">
        <v>20</v>
      </c>
      <c r="L740" t="s">
        <v>193</v>
      </c>
      <c r="M740" t="s">
        <v>2710</v>
      </c>
      <c r="N740" t="s">
        <v>2710</v>
      </c>
      <c r="O740" t="s">
        <v>73</v>
      </c>
      <c r="P740" t="s">
        <v>81</v>
      </c>
      <c r="Q740" t="s">
        <v>119</v>
      </c>
      <c r="R740" t="s">
        <v>118</v>
      </c>
    </row>
    <row r="741" spans="1:18" x14ac:dyDescent="0.25">
      <c r="A741" t="s">
        <v>18987</v>
      </c>
      <c r="B741" t="s">
        <v>2764</v>
      </c>
      <c r="C741" t="str">
        <f>HYPERLINK("https://nematode.unl.edu/apkry52.jpg")</f>
        <v>https://nematode.unl.edu/apkry52.jpg</v>
      </c>
      <c r="D741" t="s">
        <v>16</v>
      </c>
      <c r="G741" t="s">
        <v>28</v>
      </c>
      <c r="I741" t="s">
        <v>19</v>
      </c>
      <c r="J741" t="s">
        <v>20</v>
      </c>
      <c r="M741" t="s">
        <v>2710</v>
      </c>
      <c r="N741" t="s">
        <v>2710</v>
      </c>
      <c r="O741" t="s">
        <v>73</v>
      </c>
      <c r="P741" t="s">
        <v>81</v>
      </c>
      <c r="Q741" t="s">
        <v>119</v>
      </c>
      <c r="R741" t="s">
        <v>118</v>
      </c>
    </row>
    <row r="742" spans="1:18" x14ac:dyDescent="0.25">
      <c r="A742" t="s">
        <v>18946</v>
      </c>
      <c r="B742" t="s">
        <v>2765</v>
      </c>
      <c r="C742" t="str">
        <f>HYPERLINK("https://nematode.unl.edu/apkry53.jpg")</f>
        <v>https://nematode.unl.edu/apkry53.jpg</v>
      </c>
      <c r="D742" t="s">
        <v>16</v>
      </c>
      <c r="G742" t="s">
        <v>34</v>
      </c>
      <c r="H742" t="s">
        <v>18</v>
      </c>
      <c r="I742" t="s">
        <v>19</v>
      </c>
      <c r="J742" t="s">
        <v>20</v>
      </c>
      <c r="L742" t="s">
        <v>193</v>
      </c>
      <c r="M742" t="s">
        <v>2710</v>
      </c>
      <c r="N742" t="s">
        <v>2710</v>
      </c>
      <c r="O742" t="s">
        <v>73</v>
      </c>
      <c r="P742" t="s">
        <v>81</v>
      </c>
      <c r="Q742" t="s">
        <v>119</v>
      </c>
      <c r="R742" t="s">
        <v>118</v>
      </c>
    </row>
    <row r="743" spans="1:18" x14ac:dyDescent="0.25">
      <c r="A743" t="s">
        <v>18988</v>
      </c>
      <c r="B743" t="s">
        <v>2766</v>
      </c>
      <c r="C743" t="str">
        <f>HYPERLINK("https://nematode.unl.edu/apkry54.jpg")</f>
        <v>https://nematode.unl.edu/apkry54.jpg</v>
      </c>
      <c r="D743" t="s">
        <v>16</v>
      </c>
      <c r="G743" t="s">
        <v>28</v>
      </c>
      <c r="I743" t="s">
        <v>19</v>
      </c>
      <c r="J743" t="s">
        <v>20</v>
      </c>
      <c r="L743" t="s">
        <v>141</v>
      </c>
      <c r="M743" t="s">
        <v>2710</v>
      </c>
      <c r="N743" t="s">
        <v>2710</v>
      </c>
      <c r="O743" t="s">
        <v>73</v>
      </c>
      <c r="P743" t="s">
        <v>81</v>
      </c>
      <c r="Q743" t="s">
        <v>119</v>
      </c>
      <c r="R743" t="s">
        <v>118</v>
      </c>
    </row>
    <row r="744" spans="1:18" x14ac:dyDescent="0.25">
      <c r="A744" t="s">
        <v>18965</v>
      </c>
      <c r="B744" t="s">
        <v>2767</v>
      </c>
      <c r="C744" t="str">
        <f>HYPERLINK("https://nematode.unl.edu/apkry55.jpg")</f>
        <v>https://nematode.unl.edu/apkry55.jpg</v>
      </c>
      <c r="D744" t="s">
        <v>16</v>
      </c>
      <c r="G744" t="s">
        <v>44</v>
      </c>
      <c r="I744" t="s">
        <v>45</v>
      </c>
      <c r="J744" t="s">
        <v>20</v>
      </c>
      <c r="M744" t="s">
        <v>2710</v>
      </c>
      <c r="N744" t="s">
        <v>2710</v>
      </c>
      <c r="O744" t="s">
        <v>73</v>
      </c>
      <c r="P744" t="s">
        <v>81</v>
      </c>
      <c r="Q744" t="s">
        <v>119</v>
      </c>
      <c r="R744" t="s">
        <v>118</v>
      </c>
    </row>
    <row r="745" spans="1:18" x14ac:dyDescent="0.25">
      <c r="A745" t="s">
        <v>18989</v>
      </c>
      <c r="B745" t="s">
        <v>2768</v>
      </c>
      <c r="C745" t="str">
        <f>HYPERLINK("https://nematode.unl.edu/apkry56.jpg")</f>
        <v>https://nematode.unl.edu/apkry56.jpg</v>
      </c>
      <c r="D745" t="s">
        <v>16</v>
      </c>
      <c r="G745" t="s">
        <v>28</v>
      </c>
      <c r="I745" t="s">
        <v>19</v>
      </c>
      <c r="J745" t="s">
        <v>20</v>
      </c>
      <c r="L745" t="s">
        <v>193</v>
      </c>
      <c r="M745" t="s">
        <v>2710</v>
      </c>
      <c r="N745" t="s">
        <v>2710</v>
      </c>
      <c r="O745" t="s">
        <v>73</v>
      </c>
      <c r="P745" t="s">
        <v>81</v>
      </c>
      <c r="Q745" t="s">
        <v>119</v>
      </c>
      <c r="R745" t="s">
        <v>118</v>
      </c>
    </row>
    <row r="746" spans="1:18" x14ac:dyDescent="0.25">
      <c r="A746" t="s">
        <v>18947</v>
      </c>
      <c r="B746" t="s">
        <v>2769</v>
      </c>
      <c r="C746" t="str">
        <f>HYPERLINK("https://nematode.unl.edu/apkry57.jpg")</f>
        <v>https://nematode.unl.edu/apkry57.jpg</v>
      </c>
      <c r="D746" t="s">
        <v>16</v>
      </c>
      <c r="G746" t="s">
        <v>34</v>
      </c>
      <c r="H746" t="s">
        <v>18</v>
      </c>
      <c r="I746" t="s">
        <v>19</v>
      </c>
      <c r="J746" t="s">
        <v>20</v>
      </c>
      <c r="M746" t="s">
        <v>2710</v>
      </c>
      <c r="N746" t="s">
        <v>2710</v>
      </c>
      <c r="O746" t="s">
        <v>73</v>
      </c>
      <c r="P746" t="s">
        <v>81</v>
      </c>
      <c r="Q746" t="s">
        <v>119</v>
      </c>
      <c r="R746" t="s">
        <v>118</v>
      </c>
    </row>
    <row r="747" spans="1:18" x14ac:dyDescent="0.25">
      <c r="A747" t="s">
        <v>18966</v>
      </c>
      <c r="B747" t="s">
        <v>2770</v>
      </c>
      <c r="C747" t="str">
        <f>HYPERLINK("https://nematode.unl.edu/apkry58.jpg")</f>
        <v>https://nematode.unl.edu/apkry58.jpg</v>
      </c>
      <c r="D747" t="s">
        <v>16</v>
      </c>
      <c r="G747" t="s">
        <v>44</v>
      </c>
      <c r="I747" t="s">
        <v>91</v>
      </c>
      <c r="J747" t="s">
        <v>20</v>
      </c>
      <c r="M747" t="s">
        <v>2710</v>
      </c>
      <c r="N747" t="s">
        <v>2710</v>
      </c>
      <c r="O747" t="s">
        <v>73</v>
      </c>
      <c r="P747" t="s">
        <v>81</v>
      </c>
      <c r="Q747" t="s">
        <v>119</v>
      </c>
      <c r="R747" t="s">
        <v>118</v>
      </c>
    </row>
    <row r="748" spans="1:18" x14ac:dyDescent="0.25">
      <c r="A748" t="s">
        <v>18948</v>
      </c>
      <c r="B748" t="s">
        <v>2771</v>
      </c>
      <c r="C748" t="str">
        <f>HYPERLINK("https://nematode.unl.edu/apkry59.jpg")</f>
        <v>https://nematode.unl.edu/apkry59.jpg</v>
      </c>
      <c r="D748" t="s">
        <v>16</v>
      </c>
      <c r="G748" t="s">
        <v>34</v>
      </c>
      <c r="H748" t="s">
        <v>18</v>
      </c>
      <c r="I748" t="s">
        <v>19</v>
      </c>
      <c r="J748" t="s">
        <v>20</v>
      </c>
      <c r="M748" t="s">
        <v>2710</v>
      </c>
      <c r="N748" t="s">
        <v>2710</v>
      </c>
      <c r="O748" t="s">
        <v>73</v>
      </c>
      <c r="P748" t="s">
        <v>81</v>
      </c>
      <c r="Q748" t="s">
        <v>119</v>
      </c>
      <c r="R748" t="s">
        <v>118</v>
      </c>
    </row>
    <row r="749" spans="1:18" x14ac:dyDescent="0.25">
      <c r="A749" t="s">
        <v>18990</v>
      </c>
      <c r="B749" t="s">
        <v>2772</v>
      </c>
      <c r="C749" t="str">
        <f>HYPERLINK("https://nematode.unl.edu/apkry6.jpg")</f>
        <v>https://nematode.unl.edu/apkry6.jpg</v>
      </c>
      <c r="D749" t="s">
        <v>43</v>
      </c>
      <c r="G749" t="s">
        <v>28</v>
      </c>
      <c r="I749" t="s">
        <v>45</v>
      </c>
      <c r="J749" t="s">
        <v>20</v>
      </c>
      <c r="M749" t="s">
        <v>2710</v>
      </c>
      <c r="N749" t="s">
        <v>2710</v>
      </c>
      <c r="O749" t="s">
        <v>73</v>
      </c>
      <c r="P749" t="s">
        <v>81</v>
      </c>
      <c r="Q749" t="s">
        <v>119</v>
      </c>
      <c r="R749" t="s">
        <v>118</v>
      </c>
    </row>
    <row r="750" spans="1:18" x14ac:dyDescent="0.25">
      <c r="A750" t="s">
        <v>18991</v>
      </c>
      <c r="B750" t="s">
        <v>2773</v>
      </c>
      <c r="C750" t="str">
        <f>HYPERLINK("https://nematode.unl.edu/apkry60.jpg")</f>
        <v>https://nematode.unl.edu/apkry60.jpg</v>
      </c>
      <c r="D750" t="s">
        <v>16</v>
      </c>
      <c r="G750" t="s">
        <v>28</v>
      </c>
      <c r="I750" t="s">
        <v>45</v>
      </c>
      <c r="J750" t="s">
        <v>20</v>
      </c>
      <c r="L750" t="s">
        <v>85</v>
      </c>
      <c r="M750" t="s">
        <v>2710</v>
      </c>
      <c r="N750" t="s">
        <v>2710</v>
      </c>
      <c r="O750" t="s">
        <v>73</v>
      </c>
      <c r="P750" t="s">
        <v>81</v>
      </c>
      <c r="Q750" t="s">
        <v>119</v>
      </c>
      <c r="R750" t="s">
        <v>118</v>
      </c>
    </row>
    <row r="751" spans="1:18" x14ac:dyDescent="0.25">
      <c r="A751" t="s">
        <v>18992</v>
      </c>
      <c r="B751" t="s">
        <v>2774</v>
      </c>
      <c r="C751" t="str">
        <f>HYPERLINK("https://nematode.unl.edu/apkry61.jpg")</f>
        <v>https://nematode.unl.edu/apkry61.jpg</v>
      </c>
      <c r="D751" t="s">
        <v>43</v>
      </c>
      <c r="G751" t="s">
        <v>28</v>
      </c>
      <c r="I751" t="s">
        <v>19</v>
      </c>
      <c r="J751" t="s">
        <v>20</v>
      </c>
      <c r="L751" t="s">
        <v>85</v>
      </c>
      <c r="M751" t="s">
        <v>2710</v>
      </c>
      <c r="N751" t="s">
        <v>2710</v>
      </c>
      <c r="O751" t="s">
        <v>73</v>
      </c>
      <c r="P751" t="s">
        <v>81</v>
      </c>
      <c r="Q751" t="s">
        <v>119</v>
      </c>
      <c r="R751" t="s">
        <v>118</v>
      </c>
    </row>
    <row r="752" spans="1:18" x14ac:dyDescent="0.25">
      <c r="A752" t="s">
        <v>19001</v>
      </c>
      <c r="B752" t="s">
        <v>2775</v>
      </c>
      <c r="C752" t="str">
        <f>HYPERLINK("https://nematode.unl.edu/apkry62.jpg")</f>
        <v>https://nematode.unl.edu/apkry62.jpg</v>
      </c>
      <c r="D752" t="s">
        <v>43</v>
      </c>
      <c r="G752" t="s">
        <v>51</v>
      </c>
      <c r="I752" t="s">
        <v>19</v>
      </c>
      <c r="J752" t="s">
        <v>20</v>
      </c>
      <c r="M752" t="s">
        <v>2710</v>
      </c>
      <c r="N752" t="s">
        <v>2710</v>
      </c>
      <c r="O752" t="s">
        <v>73</v>
      </c>
      <c r="P752" t="s">
        <v>81</v>
      </c>
      <c r="Q752" t="s">
        <v>119</v>
      </c>
      <c r="R752" t="s">
        <v>118</v>
      </c>
    </row>
    <row r="753" spans="1:18" x14ac:dyDescent="0.25">
      <c r="A753" t="s">
        <v>18956</v>
      </c>
      <c r="B753" t="s">
        <v>2776</v>
      </c>
      <c r="C753" t="str">
        <f>HYPERLINK("https://nematode.unl.edu/apkry63.jpg")</f>
        <v>https://nematode.unl.edu/apkry63.jpg</v>
      </c>
      <c r="D753" t="s">
        <v>43</v>
      </c>
      <c r="G753" t="s">
        <v>87</v>
      </c>
      <c r="I753" t="s">
        <v>19</v>
      </c>
      <c r="J753" t="s">
        <v>20</v>
      </c>
      <c r="M753" t="s">
        <v>2710</v>
      </c>
      <c r="N753" t="s">
        <v>2710</v>
      </c>
      <c r="O753" t="s">
        <v>73</v>
      </c>
      <c r="P753" t="s">
        <v>81</v>
      </c>
      <c r="Q753" t="s">
        <v>119</v>
      </c>
      <c r="R753" t="s">
        <v>118</v>
      </c>
    </row>
    <row r="754" spans="1:18" x14ac:dyDescent="0.25">
      <c r="A754" t="s">
        <v>18949</v>
      </c>
      <c r="B754" t="s">
        <v>2777</v>
      </c>
      <c r="C754" t="str">
        <f>HYPERLINK("https://nematode.unl.edu/apkry7.jpg")</f>
        <v>https://nematode.unl.edu/apkry7.jpg</v>
      </c>
      <c r="D754" t="s">
        <v>43</v>
      </c>
      <c r="G754" t="s">
        <v>34</v>
      </c>
      <c r="H754" t="s">
        <v>18</v>
      </c>
      <c r="I754" t="s">
        <v>45</v>
      </c>
      <c r="J754" t="s">
        <v>20</v>
      </c>
      <c r="L754" t="s">
        <v>64</v>
      </c>
      <c r="M754" t="s">
        <v>2710</v>
      </c>
      <c r="N754" t="s">
        <v>2710</v>
      </c>
      <c r="O754" t="s">
        <v>73</v>
      </c>
      <c r="P754" t="s">
        <v>81</v>
      </c>
      <c r="Q754" t="s">
        <v>119</v>
      </c>
      <c r="R754" t="s">
        <v>118</v>
      </c>
    </row>
    <row r="755" spans="1:18" x14ac:dyDescent="0.25">
      <c r="A755" t="s">
        <v>18967</v>
      </c>
      <c r="B755" t="s">
        <v>2778</v>
      </c>
      <c r="C755" t="str">
        <f>HYPERLINK("https://nematode.unl.edu/apkry8.jpg")</f>
        <v>https://nematode.unl.edu/apkry8.jpg</v>
      </c>
      <c r="D755" t="s">
        <v>43</v>
      </c>
      <c r="G755" t="s">
        <v>44</v>
      </c>
      <c r="I755" t="s">
        <v>91</v>
      </c>
      <c r="J755" t="s">
        <v>20</v>
      </c>
      <c r="L755" t="s">
        <v>64</v>
      </c>
      <c r="M755" t="s">
        <v>2710</v>
      </c>
      <c r="N755" t="s">
        <v>2710</v>
      </c>
      <c r="O755" t="s">
        <v>73</v>
      </c>
      <c r="P755" t="s">
        <v>81</v>
      </c>
      <c r="Q755" t="s">
        <v>119</v>
      </c>
      <c r="R755" t="s">
        <v>118</v>
      </c>
    </row>
    <row r="756" spans="1:18" x14ac:dyDescent="0.25">
      <c r="A756" t="s">
        <v>18968</v>
      </c>
      <c r="B756" t="s">
        <v>2779</v>
      </c>
      <c r="C756" t="str">
        <f>HYPERLINK("https://nematode.unl.edu/apkry9.jpg")</f>
        <v>https://nematode.unl.edu/apkry9.jpg</v>
      </c>
      <c r="D756" t="s">
        <v>43</v>
      </c>
      <c r="G756" t="s">
        <v>44</v>
      </c>
      <c r="I756" t="s">
        <v>45</v>
      </c>
      <c r="J756" t="s">
        <v>20</v>
      </c>
      <c r="L756" t="s">
        <v>141</v>
      </c>
      <c r="M756" t="s">
        <v>2710</v>
      </c>
      <c r="N756" t="s">
        <v>2710</v>
      </c>
      <c r="O756" t="s">
        <v>73</v>
      </c>
      <c r="P756" t="s">
        <v>81</v>
      </c>
      <c r="Q756" t="s">
        <v>119</v>
      </c>
      <c r="R756" t="s">
        <v>118</v>
      </c>
    </row>
    <row r="757" spans="1:18" x14ac:dyDescent="0.25">
      <c r="A757" t="s">
        <v>19159</v>
      </c>
      <c r="B757" t="s">
        <v>2784</v>
      </c>
      <c r="C757" t="str">
        <f>HYPERLINK("https://nematode.unl.edu/aplac1.jpg")</f>
        <v>https://nematode.unl.edu/aplac1.jpg</v>
      </c>
      <c r="D757" t="s">
        <v>43</v>
      </c>
      <c r="G757" t="s">
        <v>44</v>
      </c>
      <c r="I757" t="s">
        <v>45</v>
      </c>
      <c r="J757" t="s">
        <v>46</v>
      </c>
      <c r="L757" t="s">
        <v>105</v>
      </c>
      <c r="M757" t="s">
        <v>2785</v>
      </c>
      <c r="N757" t="s">
        <v>2785</v>
      </c>
      <c r="O757" t="s">
        <v>73</v>
      </c>
      <c r="P757" t="s">
        <v>81</v>
      </c>
      <c r="Q757" t="s">
        <v>119</v>
      </c>
      <c r="R757" t="s">
        <v>118</v>
      </c>
    </row>
    <row r="758" spans="1:18" x14ac:dyDescent="0.25">
      <c r="A758" t="s">
        <v>19147</v>
      </c>
      <c r="B758" t="s">
        <v>2786</v>
      </c>
      <c r="C758" t="str">
        <f>HYPERLINK("https://nematode.unl.edu/aplac2.jpg")</f>
        <v>https://nematode.unl.edu/aplac2.jpg</v>
      </c>
      <c r="D758" t="s">
        <v>16</v>
      </c>
      <c r="G758" t="s">
        <v>34</v>
      </c>
      <c r="H758" t="s">
        <v>18</v>
      </c>
      <c r="I758" t="s">
        <v>19</v>
      </c>
      <c r="J758" t="s">
        <v>46</v>
      </c>
      <c r="L758" t="s">
        <v>105</v>
      </c>
      <c r="M758" t="s">
        <v>2785</v>
      </c>
      <c r="N758" t="s">
        <v>2785</v>
      </c>
      <c r="O758" t="s">
        <v>73</v>
      </c>
      <c r="P758" t="s">
        <v>81</v>
      </c>
      <c r="Q758" t="s">
        <v>119</v>
      </c>
      <c r="R758" t="s">
        <v>118</v>
      </c>
    </row>
    <row r="759" spans="1:18" x14ac:dyDescent="0.25">
      <c r="A759" t="s">
        <v>19156</v>
      </c>
      <c r="B759" t="s">
        <v>2787</v>
      </c>
      <c r="C759" t="str">
        <f>HYPERLINK("https://nematode.unl.edu/aplac3.jpg")</f>
        <v>https://nematode.unl.edu/aplac3.jpg</v>
      </c>
      <c r="D759" t="s">
        <v>16</v>
      </c>
      <c r="G759" t="s">
        <v>87</v>
      </c>
      <c r="I759" t="s">
        <v>19</v>
      </c>
      <c r="J759" t="s">
        <v>46</v>
      </c>
      <c r="L759" t="s">
        <v>105</v>
      </c>
      <c r="M759" t="s">
        <v>2785</v>
      </c>
      <c r="N759" t="s">
        <v>2785</v>
      </c>
      <c r="O759" t="s">
        <v>73</v>
      </c>
      <c r="P759" t="s">
        <v>81</v>
      </c>
      <c r="Q759" t="s">
        <v>119</v>
      </c>
      <c r="R759" t="s">
        <v>118</v>
      </c>
    </row>
    <row r="760" spans="1:18" x14ac:dyDescent="0.25">
      <c r="A760" t="s">
        <v>19161</v>
      </c>
      <c r="B760" t="s">
        <v>2788</v>
      </c>
      <c r="C760" t="str">
        <f>HYPERLINK("https://nematode.unl.edu/aplac4.jpg")</f>
        <v>https://nematode.unl.edu/aplac4.jpg</v>
      </c>
      <c r="D760" t="s">
        <v>16</v>
      </c>
      <c r="G760" t="s">
        <v>28</v>
      </c>
      <c r="I760" t="s">
        <v>19</v>
      </c>
      <c r="J760" t="s">
        <v>46</v>
      </c>
      <c r="L760" t="s">
        <v>105</v>
      </c>
      <c r="M760" t="s">
        <v>2785</v>
      </c>
      <c r="N760" t="s">
        <v>2785</v>
      </c>
      <c r="O760" t="s">
        <v>73</v>
      </c>
      <c r="P760" t="s">
        <v>81</v>
      </c>
      <c r="Q760" t="s">
        <v>119</v>
      </c>
      <c r="R760" t="s">
        <v>118</v>
      </c>
    </row>
    <row r="761" spans="1:18" x14ac:dyDescent="0.25">
      <c r="A761" t="s">
        <v>19068</v>
      </c>
      <c r="B761" t="s">
        <v>232</v>
      </c>
      <c r="C761" t="str">
        <f>HYPERLINK("https://nematode.unl.edu/apob1.jpg")</f>
        <v>https://nematode.unl.edu/apob1.jpg</v>
      </c>
      <c r="D761" t="s">
        <v>77</v>
      </c>
      <c r="G761" t="s">
        <v>34</v>
      </c>
      <c r="H761" t="s">
        <v>18</v>
      </c>
      <c r="I761" t="s">
        <v>19</v>
      </c>
      <c r="J761" t="s">
        <v>20</v>
      </c>
      <c r="L761" t="s">
        <v>64</v>
      </c>
      <c r="M761" t="s">
        <v>233</v>
      </c>
      <c r="N761" t="s">
        <v>135</v>
      </c>
      <c r="O761" t="s">
        <v>73</v>
      </c>
      <c r="P761" t="s">
        <v>81</v>
      </c>
      <c r="Q761" t="s">
        <v>119</v>
      </c>
      <c r="R761" t="s">
        <v>118</v>
      </c>
    </row>
    <row r="762" spans="1:18" x14ac:dyDescent="0.25">
      <c r="A762" t="s">
        <v>19069</v>
      </c>
      <c r="B762" t="s">
        <v>234</v>
      </c>
      <c r="C762" t="str">
        <f>HYPERLINK("https://nematode.unl.edu/apob10.jpg")</f>
        <v>https://nematode.unl.edu/apob10.jpg</v>
      </c>
      <c r="D762" t="s">
        <v>16</v>
      </c>
      <c r="G762" t="s">
        <v>34</v>
      </c>
      <c r="H762" t="s">
        <v>18</v>
      </c>
      <c r="I762" t="s">
        <v>19</v>
      </c>
      <c r="J762" t="s">
        <v>20</v>
      </c>
      <c r="M762" t="s">
        <v>233</v>
      </c>
      <c r="N762" t="s">
        <v>135</v>
      </c>
      <c r="O762" t="s">
        <v>73</v>
      </c>
      <c r="P762" t="s">
        <v>81</v>
      </c>
      <c r="Q762" t="s">
        <v>119</v>
      </c>
      <c r="R762" t="s">
        <v>118</v>
      </c>
    </row>
    <row r="763" spans="1:18" x14ac:dyDescent="0.25">
      <c r="A763" t="s">
        <v>19091</v>
      </c>
      <c r="B763" t="s">
        <v>235</v>
      </c>
      <c r="C763" t="str">
        <f>HYPERLINK("https://nematode.unl.edu/apob11.jpg")</f>
        <v>https://nematode.unl.edu/apob11.jpg</v>
      </c>
      <c r="D763" t="s">
        <v>16</v>
      </c>
      <c r="G763" t="s">
        <v>44</v>
      </c>
      <c r="I763" t="s">
        <v>91</v>
      </c>
      <c r="J763" t="s">
        <v>20</v>
      </c>
      <c r="L763" t="s">
        <v>85</v>
      </c>
      <c r="M763" t="s">
        <v>233</v>
      </c>
      <c r="N763" t="s">
        <v>135</v>
      </c>
      <c r="O763" t="s">
        <v>73</v>
      </c>
      <c r="P763" t="s">
        <v>81</v>
      </c>
      <c r="Q763" t="s">
        <v>119</v>
      </c>
      <c r="R763" t="s">
        <v>118</v>
      </c>
    </row>
    <row r="764" spans="1:18" x14ac:dyDescent="0.25">
      <c r="A764" t="s">
        <v>19070</v>
      </c>
      <c r="B764" t="s">
        <v>236</v>
      </c>
      <c r="C764" t="str">
        <f>HYPERLINK("https://nematode.unl.edu/apob12.jpg")</f>
        <v>https://nematode.unl.edu/apob12.jpg</v>
      </c>
      <c r="D764" t="s">
        <v>16</v>
      </c>
      <c r="G764" t="s">
        <v>34</v>
      </c>
      <c r="H764" t="s">
        <v>18</v>
      </c>
      <c r="I764" t="s">
        <v>19</v>
      </c>
      <c r="J764" t="s">
        <v>20</v>
      </c>
      <c r="M764" t="s">
        <v>233</v>
      </c>
      <c r="N764" t="s">
        <v>135</v>
      </c>
      <c r="O764" t="s">
        <v>73</v>
      </c>
      <c r="P764" t="s">
        <v>81</v>
      </c>
      <c r="Q764" t="s">
        <v>119</v>
      </c>
      <c r="R764" t="s">
        <v>118</v>
      </c>
    </row>
    <row r="765" spans="1:18" x14ac:dyDescent="0.25">
      <c r="A765" t="s">
        <v>19109</v>
      </c>
      <c r="B765" t="s">
        <v>237</v>
      </c>
      <c r="C765" t="str">
        <f>HYPERLINK("https://nematode.unl.edu/apob13.jpg")</f>
        <v>https://nematode.unl.edu/apob13.jpg</v>
      </c>
      <c r="D765" t="s">
        <v>16</v>
      </c>
      <c r="G765" t="s">
        <v>28</v>
      </c>
      <c r="I765" t="s">
        <v>45</v>
      </c>
      <c r="J765" t="s">
        <v>20</v>
      </c>
      <c r="M765" t="s">
        <v>233</v>
      </c>
      <c r="N765" t="s">
        <v>135</v>
      </c>
      <c r="O765" t="s">
        <v>73</v>
      </c>
      <c r="P765" t="s">
        <v>81</v>
      </c>
      <c r="Q765" t="s">
        <v>119</v>
      </c>
      <c r="R765" t="s">
        <v>118</v>
      </c>
    </row>
    <row r="766" spans="1:18" x14ac:dyDescent="0.25">
      <c r="A766" t="s">
        <v>19071</v>
      </c>
      <c r="B766" t="s">
        <v>238</v>
      </c>
      <c r="C766" t="str">
        <f>HYPERLINK("https://nematode.unl.edu/apob14.jpg")</f>
        <v>https://nematode.unl.edu/apob14.jpg</v>
      </c>
      <c r="D766" t="s">
        <v>16</v>
      </c>
      <c r="G766" t="s">
        <v>34</v>
      </c>
      <c r="H766" t="s">
        <v>18</v>
      </c>
      <c r="I766" t="s">
        <v>45</v>
      </c>
      <c r="J766" t="s">
        <v>20</v>
      </c>
      <c r="M766" t="s">
        <v>233</v>
      </c>
      <c r="N766" t="s">
        <v>135</v>
      </c>
      <c r="O766" t="s">
        <v>73</v>
      </c>
      <c r="P766" t="s">
        <v>81</v>
      </c>
      <c r="Q766" t="s">
        <v>119</v>
      </c>
      <c r="R766" t="s">
        <v>118</v>
      </c>
    </row>
    <row r="767" spans="1:18" x14ac:dyDescent="0.25">
      <c r="A767" t="s">
        <v>19092</v>
      </c>
      <c r="B767" t="s">
        <v>239</v>
      </c>
      <c r="C767" t="str">
        <f>HYPERLINK("https://nematode.unl.edu/apob15.jpg")</f>
        <v>https://nematode.unl.edu/apob15.jpg</v>
      </c>
      <c r="D767" t="s">
        <v>16</v>
      </c>
      <c r="G767" t="s">
        <v>44</v>
      </c>
      <c r="I767" t="s">
        <v>91</v>
      </c>
      <c r="J767" t="s">
        <v>20</v>
      </c>
      <c r="M767" t="s">
        <v>233</v>
      </c>
      <c r="N767" t="s">
        <v>135</v>
      </c>
      <c r="O767" t="s">
        <v>73</v>
      </c>
      <c r="P767" t="s">
        <v>81</v>
      </c>
      <c r="Q767" t="s">
        <v>119</v>
      </c>
      <c r="R767" t="s">
        <v>118</v>
      </c>
    </row>
    <row r="768" spans="1:18" x14ac:dyDescent="0.25">
      <c r="A768" t="s">
        <v>19072</v>
      </c>
      <c r="B768" t="s">
        <v>240</v>
      </c>
      <c r="C768" t="str">
        <f>HYPERLINK("https://nematode.unl.edu/apob16.jpg")</f>
        <v>https://nematode.unl.edu/apob16.jpg</v>
      </c>
      <c r="D768" t="s">
        <v>16</v>
      </c>
      <c r="G768" t="s">
        <v>34</v>
      </c>
      <c r="H768" t="s">
        <v>18</v>
      </c>
      <c r="I768" t="s">
        <v>19</v>
      </c>
      <c r="J768" t="s">
        <v>20</v>
      </c>
      <c r="L768" t="s">
        <v>64</v>
      </c>
      <c r="M768" t="s">
        <v>233</v>
      </c>
      <c r="N768" t="s">
        <v>135</v>
      </c>
      <c r="O768" t="s">
        <v>73</v>
      </c>
      <c r="P768" t="s">
        <v>81</v>
      </c>
      <c r="Q768" t="s">
        <v>119</v>
      </c>
      <c r="R768" t="s">
        <v>118</v>
      </c>
    </row>
    <row r="769" spans="1:18" x14ac:dyDescent="0.25">
      <c r="A769" t="s">
        <v>19073</v>
      </c>
      <c r="B769" t="s">
        <v>241</v>
      </c>
      <c r="C769" t="str">
        <f>HYPERLINK("https://nematode.unl.edu/apob17.jpg")</f>
        <v>https://nematode.unl.edu/apob17.jpg</v>
      </c>
      <c r="D769" t="s">
        <v>43</v>
      </c>
      <c r="G769" t="s">
        <v>34</v>
      </c>
      <c r="H769" t="s">
        <v>18</v>
      </c>
      <c r="I769" t="s">
        <v>19</v>
      </c>
      <c r="J769" t="s">
        <v>20</v>
      </c>
      <c r="M769" t="s">
        <v>233</v>
      </c>
      <c r="N769" t="s">
        <v>135</v>
      </c>
      <c r="O769" t="s">
        <v>73</v>
      </c>
      <c r="P769" t="s">
        <v>81</v>
      </c>
      <c r="Q769" t="s">
        <v>119</v>
      </c>
      <c r="R769" t="s">
        <v>118</v>
      </c>
    </row>
    <row r="770" spans="1:18" x14ac:dyDescent="0.25">
      <c r="A770" t="s">
        <v>19099</v>
      </c>
      <c r="B770" t="s">
        <v>242</v>
      </c>
      <c r="C770" t="str">
        <f>HYPERLINK("https://nematode.unl.edu/apob18.jpg")</f>
        <v>https://nematode.unl.edu/apob18.jpg</v>
      </c>
      <c r="D770" t="s">
        <v>43</v>
      </c>
      <c r="G770" t="s">
        <v>243</v>
      </c>
      <c r="I770" t="s">
        <v>19</v>
      </c>
      <c r="J770" t="s">
        <v>20</v>
      </c>
      <c r="L770" t="s">
        <v>38</v>
      </c>
      <c r="M770" t="s">
        <v>233</v>
      </c>
      <c r="N770" t="s">
        <v>135</v>
      </c>
      <c r="O770" t="s">
        <v>73</v>
      </c>
      <c r="P770" t="s">
        <v>81</v>
      </c>
      <c r="Q770" t="s">
        <v>119</v>
      </c>
      <c r="R770" t="s">
        <v>118</v>
      </c>
    </row>
    <row r="771" spans="1:18" x14ac:dyDescent="0.25">
      <c r="A771" t="s">
        <v>19122</v>
      </c>
      <c r="B771" t="s">
        <v>244</v>
      </c>
      <c r="C771" t="str">
        <f>HYPERLINK("https://nematode.unl.edu/apob19.jpg")</f>
        <v>https://nematode.unl.edu/apob19.jpg</v>
      </c>
      <c r="D771" t="s">
        <v>43</v>
      </c>
      <c r="G771" t="s">
        <v>51</v>
      </c>
      <c r="I771" t="s">
        <v>19</v>
      </c>
      <c r="J771" t="s">
        <v>20</v>
      </c>
      <c r="L771" t="s">
        <v>38</v>
      </c>
      <c r="M771" t="s">
        <v>233</v>
      </c>
      <c r="N771" t="s">
        <v>135</v>
      </c>
      <c r="O771" t="s">
        <v>73</v>
      </c>
      <c r="P771" t="s">
        <v>81</v>
      </c>
      <c r="Q771" t="s">
        <v>119</v>
      </c>
      <c r="R771" t="s">
        <v>118</v>
      </c>
    </row>
    <row r="772" spans="1:18" x14ac:dyDescent="0.25">
      <c r="A772" t="s">
        <v>19093</v>
      </c>
      <c r="B772" t="s">
        <v>245</v>
      </c>
      <c r="C772" t="str">
        <f>HYPERLINK("https://nematode.unl.edu/apob2.jpg")</f>
        <v>https://nematode.unl.edu/apob2.jpg</v>
      </c>
      <c r="D772" t="s">
        <v>77</v>
      </c>
      <c r="G772" t="s">
        <v>44</v>
      </c>
      <c r="I772" t="s">
        <v>91</v>
      </c>
      <c r="J772" t="s">
        <v>20</v>
      </c>
      <c r="L772" t="s">
        <v>64</v>
      </c>
      <c r="M772" t="s">
        <v>233</v>
      </c>
      <c r="N772" t="s">
        <v>135</v>
      </c>
      <c r="O772" t="s">
        <v>73</v>
      </c>
      <c r="P772" t="s">
        <v>81</v>
      </c>
      <c r="Q772" t="s">
        <v>119</v>
      </c>
      <c r="R772" t="s">
        <v>118</v>
      </c>
    </row>
    <row r="773" spans="1:18" x14ac:dyDescent="0.25">
      <c r="A773" t="s">
        <v>19110</v>
      </c>
      <c r="B773" t="s">
        <v>246</v>
      </c>
      <c r="C773" t="str">
        <f>HYPERLINK("https://nematode.unl.edu/apob20.jpg")</f>
        <v>https://nematode.unl.edu/apob20.jpg</v>
      </c>
      <c r="D773" t="s">
        <v>43</v>
      </c>
      <c r="G773" t="s">
        <v>28</v>
      </c>
      <c r="I773" t="s">
        <v>19</v>
      </c>
      <c r="J773" t="s">
        <v>20</v>
      </c>
      <c r="L773" t="s">
        <v>38</v>
      </c>
      <c r="M773" t="s">
        <v>233</v>
      </c>
      <c r="N773" t="s">
        <v>135</v>
      </c>
      <c r="O773" t="s">
        <v>73</v>
      </c>
      <c r="P773" t="s">
        <v>81</v>
      </c>
      <c r="Q773" t="s">
        <v>119</v>
      </c>
      <c r="R773" t="s">
        <v>118</v>
      </c>
    </row>
    <row r="774" spans="1:18" x14ac:dyDescent="0.25">
      <c r="A774" t="s">
        <v>19094</v>
      </c>
      <c r="B774" t="s">
        <v>247</v>
      </c>
      <c r="C774" t="str">
        <f>HYPERLINK("https://nematode.unl.edu/apob21.jpg")</f>
        <v>https://nematode.unl.edu/apob21.jpg</v>
      </c>
      <c r="D774" t="s">
        <v>43</v>
      </c>
      <c r="G774" t="s">
        <v>44</v>
      </c>
      <c r="I774" t="s">
        <v>45</v>
      </c>
      <c r="J774" t="s">
        <v>20</v>
      </c>
      <c r="L774" t="s">
        <v>64</v>
      </c>
      <c r="M774" t="s">
        <v>233</v>
      </c>
      <c r="N774" t="s">
        <v>135</v>
      </c>
      <c r="O774" t="s">
        <v>73</v>
      </c>
      <c r="P774" t="s">
        <v>81</v>
      </c>
      <c r="Q774" t="s">
        <v>119</v>
      </c>
      <c r="R774" t="s">
        <v>118</v>
      </c>
    </row>
    <row r="775" spans="1:18" x14ac:dyDescent="0.25">
      <c r="A775" t="s">
        <v>19064</v>
      </c>
      <c r="B775" t="s">
        <v>248</v>
      </c>
      <c r="C775" t="str">
        <f>HYPERLINK("https://nematode.unl.edu/apob3.jpg")</f>
        <v>https://nematode.unl.edu/apob3.jpg</v>
      </c>
      <c r="D775" t="s">
        <v>77</v>
      </c>
      <c r="G775" t="s">
        <v>96</v>
      </c>
      <c r="H775" t="s">
        <v>18</v>
      </c>
      <c r="I775" t="s">
        <v>45</v>
      </c>
      <c r="J775" t="s">
        <v>20</v>
      </c>
      <c r="L775" t="s">
        <v>64</v>
      </c>
      <c r="M775" t="s">
        <v>233</v>
      </c>
      <c r="N775" t="s">
        <v>135</v>
      </c>
      <c r="O775" t="s">
        <v>73</v>
      </c>
      <c r="P775" t="s">
        <v>81</v>
      </c>
      <c r="Q775" t="s">
        <v>119</v>
      </c>
      <c r="R775" t="s">
        <v>118</v>
      </c>
    </row>
    <row r="776" spans="1:18" x14ac:dyDescent="0.25">
      <c r="A776" t="s">
        <v>19102</v>
      </c>
      <c r="B776" t="s">
        <v>249</v>
      </c>
      <c r="C776" t="str">
        <f>HYPERLINK("https://nematode.unl.edu/apob4.jpg")</f>
        <v>https://nematode.unl.edu/apob4.jpg</v>
      </c>
      <c r="D776" t="s">
        <v>77</v>
      </c>
      <c r="G776" t="s">
        <v>181</v>
      </c>
      <c r="I776" t="s">
        <v>45</v>
      </c>
      <c r="J776" t="s">
        <v>20</v>
      </c>
      <c r="L776" t="s">
        <v>64</v>
      </c>
      <c r="M776" t="s">
        <v>233</v>
      </c>
      <c r="N776" t="s">
        <v>135</v>
      </c>
      <c r="O776" t="s">
        <v>73</v>
      </c>
      <c r="P776" t="s">
        <v>81</v>
      </c>
      <c r="Q776" t="s">
        <v>119</v>
      </c>
      <c r="R776" t="s">
        <v>118</v>
      </c>
    </row>
    <row r="777" spans="1:18" x14ac:dyDescent="0.25">
      <c r="A777" t="s">
        <v>19105</v>
      </c>
      <c r="B777" t="s">
        <v>250</v>
      </c>
      <c r="C777" t="str">
        <f>HYPERLINK("https://nematode.unl.edu/apob5.jpg")</f>
        <v>https://nematode.unl.edu/apob5.jpg</v>
      </c>
      <c r="D777" t="s">
        <v>77</v>
      </c>
      <c r="G777" t="s">
        <v>112</v>
      </c>
      <c r="I777" t="s">
        <v>19</v>
      </c>
      <c r="J777" t="s">
        <v>20</v>
      </c>
      <c r="L777" t="s">
        <v>64</v>
      </c>
      <c r="M777" t="s">
        <v>233</v>
      </c>
      <c r="N777" t="s">
        <v>135</v>
      </c>
      <c r="O777" t="s">
        <v>73</v>
      </c>
      <c r="P777" t="s">
        <v>81</v>
      </c>
      <c r="Q777" t="s">
        <v>119</v>
      </c>
      <c r="R777" t="s">
        <v>118</v>
      </c>
    </row>
    <row r="778" spans="1:18" x14ac:dyDescent="0.25">
      <c r="A778" t="s">
        <v>19107</v>
      </c>
      <c r="B778" t="s">
        <v>251</v>
      </c>
      <c r="C778" t="str">
        <f>HYPERLINK("https://nematode.unl.edu/apob6.jpg")</f>
        <v>https://nematode.unl.edu/apob6.jpg</v>
      </c>
      <c r="D778" t="s">
        <v>77</v>
      </c>
      <c r="G778" t="s">
        <v>230</v>
      </c>
      <c r="I778" t="s">
        <v>19</v>
      </c>
      <c r="J778" t="s">
        <v>20</v>
      </c>
      <c r="L778" t="s">
        <v>64</v>
      </c>
      <c r="M778" t="s">
        <v>233</v>
      </c>
      <c r="N778" t="s">
        <v>135</v>
      </c>
      <c r="O778" t="s">
        <v>73</v>
      </c>
      <c r="P778" t="s">
        <v>81</v>
      </c>
      <c r="Q778" t="s">
        <v>119</v>
      </c>
      <c r="R778" t="s">
        <v>118</v>
      </c>
    </row>
    <row r="779" spans="1:18" x14ac:dyDescent="0.25">
      <c r="A779" t="s">
        <v>19108</v>
      </c>
      <c r="B779" t="s">
        <v>252</v>
      </c>
      <c r="C779" t="str">
        <f>HYPERLINK("https://nematode.unl.edu/apob7.jpg")</f>
        <v>https://nematode.unl.edu/apob7.jpg</v>
      </c>
      <c r="D779" t="s">
        <v>77</v>
      </c>
      <c r="G779" t="s">
        <v>230</v>
      </c>
      <c r="I779" t="s">
        <v>19</v>
      </c>
      <c r="J779" t="s">
        <v>20</v>
      </c>
      <c r="L779" t="s">
        <v>64</v>
      </c>
      <c r="M779" t="s">
        <v>233</v>
      </c>
      <c r="N779" t="s">
        <v>135</v>
      </c>
      <c r="O779" t="s">
        <v>73</v>
      </c>
      <c r="P779" t="s">
        <v>81</v>
      </c>
      <c r="Q779" t="s">
        <v>119</v>
      </c>
      <c r="R779" t="s">
        <v>118</v>
      </c>
    </row>
    <row r="780" spans="1:18" x14ac:dyDescent="0.25">
      <c r="A780" t="s">
        <v>19111</v>
      </c>
      <c r="B780" t="s">
        <v>253</v>
      </c>
      <c r="C780" t="str">
        <f>HYPERLINK("https://nematode.unl.edu/apob8.jpg")</f>
        <v>https://nematode.unl.edu/apob8.jpg</v>
      </c>
      <c r="D780" t="s">
        <v>43</v>
      </c>
      <c r="G780" t="s">
        <v>28</v>
      </c>
      <c r="I780" t="s">
        <v>19</v>
      </c>
      <c r="J780" t="s">
        <v>20</v>
      </c>
      <c r="L780" t="s">
        <v>85</v>
      </c>
      <c r="M780" t="s">
        <v>233</v>
      </c>
      <c r="N780" t="s">
        <v>135</v>
      </c>
      <c r="O780" t="s">
        <v>73</v>
      </c>
      <c r="P780" t="s">
        <v>81</v>
      </c>
      <c r="Q780" t="s">
        <v>119</v>
      </c>
      <c r="R780" t="s">
        <v>118</v>
      </c>
    </row>
    <row r="781" spans="1:18" x14ac:dyDescent="0.25">
      <c r="A781" t="s">
        <v>19123</v>
      </c>
      <c r="B781" t="s">
        <v>254</v>
      </c>
      <c r="C781" t="str">
        <f>HYPERLINK("https://nematode.unl.edu/apob9.jpg")</f>
        <v>https://nematode.unl.edu/apob9.jpg</v>
      </c>
      <c r="D781" t="s">
        <v>43</v>
      </c>
      <c r="G781" t="s">
        <v>51</v>
      </c>
      <c r="I781" t="s">
        <v>19</v>
      </c>
      <c r="J781" t="s">
        <v>20</v>
      </c>
      <c r="M781" t="s">
        <v>233</v>
      </c>
      <c r="N781" t="s">
        <v>135</v>
      </c>
      <c r="O781" t="s">
        <v>73</v>
      </c>
      <c r="P781" t="s">
        <v>81</v>
      </c>
      <c r="Q781" t="s">
        <v>119</v>
      </c>
      <c r="R781" t="s">
        <v>118</v>
      </c>
    </row>
    <row r="782" spans="1:18" x14ac:dyDescent="0.25">
      <c r="A782" t="s">
        <v>19100</v>
      </c>
      <c r="B782" t="s">
        <v>255</v>
      </c>
      <c r="C782" t="str">
        <f>HYPERLINK("https://nematode.unl.edu/apobcmp.jpg")</f>
        <v>https://nematode.unl.edu/apobcmp.jpg</v>
      </c>
      <c r="G782" t="s">
        <v>108</v>
      </c>
      <c r="M782" t="s">
        <v>233</v>
      </c>
      <c r="N782" t="s">
        <v>135</v>
      </c>
      <c r="O782" t="s">
        <v>73</v>
      </c>
      <c r="P782" t="s">
        <v>81</v>
      </c>
      <c r="Q782" t="s">
        <v>119</v>
      </c>
      <c r="R782" t="s">
        <v>118</v>
      </c>
    </row>
    <row r="783" spans="1:18" x14ac:dyDescent="0.25">
      <c r="A783" t="s">
        <v>19084</v>
      </c>
      <c r="B783" t="s">
        <v>256</v>
      </c>
      <c r="C783" t="str">
        <f>HYPERLINK("https://nematode.unl.edu/apobs1.jpg")</f>
        <v>https://nematode.unl.edu/apobs1.jpg</v>
      </c>
      <c r="D783" t="s">
        <v>43</v>
      </c>
      <c r="G783" t="s">
        <v>257</v>
      </c>
      <c r="H783" t="s">
        <v>18</v>
      </c>
      <c r="I783" t="s">
        <v>19</v>
      </c>
      <c r="J783" t="s">
        <v>46</v>
      </c>
      <c r="L783" t="s">
        <v>105</v>
      </c>
      <c r="M783" t="s">
        <v>233</v>
      </c>
      <c r="N783" t="s">
        <v>135</v>
      </c>
      <c r="O783" t="s">
        <v>73</v>
      </c>
      <c r="P783" t="s">
        <v>81</v>
      </c>
      <c r="Q783" t="s">
        <v>119</v>
      </c>
      <c r="R783" t="s">
        <v>118</v>
      </c>
    </row>
    <row r="784" spans="1:18" x14ac:dyDescent="0.25">
      <c r="A784" t="s">
        <v>19085</v>
      </c>
      <c r="B784" t="s">
        <v>258</v>
      </c>
      <c r="C784" t="str">
        <f>HYPERLINK("https://nematode.unl.edu/apobs2.jpg")</f>
        <v>https://nematode.unl.edu/apobs2.jpg</v>
      </c>
      <c r="D784" t="s">
        <v>43</v>
      </c>
      <c r="G784" t="s">
        <v>259</v>
      </c>
      <c r="H784" t="s">
        <v>18</v>
      </c>
      <c r="I784" t="s">
        <v>19</v>
      </c>
      <c r="J784" t="s">
        <v>46</v>
      </c>
      <c r="L784" t="s">
        <v>105</v>
      </c>
      <c r="M784" t="s">
        <v>233</v>
      </c>
      <c r="N784" t="s">
        <v>135</v>
      </c>
      <c r="O784" t="s">
        <v>73</v>
      </c>
      <c r="P784" t="s">
        <v>81</v>
      </c>
      <c r="Q784" t="s">
        <v>119</v>
      </c>
      <c r="R784" t="s">
        <v>118</v>
      </c>
    </row>
    <row r="785" spans="1:18" x14ac:dyDescent="0.25">
      <c r="A785" t="s">
        <v>19067</v>
      </c>
      <c r="B785" t="s">
        <v>260</v>
      </c>
      <c r="C785" t="str">
        <f>HYPERLINK("https://nematode.unl.edu/apobs3.jpg")</f>
        <v>https://nematode.unl.edu/apobs3.jpg</v>
      </c>
      <c r="D785" t="s">
        <v>16</v>
      </c>
      <c r="G785" t="s">
        <v>17</v>
      </c>
      <c r="H785" t="s">
        <v>18</v>
      </c>
      <c r="I785" t="s">
        <v>19</v>
      </c>
      <c r="J785" t="s">
        <v>46</v>
      </c>
      <c r="L785" t="s">
        <v>105</v>
      </c>
      <c r="M785" t="s">
        <v>233</v>
      </c>
      <c r="N785" t="s">
        <v>135</v>
      </c>
      <c r="O785" t="s">
        <v>73</v>
      </c>
      <c r="P785" t="s">
        <v>81</v>
      </c>
      <c r="Q785" t="s">
        <v>119</v>
      </c>
      <c r="R785" t="s">
        <v>118</v>
      </c>
    </row>
    <row r="786" spans="1:18" x14ac:dyDescent="0.25">
      <c r="A786" t="s">
        <v>19124</v>
      </c>
      <c r="B786" t="s">
        <v>261</v>
      </c>
      <c r="C786" t="str">
        <f>HYPERLINK("https://nematode.unl.edu/apobs4.jpg")</f>
        <v>https://nematode.unl.edu/apobs4.jpg</v>
      </c>
      <c r="D786" t="s">
        <v>43</v>
      </c>
      <c r="G786" t="s">
        <v>51</v>
      </c>
      <c r="I786" t="s">
        <v>19</v>
      </c>
      <c r="J786" t="s">
        <v>46</v>
      </c>
      <c r="L786" t="s">
        <v>105</v>
      </c>
      <c r="M786" t="s">
        <v>233</v>
      </c>
      <c r="N786" t="s">
        <v>135</v>
      </c>
      <c r="O786" t="s">
        <v>73</v>
      </c>
      <c r="P786" t="s">
        <v>81</v>
      </c>
      <c r="Q786" t="s">
        <v>119</v>
      </c>
      <c r="R786" t="s">
        <v>118</v>
      </c>
    </row>
    <row r="787" spans="1:18" x14ac:dyDescent="0.25">
      <c r="A787" t="s">
        <v>19112</v>
      </c>
      <c r="B787" t="s">
        <v>262</v>
      </c>
      <c r="C787" t="str">
        <f>HYPERLINK("https://nematode.unl.edu/apobs5.jpg")</f>
        <v>https://nematode.unl.edu/apobs5.jpg</v>
      </c>
      <c r="D787" t="s">
        <v>16</v>
      </c>
      <c r="G787" t="s">
        <v>28</v>
      </c>
      <c r="I787" t="s">
        <v>19</v>
      </c>
      <c r="J787" t="s">
        <v>46</v>
      </c>
      <c r="L787" t="s">
        <v>105</v>
      </c>
      <c r="M787" t="s">
        <v>233</v>
      </c>
      <c r="N787" t="s">
        <v>135</v>
      </c>
      <c r="O787" t="s">
        <v>73</v>
      </c>
      <c r="P787" t="s">
        <v>81</v>
      </c>
      <c r="Q787" t="s">
        <v>119</v>
      </c>
      <c r="R787" t="s">
        <v>118</v>
      </c>
    </row>
    <row r="788" spans="1:18" x14ac:dyDescent="0.25">
      <c r="A788" t="s">
        <v>19074</v>
      </c>
      <c r="B788" t="s">
        <v>263</v>
      </c>
      <c r="C788" t="str">
        <f>HYPERLINK("https://nematode.unl.edu/apobs6.jpg")</f>
        <v>https://nematode.unl.edu/apobs6.jpg</v>
      </c>
      <c r="D788" t="s">
        <v>43</v>
      </c>
      <c r="G788" t="s">
        <v>34</v>
      </c>
      <c r="H788" t="s">
        <v>18</v>
      </c>
      <c r="I788" t="s">
        <v>45</v>
      </c>
      <c r="J788" t="s">
        <v>46</v>
      </c>
      <c r="L788" t="s">
        <v>105</v>
      </c>
      <c r="M788" t="s">
        <v>233</v>
      </c>
      <c r="N788" t="s">
        <v>135</v>
      </c>
      <c r="O788" t="s">
        <v>73</v>
      </c>
      <c r="P788" t="s">
        <v>81</v>
      </c>
      <c r="Q788" t="s">
        <v>119</v>
      </c>
      <c r="R788" t="s">
        <v>118</v>
      </c>
    </row>
    <row r="789" spans="1:18" x14ac:dyDescent="0.25">
      <c r="A789" t="s">
        <v>19101</v>
      </c>
      <c r="B789" t="s">
        <v>264</v>
      </c>
      <c r="C789" t="str">
        <f>HYPERLINK("https://nematode.unl.edu/apobs7.jpg")</f>
        <v>https://nematode.unl.edu/apobs7.jpg</v>
      </c>
      <c r="D789" t="s">
        <v>43</v>
      </c>
      <c r="G789" t="s">
        <v>265</v>
      </c>
      <c r="I789" t="s">
        <v>19</v>
      </c>
      <c r="J789" t="s">
        <v>46</v>
      </c>
      <c r="L789" t="s">
        <v>105</v>
      </c>
      <c r="M789" t="s">
        <v>233</v>
      </c>
      <c r="N789" t="s">
        <v>135</v>
      </c>
      <c r="O789" t="s">
        <v>73</v>
      </c>
      <c r="P789" t="s">
        <v>81</v>
      </c>
      <c r="Q789" t="s">
        <v>119</v>
      </c>
      <c r="R789" t="s">
        <v>118</v>
      </c>
    </row>
    <row r="790" spans="1:18" x14ac:dyDescent="0.25">
      <c r="A790" t="s">
        <v>18889</v>
      </c>
      <c r="B790" t="s">
        <v>2666</v>
      </c>
      <c r="C790" t="str">
        <f>HYPERLINK("https://nematode.unl.edu/apoco1.jpg")</f>
        <v>https://nematode.unl.edu/apoco1.jpg</v>
      </c>
      <c r="D790" t="s">
        <v>43</v>
      </c>
      <c r="G790" t="s">
        <v>34</v>
      </c>
      <c r="H790" t="s">
        <v>18</v>
      </c>
      <c r="I790" t="s">
        <v>19</v>
      </c>
      <c r="J790" t="s">
        <v>20</v>
      </c>
      <c r="L790" t="s">
        <v>141</v>
      </c>
      <c r="M790" t="s">
        <v>2667</v>
      </c>
      <c r="N790" t="s">
        <v>2667</v>
      </c>
      <c r="O790" t="s">
        <v>73</v>
      </c>
      <c r="P790" t="s">
        <v>81</v>
      </c>
      <c r="Q790" t="s">
        <v>119</v>
      </c>
      <c r="R790" t="s">
        <v>118</v>
      </c>
    </row>
    <row r="791" spans="1:18" x14ac:dyDescent="0.25">
      <c r="A791" t="s">
        <v>18896</v>
      </c>
      <c r="B791" t="s">
        <v>2668</v>
      </c>
      <c r="C791" t="str">
        <f>HYPERLINK("https://nematode.unl.edu/apoco10.jpg")</f>
        <v>https://nematode.unl.edu/apoco10.jpg</v>
      </c>
      <c r="D791" t="s">
        <v>16</v>
      </c>
      <c r="G791" t="s">
        <v>87</v>
      </c>
      <c r="I791" t="s">
        <v>19</v>
      </c>
      <c r="J791" t="s">
        <v>20</v>
      </c>
      <c r="L791" t="s">
        <v>183</v>
      </c>
      <c r="M791" t="s">
        <v>2667</v>
      </c>
      <c r="N791" t="s">
        <v>2667</v>
      </c>
      <c r="O791" t="s">
        <v>73</v>
      </c>
      <c r="P791" t="s">
        <v>81</v>
      </c>
      <c r="Q791" t="s">
        <v>119</v>
      </c>
      <c r="R791" t="s">
        <v>118</v>
      </c>
    </row>
    <row r="792" spans="1:18" x14ac:dyDescent="0.25">
      <c r="A792" t="s">
        <v>18902</v>
      </c>
      <c r="B792" t="s">
        <v>2669</v>
      </c>
      <c r="C792" t="str">
        <f>HYPERLINK("https://nematode.unl.edu/apoco11.jpg")</f>
        <v>https://nematode.unl.edu/apoco11.jpg</v>
      </c>
      <c r="D792" t="s">
        <v>16</v>
      </c>
      <c r="G792" t="s">
        <v>28</v>
      </c>
      <c r="I792" t="s">
        <v>19</v>
      </c>
      <c r="J792" t="s">
        <v>20</v>
      </c>
      <c r="L792" t="s">
        <v>85</v>
      </c>
      <c r="M792" t="s">
        <v>2667</v>
      </c>
      <c r="N792" t="s">
        <v>2667</v>
      </c>
      <c r="O792" t="s">
        <v>73</v>
      </c>
      <c r="P792" t="s">
        <v>81</v>
      </c>
      <c r="Q792" t="s">
        <v>119</v>
      </c>
      <c r="R792" t="s">
        <v>118</v>
      </c>
    </row>
    <row r="793" spans="1:18" x14ac:dyDescent="0.25">
      <c r="A793" t="s">
        <v>18903</v>
      </c>
      <c r="B793" t="s">
        <v>2670</v>
      </c>
      <c r="C793" t="str">
        <f>HYPERLINK("https://nematode.unl.edu/apoco12.jpg")</f>
        <v>https://nematode.unl.edu/apoco12.jpg</v>
      </c>
      <c r="D793" t="s">
        <v>16</v>
      </c>
      <c r="G793" t="s">
        <v>28</v>
      </c>
      <c r="I793" t="s">
        <v>19</v>
      </c>
      <c r="J793" t="s">
        <v>20</v>
      </c>
      <c r="M793" t="s">
        <v>2667</v>
      </c>
      <c r="N793" t="s">
        <v>2667</v>
      </c>
      <c r="O793" t="s">
        <v>73</v>
      </c>
      <c r="P793" t="s">
        <v>81</v>
      </c>
      <c r="Q793" t="s">
        <v>119</v>
      </c>
      <c r="R793" t="s">
        <v>118</v>
      </c>
    </row>
    <row r="794" spans="1:18" x14ac:dyDescent="0.25">
      <c r="A794" t="s">
        <v>18890</v>
      </c>
      <c r="B794" t="s">
        <v>2671</v>
      </c>
      <c r="C794" t="str">
        <f>HYPERLINK("https://nematode.unl.edu/apoco13.jpg")</f>
        <v>https://nematode.unl.edu/apoco13.jpg</v>
      </c>
      <c r="D794" t="s">
        <v>16</v>
      </c>
      <c r="G794" t="s">
        <v>34</v>
      </c>
      <c r="H794" t="s">
        <v>18</v>
      </c>
      <c r="I794" t="s">
        <v>19</v>
      </c>
      <c r="J794" t="s">
        <v>20</v>
      </c>
      <c r="M794" t="s">
        <v>2667</v>
      </c>
      <c r="N794" t="s">
        <v>2667</v>
      </c>
      <c r="O794" t="s">
        <v>73</v>
      </c>
      <c r="P794" t="s">
        <v>81</v>
      </c>
      <c r="Q794" t="s">
        <v>119</v>
      </c>
      <c r="R794" t="s">
        <v>118</v>
      </c>
    </row>
    <row r="795" spans="1:18" x14ac:dyDescent="0.25">
      <c r="A795" t="s">
        <v>18891</v>
      </c>
      <c r="B795" t="s">
        <v>2672</v>
      </c>
      <c r="C795" t="str">
        <f>HYPERLINK("https://nematode.unl.edu/apoco14.jpg")</f>
        <v>https://nematode.unl.edu/apoco14.jpg</v>
      </c>
      <c r="D795" t="s">
        <v>43</v>
      </c>
      <c r="G795" t="s">
        <v>34</v>
      </c>
      <c r="H795" t="s">
        <v>18</v>
      </c>
      <c r="I795" t="s">
        <v>19</v>
      </c>
      <c r="J795" t="s">
        <v>20</v>
      </c>
      <c r="M795" t="s">
        <v>2667</v>
      </c>
      <c r="N795" t="s">
        <v>2667</v>
      </c>
      <c r="O795" t="s">
        <v>73</v>
      </c>
      <c r="P795" t="s">
        <v>81</v>
      </c>
      <c r="Q795" t="s">
        <v>119</v>
      </c>
      <c r="R795" t="s">
        <v>118</v>
      </c>
    </row>
    <row r="796" spans="1:18" x14ac:dyDescent="0.25">
      <c r="A796" t="s">
        <v>18908</v>
      </c>
      <c r="B796" t="s">
        <v>2673</v>
      </c>
      <c r="C796" t="str">
        <f>HYPERLINK("https://nematode.unl.edu/apoco15.jpg")</f>
        <v>https://nematode.unl.edu/apoco15.jpg</v>
      </c>
      <c r="D796" t="s">
        <v>43</v>
      </c>
      <c r="G796" t="s">
        <v>51</v>
      </c>
      <c r="I796" t="s">
        <v>19</v>
      </c>
      <c r="J796" t="s">
        <v>20</v>
      </c>
      <c r="M796" t="s">
        <v>2667</v>
      </c>
      <c r="N796" t="s">
        <v>2667</v>
      </c>
      <c r="O796" t="s">
        <v>73</v>
      </c>
      <c r="P796" t="s">
        <v>81</v>
      </c>
      <c r="Q796" t="s">
        <v>119</v>
      </c>
      <c r="R796" t="s">
        <v>118</v>
      </c>
    </row>
    <row r="797" spans="1:18" x14ac:dyDescent="0.25">
      <c r="A797" t="s">
        <v>18904</v>
      </c>
      <c r="B797" t="s">
        <v>2674</v>
      </c>
      <c r="C797" t="str">
        <f>HYPERLINK("https://nematode.unl.edu/apoco16.jpg")</f>
        <v>https://nematode.unl.edu/apoco16.jpg</v>
      </c>
      <c r="D797" t="s">
        <v>43</v>
      </c>
      <c r="G797" t="s">
        <v>28</v>
      </c>
      <c r="I797" t="s">
        <v>19</v>
      </c>
      <c r="J797" t="s">
        <v>20</v>
      </c>
      <c r="M797" t="s">
        <v>2667</v>
      </c>
      <c r="N797" t="s">
        <v>2667</v>
      </c>
      <c r="O797" t="s">
        <v>73</v>
      </c>
      <c r="P797" t="s">
        <v>81</v>
      </c>
      <c r="Q797" t="s">
        <v>119</v>
      </c>
      <c r="R797" t="s">
        <v>118</v>
      </c>
    </row>
    <row r="798" spans="1:18" x14ac:dyDescent="0.25">
      <c r="A798" t="s">
        <v>18897</v>
      </c>
      <c r="B798" t="s">
        <v>2675</v>
      </c>
      <c r="C798" t="str">
        <f>HYPERLINK("https://nematode.unl.edu/apoco2.jpg")</f>
        <v>https://nematode.unl.edu/apoco2.jpg</v>
      </c>
      <c r="D798" t="s">
        <v>43</v>
      </c>
      <c r="G798" t="s">
        <v>87</v>
      </c>
      <c r="I798" t="s">
        <v>19</v>
      </c>
      <c r="J798" t="s">
        <v>20</v>
      </c>
      <c r="L798" t="s">
        <v>220</v>
      </c>
      <c r="M798" t="s">
        <v>2667</v>
      </c>
      <c r="N798" t="s">
        <v>2667</v>
      </c>
      <c r="O798" t="s">
        <v>73</v>
      </c>
      <c r="P798" t="s">
        <v>81</v>
      </c>
      <c r="Q798" t="s">
        <v>119</v>
      </c>
      <c r="R798" t="s">
        <v>118</v>
      </c>
    </row>
    <row r="799" spans="1:18" x14ac:dyDescent="0.25">
      <c r="A799" t="s">
        <v>18909</v>
      </c>
      <c r="B799" t="s">
        <v>2676</v>
      </c>
      <c r="C799" t="str">
        <f>HYPERLINK("https://nematode.unl.edu/apoco3.jpg")</f>
        <v>https://nematode.unl.edu/apoco3.jpg</v>
      </c>
      <c r="D799" t="s">
        <v>43</v>
      </c>
      <c r="G799" t="s">
        <v>51</v>
      </c>
      <c r="I799" t="s">
        <v>19</v>
      </c>
      <c r="J799" t="s">
        <v>20</v>
      </c>
      <c r="L799" t="s">
        <v>220</v>
      </c>
      <c r="M799" t="s">
        <v>2667</v>
      </c>
      <c r="N799" t="s">
        <v>2667</v>
      </c>
      <c r="O799" t="s">
        <v>73</v>
      </c>
      <c r="P799" t="s">
        <v>81</v>
      </c>
      <c r="Q799" t="s">
        <v>119</v>
      </c>
      <c r="R799" t="s">
        <v>118</v>
      </c>
    </row>
    <row r="800" spans="1:18" x14ac:dyDescent="0.25">
      <c r="A800" t="s">
        <v>18905</v>
      </c>
      <c r="B800" t="s">
        <v>2677</v>
      </c>
      <c r="C800" t="str">
        <f>HYPERLINK("https://nematode.unl.edu/apoco4.jpg")</f>
        <v>https://nematode.unl.edu/apoco4.jpg</v>
      </c>
      <c r="D800" t="s">
        <v>43</v>
      </c>
      <c r="G800" t="s">
        <v>28</v>
      </c>
      <c r="I800" t="s">
        <v>19</v>
      </c>
      <c r="J800" t="s">
        <v>20</v>
      </c>
      <c r="M800" t="s">
        <v>2667</v>
      </c>
      <c r="N800" t="s">
        <v>2667</v>
      </c>
      <c r="O800" t="s">
        <v>73</v>
      </c>
      <c r="P800" t="s">
        <v>81</v>
      </c>
      <c r="Q800" t="s">
        <v>119</v>
      </c>
      <c r="R800" t="s">
        <v>118</v>
      </c>
    </row>
    <row r="801" spans="1:18" x14ac:dyDescent="0.25">
      <c r="A801" t="s">
        <v>18892</v>
      </c>
      <c r="B801" t="s">
        <v>2678</v>
      </c>
      <c r="C801" t="str">
        <f>HYPERLINK("https://nematode.unl.edu/apoco5.jpg")</f>
        <v>https://nematode.unl.edu/apoco5.jpg</v>
      </c>
      <c r="D801" t="s">
        <v>16</v>
      </c>
      <c r="G801" t="s">
        <v>34</v>
      </c>
      <c r="H801" t="s">
        <v>18</v>
      </c>
      <c r="I801" t="s">
        <v>19</v>
      </c>
      <c r="J801" t="s">
        <v>20</v>
      </c>
      <c r="M801" t="s">
        <v>2667</v>
      </c>
      <c r="N801" t="s">
        <v>2667</v>
      </c>
      <c r="O801" t="s">
        <v>73</v>
      </c>
      <c r="P801" t="s">
        <v>81</v>
      </c>
      <c r="Q801" t="s">
        <v>119</v>
      </c>
      <c r="R801" t="s">
        <v>118</v>
      </c>
    </row>
    <row r="802" spans="1:18" x14ac:dyDescent="0.25">
      <c r="A802" t="s">
        <v>18898</v>
      </c>
      <c r="B802" t="s">
        <v>2679</v>
      </c>
      <c r="C802" t="str">
        <f>HYPERLINK("https://nematode.unl.edu/apoco6.jpg")</f>
        <v>https://nematode.unl.edu/apoco6.jpg</v>
      </c>
      <c r="D802" t="s">
        <v>16</v>
      </c>
      <c r="G802" t="s">
        <v>87</v>
      </c>
      <c r="I802" t="s">
        <v>19</v>
      </c>
      <c r="J802" t="s">
        <v>20</v>
      </c>
      <c r="L802" t="s">
        <v>206</v>
      </c>
      <c r="M802" t="s">
        <v>2667</v>
      </c>
      <c r="N802" t="s">
        <v>2667</v>
      </c>
      <c r="O802" t="s">
        <v>73</v>
      </c>
      <c r="P802" t="s">
        <v>81</v>
      </c>
      <c r="Q802" t="s">
        <v>119</v>
      </c>
      <c r="R802" t="s">
        <v>118</v>
      </c>
    </row>
    <row r="803" spans="1:18" x14ac:dyDescent="0.25">
      <c r="A803" t="s">
        <v>18906</v>
      </c>
      <c r="B803" t="s">
        <v>2680</v>
      </c>
      <c r="C803" t="str">
        <f>HYPERLINK("https://nematode.unl.edu/apoco7.jpg")</f>
        <v>https://nematode.unl.edu/apoco7.jpg</v>
      </c>
      <c r="D803" t="s">
        <v>16</v>
      </c>
      <c r="G803" t="s">
        <v>28</v>
      </c>
      <c r="I803" t="s">
        <v>19</v>
      </c>
      <c r="J803" t="s">
        <v>20</v>
      </c>
      <c r="L803" t="s">
        <v>206</v>
      </c>
      <c r="M803" t="s">
        <v>2667</v>
      </c>
      <c r="N803" t="s">
        <v>2667</v>
      </c>
      <c r="O803" t="s">
        <v>73</v>
      </c>
      <c r="P803" t="s">
        <v>81</v>
      </c>
      <c r="Q803" t="s">
        <v>119</v>
      </c>
      <c r="R803" t="s">
        <v>118</v>
      </c>
    </row>
    <row r="804" spans="1:18" x14ac:dyDescent="0.25">
      <c r="A804" t="s">
        <v>18900</v>
      </c>
      <c r="B804" t="s">
        <v>2681</v>
      </c>
      <c r="C804" t="str">
        <f>HYPERLINK("https://nematode.unl.edu/apoco8.jpg")</f>
        <v>https://nematode.unl.edu/apoco8.jpg</v>
      </c>
      <c r="D804" t="s">
        <v>16</v>
      </c>
      <c r="G804" t="s">
        <v>44</v>
      </c>
      <c r="I804" t="s">
        <v>45</v>
      </c>
      <c r="J804" t="s">
        <v>20</v>
      </c>
      <c r="L804" t="s">
        <v>141</v>
      </c>
      <c r="M804" t="s">
        <v>2667</v>
      </c>
      <c r="N804" t="s">
        <v>2667</v>
      </c>
      <c r="O804" t="s">
        <v>73</v>
      </c>
      <c r="P804" t="s">
        <v>81</v>
      </c>
      <c r="Q804" t="s">
        <v>119</v>
      </c>
      <c r="R804" t="s">
        <v>118</v>
      </c>
    </row>
    <row r="805" spans="1:18" x14ac:dyDescent="0.25">
      <c r="A805" t="s">
        <v>18893</v>
      </c>
      <c r="B805" t="s">
        <v>2682</v>
      </c>
      <c r="C805" t="str">
        <f>HYPERLINK("https://nematode.unl.edu/apoco9.jpg")</f>
        <v>https://nematode.unl.edu/apoco9.jpg</v>
      </c>
      <c r="D805" t="s">
        <v>16</v>
      </c>
      <c r="G805" t="s">
        <v>34</v>
      </c>
      <c r="H805" t="s">
        <v>18</v>
      </c>
      <c r="I805" t="s">
        <v>19</v>
      </c>
      <c r="J805" t="s">
        <v>20</v>
      </c>
      <c r="M805" t="s">
        <v>2667</v>
      </c>
      <c r="N805" t="s">
        <v>2667</v>
      </c>
      <c r="O805" t="s">
        <v>73</v>
      </c>
      <c r="P805" t="s">
        <v>81</v>
      </c>
      <c r="Q805" t="s">
        <v>119</v>
      </c>
      <c r="R805" t="s">
        <v>118</v>
      </c>
    </row>
    <row r="806" spans="1:18" x14ac:dyDescent="0.25">
      <c r="A806" t="s">
        <v>19005</v>
      </c>
      <c r="B806" t="s">
        <v>157</v>
      </c>
      <c r="C806" t="str">
        <f>HYPERLINK("https://nematode.unl.edu/apoides1.jpg")</f>
        <v>https://nematode.unl.edu/apoides1.jpg</v>
      </c>
      <c r="D806" t="s">
        <v>16</v>
      </c>
      <c r="G806" t="s">
        <v>34</v>
      </c>
      <c r="H806" t="s">
        <v>18</v>
      </c>
      <c r="I806" t="s">
        <v>19</v>
      </c>
      <c r="J806" t="s">
        <v>116</v>
      </c>
      <c r="M806" t="s">
        <v>156</v>
      </c>
      <c r="N806" t="s">
        <v>135</v>
      </c>
      <c r="O806" t="s">
        <v>73</v>
      </c>
      <c r="P806" t="s">
        <v>81</v>
      </c>
      <c r="Q806" t="s">
        <v>119</v>
      </c>
      <c r="R806" t="s">
        <v>118</v>
      </c>
    </row>
    <row r="807" spans="1:18" x14ac:dyDescent="0.25">
      <c r="A807" t="s">
        <v>19020</v>
      </c>
      <c r="B807" t="s">
        <v>158</v>
      </c>
      <c r="C807" t="str">
        <f>HYPERLINK("https://nematode.unl.edu/apoides2.jpg")</f>
        <v>https://nematode.unl.edu/apoides2.jpg</v>
      </c>
      <c r="D807" t="s">
        <v>16</v>
      </c>
      <c r="G807" t="s">
        <v>87</v>
      </c>
      <c r="I807" t="s">
        <v>19</v>
      </c>
      <c r="J807" t="s">
        <v>116</v>
      </c>
      <c r="L807" t="s">
        <v>85</v>
      </c>
      <c r="M807" t="s">
        <v>156</v>
      </c>
      <c r="N807" t="s">
        <v>135</v>
      </c>
      <c r="O807" t="s">
        <v>73</v>
      </c>
      <c r="P807" t="s">
        <v>81</v>
      </c>
      <c r="Q807" t="s">
        <v>119</v>
      </c>
      <c r="R807" t="s">
        <v>118</v>
      </c>
    </row>
    <row r="808" spans="1:18" x14ac:dyDescent="0.25">
      <c r="A808" t="s">
        <v>19037</v>
      </c>
      <c r="B808" t="s">
        <v>159</v>
      </c>
      <c r="C808" t="str">
        <f>HYPERLINK("https://nematode.unl.edu/apoides3.jpg")</f>
        <v>https://nematode.unl.edu/apoides3.jpg</v>
      </c>
      <c r="D808" t="s">
        <v>16</v>
      </c>
      <c r="G808" t="s">
        <v>28</v>
      </c>
      <c r="I808" t="s">
        <v>19</v>
      </c>
      <c r="J808" t="s">
        <v>116</v>
      </c>
      <c r="L808" t="s">
        <v>85</v>
      </c>
      <c r="M808" t="s">
        <v>156</v>
      </c>
      <c r="N808" t="s">
        <v>135</v>
      </c>
      <c r="O808" t="s">
        <v>73</v>
      </c>
      <c r="P808" t="s">
        <v>81</v>
      </c>
      <c r="Q808" t="s">
        <v>119</v>
      </c>
      <c r="R808" t="s">
        <v>118</v>
      </c>
    </row>
    <row r="809" spans="1:18" x14ac:dyDescent="0.25">
      <c r="A809" t="s">
        <v>18894</v>
      </c>
      <c r="B809" t="s">
        <v>2683</v>
      </c>
      <c r="C809" t="str">
        <f>HYPERLINK("https://nematode.unl.edu/apoidus1.jpg")</f>
        <v>https://nematode.unl.edu/apoidus1.jpg</v>
      </c>
      <c r="D809" t="s">
        <v>77</v>
      </c>
      <c r="G809" t="s">
        <v>34</v>
      </c>
      <c r="H809" t="s">
        <v>18</v>
      </c>
      <c r="I809" t="s">
        <v>137</v>
      </c>
      <c r="J809" t="s">
        <v>116</v>
      </c>
      <c r="L809" t="s">
        <v>105</v>
      </c>
      <c r="M809" t="s">
        <v>2667</v>
      </c>
      <c r="N809" t="s">
        <v>2667</v>
      </c>
      <c r="O809" t="s">
        <v>73</v>
      </c>
      <c r="P809" t="s">
        <v>81</v>
      </c>
      <c r="Q809" t="s">
        <v>119</v>
      </c>
      <c r="R809" t="s">
        <v>118</v>
      </c>
    </row>
    <row r="810" spans="1:18" x14ac:dyDescent="0.25">
      <c r="A810" t="s">
        <v>18907</v>
      </c>
      <c r="B810" t="s">
        <v>2684</v>
      </c>
      <c r="C810" t="str">
        <f>HYPERLINK("https://nematode.unl.edu/apoidus2.jpg")</f>
        <v>https://nematode.unl.edu/apoidus2.jpg</v>
      </c>
      <c r="D810" t="s">
        <v>77</v>
      </c>
      <c r="G810" t="s">
        <v>28</v>
      </c>
      <c r="I810" t="s">
        <v>137</v>
      </c>
      <c r="J810" t="s">
        <v>116</v>
      </c>
      <c r="L810" t="s">
        <v>105</v>
      </c>
      <c r="M810" t="s">
        <v>2667</v>
      </c>
      <c r="N810" t="s">
        <v>2667</v>
      </c>
      <c r="O810" t="s">
        <v>73</v>
      </c>
      <c r="P810" t="s">
        <v>81</v>
      </c>
      <c r="Q810" t="s">
        <v>119</v>
      </c>
      <c r="R810" t="s">
        <v>118</v>
      </c>
    </row>
    <row r="811" spans="1:18" x14ac:dyDescent="0.25">
      <c r="A811" t="s">
        <v>18895</v>
      </c>
      <c r="B811" t="s">
        <v>2685</v>
      </c>
      <c r="C811" t="str">
        <f>HYPERLINK("https://nematode.unl.edu/apoidus3.jpg")</f>
        <v>https://nematode.unl.edu/apoidus3.jpg</v>
      </c>
      <c r="D811" t="s">
        <v>77</v>
      </c>
      <c r="G811" t="s">
        <v>34</v>
      </c>
      <c r="H811" t="s">
        <v>18</v>
      </c>
      <c r="I811" t="s">
        <v>19</v>
      </c>
      <c r="J811" t="s">
        <v>116</v>
      </c>
      <c r="L811" t="s">
        <v>105</v>
      </c>
      <c r="M811" t="s">
        <v>2667</v>
      </c>
      <c r="N811" t="s">
        <v>2667</v>
      </c>
      <c r="O811" t="s">
        <v>73</v>
      </c>
      <c r="P811" t="s">
        <v>81</v>
      </c>
      <c r="Q811" t="s">
        <v>119</v>
      </c>
      <c r="R811" t="s">
        <v>118</v>
      </c>
    </row>
    <row r="812" spans="1:18" x14ac:dyDescent="0.25">
      <c r="A812" t="s">
        <v>18899</v>
      </c>
      <c r="B812" t="s">
        <v>2686</v>
      </c>
      <c r="C812" t="str">
        <f>HYPERLINK("https://nematode.unl.edu/apoidus4.jpg")</f>
        <v>https://nematode.unl.edu/apoidus4.jpg</v>
      </c>
      <c r="D812" t="s">
        <v>77</v>
      </c>
      <c r="G812" t="s">
        <v>87</v>
      </c>
      <c r="I812" t="s">
        <v>19</v>
      </c>
      <c r="J812" t="s">
        <v>116</v>
      </c>
      <c r="L812" t="s">
        <v>105</v>
      </c>
      <c r="M812" t="s">
        <v>2667</v>
      </c>
      <c r="N812" t="s">
        <v>2667</v>
      </c>
      <c r="O812" t="s">
        <v>73</v>
      </c>
      <c r="P812" t="s">
        <v>81</v>
      </c>
      <c r="Q812" t="s">
        <v>119</v>
      </c>
      <c r="R812" t="s">
        <v>118</v>
      </c>
    </row>
    <row r="813" spans="1:18" x14ac:dyDescent="0.25">
      <c r="A813" t="s">
        <v>18901</v>
      </c>
      <c r="B813" t="s">
        <v>2687</v>
      </c>
      <c r="C813" t="str">
        <f>HYPERLINK("https://nematode.unl.edu/apoidus5.jpg")</f>
        <v>https://nematode.unl.edu/apoidus5.jpg</v>
      </c>
      <c r="D813" t="s">
        <v>77</v>
      </c>
      <c r="G813" t="s">
        <v>112</v>
      </c>
      <c r="I813" t="s">
        <v>19</v>
      </c>
      <c r="J813" t="s">
        <v>116</v>
      </c>
      <c r="L813" t="s">
        <v>105</v>
      </c>
      <c r="M813" t="s">
        <v>2667</v>
      </c>
      <c r="N813" t="s">
        <v>2667</v>
      </c>
      <c r="O813" t="s">
        <v>73</v>
      </c>
      <c r="P813" t="s">
        <v>81</v>
      </c>
      <c r="Q813" t="s">
        <v>119</v>
      </c>
      <c r="R813" t="s">
        <v>118</v>
      </c>
    </row>
    <row r="814" spans="1:18" x14ac:dyDescent="0.25">
      <c r="A814" t="s">
        <v>20020</v>
      </c>
      <c r="B814" t="s">
        <v>2576</v>
      </c>
      <c r="C814" t="str">
        <f>HYPERLINK("https://nematode.unl.edu/apole1.jpg")</f>
        <v>https://nematode.unl.edu/apole1.jpg</v>
      </c>
      <c r="D814" t="s">
        <v>2577</v>
      </c>
      <c r="G814" t="s">
        <v>34</v>
      </c>
      <c r="H814" t="s">
        <v>18</v>
      </c>
      <c r="I814" t="s">
        <v>19</v>
      </c>
      <c r="J814" t="s">
        <v>20</v>
      </c>
      <c r="L814" t="s">
        <v>141</v>
      </c>
      <c r="M814" t="s">
        <v>2578</v>
      </c>
      <c r="N814" t="s">
        <v>2578</v>
      </c>
      <c r="O814" t="s">
        <v>73</v>
      </c>
      <c r="P814" t="s">
        <v>81</v>
      </c>
      <c r="Q814" t="s">
        <v>2579</v>
      </c>
      <c r="R814" t="s">
        <v>2578</v>
      </c>
    </row>
    <row r="815" spans="1:18" x14ac:dyDescent="0.25">
      <c r="A815" t="s">
        <v>20025</v>
      </c>
      <c r="B815" t="s">
        <v>2580</v>
      </c>
      <c r="C815" t="str">
        <f>HYPERLINK("https://nematode.unl.edu/apole2.jpg")</f>
        <v>https://nematode.unl.edu/apole2.jpg</v>
      </c>
      <c r="D815" t="s">
        <v>43</v>
      </c>
      <c r="G815" t="s">
        <v>51</v>
      </c>
      <c r="I815" t="s">
        <v>19</v>
      </c>
      <c r="J815" t="s">
        <v>20</v>
      </c>
      <c r="L815" t="s">
        <v>141</v>
      </c>
      <c r="M815" t="s">
        <v>2578</v>
      </c>
      <c r="N815" t="s">
        <v>2578</v>
      </c>
      <c r="O815" t="s">
        <v>73</v>
      </c>
      <c r="P815" t="s">
        <v>81</v>
      </c>
      <c r="Q815" t="s">
        <v>2579</v>
      </c>
      <c r="R815" t="s">
        <v>2578</v>
      </c>
    </row>
    <row r="816" spans="1:18" x14ac:dyDescent="0.25">
      <c r="A816" t="s">
        <v>20024</v>
      </c>
      <c r="B816" t="s">
        <v>2581</v>
      </c>
      <c r="C816" t="str">
        <f>HYPERLINK("https://nematode.unl.edu/apole3.jpg")</f>
        <v>https://nematode.unl.edu/apole3.jpg</v>
      </c>
      <c r="D816" t="s">
        <v>2577</v>
      </c>
      <c r="G816" t="s">
        <v>28</v>
      </c>
      <c r="I816" t="s">
        <v>19</v>
      </c>
      <c r="J816" t="s">
        <v>20</v>
      </c>
      <c r="M816" t="s">
        <v>2578</v>
      </c>
      <c r="N816" t="s">
        <v>2578</v>
      </c>
      <c r="O816" t="s">
        <v>73</v>
      </c>
      <c r="P816" t="s">
        <v>81</v>
      </c>
      <c r="Q816" t="s">
        <v>2579</v>
      </c>
      <c r="R816" t="s">
        <v>2578</v>
      </c>
    </row>
    <row r="817" spans="1:18" x14ac:dyDescent="0.25">
      <c r="A817" t="s">
        <v>20021</v>
      </c>
      <c r="B817" t="s">
        <v>2582</v>
      </c>
      <c r="C817" t="str">
        <f>HYPERLINK("https://nematode.unl.edu/apole4.jpg")</f>
        <v>https://nematode.unl.edu/apole4.jpg</v>
      </c>
      <c r="D817" t="s">
        <v>2577</v>
      </c>
      <c r="G817" t="s">
        <v>34</v>
      </c>
      <c r="H817" t="s">
        <v>18</v>
      </c>
      <c r="I817" t="s">
        <v>41</v>
      </c>
      <c r="J817" t="s">
        <v>20</v>
      </c>
      <c r="M817" t="s">
        <v>2578</v>
      </c>
      <c r="N817" t="s">
        <v>2578</v>
      </c>
      <c r="O817" t="s">
        <v>73</v>
      </c>
      <c r="P817" t="s">
        <v>81</v>
      </c>
      <c r="Q817" t="s">
        <v>2579</v>
      </c>
      <c r="R817" t="s">
        <v>2578</v>
      </c>
    </row>
    <row r="818" spans="1:18" x14ac:dyDescent="0.25">
      <c r="A818" t="s">
        <v>20022</v>
      </c>
      <c r="B818" t="s">
        <v>2583</v>
      </c>
      <c r="C818" t="str">
        <f>HYPERLINK("https://nematode.unl.edu/apole5.jpg")</f>
        <v>https://nematode.unl.edu/apole5.jpg</v>
      </c>
      <c r="D818" t="s">
        <v>2577</v>
      </c>
      <c r="G818" t="s">
        <v>87</v>
      </c>
      <c r="I818" t="s">
        <v>41</v>
      </c>
      <c r="J818" t="s">
        <v>20</v>
      </c>
      <c r="M818" t="s">
        <v>2578</v>
      </c>
      <c r="N818" t="s">
        <v>2578</v>
      </c>
      <c r="O818" t="s">
        <v>73</v>
      </c>
      <c r="P818" t="s">
        <v>81</v>
      </c>
      <c r="Q818" t="s">
        <v>2579</v>
      </c>
      <c r="R818" t="s">
        <v>2578</v>
      </c>
    </row>
    <row r="819" spans="1:18" x14ac:dyDescent="0.25">
      <c r="A819" t="s">
        <v>20026</v>
      </c>
      <c r="B819" t="s">
        <v>2584</v>
      </c>
      <c r="C819" t="str">
        <f>HYPERLINK("https://nematode.unl.edu/apole6.jpg")</f>
        <v>https://nematode.unl.edu/apole6.jpg</v>
      </c>
      <c r="D819" t="s">
        <v>2577</v>
      </c>
      <c r="G819" t="s">
        <v>51</v>
      </c>
      <c r="I819" t="s">
        <v>41</v>
      </c>
      <c r="J819" t="s">
        <v>20</v>
      </c>
      <c r="M819" t="s">
        <v>2578</v>
      </c>
      <c r="N819" t="s">
        <v>2578</v>
      </c>
      <c r="O819" t="s">
        <v>73</v>
      </c>
      <c r="P819" t="s">
        <v>81</v>
      </c>
      <c r="Q819" t="s">
        <v>2579</v>
      </c>
      <c r="R819" t="s">
        <v>2578</v>
      </c>
    </row>
    <row r="820" spans="1:18" x14ac:dyDescent="0.25">
      <c r="A820" t="s">
        <v>20023</v>
      </c>
      <c r="B820" t="s">
        <v>2585</v>
      </c>
      <c r="C820" t="str">
        <f>HYPERLINK("https://nematode.unl.edu/apole7.jpg")</f>
        <v>https://nematode.unl.edu/apole7.jpg</v>
      </c>
      <c r="D820" t="s">
        <v>77</v>
      </c>
      <c r="G820" t="s">
        <v>112</v>
      </c>
      <c r="I820" t="s">
        <v>41</v>
      </c>
      <c r="J820" t="s">
        <v>20</v>
      </c>
      <c r="L820" t="s">
        <v>352</v>
      </c>
      <c r="M820" t="s">
        <v>2578</v>
      </c>
      <c r="N820" t="s">
        <v>2578</v>
      </c>
      <c r="O820" t="s">
        <v>73</v>
      </c>
      <c r="P820" t="s">
        <v>81</v>
      </c>
      <c r="Q820" t="s">
        <v>2579</v>
      </c>
      <c r="R820" t="s">
        <v>2578</v>
      </c>
    </row>
    <row r="821" spans="1:18" x14ac:dyDescent="0.25">
      <c r="A821" t="s">
        <v>19215</v>
      </c>
      <c r="B821" t="s">
        <v>2843</v>
      </c>
      <c r="C821" t="str">
        <f>HYPERLINK("https://nematode.unl.edu/aporam1.jpg")</f>
        <v>https://nematode.unl.edu/aporam1.jpg</v>
      </c>
      <c r="D821" t="s">
        <v>43</v>
      </c>
      <c r="G821" t="s">
        <v>44</v>
      </c>
      <c r="I821" t="s">
        <v>91</v>
      </c>
      <c r="J821" t="s">
        <v>20</v>
      </c>
      <c r="L821" t="s">
        <v>35</v>
      </c>
      <c r="M821" t="s">
        <v>2826</v>
      </c>
      <c r="N821" t="s">
        <v>2826</v>
      </c>
      <c r="O821" t="s">
        <v>73</v>
      </c>
      <c r="P821" t="s">
        <v>81</v>
      </c>
      <c r="Q821" t="s">
        <v>119</v>
      </c>
      <c r="R821" t="s">
        <v>320</v>
      </c>
    </row>
    <row r="822" spans="1:18" x14ac:dyDescent="0.25">
      <c r="A822" t="s">
        <v>19221</v>
      </c>
      <c r="B822" t="s">
        <v>2844</v>
      </c>
      <c r="C822" t="str">
        <f>HYPERLINK("https://nematode.unl.edu/aporam2.jpg")</f>
        <v>https://nematode.unl.edu/aporam2.jpg</v>
      </c>
      <c r="D822" t="s">
        <v>43</v>
      </c>
      <c r="G822" t="s">
        <v>28</v>
      </c>
      <c r="I822" t="s">
        <v>45</v>
      </c>
      <c r="J822" t="s">
        <v>20</v>
      </c>
      <c r="L822" t="s">
        <v>64</v>
      </c>
      <c r="M822" t="s">
        <v>2826</v>
      </c>
      <c r="N822" t="s">
        <v>2826</v>
      </c>
      <c r="O822" t="s">
        <v>73</v>
      </c>
      <c r="P822" t="s">
        <v>81</v>
      </c>
      <c r="Q822" t="s">
        <v>119</v>
      </c>
      <c r="R822" t="s">
        <v>320</v>
      </c>
    </row>
    <row r="823" spans="1:18" x14ac:dyDescent="0.25">
      <c r="A823" t="s">
        <v>19226</v>
      </c>
      <c r="B823" t="s">
        <v>2845</v>
      </c>
      <c r="C823" t="str">
        <f>HYPERLINK("https://nematode.unl.edu/aporam3.jpg")</f>
        <v>https://nematode.unl.edu/aporam3.jpg</v>
      </c>
      <c r="D823" t="s">
        <v>43</v>
      </c>
      <c r="G823" t="s">
        <v>51</v>
      </c>
      <c r="I823" t="s">
        <v>45</v>
      </c>
      <c r="J823" t="s">
        <v>20</v>
      </c>
      <c r="L823" t="s">
        <v>64</v>
      </c>
      <c r="M823" t="s">
        <v>2826</v>
      </c>
      <c r="N823" t="s">
        <v>2826</v>
      </c>
      <c r="O823" t="s">
        <v>73</v>
      </c>
      <c r="P823" t="s">
        <v>81</v>
      </c>
      <c r="Q823" t="s">
        <v>119</v>
      </c>
      <c r="R823" t="s">
        <v>320</v>
      </c>
    </row>
    <row r="824" spans="1:18" x14ac:dyDescent="0.25">
      <c r="A824" t="s">
        <v>19213</v>
      </c>
      <c r="B824" t="s">
        <v>2846</v>
      </c>
      <c r="C824" t="str">
        <f>HYPERLINK("https://nematode.unl.edu/aporam4.jpg")</f>
        <v>https://nematode.unl.edu/aporam4.jpg</v>
      </c>
      <c r="D824" t="s">
        <v>43</v>
      </c>
      <c r="G824" t="s">
        <v>87</v>
      </c>
      <c r="I824" t="s">
        <v>45</v>
      </c>
      <c r="J824" t="s">
        <v>20</v>
      </c>
      <c r="L824" t="s">
        <v>35</v>
      </c>
      <c r="M824" t="s">
        <v>2826</v>
      </c>
      <c r="N824" t="s">
        <v>2826</v>
      </c>
      <c r="O824" t="s">
        <v>73</v>
      </c>
      <c r="P824" t="s">
        <v>81</v>
      </c>
      <c r="Q824" t="s">
        <v>119</v>
      </c>
      <c r="R824" t="s">
        <v>320</v>
      </c>
    </row>
    <row r="825" spans="1:18" x14ac:dyDescent="0.25">
      <c r="A825" t="s">
        <v>19208</v>
      </c>
      <c r="B825" t="s">
        <v>2847</v>
      </c>
      <c r="C825" t="str">
        <f>HYPERLINK("https://nematode.unl.edu/aporam5.jpg")</f>
        <v>https://nematode.unl.edu/aporam5.jpg</v>
      </c>
      <c r="D825" t="s">
        <v>43</v>
      </c>
      <c r="G825" t="s">
        <v>34</v>
      </c>
      <c r="H825" t="s">
        <v>18</v>
      </c>
      <c r="I825" t="s">
        <v>45</v>
      </c>
      <c r="J825" t="s">
        <v>20</v>
      </c>
      <c r="L825" t="s">
        <v>64</v>
      </c>
      <c r="M825" t="s">
        <v>2826</v>
      </c>
      <c r="N825" t="s">
        <v>2826</v>
      </c>
      <c r="O825" t="s">
        <v>73</v>
      </c>
      <c r="P825" t="s">
        <v>81</v>
      </c>
      <c r="Q825" t="s">
        <v>119</v>
      </c>
      <c r="R825" t="s">
        <v>320</v>
      </c>
    </row>
    <row r="826" spans="1:18" x14ac:dyDescent="0.25">
      <c r="A826" t="s">
        <v>19209</v>
      </c>
      <c r="B826" t="s">
        <v>2848</v>
      </c>
      <c r="C826" t="str">
        <f>HYPERLINK("https://nematode.unl.edu/aporam6.jpg")</f>
        <v>https://nematode.unl.edu/aporam6.jpg</v>
      </c>
      <c r="D826" t="s">
        <v>43</v>
      </c>
      <c r="G826" t="s">
        <v>34</v>
      </c>
      <c r="H826" t="s">
        <v>18</v>
      </c>
      <c r="I826" t="s">
        <v>137</v>
      </c>
      <c r="J826" t="s">
        <v>20</v>
      </c>
      <c r="L826" t="s">
        <v>35</v>
      </c>
      <c r="M826" t="s">
        <v>2826</v>
      </c>
      <c r="N826" t="s">
        <v>2826</v>
      </c>
      <c r="O826" t="s">
        <v>73</v>
      </c>
      <c r="P826" t="s">
        <v>81</v>
      </c>
      <c r="Q826" t="s">
        <v>119</v>
      </c>
      <c r="R826" t="s">
        <v>320</v>
      </c>
    </row>
    <row r="827" spans="1:18" x14ac:dyDescent="0.25">
      <c r="A827" t="s">
        <v>19210</v>
      </c>
      <c r="B827" t="s">
        <v>2849</v>
      </c>
      <c r="C827" t="str">
        <f>HYPERLINK("https://nematode.unl.edu/aporam7.jpg")</f>
        <v>https://nematode.unl.edu/aporam7.jpg</v>
      </c>
      <c r="D827" t="s">
        <v>43</v>
      </c>
      <c r="G827" t="s">
        <v>34</v>
      </c>
      <c r="H827" t="s">
        <v>18</v>
      </c>
      <c r="I827" t="s">
        <v>19</v>
      </c>
      <c r="J827" t="s">
        <v>20</v>
      </c>
      <c r="M827" t="s">
        <v>2826</v>
      </c>
      <c r="N827" t="s">
        <v>2826</v>
      </c>
      <c r="O827" t="s">
        <v>73</v>
      </c>
      <c r="P827" t="s">
        <v>81</v>
      </c>
      <c r="Q827" t="s">
        <v>119</v>
      </c>
      <c r="R827" t="s">
        <v>320</v>
      </c>
    </row>
    <row r="828" spans="1:18" x14ac:dyDescent="0.25">
      <c r="A828" t="s">
        <v>19214</v>
      </c>
      <c r="B828" t="s">
        <v>2850</v>
      </c>
      <c r="C828" t="str">
        <f>HYPERLINK("https://nematode.unl.edu/aporam8.jpg")</f>
        <v>https://nematode.unl.edu/aporam8.jpg</v>
      </c>
      <c r="D828" t="s">
        <v>43</v>
      </c>
      <c r="G828" t="s">
        <v>87</v>
      </c>
      <c r="I828" t="s">
        <v>19</v>
      </c>
      <c r="J828" t="s">
        <v>20</v>
      </c>
      <c r="M828" t="s">
        <v>2826</v>
      </c>
      <c r="N828" t="s">
        <v>2826</v>
      </c>
      <c r="O828" t="s">
        <v>73</v>
      </c>
      <c r="P828" t="s">
        <v>81</v>
      </c>
      <c r="Q828" t="s">
        <v>119</v>
      </c>
      <c r="R828" t="s">
        <v>320</v>
      </c>
    </row>
    <row r="829" spans="1:18" x14ac:dyDescent="0.25">
      <c r="A829" t="s">
        <v>18856</v>
      </c>
      <c r="B829" t="s">
        <v>2648</v>
      </c>
      <c r="C829" t="str">
        <f>HYPERLINK("https://nematode.unl.edu/aporc1.jpg")</f>
        <v>https://nematode.unl.edu/aporc1.jpg</v>
      </c>
      <c r="D829" t="s">
        <v>16</v>
      </c>
      <c r="G829" t="s">
        <v>87</v>
      </c>
      <c r="I829" t="s">
        <v>19</v>
      </c>
      <c r="J829" t="s">
        <v>46</v>
      </c>
      <c r="L829" t="s">
        <v>105</v>
      </c>
      <c r="M829" t="s">
        <v>2612</v>
      </c>
      <c r="N829" t="s">
        <v>2612</v>
      </c>
      <c r="O829" t="s">
        <v>73</v>
      </c>
      <c r="P829" t="s">
        <v>81</v>
      </c>
      <c r="Q829" t="s">
        <v>119</v>
      </c>
      <c r="R829" t="s">
        <v>118</v>
      </c>
    </row>
    <row r="830" spans="1:18" x14ac:dyDescent="0.25">
      <c r="A830" t="s">
        <v>18849</v>
      </c>
      <c r="B830" t="s">
        <v>2649</v>
      </c>
      <c r="C830" t="str">
        <f>HYPERLINK("https://nematode.unl.edu/aporc2.jpg")</f>
        <v>https://nematode.unl.edu/aporc2.jpg</v>
      </c>
      <c r="D830" t="s">
        <v>16</v>
      </c>
      <c r="G830" t="s">
        <v>34</v>
      </c>
      <c r="H830" t="s">
        <v>18</v>
      </c>
      <c r="I830" t="s">
        <v>19</v>
      </c>
      <c r="J830" t="s">
        <v>46</v>
      </c>
      <c r="L830" t="s">
        <v>105</v>
      </c>
      <c r="M830" t="s">
        <v>2612</v>
      </c>
      <c r="N830" t="s">
        <v>2612</v>
      </c>
      <c r="O830" t="s">
        <v>73</v>
      </c>
      <c r="P830" t="s">
        <v>81</v>
      </c>
      <c r="Q830" t="s">
        <v>119</v>
      </c>
      <c r="R830" t="s">
        <v>118</v>
      </c>
    </row>
    <row r="831" spans="1:18" x14ac:dyDescent="0.25">
      <c r="A831" t="s">
        <v>18850</v>
      </c>
      <c r="B831" t="s">
        <v>2650</v>
      </c>
      <c r="C831" t="str">
        <f>HYPERLINK("https://nematode.unl.edu/aporc3.jpg")</f>
        <v>https://nematode.unl.edu/aporc3.jpg</v>
      </c>
      <c r="D831" t="s">
        <v>16</v>
      </c>
      <c r="G831" t="s">
        <v>34</v>
      </c>
      <c r="H831" t="s">
        <v>18</v>
      </c>
      <c r="I831" t="s">
        <v>19</v>
      </c>
      <c r="J831" t="s">
        <v>46</v>
      </c>
      <c r="L831" t="s">
        <v>727</v>
      </c>
      <c r="M831" t="s">
        <v>2612</v>
      </c>
      <c r="N831" t="s">
        <v>2612</v>
      </c>
      <c r="O831" t="s">
        <v>73</v>
      </c>
      <c r="P831" t="s">
        <v>81</v>
      </c>
      <c r="Q831" t="s">
        <v>119</v>
      </c>
      <c r="R831" t="s">
        <v>118</v>
      </c>
    </row>
    <row r="832" spans="1:18" x14ac:dyDescent="0.25">
      <c r="A832" t="s">
        <v>18860</v>
      </c>
      <c r="B832" t="s">
        <v>2651</v>
      </c>
      <c r="C832" t="str">
        <f>HYPERLINK("https://nematode.unl.edu/aporc4.jpg")</f>
        <v>https://nematode.unl.edu/aporc4.jpg</v>
      </c>
      <c r="D832" t="s">
        <v>16</v>
      </c>
      <c r="G832" t="s">
        <v>44</v>
      </c>
      <c r="I832" t="s">
        <v>91</v>
      </c>
      <c r="J832" t="s">
        <v>46</v>
      </c>
      <c r="L832" t="s">
        <v>105</v>
      </c>
      <c r="M832" t="s">
        <v>2612</v>
      </c>
      <c r="N832" t="s">
        <v>2612</v>
      </c>
      <c r="O832" t="s">
        <v>73</v>
      </c>
      <c r="P832" t="s">
        <v>81</v>
      </c>
      <c r="Q832" t="s">
        <v>119</v>
      </c>
      <c r="R832" t="s">
        <v>118</v>
      </c>
    </row>
    <row r="833" spans="1:18" x14ac:dyDescent="0.25">
      <c r="A833" t="s">
        <v>18824</v>
      </c>
      <c r="B833" t="s">
        <v>2586</v>
      </c>
      <c r="C833" t="str">
        <f>HYPERLINK("https://nematode.unl.edu/aporcar.jpg")</f>
        <v>https://nematode.unl.edu/aporcar.jpg</v>
      </c>
      <c r="D833" t="s">
        <v>16</v>
      </c>
      <c r="G833" t="s">
        <v>87</v>
      </c>
      <c r="I833" t="s">
        <v>19</v>
      </c>
      <c r="J833" t="s">
        <v>46</v>
      </c>
      <c r="L833" t="s">
        <v>105</v>
      </c>
      <c r="M833" t="s">
        <v>118</v>
      </c>
      <c r="N833" t="s">
        <v>118</v>
      </c>
      <c r="O833" t="s">
        <v>73</v>
      </c>
      <c r="P833" t="s">
        <v>81</v>
      </c>
      <c r="Q833" t="s">
        <v>119</v>
      </c>
      <c r="R833" t="s">
        <v>118</v>
      </c>
    </row>
    <row r="834" spans="1:18" x14ac:dyDescent="0.25">
      <c r="A834" t="s">
        <v>18863</v>
      </c>
      <c r="B834" t="s">
        <v>2652</v>
      </c>
      <c r="C834" t="str">
        <f>HYPERLINK("https://nematode.unl.edu/aporcdrw.jpg")</f>
        <v>https://nematode.unl.edu/aporcdrw.jpg</v>
      </c>
      <c r="G834" t="s">
        <v>108</v>
      </c>
      <c r="M834" t="s">
        <v>2612</v>
      </c>
      <c r="N834" t="s">
        <v>2612</v>
      </c>
      <c r="O834" t="s">
        <v>73</v>
      </c>
      <c r="P834" t="s">
        <v>81</v>
      </c>
      <c r="Q834" t="s">
        <v>119</v>
      </c>
      <c r="R834" t="s">
        <v>118</v>
      </c>
    </row>
    <row r="835" spans="1:18" x14ac:dyDescent="0.25">
      <c r="A835" t="s">
        <v>19075</v>
      </c>
      <c r="B835" t="s">
        <v>266</v>
      </c>
      <c r="C835" t="str">
        <f>HYPERLINK("https://nematode.unl.edu/aporcelob1.jpg")</f>
        <v>https://nematode.unl.edu/aporcelob1.jpg</v>
      </c>
      <c r="D835" t="s">
        <v>16</v>
      </c>
      <c r="G835" t="s">
        <v>34</v>
      </c>
      <c r="H835" t="s">
        <v>18</v>
      </c>
      <c r="I835" t="s">
        <v>19</v>
      </c>
      <c r="J835" t="s">
        <v>267</v>
      </c>
      <c r="M835" t="s">
        <v>233</v>
      </c>
      <c r="N835" t="s">
        <v>135</v>
      </c>
      <c r="O835" t="s">
        <v>73</v>
      </c>
      <c r="P835" t="s">
        <v>81</v>
      </c>
      <c r="Q835" t="s">
        <v>119</v>
      </c>
      <c r="R835" t="s">
        <v>118</v>
      </c>
    </row>
    <row r="836" spans="1:18" x14ac:dyDescent="0.25">
      <c r="A836" t="s">
        <v>19113</v>
      </c>
      <c r="B836" t="s">
        <v>268</v>
      </c>
      <c r="C836" t="str">
        <f>HYPERLINK("https://nematode.unl.edu/aporcelob10.jpg")</f>
        <v>https://nematode.unl.edu/aporcelob10.jpg</v>
      </c>
      <c r="D836" t="s">
        <v>43</v>
      </c>
      <c r="G836" t="s">
        <v>28</v>
      </c>
      <c r="I836" t="s">
        <v>19</v>
      </c>
      <c r="J836" t="s">
        <v>267</v>
      </c>
      <c r="M836" t="s">
        <v>233</v>
      </c>
      <c r="N836" t="s">
        <v>135</v>
      </c>
      <c r="O836" t="s">
        <v>73</v>
      </c>
      <c r="P836" t="s">
        <v>81</v>
      </c>
      <c r="Q836" t="s">
        <v>119</v>
      </c>
      <c r="R836" t="s">
        <v>118</v>
      </c>
    </row>
    <row r="837" spans="1:18" x14ac:dyDescent="0.25">
      <c r="A837" t="s">
        <v>19076</v>
      </c>
      <c r="B837" t="s">
        <v>269</v>
      </c>
      <c r="C837" t="str">
        <f>HYPERLINK("https://nematode.unl.edu/aporcelob11.jpg")</f>
        <v>https://nematode.unl.edu/aporcelob11.jpg</v>
      </c>
      <c r="D837" t="s">
        <v>16</v>
      </c>
      <c r="G837" t="s">
        <v>34</v>
      </c>
      <c r="H837" t="s">
        <v>18</v>
      </c>
      <c r="I837" t="s">
        <v>19</v>
      </c>
      <c r="J837" t="s">
        <v>267</v>
      </c>
      <c r="M837" t="s">
        <v>233</v>
      </c>
      <c r="N837" t="s">
        <v>135</v>
      </c>
      <c r="O837" t="s">
        <v>73</v>
      </c>
      <c r="P837" t="s">
        <v>81</v>
      </c>
      <c r="Q837" t="s">
        <v>119</v>
      </c>
      <c r="R837" t="s">
        <v>118</v>
      </c>
    </row>
    <row r="838" spans="1:18" x14ac:dyDescent="0.25">
      <c r="A838" t="s">
        <v>19114</v>
      </c>
      <c r="B838" t="s">
        <v>270</v>
      </c>
      <c r="C838" t="str">
        <f>HYPERLINK("https://nematode.unl.edu/aporcelob12.jpg")</f>
        <v>https://nematode.unl.edu/aporcelob12.jpg</v>
      </c>
      <c r="D838" t="s">
        <v>16</v>
      </c>
      <c r="G838" t="s">
        <v>28</v>
      </c>
      <c r="I838" t="s">
        <v>19</v>
      </c>
      <c r="J838" t="s">
        <v>267</v>
      </c>
      <c r="M838" t="s">
        <v>233</v>
      </c>
      <c r="N838" t="s">
        <v>135</v>
      </c>
      <c r="O838" t="s">
        <v>73</v>
      </c>
      <c r="P838" t="s">
        <v>81</v>
      </c>
      <c r="Q838" t="s">
        <v>119</v>
      </c>
      <c r="R838" t="s">
        <v>118</v>
      </c>
    </row>
    <row r="839" spans="1:18" x14ac:dyDescent="0.25">
      <c r="A839" t="s">
        <v>19077</v>
      </c>
      <c r="B839" t="s">
        <v>271</v>
      </c>
      <c r="C839" t="str">
        <f>HYPERLINK("https://nematode.unl.edu/aporcelob13.jpg")</f>
        <v>https://nematode.unl.edu/aporcelob13.jpg</v>
      </c>
      <c r="D839" t="s">
        <v>16</v>
      </c>
      <c r="G839" t="s">
        <v>34</v>
      </c>
      <c r="H839" t="s">
        <v>18</v>
      </c>
      <c r="I839" t="s">
        <v>19</v>
      </c>
      <c r="J839" t="s">
        <v>267</v>
      </c>
      <c r="M839" t="s">
        <v>233</v>
      </c>
      <c r="N839" t="s">
        <v>135</v>
      </c>
      <c r="O839" t="s">
        <v>73</v>
      </c>
      <c r="P839" t="s">
        <v>81</v>
      </c>
      <c r="Q839" t="s">
        <v>119</v>
      </c>
      <c r="R839" t="s">
        <v>118</v>
      </c>
    </row>
    <row r="840" spans="1:18" x14ac:dyDescent="0.25">
      <c r="A840" t="s">
        <v>19115</v>
      </c>
      <c r="B840" t="s">
        <v>272</v>
      </c>
      <c r="C840" t="str">
        <f>HYPERLINK("https://nematode.unl.edu/aporcelob14.jpg")</f>
        <v>https://nematode.unl.edu/aporcelob14.jpg</v>
      </c>
      <c r="D840" t="s">
        <v>16</v>
      </c>
      <c r="G840" t="s">
        <v>28</v>
      </c>
      <c r="J840" t="s">
        <v>267</v>
      </c>
      <c r="M840" t="s">
        <v>233</v>
      </c>
      <c r="N840" t="s">
        <v>135</v>
      </c>
      <c r="O840" t="s">
        <v>73</v>
      </c>
      <c r="P840" t="s">
        <v>81</v>
      </c>
      <c r="Q840" t="s">
        <v>119</v>
      </c>
      <c r="R840" t="s">
        <v>118</v>
      </c>
    </row>
    <row r="841" spans="1:18" x14ac:dyDescent="0.25">
      <c r="A841" t="s">
        <v>19116</v>
      </c>
      <c r="B841" t="s">
        <v>273</v>
      </c>
      <c r="C841" t="str">
        <f>HYPERLINK("https://nematode.unl.edu/aporcelob2.jpg")</f>
        <v>https://nematode.unl.edu/aporcelob2.jpg</v>
      </c>
      <c r="D841" t="s">
        <v>16</v>
      </c>
      <c r="G841" t="s">
        <v>28</v>
      </c>
      <c r="I841" t="s">
        <v>19</v>
      </c>
      <c r="J841" t="s">
        <v>267</v>
      </c>
      <c r="M841" t="s">
        <v>233</v>
      </c>
      <c r="N841" t="s">
        <v>135</v>
      </c>
      <c r="O841" t="s">
        <v>73</v>
      </c>
      <c r="P841" t="s">
        <v>81</v>
      </c>
      <c r="Q841" t="s">
        <v>119</v>
      </c>
      <c r="R841" t="s">
        <v>118</v>
      </c>
    </row>
    <row r="842" spans="1:18" x14ac:dyDescent="0.25">
      <c r="A842" t="s">
        <v>19078</v>
      </c>
      <c r="B842" t="s">
        <v>274</v>
      </c>
      <c r="C842" t="str">
        <f>HYPERLINK("https://nematode.unl.edu/aporcelob3.jpg")</f>
        <v>https://nematode.unl.edu/aporcelob3.jpg</v>
      </c>
      <c r="D842" t="s">
        <v>16</v>
      </c>
      <c r="G842" t="s">
        <v>34</v>
      </c>
      <c r="H842" t="s">
        <v>18</v>
      </c>
      <c r="I842" t="s">
        <v>19</v>
      </c>
      <c r="J842" t="s">
        <v>267</v>
      </c>
      <c r="M842" t="s">
        <v>233</v>
      </c>
      <c r="N842" t="s">
        <v>135</v>
      </c>
      <c r="O842" t="s">
        <v>73</v>
      </c>
      <c r="P842" t="s">
        <v>81</v>
      </c>
      <c r="Q842" t="s">
        <v>119</v>
      </c>
      <c r="R842" t="s">
        <v>118</v>
      </c>
    </row>
    <row r="843" spans="1:18" x14ac:dyDescent="0.25">
      <c r="A843" t="s">
        <v>19117</v>
      </c>
      <c r="B843" t="s">
        <v>275</v>
      </c>
      <c r="C843" t="str">
        <f>HYPERLINK("https://nematode.unl.edu/aporcelob4.jpg")</f>
        <v>https://nematode.unl.edu/aporcelob4.jpg</v>
      </c>
      <c r="D843" t="s">
        <v>16</v>
      </c>
      <c r="G843" t="s">
        <v>28</v>
      </c>
      <c r="I843" t="s">
        <v>19</v>
      </c>
      <c r="J843" t="s">
        <v>267</v>
      </c>
      <c r="M843" t="s">
        <v>233</v>
      </c>
      <c r="N843" t="s">
        <v>135</v>
      </c>
      <c r="O843" t="s">
        <v>73</v>
      </c>
      <c r="P843" t="s">
        <v>81</v>
      </c>
      <c r="Q843" t="s">
        <v>119</v>
      </c>
      <c r="R843" t="s">
        <v>118</v>
      </c>
    </row>
    <row r="844" spans="1:18" x14ac:dyDescent="0.25">
      <c r="A844" t="s">
        <v>19079</v>
      </c>
      <c r="B844" t="s">
        <v>276</v>
      </c>
      <c r="C844" t="str">
        <f>HYPERLINK("https://nematode.unl.edu/aporcelob5.jpg")</f>
        <v>https://nematode.unl.edu/aporcelob5.jpg</v>
      </c>
      <c r="D844" t="s">
        <v>77</v>
      </c>
      <c r="G844" t="s">
        <v>34</v>
      </c>
      <c r="H844" t="s">
        <v>18</v>
      </c>
      <c r="I844" t="s">
        <v>19</v>
      </c>
      <c r="J844" t="s">
        <v>267</v>
      </c>
      <c r="M844" t="s">
        <v>233</v>
      </c>
      <c r="N844" t="s">
        <v>135</v>
      </c>
      <c r="O844" t="s">
        <v>73</v>
      </c>
      <c r="P844" t="s">
        <v>81</v>
      </c>
      <c r="Q844" t="s">
        <v>119</v>
      </c>
      <c r="R844" t="s">
        <v>118</v>
      </c>
    </row>
    <row r="845" spans="1:18" x14ac:dyDescent="0.25">
      <c r="A845" t="s">
        <v>19106</v>
      </c>
      <c r="B845" t="s">
        <v>277</v>
      </c>
      <c r="C845" t="str">
        <f>HYPERLINK("https://nematode.unl.edu/aporcelob6.jpg")</f>
        <v>https://nematode.unl.edu/aporcelob6.jpg</v>
      </c>
      <c r="D845" t="s">
        <v>77</v>
      </c>
      <c r="G845" t="s">
        <v>112</v>
      </c>
      <c r="I845" t="s">
        <v>19</v>
      </c>
      <c r="J845" t="s">
        <v>267</v>
      </c>
      <c r="M845" t="s">
        <v>233</v>
      </c>
      <c r="N845" t="s">
        <v>135</v>
      </c>
      <c r="O845" t="s">
        <v>73</v>
      </c>
      <c r="P845" t="s">
        <v>81</v>
      </c>
      <c r="Q845" t="s">
        <v>119</v>
      </c>
      <c r="R845" t="s">
        <v>118</v>
      </c>
    </row>
    <row r="846" spans="1:18" x14ac:dyDescent="0.25">
      <c r="A846" t="s">
        <v>19095</v>
      </c>
      <c r="B846" t="s">
        <v>278</v>
      </c>
      <c r="C846" t="str">
        <f>HYPERLINK("https://nematode.unl.edu/aporcelob7.jpg")</f>
        <v>https://nematode.unl.edu/aporcelob7.jpg</v>
      </c>
      <c r="D846" t="s">
        <v>43</v>
      </c>
      <c r="G846" t="s">
        <v>44</v>
      </c>
      <c r="I846" t="s">
        <v>45</v>
      </c>
      <c r="J846" t="s">
        <v>267</v>
      </c>
      <c r="M846" t="s">
        <v>233</v>
      </c>
      <c r="N846" t="s">
        <v>135</v>
      </c>
      <c r="O846" t="s">
        <v>73</v>
      </c>
      <c r="P846" t="s">
        <v>81</v>
      </c>
      <c r="Q846" t="s">
        <v>119</v>
      </c>
      <c r="R846" t="s">
        <v>118</v>
      </c>
    </row>
    <row r="847" spans="1:18" x14ac:dyDescent="0.25">
      <c r="A847" t="s">
        <v>19080</v>
      </c>
      <c r="B847" t="s">
        <v>279</v>
      </c>
      <c r="C847" t="str">
        <f>HYPERLINK("https://nematode.unl.edu/aporcelob8.jpg")</f>
        <v>https://nematode.unl.edu/aporcelob8.jpg</v>
      </c>
      <c r="D847" t="s">
        <v>43</v>
      </c>
      <c r="G847" t="s">
        <v>34</v>
      </c>
      <c r="H847" t="s">
        <v>18</v>
      </c>
      <c r="I847" t="s">
        <v>19</v>
      </c>
      <c r="J847" t="s">
        <v>267</v>
      </c>
      <c r="M847" t="s">
        <v>233</v>
      </c>
      <c r="N847" t="s">
        <v>135</v>
      </c>
      <c r="O847" t="s">
        <v>73</v>
      </c>
      <c r="P847" t="s">
        <v>81</v>
      </c>
      <c r="Q847" t="s">
        <v>119</v>
      </c>
      <c r="R847" t="s">
        <v>118</v>
      </c>
    </row>
    <row r="848" spans="1:18" x14ac:dyDescent="0.25">
      <c r="A848" t="s">
        <v>19125</v>
      </c>
      <c r="B848" t="s">
        <v>280</v>
      </c>
      <c r="C848" t="str">
        <f>HYPERLINK("https://nematode.unl.edu/aporcelob9.jpg")</f>
        <v>https://nematode.unl.edu/aporcelob9.jpg</v>
      </c>
      <c r="D848" t="s">
        <v>43</v>
      </c>
      <c r="G848" t="s">
        <v>51</v>
      </c>
      <c r="I848" t="s">
        <v>19</v>
      </c>
      <c r="J848" t="s">
        <v>267</v>
      </c>
      <c r="M848" t="s">
        <v>233</v>
      </c>
      <c r="N848" t="s">
        <v>135</v>
      </c>
      <c r="O848" t="s">
        <v>73</v>
      </c>
      <c r="P848" t="s">
        <v>81</v>
      </c>
      <c r="Q848" t="s">
        <v>119</v>
      </c>
      <c r="R848" t="s">
        <v>118</v>
      </c>
    </row>
    <row r="849" spans="1:18" x14ac:dyDescent="0.25">
      <c r="A849" t="s">
        <v>19201</v>
      </c>
      <c r="B849" t="s">
        <v>2823</v>
      </c>
      <c r="C849" t="str">
        <f>HYPERLINK("https://nematode.unl.edu/aporces1.jpg")</f>
        <v>https://nematode.unl.edu/aporces1.jpg</v>
      </c>
      <c r="D849" t="s">
        <v>16</v>
      </c>
      <c r="G849" t="s">
        <v>34</v>
      </c>
      <c r="H849" t="s">
        <v>18</v>
      </c>
      <c r="I849" t="s">
        <v>19</v>
      </c>
      <c r="J849" t="s">
        <v>2824</v>
      </c>
      <c r="M849" t="s">
        <v>320</v>
      </c>
      <c r="N849" t="s">
        <v>320</v>
      </c>
      <c r="O849" t="s">
        <v>73</v>
      </c>
      <c r="P849" t="s">
        <v>81</v>
      </c>
      <c r="Q849" t="s">
        <v>119</v>
      </c>
      <c r="R849" t="s">
        <v>320</v>
      </c>
    </row>
    <row r="850" spans="1:18" x14ac:dyDescent="0.25">
      <c r="A850" t="s">
        <v>19006</v>
      </c>
      <c r="B850" t="s">
        <v>160</v>
      </c>
      <c r="C850" t="str">
        <f>HYPERLINK("https://nematode.unl.edu/aporcobs1.jpg")</f>
        <v>https://nematode.unl.edu/aporcobs1.jpg</v>
      </c>
      <c r="D850" t="s">
        <v>43</v>
      </c>
      <c r="G850" t="s">
        <v>34</v>
      </c>
      <c r="H850" t="s">
        <v>18</v>
      </c>
      <c r="I850" t="s">
        <v>19</v>
      </c>
      <c r="J850" t="s">
        <v>161</v>
      </c>
      <c r="L850" t="s">
        <v>162</v>
      </c>
      <c r="M850" t="s">
        <v>156</v>
      </c>
      <c r="N850" t="s">
        <v>135</v>
      </c>
      <c r="O850" t="s">
        <v>73</v>
      </c>
      <c r="P850" t="s">
        <v>81</v>
      </c>
      <c r="Q850" t="s">
        <v>119</v>
      </c>
      <c r="R850" t="s">
        <v>118</v>
      </c>
    </row>
    <row r="851" spans="1:18" x14ac:dyDescent="0.25">
      <c r="A851" t="s">
        <v>19021</v>
      </c>
      <c r="B851" t="s">
        <v>163</v>
      </c>
      <c r="C851" t="str">
        <f>HYPERLINK("https://nematode.unl.edu/aporcobs2.jpg")</f>
        <v>https://nematode.unl.edu/aporcobs2.jpg</v>
      </c>
      <c r="D851" t="s">
        <v>43</v>
      </c>
      <c r="G851" t="s">
        <v>87</v>
      </c>
      <c r="I851" t="s">
        <v>19</v>
      </c>
      <c r="J851" t="s">
        <v>161</v>
      </c>
      <c r="M851" t="s">
        <v>156</v>
      </c>
      <c r="N851" t="s">
        <v>135</v>
      </c>
      <c r="O851" t="s">
        <v>73</v>
      </c>
      <c r="P851" t="s">
        <v>81</v>
      </c>
      <c r="Q851" t="s">
        <v>119</v>
      </c>
      <c r="R851" t="s">
        <v>118</v>
      </c>
    </row>
    <row r="852" spans="1:18" x14ac:dyDescent="0.25">
      <c r="A852" t="s">
        <v>19053</v>
      </c>
      <c r="B852" t="s">
        <v>164</v>
      </c>
      <c r="C852" t="str">
        <f>HYPERLINK("https://nematode.unl.edu/aporcobs3.jpg")</f>
        <v>https://nematode.unl.edu/aporcobs3.jpg</v>
      </c>
      <c r="D852" t="s">
        <v>43</v>
      </c>
      <c r="G852" t="s">
        <v>51</v>
      </c>
      <c r="I852" t="s">
        <v>19</v>
      </c>
      <c r="J852" t="s">
        <v>161</v>
      </c>
      <c r="M852" t="s">
        <v>156</v>
      </c>
      <c r="N852" t="s">
        <v>135</v>
      </c>
      <c r="O852" t="s">
        <v>73</v>
      </c>
      <c r="P852" t="s">
        <v>81</v>
      </c>
      <c r="Q852" t="s">
        <v>119</v>
      </c>
      <c r="R852" t="s">
        <v>118</v>
      </c>
    </row>
    <row r="853" spans="1:18" x14ac:dyDescent="0.25">
      <c r="A853" t="s">
        <v>19038</v>
      </c>
      <c r="B853" t="s">
        <v>165</v>
      </c>
      <c r="C853" t="str">
        <f>HYPERLINK("https://nematode.unl.edu/aporcobs4.jpg")</f>
        <v>https://nematode.unl.edu/aporcobs4.jpg</v>
      </c>
      <c r="D853" t="s">
        <v>43</v>
      </c>
      <c r="G853" t="s">
        <v>28</v>
      </c>
      <c r="I853" t="s">
        <v>19</v>
      </c>
      <c r="J853" t="s">
        <v>161</v>
      </c>
      <c r="M853" t="s">
        <v>156</v>
      </c>
      <c r="N853" t="s">
        <v>135</v>
      </c>
      <c r="O853" t="s">
        <v>73</v>
      </c>
      <c r="P853" t="s">
        <v>81</v>
      </c>
      <c r="Q853" t="s">
        <v>119</v>
      </c>
      <c r="R853" t="s">
        <v>118</v>
      </c>
    </row>
    <row r="854" spans="1:18" x14ac:dyDescent="0.25">
      <c r="A854" t="s">
        <v>19007</v>
      </c>
      <c r="B854" t="s">
        <v>166</v>
      </c>
      <c r="C854" t="str">
        <f>HYPERLINK("https://nematode.unl.edu/aporcobs5.jpg")</f>
        <v>https://nematode.unl.edu/aporcobs5.jpg</v>
      </c>
      <c r="D854" t="s">
        <v>43</v>
      </c>
      <c r="G854" t="s">
        <v>34</v>
      </c>
      <c r="H854" t="s">
        <v>18</v>
      </c>
      <c r="I854" t="s">
        <v>41</v>
      </c>
      <c r="J854" t="s">
        <v>161</v>
      </c>
      <c r="L854" t="s">
        <v>131</v>
      </c>
      <c r="M854" t="s">
        <v>156</v>
      </c>
      <c r="N854" t="s">
        <v>135</v>
      </c>
      <c r="O854" t="s">
        <v>73</v>
      </c>
      <c r="P854" t="s">
        <v>81</v>
      </c>
      <c r="Q854" t="s">
        <v>119</v>
      </c>
      <c r="R854" t="s">
        <v>118</v>
      </c>
    </row>
    <row r="855" spans="1:18" x14ac:dyDescent="0.25">
      <c r="A855" t="s">
        <v>19008</v>
      </c>
      <c r="B855" t="s">
        <v>167</v>
      </c>
      <c r="C855" t="str">
        <f>HYPERLINK("https://nematode.unl.edu/aporcobs6.jpg")</f>
        <v>https://nematode.unl.edu/aporcobs6.jpg</v>
      </c>
      <c r="D855" t="s">
        <v>43</v>
      </c>
      <c r="G855" t="s">
        <v>34</v>
      </c>
      <c r="H855" t="s">
        <v>18</v>
      </c>
      <c r="I855" t="s">
        <v>137</v>
      </c>
      <c r="J855" t="s">
        <v>161</v>
      </c>
      <c r="L855" t="s">
        <v>128</v>
      </c>
      <c r="M855" t="s">
        <v>156</v>
      </c>
      <c r="N855" t="s">
        <v>135</v>
      </c>
      <c r="O855" t="s">
        <v>73</v>
      </c>
      <c r="P855" t="s">
        <v>81</v>
      </c>
      <c r="Q855" t="s">
        <v>119</v>
      </c>
      <c r="R855" t="s">
        <v>118</v>
      </c>
    </row>
    <row r="856" spans="1:18" x14ac:dyDescent="0.25">
      <c r="A856" t="s">
        <v>19054</v>
      </c>
      <c r="B856" t="s">
        <v>168</v>
      </c>
      <c r="C856" t="str">
        <f>HYPERLINK("https://nematode.unl.edu/aporcobs7.jpg")</f>
        <v>https://nematode.unl.edu/aporcobs7.jpg</v>
      </c>
      <c r="D856" t="s">
        <v>43</v>
      </c>
      <c r="G856" t="s">
        <v>51</v>
      </c>
      <c r="I856" t="s">
        <v>137</v>
      </c>
      <c r="J856" t="s">
        <v>161</v>
      </c>
      <c r="L856" t="s">
        <v>128</v>
      </c>
      <c r="M856" t="s">
        <v>156</v>
      </c>
      <c r="N856" t="s">
        <v>135</v>
      </c>
      <c r="O856" t="s">
        <v>73</v>
      </c>
      <c r="P856" t="s">
        <v>81</v>
      </c>
      <c r="Q856" t="s">
        <v>119</v>
      </c>
      <c r="R856" t="s">
        <v>118</v>
      </c>
    </row>
    <row r="857" spans="1:18" x14ac:dyDescent="0.25">
      <c r="A857" t="s">
        <v>19039</v>
      </c>
      <c r="B857" t="s">
        <v>169</v>
      </c>
      <c r="C857" t="str">
        <f>HYPERLINK("https://nematode.unl.edu/aporcobs8.jpg")</f>
        <v>https://nematode.unl.edu/aporcobs8.jpg</v>
      </c>
      <c r="D857" t="s">
        <v>43</v>
      </c>
      <c r="G857" t="s">
        <v>28</v>
      </c>
      <c r="I857" t="s">
        <v>137</v>
      </c>
      <c r="J857" t="s">
        <v>161</v>
      </c>
      <c r="M857" t="s">
        <v>156</v>
      </c>
      <c r="N857" t="s">
        <v>135</v>
      </c>
      <c r="O857" t="s">
        <v>73</v>
      </c>
      <c r="P857" t="s">
        <v>81</v>
      </c>
      <c r="Q857" t="s">
        <v>119</v>
      </c>
      <c r="R857" t="s">
        <v>118</v>
      </c>
    </row>
    <row r="858" spans="1:18" x14ac:dyDescent="0.25">
      <c r="A858" t="s">
        <v>18826</v>
      </c>
      <c r="B858" t="s">
        <v>2587</v>
      </c>
      <c r="C858" t="str">
        <f>HYPERLINK("https://nematode.unl.edu/aporcr1.jpg")</f>
        <v>https://nematode.unl.edu/aporcr1.jpg</v>
      </c>
      <c r="D858" t="s">
        <v>43</v>
      </c>
      <c r="G858" t="s">
        <v>44</v>
      </c>
      <c r="I858" t="s">
        <v>19</v>
      </c>
      <c r="J858" t="s">
        <v>1525</v>
      </c>
      <c r="L858" t="s">
        <v>1526</v>
      </c>
      <c r="M858" t="s">
        <v>118</v>
      </c>
      <c r="N858" t="s">
        <v>118</v>
      </c>
      <c r="O858" t="s">
        <v>73</v>
      </c>
      <c r="P858" t="s">
        <v>81</v>
      </c>
      <c r="Q858" t="s">
        <v>119</v>
      </c>
      <c r="R858" t="s">
        <v>118</v>
      </c>
    </row>
    <row r="859" spans="1:18" x14ac:dyDescent="0.25">
      <c r="A859" t="s">
        <v>18814</v>
      </c>
      <c r="B859" t="s">
        <v>2588</v>
      </c>
      <c r="C859" t="str">
        <f>HYPERLINK("https://nematode.unl.edu/aporcr2.jpg")</f>
        <v>https://nematode.unl.edu/aporcr2.jpg</v>
      </c>
      <c r="D859" t="s">
        <v>43</v>
      </c>
      <c r="G859" t="s">
        <v>96</v>
      </c>
      <c r="H859" t="s">
        <v>18</v>
      </c>
      <c r="I859" t="s">
        <v>19</v>
      </c>
      <c r="J859" t="s">
        <v>1525</v>
      </c>
      <c r="L859" t="s">
        <v>1526</v>
      </c>
      <c r="M859" t="s">
        <v>118</v>
      </c>
      <c r="N859" t="s">
        <v>118</v>
      </c>
      <c r="O859" t="s">
        <v>73</v>
      </c>
      <c r="P859" t="s">
        <v>81</v>
      </c>
      <c r="Q859" t="s">
        <v>119</v>
      </c>
      <c r="R859" t="s">
        <v>118</v>
      </c>
    </row>
    <row r="860" spans="1:18" x14ac:dyDescent="0.25">
      <c r="A860" t="s">
        <v>18836</v>
      </c>
      <c r="B860" t="s">
        <v>2589</v>
      </c>
      <c r="C860" t="str">
        <f>HYPERLINK("https://nematode.unl.edu/aporcr3.jpg")</f>
        <v>https://nematode.unl.edu/aporcr3.jpg</v>
      </c>
      <c r="D860" t="s">
        <v>43</v>
      </c>
      <c r="G860" t="s">
        <v>51</v>
      </c>
      <c r="I860" t="s">
        <v>19</v>
      </c>
      <c r="J860" t="s">
        <v>1525</v>
      </c>
      <c r="L860" t="s">
        <v>1526</v>
      </c>
      <c r="M860" t="s">
        <v>118</v>
      </c>
      <c r="N860" t="s">
        <v>118</v>
      </c>
      <c r="O860" t="s">
        <v>73</v>
      </c>
      <c r="P860" t="s">
        <v>81</v>
      </c>
      <c r="Q860" t="s">
        <v>119</v>
      </c>
      <c r="R860" t="s">
        <v>118</v>
      </c>
    </row>
    <row r="861" spans="1:18" x14ac:dyDescent="0.25">
      <c r="A861" t="s">
        <v>18828</v>
      </c>
      <c r="B861" t="s">
        <v>2590</v>
      </c>
      <c r="C861" t="str">
        <f>HYPERLINK("https://nematode.unl.edu/aporcr4.jpg")</f>
        <v>https://nematode.unl.edu/aporcr4.jpg</v>
      </c>
      <c r="D861" t="s">
        <v>43</v>
      </c>
      <c r="G861" t="s">
        <v>28</v>
      </c>
      <c r="I861" t="s">
        <v>19</v>
      </c>
      <c r="J861" t="s">
        <v>1525</v>
      </c>
      <c r="L861" t="s">
        <v>1526</v>
      </c>
      <c r="M861" t="s">
        <v>118</v>
      </c>
      <c r="N861" t="s">
        <v>118</v>
      </c>
      <c r="O861" t="s">
        <v>73</v>
      </c>
      <c r="P861" t="s">
        <v>81</v>
      </c>
      <c r="Q861" t="s">
        <v>119</v>
      </c>
      <c r="R861" t="s">
        <v>118</v>
      </c>
    </row>
    <row r="862" spans="1:18" x14ac:dyDescent="0.25">
      <c r="A862" t="s">
        <v>18816</v>
      </c>
      <c r="B862" t="s">
        <v>2591</v>
      </c>
      <c r="C862" t="str">
        <f>HYPERLINK("https://nematode.unl.edu/aporcr5.jpg")</f>
        <v>https://nematode.unl.edu/aporcr5.jpg</v>
      </c>
      <c r="D862" t="s">
        <v>43</v>
      </c>
      <c r="G862" t="s">
        <v>34</v>
      </c>
      <c r="H862" t="s">
        <v>18</v>
      </c>
      <c r="I862" t="s">
        <v>41</v>
      </c>
      <c r="J862" t="s">
        <v>1525</v>
      </c>
      <c r="L862" t="s">
        <v>1526</v>
      </c>
      <c r="M862" t="s">
        <v>118</v>
      </c>
      <c r="N862" t="s">
        <v>118</v>
      </c>
      <c r="O862" t="s">
        <v>73</v>
      </c>
      <c r="P862" t="s">
        <v>81</v>
      </c>
      <c r="Q862" t="s">
        <v>119</v>
      </c>
      <c r="R862" t="s">
        <v>118</v>
      </c>
    </row>
    <row r="863" spans="1:18" x14ac:dyDescent="0.25">
      <c r="A863" t="s">
        <v>18813</v>
      </c>
      <c r="B863" t="s">
        <v>2592</v>
      </c>
      <c r="C863" t="str">
        <f>HYPERLINK("https://nematode.unl.edu/aporcr6.jpg")</f>
        <v>https://nematode.unl.edu/aporcr6.jpg</v>
      </c>
      <c r="D863" t="s">
        <v>43</v>
      </c>
      <c r="G863" t="s">
        <v>386</v>
      </c>
      <c r="H863" t="s">
        <v>18</v>
      </c>
      <c r="I863" t="s">
        <v>41</v>
      </c>
      <c r="J863" t="s">
        <v>1525</v>
      </c>
      <c r="L863" t="s">
        <v>1526</v>
      </c>
      <c r="M863" t="s">
        <v>118</v>
      </c>
      <c r="N863" t="s">
        <v>118</v>
      </c>
      <c r="O863" t="s">
        <v>73</v>
      </c>
      <c r="P863" t="s">
        <v>81</v>
      </c>
      <c r="Q863" t="s">
        <v>119</v>
      </c>
      <c r="R863" t="s">
        <v>118</v>
      </c>
    </row>
    <row r="864" spans="1:18" x14ac:dyDescent="0.25">
      <c r="A864" t="s">
        <v>18825</v>
      </c>
      <c r="B864" t="s">
        <v>2593</v>
      </c>
      <c r="C864" t="str">
        <f>HYPERLINK("https://nematode.unl.edu/aporcr7.jpg")</f>
        <v>https://nematode.unl.edu/aporcr7.jpg</v>
      </c>
      <c r="D864" t="s">
        <v>43</v>
      </c>
      <c r="G864" t="s">
        <v>87</v>
      </c>
      <c r="I864" t="s">
        <v>41</v>
      </c>
      <c r="J864" t="s">
        <v>1525</v>
      </c>
      <c r="L864" t="s">
        <v>1526</v>
      </c>
      <c r="M864" t="s">
        <v>118</v>
      </c>
      <c r="N864" t="s">
        <v>118</v>
      </c>
      <c r="O864" t="s">
        <v>73</v>
      </c>
      <c r="P864" t="s">
        <v>81</v>
      </c>
      <c r="Q864" t="s">
        <v>119</v>
      </c>
      <c r="R864" t="s">
        <v>118</v>
      </c>
    </row>
    <row r="865" spans="1:18" x14ac:dyDescent="0.25">
      <c r="A865" t="s">
        <v>18837</v>
      </c>
      <c r="B865" t="s">
        <v>2594</v>
      </c>
      <c r="C865" t="str">
        <f>HYPERLINK("https://nematode.unl.edu/aporcr8.jpg")</f>
        <v>https://nematode.unl.edu/aporcr8.jpg</v>
      </c>
      <c r="D865" t="s">
        <v>43</v>
      </c>
      <c r="G865" t="s">
        <v>51</v>
      </c>
      <c r="I865" t="s">
        <v>41</v>
      </c>
      <c r="J865" t="s">
        <v>1525</v>
      </c>
      <c r="L865" t="s">
        <v>1526</v>
      </c>
      <c r="M865" t="s">
        <v>118</v>
      </c>
      <c r="N865" t="s">
        <v>118</v>
      </c>
      <c r="O865" t="s">
        <v>73</v>
      </c>
      <c r="P865" t="s">
        <v>81</v>
      </c>
      <c r="Q865" t="s">
        <v>119</v>
      </c>
      <c r="R865" t="s">
        <v>118</v>
      </c>
    </row>
    <row r="866" spans="1:18" x14ac:dyDescent="0.25">
      <c r="A866" t="s">
        <v>18829</v>
      </c>
      <c r="B866" t="s">
        <v>2595</v>
      </c>
      <c r="C866" t="str">
        <f>HYPERLINK("https://nematode.unl.edu/aporcr9.jpg")</f>
        <v>https://nematode.unl.edu/aporcr9.jpg</v>
      </c>
      <c r="D866" t="s">
        <v>43</v>
      </c>
      <c r="G866" t="s">
        <v>28</v>
      </c>
      <c r="I866" t="s">
        <v>41</v>
      </c>
      <c r="J866" t="s">
        <v>1525</v>
      </c>
      <c r="L866" t="s">
        <v>1526</v>
      </c>
      <c r="M866" t="s">
        <v>118</v>
      </c>
      <c r="N866" t="s">
        <v>118</v>
      </c>
      <c r="O866" t="s">
        <v>73</v>
      </c>
      <c r="P866" t="s">
        <v>81</v>
      </c>
      <c r="Q866" t="s">
        <v>119</v>
      </c>
      <c r="R866" t="s">
        <v>118</v>
      </c>
    </row>
    <row r="867" spans="1:18" x14ac:dyDescent="0.25">
      <c r="A867" t="s">
        <v>18830</v>
      </c>
      <c r="B867" t="s">
        <v>2596</v>
      </c>
      <c r="C867" t="str">
        <f>HYPERLINK("https://nematode.unl.edu/aporcut.jpg")</f>
        <v>https://nematode.unl.edu/aporcut.jpg</v>
      </c>
      <c r="D867" t="s">
        <v>16</v>
      </c>
      <c r="G867" t="s">
        <v>28</v>
      </c>
      <c r="I867" t="s">
        <v>19</v>
      </c>
      <c r="J867" t="s">
        <v>46</v>
      </c>
      <c r="M867" t="s">
        <v>118</v>
      </c>
      <c r="N867" t="s">
        <v>118</v>
      </c>
      <c r="O867" t="s">
        <v>73</v>
      </c>
      <c r="P867" t="s">
        <v>81</v>
      </c>
      <c r="Q867" t="s">
        <v>119</v>
      </c>
      <c r="R867" t="s">
        <v>118</v>
      </c>
    </row>
    <row r="868" spans="1:18" x14ac:dyDescent="0.25">
      <c r="A868" t="s">
        <v>19230</v>
      </c>
      <c r="B868" t="s">
        <v>315</v>
      </c>
      <c r="C868" t="str">
        <f>HYPERLINK("https://nematode.unl.edu/apore1.jpg")</f>
        <v>https://nematode.unl.edu/apore1.jpg</v>
      </c>
      <c r="D868" t="s">
        <v>43</v>
      </c>
      <c r="G868" t="s">
        <v>44</v>
      </c>
      <c r="I868" t="s">
        <v>316</v>
      </c>
      <c r="J868" t="s">
        <v>317</v>
      </c>
      <c r="M868" t="s">
        <v>318</v>
      </c>
      <c r="N868" t="s">
        <v>319</v>
      </c>
      <c r="O868" t="s">
        <v>73</v>
      </c>
      <c r="P868" t="s">
        <v>81</v>
      </c>
      <c r="Q868" t="s">
        <v>119</v>
      </c>
      <c r="R868" t="s">
        <v>320</v>
      </c>
    </row>
    <row r="869" spans="1:18" x14ac:dyDescent="0.25">
      <c r="A869" t="s">
        <v>19227</v>
      </c>
      <c r="B869" t="s">
        <v>321</v>
      </c>
      <c r="C869" t="str">
        <f>HYPERLINK("https://nematode.unl.edu/apore2.jpg")</f>
        <v>https://nematode.unl.edu/apore2.jpg</v>
      </c>
      <c r="D869" t="s">
        <v>43</v>
      </c>
      <c r="G869" t="s">
        <v>96</v>
      </c>
      <c r="H869" t="s">
        <v>18</v>
      </c>
      <c r="I869" t="s">
        <v>45</v>
      </c>
      <c r="J869" t="s">
        <v>317</v>
      </c>
      <c r="M869" t="s">
        <v>318</v>
      </c>
      <c r="N869" t="s">
        <v>319</v>
      </c>
      <c r="O869" t="s">
        <v>73</v>
      </c>
      <c r="P869" t="s">
        <v>81</v>
      </c>
      <c r="Q869" t="s">
        <v>119</v>
      </c>
      <c r="R869" t="s">
        <v>320</v>
      </c>
    </row>
    <row r="870" spans="1:18" x14ac:dyDescent="0.25">
      <c r="A870" t="s">
        <v>19228</v>
      </c>
      <c r="B870" t="s">
        <v>322</v>
      </c>
      <c r="C870" t="str">
        <f>HYPERLINK("https://nematode.unl.edu/apore3.jpg")</f>
        <v>https://nematode.unl.edu/apore3.jpg</v>
      </c>
      <c r="D870" t="s">
        <v>43</v>
      </c>
      <c r="G870" t="s">
        <v>34</v>
      </c>
      <c r="H870" t="s">
        <v>18</v>
      </c>
      <c r="I870" t="s">
        <v>19</v>
      </c>
      <c r="J870" t="s">
        <v>317</v>
      </c>
      <c r="M870" t="s">
        <v>318</v>
      </c>
      <c r="N870" t="s">
        <v>319</v>
      </c>
      <c r="O870" t="s">
        <v>73</v>
      </c>
      <c r="P870" t="s">
        <v>81</v>
      </c>
      <c r="Q870" t="s">
        <v>119</v>
      </c>
      <c r="R870" t="s">
        <v>320</v>
      </c>
    </row>
    <row r="871" spans="1:18" x14ac:dyDescent="0.25">
      <c r="A871" t="s">
        <v>19229</v>
      </c>
      <c r="B871" t="s">
        <v>323</v>
      </c>
      <c r="C871" t="str">
        <f>HYPERLINK("https://nematode.unl.edu/apore4.jpg")</f>
        <v>https://nematode.unl.edu/apore4.jpg</v>
      </c>
      <c r="D871" t="s">
        <v>43</v>
      </c>
      <c r="G871" t="s">
        <v>87</v>
      </c>
      <c r="I871" t="s">
        <v>19</v>
      </c>
      <c r="J871" t="s">
        <v>317</v>
      </c>
      <c r="M871" t="s">
        <v>318</v>
      </c>
      <c r="N871" t="s">
        <v>319</v>
      </c>
      <c r="O871" t="s">
        <v>73</v>
      </c>
      <c r="P871" t="s">
        <v>81</v>
      </c>
      <c r="Q871" t="s">
        <v>119</v>
      </c>
      <c r="R871" t="s">
        <v>320</v>
      </c>
    </row>
    <row r="872" spans="1:18" x14ac:dyDescent="0.25">
      <c r="A872" t="s">
        <v>19232</v>
      </c>
      <c r="B872" t="s">
        <v>324</v>
      </c>
      <c r="C872" t="str">
        <f>HYPERLINK("https://nematode.unl.edu/apore5.jpg")</f>
        <v>https://nematode.unl.edu/apore5.jpg</v>
      </c>
      <c r="D872" t="s">
        <v>43</v>
      </c>
      <c r="G872" t="s">
        <v>51</v>
      </c>
      <c r="I872" t="s">
        <v>19</v>
      </c>
      <c r="J872" t="s">
        <v>317</v>
      </c>
      <c r="M872" t="s">
        <v>318</v>
      </c>
      <c r="N872" t="s">
        <v>319</v>
      </c>
      <c r="O872" t="s">
        <v>73</v>
      </c>
      <c r="P872" t="s">
        <v>81</v>
      </c>
      <c r="Q872" t="s">
        <v>119</v>
      </c>
      <c r="R872" t="s">
        <v>320</v>
      </c>
    </row>
    <row r="873" spans="1:18" x14ac:dyDescent="0.25">
      <c r="A873" t="s">
        <v>19231</v>
      </c>
      <c r="B873" t="s">
        <v>325</v>
      </c>
      <c r="C873" t="str">
        <f>HYPERLINK("https://nematode.unl.edu/apore6.jpg")</f>
        <v>https://nematode.unl.edu/apore6.jpg</v>
      </c>
      <c r="D873" t="s">
        <v>43</v>
      </c>
      <c r="G873" t="s">
        <v>28</v>
      </c>
      <c r="I873" t="s">
        <v>19</v>
      </c>
      <c r="J873" t="s">
        <v>317</v>
      </c>
      <c r="M873" t="s">
        <v>318</v>
      </c>
      <c r="N873" t="s">
        <v>319</v>
      </c>
      <c r="O873" t="s">
        <v>73</v>
      </c>
      <c r="P873" t="s">
        <v>81</v>
      </c>
      <c r="Q873" t="s">
        <v>119</v>
      </c>
      <c r="R873" t="s">
        <v>320</v>
      </c>
    </row>
    <row r="874" spans="1:18" x14ac:dyDescent="0.25">
      <c r="A874" t="s">
        <v>18815</v>
      </c>
      <c r="B874" t="s">
        <v>2597</v>
      </c>
      <c r="C874" t="str">
        <f>HYPERLINK("https://nematode.unl.edu/aporeso.jpg")</f>
        <v>https://nematode.unl.edu/aporeso.jpg</v>
      </c>
      <c r="D874" t="s">
        <v>16</v>
      </c>
      <c r="G874" t="s">
        <v>17</v>
      </c>
      <c r="H874" t="s">
        <v>18</v>
      </c>
      <c r="I874" t="s">
        <v>19</v>
      </c>
      <c r="J874" t="s">
        <v>46</v>
      </c>
      <c r="L874" t="s">
        <v>105</v>
      </c>
      <c r="M874" t="s">
        <v>118</v>
      </c>
      <c r="N874" t="s">
        <v>118</v>
      </c>
      <c r="O874" t="s">
        <v>73</v>
      </c>
      <c r="P874" t="s">
        <v>81</v>
      </c>
      <c r="Q874" t="s">
        <v>119</v>
      </c>
      <c r="R874" t="s">
        <v>118</v>
      </c>
    </row>
    <row r="875" spans="1:18" x14ac:dyDescent="0.25">
      <c r="A875" t="s">
        <v>18950</v>
      </c>
      <c r="B875" t="s">
        <v>2780</v>
      </c>
      <c r="C875" t="str">
        <f>HYPERLINK("https://nematode.unl.edu/aporkry1.jpg")</f>
        <v>https://nematode.unl.edu/aporkry1.jpg</v>
      </c>
      <c r="D875" t="s">
        <v>43</v>
      </c>
      <c r="G875" t="s">
        <v>34</v>
      </c>
      <c r="H875" t="s">
        <v>18</v>
      </c>
      <c r="I875" t="s">
        <v>19</v>
      </c>
      <c r="J875" t="s">
        <v>46</v>
      </c>
      <c r="M875" t="s">
        <v>2710</v>
      </c>
      <c r="N875" t="s">
        <v>2710</v>
      </c>
      <c r="O875" t="s">
        <v>73</v>
      </c>
      <c r="P875" t="s">
        <v>81</v>
      </c>
      <c r="Q875" t="s">
        <v>119</v>
      </c>
      <c r="R875" t="s">
        <v>118</v>
      </c>
    </row>
    <row r="876" spans="1:18" x14ac:dyDescent="0.25">
      <c r="A876" t="s">
        <v>18957</v>
      </c>
      <c r="B876" t="s">
        <v>2781</v>
      </c>
      <c r="C876" t="str">
        <f>HYPERLINK("https://nematode.unl.edu/aporkry2.jpg")</f>
        <v>https://nematode.unl.edu/aporkry2.jpg</v>
      </c>
      <c r="D876" t="s">
        <v>43</v>
      </c>
      <c r="G876" t="s">
        <v>87</v>
      </c>
      <c r="I876" t="s">
        <v>19</v>
      </c>
      <c r="J876" t="s">
        <v>46</v>
      </c>
      <c r="M876" t="s">
        <v>2710</v>
      </c>
      <c r="N876" t="s">
        <v>2710</v>
      </c>
      <c r="O876" t="s">
        <v>73</v>
      </c>
      <c r="P876" t="s">
        <v>81</v>
      </c>
      <c r="Q876" t="s">
        <v>119</v>
      </c>
      <c r="R876" t="s">
        <v>118</v>
      </c>
    </row>
    <row r="877" spans="1:18" x14ac:dyDescent="0.25">
      <c r="A877" t="s">
        <v>19002</v>
      </c>
      <c r="B877" t="s">
        <v>2782</v>
      </c>
      <c r="C877" t="str">
        <f>HYPERLINK("https://nematode.unl.edu/aporkry3.jpg")</f>
        <v>https://nematode.unl.edu/aporkry3.jpg</v>
      </c>
      <c r="D877" t="s">
        <v>43</v>
      </c>
      <c r="G877" t="s">
        <v>51</v>
      </c>
      <c r="I877" t="s">
        <v>19</v>
      </c>
      <c r="J877" t="s">
        <v>46</v>
      </c>
      <c r="L877" t="s">
        <v>162</v>
      </c>
      <c r="M877" t="s">
        <v>2710</v>
      </c>
      <c r="N877" t="s">
        <v>2710</v>
      </c>
      <c r="O877" t="s">
        <v>73</v>
      </c>
      <c r="P877" t="s">
        <v>81</v>
      </c>
      <c r="Q877" t="s">
        <v>119</v>
      </c>
      <c r="R877" t="s">
        <v>118</v>
      </c>
    </row>
    <row r="878" spans="1:18" x14ac:dyDescent="0.25">
      <c r="A878" t="s">
        <v>18993</v>
      </c>
      <c r="B878" t="s">
        <v>2783</v>
      </c>
      <c r="C878" t="str">
        <f>HYPERLINK("https://nematode.unl.edu/aporkry4.jpg")</f>
        <v>https://nematode.unl.edu/aporkry4.jpg</v>
      </c>
      <c r="D878" t="s">
        <v>43</v>
      </c>
      <c r="G878" t="s">
        <v>28</v>
      </c>
      <c r="I878" t="s">
        <v>19</v>
      </c>
      <c r="J878" t="s">
        <v>46</v>
      </c>
      <c r="M878" t="s">
        <v>2710</v>
      </c>
      <c r="N878" t="s">
        <v>2710</v>
      </c>
      <c r="O878" t="s">
        <v>73</v>
      </c>
      <c r="P878" t="s">
        <v>81</v>
      </c>
      <c r="Q878" t="s">
        <v>119</v>
      </c>
      <c r="R878" t="s">
        <v>118</v>
      </c>
    </row>
    <row r="879" spans="1:18" x14ac:dyDescent="0.25">
      <c r="A879" t="s">
        <v>18817</v>
      </c>
      <c r="B879" t="s">
        <v>2598</v>
      </c>
      <c r="C879" t="str">
        <f>HYPERLINK("https://nematode.unl.edu/aporlip.jpg")</f>
        <v>https://nematode.unl.edu/aporlip.jpg</v>
      </c>
      <c r="D879" t="s">
        <v>16</v>
      </c>
      <c r="G879" t="s">
        <v>34</v>
      </c>
      <c r="H879" t="s">
        <v>18</v>
      </c>
      <c r="I879" t="s">
        <v>19</v>
      </c>
      <c r="J879" t="s">
        <v>46</v>
      </c>
      <c r="L879" t="s">
        <v>727</v>
      </c>
      <c r="M879" t="s">
        <v>118</v>
      </c>
      <c r="N879" t="s">
        <v>118</v>
      </c>
      <c r="O879" t="s">
        <v>73</v>
      </c>
      <c r="P879" t="s">
        <v>81</v>
      </c>
      <c r="Q879" t="s">
        <v>119</v>
      </c>
      <c r="R879" t="s">
        <v>118</v>
      </c>
    </row>
    <row r="880" spans="1:18" x14ac:dyDescent="0.25">
      <c r="A880" t="s">
        <v>19009</v>
      </c>
      <c r="B880" t="s">
        <v>170</v>
      </c>
      <c r="C880" t="str">
        <f>HYPERLINK("https://nematode.unl.edu/aporoid1.jpg")</f>
        <v>https://nematode.unl.edu/aporoid1.jpg</v>
      </c>
      <c r="D880" t="s">
        <v>16</v>
      </c>
      <c r="G880" t="s">
        <v>34</v>
      </c>
      <c r="H880" t="s">
        <v>18</v>
      </c>
      <c r="I880">
        <v>49</v>
      </c>
      <c r="J880" t="s">
        <v>20</v>
      </c>
      <c r="M880" t="s">
        <v>156</v>
      </c>
      <c r="N880" t="s">
        <v>135</v>
      </c>
      <c r="O880" t="s">
        <v>73</v>
      </c>
      <c r="P880" t="s">
        <v>81</v>
      </c>
      <c r="Q880" t="s">
        <v>119</v>
      </c>
      <c r="R880" t="s">
        <v>118</v>
      </c>
    </row>
    <row r="881" spans="1:18" x14ac:dyDescent="0.25">
      <c r="A881" t="s">
        <v>19026</v>
      </c>
      <c r="B881" t="s">
        <v>171</v>
      </c>
      <c r="C881" t="str">
        <f>HYPERLINK("https://nematode.unl.edu/aporoid10.jpg")</f>
        <v>https://nematode.unl.edu/aporoid10.jpg</v>
      </c>
      <c r="D881" t="s">
        <v>43</v>
      </c>
      <c r="G881" t="s">
        <v>44</v>
      </c>
      <c r="I881" t="s">
        <v>19</v>
      </c>
      <c r="J881" t="s">
        <v>20</v>
      </c>
      <c r="M881" t="s">
        <v>156</v>
      </c>
      <c r="N881" t="s">
        <v>135</v>
      </c>
      <c r="O881" t="s">
        <v>73</v>
      </c>
      <c r="P881" t="s">
        <v>81</v>
      </c>
      <c r="Q881" t="s">
        <v>119</v>
      </c>
      <c r="R881" t="s">
        <v>118</v>
      </c>
    </row>
    <row r="882" spans="1:18" x14ac:dyDescent="0.25">
      <c r="A882" t="s">
        <v>19040</v>
      </c>
      <c r="B882" t="s">
        <v>172</v>
      </c>
      <c r="C882" t="str">
        <f>HYPERLINK("https://nematode.unl.edu/aporoid11.jpg")</f>
        <v>https://nematode.unl.edu/aporoid11.jpg</v>
      </c>
      <c r="D882" t="s">
        <v>43</v>
      </c>
      <c r="G882" t="s">
        <v>28</v>
      </c>
      <c r="I882" t="s">
        <v>19</v>
      </c>
      <c r="J882" t="s">
        <v>20</v>
      </c>
      <c r="L882" t="s">
        <v>173</v>
      </c>
      <c r="M882" t="s">
        <v>156</v>
      </c>
      <c r="N882" t="s">
        <v>135</v>
      </c>
      <c r="O882" t="s">
        <v>73</v>
      </c>
      <c r="P882" t="s">
        <v>81</v>
      </c>
      <c r="Q882" t="s">
        <v>119</v>
      </c>
      <c r="R882" t="s">
        <v>118</v>
      </c>
    </row>
    <row r="883" spans="1:18" x14ac:dyDescent="0.25">
      <c r="A883" t="s">
        <v>19010</v>
      </c>
      <c r="B883" t="s">
        <v>174</v>
      </c>
      <c r="C883" t="str">
        <f>HYPERLINK("https://nematode.unl.edu/aporoid12.jpg")</f>
        <v>https://nematode.unl.edu/aporoid12.jpg</v>
      </c>
      <c r="D883" t="s">
        <v>43</v>
      </c>
      <c r="G883" t="s">
        <v>34</v>
      </c>
      <c r="H883" t="s">
        <v>18</v>
      </c>
      <c r="I883" t="s">
        <v>19</v>
      </c>
      <c r="J883" t="s">
        <v>20</v>
      </c>
      <c r="M883" t="s">
        <v>156</v>
      </c>
      <c r="N883" t="s">
        <v>135</v>
      </c>
      <c r="O883" t="s">
        <v>73</v>
      </c>
      <c r="P883" t="s">
        <v>81</v>
      </c>
      <c r="Q883" t="s">
        <v>119</v>
      </c>
      <c r="R883" t="s">
        <v>118</v>
      </c>
    </row>
    <row r="884" spans="1:18" x14ac:dyDescent="0.25">
      <c r="A884" t="s">
        <v>19011</v>
      </c>
      <c r="B884" t="s">
        <v>175</v>
      </c>
      <c r="C884" t="str">
        <f>HYPERLINK("https://nematode.unl.edu/aporoid13.jpg")</f>
        <v>https://nematode.unl.edu/aporoid13.jpg</v>
      </c>
      <c r="D884" t="s">
        <v>43</v>
      </c>
      <c r="G884" t="s">
        <v>34</v>
      </c>
      <c r="H884" t="s">
        <v>18</v>
      </c>
      <c r="I884" t="s">
        <v>19</v>
      </c>
      <c r="J884" t="s">
        <v>20</v>
      </c>
      <c r="L884" t="s">
        <v>38</v>
      </c>
      <c r="M884" t="s">
        <v>156</v>
      </c>
      <c r="N884" t="s">
        <v>135</v>
      </c>
      <c r="O884" t="s">
        <v>73</v>
      </c>
      <c r="P884" t="s">
        <v>81</v>
      </c>
      <c r="Q884" t="s">
        <v>119</v>
      </c>
      <c r="R884" t="s">
        <v>118</v>
      </c>
    </row>
    <row r="885" spans="1:18" x14ac:dyDescent="0.25">
      <c r="A885" t="s">
        <v>19055</v>
      </c>
      <c r="B885" t="s">
        <v>176</v>
      </c>
      <c r="C885" t="str">
        <f>HYPERLINK("https://nematode.unl.edu/aporoid14.jpg")</f>
        <v>https://nematode.unl.edu/aporoid14.jpg</v>
      </c>
      <c r="D885" t="s">
        <v>43</v>
      </c>
      <c r="G885" t="s">
        <v>51</v>
      </c>
      <c r="I885" t="s">
        <v>19</v>
      </c>
      <c r="J885" t="s">
        <v>20</v>
      </c>
      <c r="M885" t="s">
        <v>156</v>
      </c>
      <c r="N885" t="s">
        <v>135</v>
      </c>
      <c r="O885" t="s">
        <v>73</v>
      </c>
      <c r="P885" t="s">
        <v>81</v>
      </c>
      <c r="Q885" t="s">
        <v>119</v>
      </c>
      <c r="R885" t="s">
        <v>118</v>
      </c>
    </row>
    <row r="886" spans="1:18" x14ac:dyDescent="0.25">
      <c r="A886" t="s">
        <v>19032</v>
      </c>
      <c r="B886" t="s">
        <v>177</v>
      </c>
      <c r="C886" t="str">
        <f>HYPERLINK("https://nematode.unl.edu/aporoid15.jpg")</f>
        <v>https://nematode.unl.edu/aporoid15.jpg</v>
      </c>
      <c r="D886" t="s">
        <v>43</v>
      </c>
      <c r="G886" t="s">
        <v>178</v>
      </c>
      <c r="I886" t="s">
        <v>45</v>
      </c>
      <c r="J886" t="s">
        <v>20</v>
      </c>
      <c r="M886" t="s">
        <v>156</v>
      </c>
      <c r="N886" t="s">
        <v>135</v>
      </c>
      <c r="O886" t="s">
        <v>73</v>
      </c>
      <c r="P886" t="s">
        <v>81</v>
      </c>
      <c r="Q886" t="s">
        <v>119</v>
      </c>
      <c r="R886" t="s">
        <v>118</v>
      </c>
    </row>
    <row r="887" spans="1:18" x14ac:dyDescent="0.25">
      <c r="A887" t="s">
        <v>19033</v>
      </c>
      <c r="B887" t="s">
        <v>179</v>
      </c>
      <c r="C887" t="str">
        <f>HYPERLINK("https://nematode.unl.edu/aporoid16.jpg")</f>
        <v>https://nematode.unl.edu/aporoid16.jpg</v>
      </c>
      <c r="D887" t="s">
        <v>43</v>
      </c>
      <c r="G887" t="s">
        <v>178</v>
      </c>
      <c r="I887" t="s">
        <v>45</v>
      </c>
      <c r="J887" t="s">
        <v>20</v>
      </c>
      <c r="M887" t="s">
        <v>156</v>
      </c>
      <c r="N887" t="s">
        <v>135</v>
      </c>
      <c r="O887" t="s">
        <v>73</v>
      </c>
      <c r="P887" t="s">
        <v>81</v>
      </c>
      <c r="Q887" t="s">
        <v>119</v>
      </c>
      <c r="R887" t="s">
        <v>118</v>
      </c>
    </row>
    <row r="888" spans="1:18" x14ac:dyDescent="0.25">
      <c r="A888" t="s">
        <v>19035</v>
      </c>
      <c r="B888" t="s">
        <v>180</v>
      </c>
      <c r="C888" t="str">
        <f>HYPERLINK("https://nematode.unl.edu/aporoid17.jpg")</f>
        <v>https://nematode.unl.edu/aporoid17.jpg</v>
      </c>
      <c r="D888" t="s">
        <v>43</v>
      </c>
      <c r="G888" t="s">
        <v>181</v>
      </c>
      <c r="I888" t="s">
        <v>45</v>
      </c>
      <c r="J888" t="s">
        <v>20</v>
      </c>
      <c r="M888" t="s">
        <v>156</v>
      </c>
      <c r="N888" t="s">
        <v>135</v>
      </c>
      <c r="O888" t="s">
        <v>73</v>
      </c>
      <c r="P888" t="s">
        <v>81</v>
      </c>
      <c r="Q888" t="s">
        <v>119</v>
      </c>
      <c r="R888" t="s">
        <v>118</v>
      </c>
    </row>
    <row r="889" spans="1:18" x14ac:dyDescent="0.25">
      <c r="A889" t="s">
        <v>19027</v>
      </c>
      <c r="B889" t="s">
        <v>182</v>
      </c>
      <c r="C889" t="str">
        <f>HYPERLINK("https://nematode.unl.edu/aporoid18.jpg")</f>
        <v>https://nematode.unl.edu/aporoid18.jpg</v>
      </c>
      <c r="D889" t="s">
        <v>43</v>
      </c>
      <c r="G889" t="s">
        <v>44</v>
      </c>
      <c r="I889" t="s">
        <v>45</v>
      </c>
      <c r="J889" t="s">
        <v>20</v>
      </c>
      <c r="L889" t="s">
        <v>183</v>
      </c>
      <c r="M889" t="s">
        <v>156</v>
      </c>
      <c r="N889" t="s">
        <v>135</v>
      </c>
      <c r="O889" t="s">
        <v>73</v>
      </c>
      <c r="P889" t="s">
        <v>81</v>
      </c>
      <c r="Q889" t="s">
        <v>119</v>
      </c>
      <c r="R889" t="s">
        <v>118</v>
      </c>
    </row>
    <row r="890" spans="1:18" x14ac:dyDescent="0.25">
      <c r="A890" t="s">
        <v>19003</v>
      </c>
      <c r="B890" t="s">
        <v>184</v>
      </c>
      <c r="C890" t="str">
        <f>HYPERLINK("https://nematode.unl.edu/aporoid19.jpg")</f>
        <v>https://nematode.unl.edu/aporoid19.jpg</v>
      </c>
      <c r="D890" t="s">
        <v>43</v>
      </c>
      <c r="G890" t="s">
        <v>96</v>
      </c>
      <c r="H890" t="s">
        <v>18</v>
      </c>
      <c r="I890" t="s">
        <v>45</v>
      </c>
      <c r="J890" t="s">
        <v>20</v>
      </c>
      <c r="L890" t="s">
        <v>64</v>
      </c>
      <c r="M890" t="s">
        <v>156</v>
      </c>
      <c r="N890" t="s">
        <v>135</v>
      </c>
      <c r="O890" t="s">
        <v>73</v>
      </c>
      <c r="P890" t="s">
        <v>81</v>
      </c>
      <c r="Q890" t="s">
        <v>119</v>
      </c>
      <c r="R890" t="s">
        <v>118</v>
      </c>
    </row>
    <row r="891" spans="1:18" x14ac:dyDescent="0.25">
      <c r="A891" t="s">
        <v>19041</v>
      </c>
      <c r="B891" t="s">
        <v>185</v>
      </c>
      <c r="C891" t="str">
        <f>HYPERLINK("https://nematode.unl.edu/aporoid2.jpg")</f>
        <v>https://nematode.unl.edu/aporoid2.jpg</v>
      </c>
      <c r="D891" t="s">
        <v>16</v>
      </c>
      <c r="G891" t="s">
        <v>28</v>
      </c>
      <c r="I891" t="s">
        <v>137</v>
      </c>
      <c r="J891" t="s">
        <v>20</v>
      </c>
      <c r="M891" t="s">
        <v>156</v>
      </c>
      <c r="N891" t="s">
        <v>135</v>
      </c>
      <c r="O891" t="s">
        <v>73</v>
      </c>
      <c r="P891" t="s">
        <v>81</v>
      </c>
      <c r="Q891" t="s">
        <v>119</v>
      </c>
      <c r="R891" t="s">
        <v>118</v>
      </c>
    </row>
    <row r="892" spans="1:18" x14ac:dyDescent="0.25">
      <c r="A892" t="s">
        <v>19056</v>
      </c>
      <c r="B892" t="s">
        <v>186</v>
      </c>
      <c r="C892" t="str">
        <f>HYPERLINK("https://nematode.unl.edu/aporoid20.jpg")</f>
        <v>https://nematode.unl.edu/aporoid20.jpg</v>
      </c>
      <c r="D892" t="s">
        <v>43</v>
      </c>
      <c r="G892" t="s">
        <v>51</v>
      </c>
      <c r="I892" t="s">
        <v>45</v>
      </c>
      <c r="J892" t="s">
        <v>20</v>
      </c>
      <c r="L892" t="s">
        <v>64</v>
      </c>
      <c r="M892" t="s">
        <v>156</v>
      </c>
      <c r="N892" t="s">
        <v>135</v>
      </c>
      <c r="O892" t="s">
        <v>73</v>
      </c>
      <c r="P892" t="s">
        <v>81</v>
      </c>
      <c r="Q892" t="s">
        <v>119</v>
      </c>
      <c r="R892" t="s">
        <v>118</v>
      </c>
    </row>
    <row r="893" spans="1:18" x14ac:dyDescent="0.25">
      <c r="A893" t="s">
        <v>19042</v>
      </c>
      <c r="B893" t="s">
        <v>187</v>
      </c>
      <c r="C893" t="str">
        <f>HYPERLINK("https://nematode.unl.edu/aporoid21.jpg")</f>
        <v>https://nematode.unl.edu/aporoid21.jpg</v>
      </c>
      <c r="D893" t="s">
        <v>43</v>
      </c>
      <c r="G893" t="s">
        <v>28</v>
      </c>
      <c r="I893" t="s">
        <v>45</v>
      </c>
      <c r="J893" t="s">
        <v>20</v>
      </c>
      <c r="L893" t="s">
        <v>29</v>
      </c>
      <c r="M893" t="s">
        <v>156</v>
      </c>
      <c r="N893" t="s">
        <v>135</v>
      </c>
      <c r="O893" t="s">
        <v>73</v>
      </c>
      <c r="P893" t="s">
        <v>81</v>
      </c>
      <c r="Q893" t="s">
        <v>119</v>
      </c>
      <c r="R893" t="s">
        <v>118</v>
      </c>
    </row>
    <row r="894" spans="1:18" x14ac:dyDescent="0.25">
      <c r="A894" t="s">
        <v>19043</v>
      </c>
      <c r="B894" t="s">
        <v>188</v>
      </c>
      <c r="C894" t="str">
        <f>HYPERLINK("https://nematode.unl.edu/aporoid22.jpg")</f>
        <v>https://nematode.unl.edu/aporoid22.jpg</v>
      </c>
      <c r="D894" t="s">
        <v>43</v>
      </c>
      <c r="G894" t="s">
        <v>28</v>
      </c>
      <c r="I894" t="s">
        <v>19</v>
      </c>
      <c r="J894" t="s">
        <v>20</v>
      </c>
      <c r="M894" t="s">
        <v>156</v>
      </c>
      <c r="N894" t="s">
        <v>135</v>
      </c>
      <c r="O894" t="s">
        <v>73</v>
      </c>
      <c r="P894" t="s">
        <v>81</v>
      </c>
      <c r="Q894" t="s">
        <v>119</v>
      </c>
      <c r="R894" t="s">
        <v>118</v>
      </c>
    </row>
    <row r="895" spans="1:18" x14ac:dyDescent="0.25">
      <c r="A895" t="s">
        <v>19057</v>
      </c>
      <c r="B895" t="s">
        <v>189</v>
      </c>
      <c r="C895" t="str">
        <f>HYPERLINK("https://nematode.unl.edu/aporoid23.jpg")</f>
        <v>https://nematode.unl.edu/aporoid23.jpg</v>
      </c>
      <c r="D895" t="s">
        <v>43</v>
      </c>
      <c r="G895" t="s">
        <v>51</v>
      </c>
      <c r="I895" t="s">
        <v>19</v>
      </c>
      <c r="J895" t="s">
        <v>20</v>
      </c>
      <c r="L895" t="s">
        <v>85</v>
      </c>
      <c r="M895" t="s">
        <v>156</v>
      </c>
      <c r="N895" t="s">
        <v>135</v>
      </c>
      <c r="O895" t="s">
        <v>73</v>
      </c>
      <c r="P895" t="s">
        <v>81</v>
      </c>
      <c r="Q895" t="s">
        <v>119</v>
      </c>
      <c r="R895" t="s">
        <v>118</v>
      </c>
    </row>
    <row r="896" spans="1:18" x14ac:dyDescent="0.25">
      <c r="A896" t="s">
        <v>19012</v>
      </c>
      <c r="B896" t="s">
        <v>190</v>
      </c>
      <c r="C896" t="str">
        <f>HYPERLINK("https://nematode.unl.edu/aporoid24.jpg")</f>
        <v>https://nematode.unl.edu/aporoid24.jpg</v>
      </c>
      <c r="D896" t="s">
        <v>43</v>
      </c>
      <c r="G896" t="s">
        <v>34</v>
      </c>
      <c r="H896" t="s">
        <v>18</v>
      </c>
      <c r="I896" t="s">
        <v>19</v>
      </c>
      <c r="J896" t="s">
        <v>20</v>
      </c>
      <c r="L896" t="s">
        <v>29</v>
      </c>
      <c r="M896" t="s">
        <v>156</v>
      </c>
      <c r="N896" t="s">
        <v>135</v>
      </c>
      <c r="O896" t="s">
        <v>73</v>
      </c>
      <c r="P896" t="s">
        <v>81</v>
      </c>
      <c r="Q896" t="s">
        <v>119</v>
      </c>
      <c r="R896" t="s">
        <v>118</v>
      </c>
    </row>
    <row r="897" spans="1:18" x14ac:dyDescent="0.25">
      <c r="A897" t="s">
        <v>19058</v>
      </c>
      <c r="B897" t="s">
        <v>191</v>
      </c>
      <c r="C897" t="str">
        <f>HYPERLINK("https://nematode.unl.edu/aporoid25.jpg")</f>
        <v>https://nematode.unl.edu/aporoid25.jpg</v>
      </c>
      <c r="D897" t="s">
        <v>43</v>
      </c>
      <c r="G897" t="s">
        <v>51</v>
      </c>
      <c r="I897" t="s">
        <v>137</v>
      </c>
      <c r="J897" t="s">
        <v>20</v>
      </c>
      <c r="L897" t="s">
        <v>141</v>
      </c>
      <c r="M897" t="s">
        <v>156</v>
      </c>
      <c r="N897" t="s">
        <v>135</v>
      </c>
      <c r="O897" t="s">
        <v>73</v>
      </c>
      <c r="P897" t="s">
        <v>81</v>
      </c>
      <c r="Q897" t="s">
        <v>119</v>
      </c>
      <c r="R897" t="s">
        <v>118</v>
      </c>
    </row>
    <row r="898" spans="1:18" x14ac:dyDescent="0.25">
      <c r="A898" t="s">
        <v>19044</v>
      </c>
      <c r="B898" t="s">
        <v>192</v>
      </c>
      <c r="C898" t="str">
        <f>HYPERLINK("https://nematode.unl.edu/aporoid26.jpg")</f>
        <v>https://nematode.unl.edu/aporoid26.jpg</v>
      </c>
      <c r="D898" t="s">
        <v>43</v>
      </c>
      <c r="G898" t="s">
        <v>28</v>
      </c>
      <c r="I898" t="s">
        <v>137</v>
      </c>
      <c r="J898" t="s">
        <v>20</v>
      </c>
      <c r="L898" t="s">
        <v>193</v>
      </c>
      <c r="M898" t="s">
        <v>156</v>
      </c>
      <c r="N898" t="s">
        <v>135</v>
      </c>
      <c r="O898" t="s">
        <v>73</v>
      </c>
      <c r="P898" t="s">
        <v>81</v>
      </c>
      <c r="Q898" t="s">
        <v>119</v>
      </c>
      <c r="R898" t="s">
        <v>118</v>
      </c>
    </row>
    <row r="899" spans="1:18" x14ac:dyDescent="0.25">
      <c r="A899" t="s">
        <v>19045</v>
      </c>
      <c r="B899" t="s">
        <v>194</v>
      </c>
      <c r="C899" t="str">
        <f>HYPERLINK("https://nematode.unl.edu/aporoid27.jpg")</f>
        <v>https://nematode.unl.edu/aporoid27.jpg</v>
      </c>
      <c r="D899" t="s">
        <v>16</v>
      </c>
      <c r="G899" t="s">
        <v>28</v>
      </c>
      <c r="I899" t="s">
        <v>19</v>
      </c>
      <c r="J899" t="s">
        <v>20</v>
      </c>
      <c r="M899" t="s">
        <v>156</v>
      </c>
      <c r="N899" t="s">
        <v>135</v>
      </c>
      <c r="O899" t="s">
        <v>73</v>
      </c>
      <c r="P899" t="s">
        <v>81</v>
      </c>
      <c r="Q899" t="s">
        <v>119</v>
      </c>
      <c r="R899" t="s">
        <v>118</v>
      </c>
    </row>
    <row r="900" spans="1:18" x14ac:dyDescent="0.25">
      <c r="A900" t="s">
        <v>19013</v>
      </c>
      <c r="B900" t="s">
        <v>195</v>
      </c>
      <c r="C900" t="str">
        <f>HYPERLINK("https://nematode.unl.edu/aporoid28.jpg")</f>
        <v>https://nematode.unl.edu/aporoid28.jpg</v>
      </c>
      <c r="D900" t="s">
        <v>16</v>
      </c>
      <c r="G900" t="s">
        <v>34</v>
      </c>
      <c r="H900" t="s">
        <v>18</v>
      </c>
      <c r="I900" t="s">
        <v>19</v>
      </c>
      <c r="J900" t="s">
        <v>20</v>
      </c>
      <c r="L900" t="s">
        <v>196</v>
      </c>
      <c r="M900" t="s">
        <v>156</v>
      </c>
      <c r="N900" t="s">
        <v>135</v>
      </c>
      <c r="O900" t="s">
        <v>73</v>
      </c>
      <c r="P900" t="s">
        <v>81</v>
      </c>
      <c r="Q900" t="s">
        <v>119</v>
      </c>
      <c r="R900" t="s">
        <v>118</v>
      </c>
    </row>
    <row r="901" spans="1:18" x14ac:dyDescent="0.25">
      <c r="A901" t="s">
        <v>19022</v>
      </c>
      <c r="B901" t="s">
        <v>197</v>
      </c>
      <c r="C901" t="str">
        <f>HYPERLINK("https://nematode.unl.edu/aporoid29.jpg")</f>
        <v>https://nematode.unl.edu/aporoid29.jpg</v>
      </c>
      <c r="D901" t="s">
        <v>43</v>
      </c>
      <c r="G901" t="s">
        <v>87</v>
      </c>
      <c r="I901" t="s">
        <v>19</v>
      </c>
      <c r="J901" t="s">
        <v>20</v>
      </c>
      <c r="M901" t="s">
        <v>156</v>
      </c>
      <c r="N901" t="s">
        <v>135</v>
      </c>
      <c r="O901" t="s">
        <v>73</v>
      </c>
      <c r="P901" t="s">
        <v>81</v>
      </c>
      <c r="Q901" t="s">
        <v>119</v>
      </c>
      <c r="R901" t="s">
        <v>118</v>
      </c>
    </row>
    <row r="902" spans="1:18" x14ac:dyDescent="0.25">
      <c r="A902" t="s">
        <v>19028</v>
      </c>
      <c r="B902" t="s">
        <v>198</v>
      </c>
      <c r="C902" t="str">
        <f>HYPERLINK("https://nematode.unl.edu/aporoid3.jpg")</f>
        <v>https://nematode.unl.edu/aporoid3.jpg</v>
      </c>
      <c r="D902" t="s">
        <v>77</v>
      </c>
      <c r="G902" t="s">
        <v>44</v>
      </c>
      <c r="I902" t="s">
        <v>91</v>
      </c>
      <c r="J902" t="s">
        <v>20</v>
      </c>
      <c r="M902" t="s">
        <v>156</v>
      </c>
      <c r="N902" t="s">
        <v>135</v>
      </c>
      <c r="O902" t="s">
        <v>73</v>
      </c>
      <c r="P902" t="s">
        <v>81</v>
      </c>
      <c r="Q902" t="s">
        <v>119</v>
      </c>
      <c r="R902" t="s">
        <v>118</v>
      </c>
    </row>
    <row r="903" spans="1:18" x14ac:dyDescent="0.25">
      <c r="A903" t="s">
        <v>19059</v>
      </c>
      <c r="B903" t="s">
        <v>199</v>
      </c>
      <c r="C903" t="str">
        <f>HYPERLINK("https://nematode.unl.edu/aporoid30.jpg")</f>
        <v>https://nematode.unl.edu/aporoid30.jpg</v>
      </c>
      <c r="D903" t="s">
        <v>43</v>
      </c>
      <c r="G903" t="s">
        <v>51</v>
      </c>
      <c r="I903" t="s">
        <v>19</v>
      </c>
      <c r="J903" t="s">
        <v>20</v>
      </c>
      <c r="L903" t="s">
        <v>64</v>
      </c>
      <c r="M903" t="s">
        <v>156</v>
      </c>
      <c r="N903" t="s">
        <v>135</v>
      </c>
      <c r="O903" t="s">
        <v>73</v>
      </c>
      <c r="P903" t="s">
        <v>81</v>
      </c>
      <c r="Q903" t="s">
        <v>119</v>
      </c>
      <c r="R903" t="s">
        <v>118</v>
      </c>
    </row>
    <row r="904" spans="1:18" x14ac:dyDescent="0.25">
      <c r="A904" t="s">
        <v>19046</v>
      </c>
      <c r="B904" t="s">
        <v>200</v>
      </c>
      <c r="C904" t="str">
        <f>HYPERLINK("https://nematode.unl.edu/aporoid31.jpg")</f>
        <v>https://nematode.unl.edu/aporoid31.jpg</v>
      </c>
      <c r="D904" t="s">
        <v>43</v>
      </c>
      <c r="G904" t="s">
        <v>28</v>
      </c>
      <c r="I904" t="s">
        <v>19</v>
      </c>
      <c r="J904" t="s">
        <v>20</v>
      </c>
      <c r="M904" t="s">
        <v>156</v>
      </c>
      <c r="N904" t="s">
        <v>135</v>
      </c>
      <c r="O904" t="s">
        <v>73</v>
      </c>
      <c r="P904" t="s">
        <v>81</v>
      </c>
      <c r="Q904" t="s">
        <v>119</v>
      </c>
      <c r="R904" t="s">
        <v>118</v>
      </c>
    </row>
    <row r="905" spans="1:18" x14ac:dyDescent="0.25">
      <c r="A905" t="s">
        <v>19047</v>
      </c>
      <c r="B905" t="s">
        <v>201</v>
      </c>
      <c r="C905" t="str">
        <f>HYPERLINK("https://nematode.unl.edu/aporoid32.jpg")</f>
        <v>https://nematode.unl.edu/aporoid32.jpg</v>
      </c>
      <c r="D905" t="s">
        <v>43</v>
      </c>
      <c r="G905" t="s">
        <v>28</v>
      </c>
      <c r="I905" t="s">
        <v>19</v>
      </c>
      <c r="J905" t="s">
        <v>20</v>
      </c>
      <c r="L905" t="s">
        <v>29</v>
      </c>
      <c r="M905" t="s">
        <v>156</v>
      </c>
      <c r="N905" t="s">
        <v>135</v>
      </c>
      <c r="O905" t="s">
        <v>73</v>
      </c>
      <c r="P905" t="s">
        <v>81</v>
      </c>
      <c r="Q905" t="s">
        <v>119</v>
      </c>
      <c r="R905" t="s">
        <v>118</v>
      </c>
    </row>
    <row r="906" spans="1:18" x14ac:dyDescent="0.25">
      <c r="A906" t="s">
        <v>19060</v>
      </c>
      <c r="B906" t="s">
        <v>202</v>
      </c>
      <c r="C906" t="str">
        <f>HYPERLINK("https://nematode.unl.edu/aporoid33.jpg")</f>
        <v>https://nematode.unl.edu/aporoid33.jpg</v>
      </c>
      <c r="D906" t="s">
        <v>43</v>
      </c>
      <c r="G906" t="s">
        <v>51</v>
      </c>
      <c r="I906" t="s">
        <v>19</v>
      </c>
      <c r="J906" t="s">
        <v>20</v>
      </c>
      <c r="M906" t="s">
        <v>156</v>
      </c>
      <c r="N906" t="s">
        <v>135</v>
      </c>
      <c r="O906" t="s">
        <v>73</v>
      </c>
      <c r="P906" t="s">
        <v>81</v>
      </c>
      <c r="Q906" t="s">
        <v>119</v>
      </c>
      <c r="R906" t="s">
        <v>118</v>
      </c>
    </row>
    <row r="907" spans="1:18" x14ac:dyDescent="0.25">
      <c r="A907" t="s">
        <v>19014</v>
      </c>
      <c r="B907" t="s">
        <v>203</v>
      </c>
      <c r="C907" t="str">
        <f>HYPERLINK("https://nematode.unl.edu/aporoid34.jpg")</f>
        <v>https://nematode.unl.edu/aporoid34.jpg</v>
      </c>
      <c r="D907" t="s">
        <v>43</v>
      </c>
      <c r="G907" t="s">
        <v>34</v>
      </c>
      <c r="H907" t="s">
        <v>18</v>
      </c>
      <c r="I907" t="s">
        <v>19</v>
      </c>
      <c r="J907" t="s">
        <v>20</v>
      </c>
      <c r="L907" t="s">
        <v>29</v>
      </c>
      <c r="M907" t="s">
        <v>156</v>
      </c>
      <c r="N907" t="s">
        <v>135</v>
      </c>
      <c r="O907" t="s">
        <v>73</v>
      </c>
      <c r="P907" t="s">
        <v>81</v>
      </c>
      <c r="Q907" t="s">
        <v>119</v>
      </c>
      <c r="R907" t="s">
        <v>118</v>
      </c>
    </row>
    <row r="908" spans="1:18" x14ac:dyDescent="0.25">
      <c r="A908" t="s">
        <v>19034</v>
      </c>
      <c r="B908" t="s">
        <v>204</v>
      </c>
      <c r="C908" t="str">
        <f>HYPERLINK("https://nematode.unl.edu/aporoid35.jpg")</f>
        <v>https://nematode.unl.edu/aporoid35.jpg</v>
      </c>
      <c r="D908" t="s">
        <v>43</v>
      </c>
      <c r="G908" t="s">
        <v>205</v>
      </c>
      <c r="I908" t="s">
        <v>137</v>
      </c>
      <c r="J908" t="s">
        <v>20</v>
      </c>
      <c r="L908" t="s">
        <v>206</v>
      </c>
      <c r="M908" t="s">
        <v>156</v>
      </c>
      <c r="N908" t="s">
        <v>135</v>
      </c>
      <c r="O908" t="s">
        <v>73</v>
      </c>
      <c r="P908" t="s">
        <v>81</v>
      </c>
      <c r="Q908" t="s">
        <v>119</v>
      </c>
      <c r="R908" t="s">
        <v>118</v>
      </c>
    </row>
    <row r="909" spans="1:18" x14ac:dyDescent="0.25">
      <c r="A909" t="s">
        <v>19048</v>
      </c>
      <c r="B909" t="s">
        <v>207</v>
      </c>
      <c r="C909" t="str">
        <f>HYPERLINK("https://nematode.unl.edu/aporoid36.jpg")</f>
        <v>https://nematode.unl.edu/aporoid36.jpg</v>
      </c>
      <c r="D909" t="s">
        <v>43</v>
      </c>
      <c r="G909" t="s">
        <v>28</v>
      </c>
      <c r="I909" t="s">
        <v>137</v>
      </c>
      <c r="J909" t="s">
        <v>20</v>
      </c>
      <c r="L909" t="s">
        <v>206</v>
      </c>
      <c r="M909" t="s">
        <v>156</v>
      </c>
      <c r="N909" t="s">
        <v>135</v>
      </c>
      <c r="O909" t="s">
        <v>73</v>
      </c>
      <c r="P909" t="s">
        <v>81</v>
      </c>
      <c r="Q909" t="s">
        <v>119</v>
      </c>
      <c r="R909" t="s">
        <v>118</v>
      </c>
    </row>
    <row r="910" spans="1:18" x14ac:dyDescent="0.25">
      <c r="A910" t="s">
        <v>19015</v>
      </c>
      <c r="B910" t="s">
        <v>208</v>
      </c>
      <c r="C910" t="str">
        <f>HYPERLINK("https://nematode.unl.edu/aporoid37.jpg")</f>
        <v>https://nematode.unl.edu/aporoid37.jpg</v>
      </c>
      <c r="D910" t="s">
        <v>43</v>
      </c>
      <c r="G910" t="s">
        <v>34</v>
      </c>
      <c r="H910" t="s">
        <v>18</v>
      </c>
      <c r="I910" t="s">
        <v>19</v>
      </c>
      <c r="J910" t="s">
        <v>20</v>
      </c>
      <c r="L910" t="s">
        <v>206</v>
      </c>
      <c r="M910" t="s">
        <v>156</v>
      </c>
      <c r="N910" t="s">
        <v>135</v>
      </c>
      <c r="O910" t="s">
        <v>73</v>
      </c>
      <c r="P910" t="s">
        <v>81</v>
      </c>
      <c r="Q910" t="s">
        <v>119</v>
      </c>
      <c r="R910" t="s">
        <v>118</v>
      </c>
    </row>
    <row r="911" spans="1:18" x14ac:dyDescent="0.25">
      <c r="A911" t="s">
        <v>19061</v>
      </c>
      <c r="B911" t="s">
        <v>209</v>
      </c>
      <c r="C911" t="str">
        <f>HYPERLINK("https://nematode.unl.edu/aporoid38.jpg")</f>
        <v>https://nematode.unl.edu/aporoid38.jpg</v>
      </c>
      <c r="D911" t="s">
        <v>43</v>
      </c>
      <c r="G911" t="s">
        <v>51</v>
      </c>
      <c r="I911" t="s">
        <v>19</v>
      </c>
      <c r="J911" t="s">
        <v>20</v>
      </c>
      <c r="M911" t="s">
        <v>156</v>
      </c>
      <c r="N911" t="s">
        <v>135</v>
      </c>
      <c r="O911" t="s">
        <v>73</v>
      </c>
      <c r="P911" t="s">
        <v>81</v>
      </c>
      <c r="Q911" t="s">
        <v>119</v>
      </c>
      <c r="R911" t="s">
        <v>118</v>
      </c>
    </row>
    <row r="912" spans="1:18" x14ac:dyDescent="0.25">
      <c r="A912" t="s">
        <v>19023</v>
      </c>
      <c r="B912" t="s">
        <v>210</v>
      </c>
      <c r="C912" t="str">
        <f>HYPERLINK("https://nematode.unl.edu/aporoid39.jpg")</f>
        <v>https://nematode.unl.edu/aporoid39.jpg</v>
      </c>
      <c r="D912" t="s">
        <v>43</v>
      </c>
      <c r="G912" t="s">
        <v>87</v>
      </c>
      <c r="I912" t="s">
        <v>19</v>
      </c>
      <c r="J912" t="s">
        <v>20</v>
      </c>
      <c r="M912" t="s">
        <v>156</v>
      </c>
      <c r="N912" t="s">
        <v>135</v>
      </c>
      <c r="O912" t="s">
        <v>73</v>
      </c>
      <c r="P912" t="s">
        <v>81</v>
      </c>
      <c r="Q912" t="s">
        <v>119</v>
      </c>
      <c r="R912" t="s">
        <v>118</v>
      </c>
    </row>
    <row r="913" spans="1:18" x14ac:dyDescent="0.25">
      <c r="A913" t="s">
        <v>19004</v>
      </c>
      <c r="B913" t="s">
        <v>211</v>
      </c>
      <c r="C913" t="str">
        <f>HYPERLINK("https://nematode.unl.edu/aporoid4.jpg")</f>
        <v>https://nematode.unl.edu/aporoid4.jpg</v>
      </c>
      <c r="D913" t="s">
        <v>77</v>
      </c>
      <c r="G913" t="s">
        <v>96</v>
      </c>
      <c r="H913" t="s">
        <v>18</v>
      </c>
      <c r="I913" t="s">
        <v>45</v>
      </c>
      <c r="J913" t="s">
        <v>20</v>
      </c>
      <c r="L913" t="s">
        <v>212</v>
      </c>
      <c r="M913" t="s">
        <v>156</v>
      </c>
      <c r="N913" t="s">
        <v>135</v>
      </c>
      <c r="O913" t="s">
        <v>73</v>
      </c>
      <c r="P913" t="s">
        <v>81</v>
      </c>
      <c r="Q913" t="s">
        <v>119</v>
      </c>
      <c r="R913" t="s">
        <v>118</v>
      </c>
    </row>
    <row r="914" spans="1:18" x14ac:dyDescent="0.25">
      <c r="A914" t="s">
        <v>19016</v>
      </c>
      <c r="B914" t="s">
        <v>213</v>
      </c>
      <c r="C914" t="str">
        <f>HYPERLINK("https://nematode.unl.edu/aporoid40.jpg")</f>
        <v>https://nematode.unl.edu/aporoid40.jpg</v>
      </c>
      <c r="D914" t="s">
        <v>16</v>
      </c>
      <c r="G914" t="s">
        <v>34</v>
      </c>
      <c r="H914" t="s">
        <v>18</v>
      </c>
      <c r="I914" t="s">
        <v>19</v>
      </c>
      <c r="J914" t="s">
        <v>20</v>
      </c>
      <c r="L914" t="s">
        <v>38</v>
      </c>
      <c r="M914" t="s">
        <v>156</v>
      </c>
      <c r="N914" t="s">
        <v>135</v>
      </c>
      <c r="O914" t="s">
        <v>73</v>
      </c>
      <c r="P914" t="s">
        <v>81</v>
      </c>
      <c r="Q914" t="s">
        <v>119</v>
      </c>
      <c r="R914" t="s">
        <v>118</v>
      </c>
    </row>
    <row r="915" spans="1:18" x14ac:dyDescent="0.25">
      <c r="A915" t="s">
        <v>19024</v>
      </c>
      <c r="B915" t="s">
        <v>214</v>
      </c>
      <c r="C915" t="str">
        <f>HYPERLINK("https://nematode.unl.edu/aporoid41.jpg")</f>
        <v>https://nematode.unl.edu/aporoid41.jpg</v>
      </c>
      <c r="D915" t="s">
        <v>16</v>
      </c>
      <c r="G915" t="s">
        <v>87</v>
      </c>
      <c r="I915" t="s">
        <v>19</v>
      </c>
      <c r="J915" t="s">
        <v>20</v>
      </c>
      <c r="M915" t="s">
        <v>156</v>
      </c>
      <c r="N915" t="s">
        <v>135</v>
      </c>
      <c r="O915" t="s">
        <v>73</v>
      </c>
      <c r="P915" t="s">
        <v>81</v>
      </c>
      <c r="Q915" t="s">
        <v>119</v>
      </c>
      <c r="R915" t="s">
        <v>118</v>
      </c>
    </row>
    <row r="916" spans="1:18" x14ac:dyDescent="0.25">
      <c r="A916" t="s">
        <v>19049</v>
      </c>
      <c r="B916" t="s">
        <v>215</v>
      </c>
      <c r="C916" t="str">
        <f>HYPERLINK("https://nematode.unl.edu/aporoid42.jpg")</f>
        <v>https://nematode.unl.edu/aporoid42.jpg</v>
      </c>
      <c r="D916" t="s">
        <v>16</v>
      </c>
      <c r="G916" t="s">
        <v>28</v>
      </c>
      <c r="I916" t="s">
        <v>19</v>
      </c>
      <c r="J916" t="s">
        <v>20</v>
      </c>
      <c r="L916" t="s">
        <v>38</v>
      </c>
      <c r="M916" t="s">
        <v>156</v>
      </c>
      <c r="N916" t="s">
        <v>135</v>
      </c>
      <c r="O916" t="s">
        <v>73</v>
      </c>
      <c r="P916" t="s">
        <v>81</v>
      </c>
      <c r="Q916" t="s">
        <v>119</v>
      </c>
      <c r="R916" t="s">
        <v>118</v>
      </c>
    </row>
    <row r="917" spans="1:18" x14ac:dyDescent="0.25">
      <c r="A917" t="s">
        <v>19017</v>
      </c>
      <c r="B917" t="s">
        <v>216</v>
      </c>
      <c r="C917" t="str">
        <f>HYPERLINK("https://nematode.unl.edu/aporoid43.jpg")</f>
        <v>https://nematode.unl.edu/aporoid43.jpg</v>
      </c>
      <c r="D917" t="s">
        <v>43</v>
      </c>
      <c r="G917" t="s">
        <v>34</v>
      </c>
      <c r="H917" t="s">
        <v>18</v>
      </c>
      <c r="I917" t="s">
        <v>19</v>
      </c>
      <c r="J917" t="s">
        <v>20</v>
      </c>
      <c r="L917" t="s">
        <v>217</v>
      </c>
      <c r="M917" t="s">
        <v>156</v>
      </c>
      <c r="N917" t="s">
        <v>135</v>
      </c>
      <c r="O917" t="s">
        <v>73</v>
      </c>
      <c r="P917" t="s">
        <v>81</v>
      </c>
      <c r="Q917" t="s">
        <v>119</v>
      </c>
      <c r="R917" t="s">
        <v>118</v>
      </c>
    </row>
    <row r="918" spans="1:18" x14ac:dyDescent="0.25">
      <c r="A918" t="s">
        <v>19050</v>
      </c>
      <c r="B918" t="s">
        <v>218</v>
      </c>
      <c r="C918" t="str">
        <f>HYPERLINK("https://nematode.unl.edu/aporoid44.jpg")</f>
        <v>https://nematode.unl.edu/aporoid44.jpg</v>
      </c>
      <c r="D918" t="s">
        <v>43</v>
      </c>
      <c r="G918" t="s">
        <v>28</v>
      </c>
      <c r="I918" t="s">
        <v>19</v>
      </c>
      <c r="J918" t="s">
        <v>20</v>
      </c>
      <c r="L918" t="s">
        <v>193</v>
      </c>
      <c r="M918" t="s">
        <v>156</v>
      </c>
      <c r="N918" t="s">
        <v>135</v>
      </c>
      <c r="O918" t="s">
        <v>73</v>
      </c>
      <c r="P918" t="s">
        <v>81</v>
      </c>
      <c r="Q918" t="s">
        <v>119</v>
      </c>
      <c r="R918" t="s">
        <v>118</v>
      </c>
    </row>
    <row r="919" spans="1:18" x14ac:dyDescent="0.25">
      <c r="A919" t="s">
        <v>19062</v>
      </c>
      <c r="B919" t="s">
        <v>219</v>
      </c>
      <c r="C919" t="str">
        <f>HYPERLINK("https://nematode.unl.edu/aporoid45.jpg")</f>
        <v>https://nematode.unl.edu/aporoid45.jpg</v>
      </c>
      <c r="D919" t="s">
        <v>43</v>
      </c>
      <c r="G919" t="s">
        <v>51</v>
      </c>
      <c r="I919" t="s">
        <v>19</v>
      </c>
      <c r="J919" t="s">
        <v>20</v>
      </c>
      <c r="L919" t="s">
        <v>220</v>
      </c>
      <c r="M919" t="s">
        <v>156</v>
      </c>
      <c r="N919" t="s">
        <v>135</v>
      </c>
      <c r="O919" t="s">
        <v>73</v>
      </c>
      <c r="P919" t="s">
        <v>81</v>
      </c>
      <c r="Q919" t="s">
        <v>119</v>
      </c>
      <c r="R919" t="s">
        <v>118</v>
      </c>
    </row>
    <row r="920" spans="1:18" x14ac:dyDescent="0.25">
      <c r="A920" t="s">
        <v>19029</v>
      </c>
      <c r="B920" t="s">
        <v>221</v>
      </c>
      <c r="C920" t="str">
        <f>HYPERLINK("https://nematode.unl.edu/aporoid46.jpg")</f>
        <v>https://nematode.unl.edu/aporoid46.jpg</v>
      </c>
      <c r="D920" t="s">
        <v>16</v>
      </c>
      <c r="G920" t="s">
        <v>44</v>
      </c>
      <c r="I920" t="s">
        <v>45</v>
      </c>
      <c r="J920" t="s">
        <v>20</v>
      </c>
      <c r="M920" t="s">
        <v>156</v>
      </c>
      <c r="N920" t="s">
        <v>135</v>
      </c>
      <c r="O920" t="s">
        <v>73</v>
      </c>
      <c r="P920" t="s">
        <v>81</v>
      </c>
      <c r="Q920" t="s">
        <v>119</v>
      </c>
      <c r="R920" t="s">
        <v>118</v>
      </c>
    </row>
    <row r="921" spans="1:18" x14ac:dyDescent="0.25">
      <c r="A921" t="s">
        <v>19018</v>
      </c>
      <c r="B921" t="s">
        <v>222</v>
      </c>
      <c r="C921" t="str">
        <f>HYPERLINK("https://nematode.unl.edu/aporoid47.jpg")</f>
        <v>https://nematode.unl.edu/aporoid47.jpg</v>
      </c>
      <c r="D921" t="s">
        <v>43</v>
      </c>
      <c r="G921" t="s">
        <v>34</v>
      </c>
      <c r="H921" t="s">
        <v>18</v>
      </c>
      <c r="I921" t="s">
        <v>19</v>
      </c>
      <c r="J921" t="s">
        <v>20</v>
      </c>
      <c r="L921" t="s">
        <v>38</v>
      </c>
      <c r="M921" t="s">
        <v>156</v>
      </c>
      <c r="N921" t="s">
        <v>135</v>
      </c>
      <c r="O921" t="s">
        <v>73</v>
      </c>
      <c r="P921" t="s">
        <v>81</v>
      </c>
      <c r="Q921" t="s">
        <v>119</v>
      </c>
      <c r="R921" t="s">
        <v>118</v>
      </c>
    </row>
    <row r="922" spans="1:18" x14ac:dyDescent="0.25">
      <c r="A922" t="s">
        <v>19031</v>
      </c>
      <c r="B922" t="s">
        <v>223</v>
      </c>
      <c r="C922" t="str">
        <f>HYPERLINK("https://nematode.unl.edu/aporoid48.jpg")</f>
        <v>https://nematode.unl.edu/aporoid48.jpg</v>
      </c>
      <c r="D922" t="s">
        <v>43</v>
      </c>
      <c r="G922" t="s">
        <v>224</v>
      </c>
      <c r="I922" t="s">
        <v>19</v>
      </c>
      <c r="J922" t="s">
        <v>20</v>
      </c>
      <c r="M922" t="s">
        <v>156</v>
      </c>
      <c r="N922" t="s">
        <v>135</v>
      </c>
      <c r="O922" t="s">
        <v>73</v>
      </c>
      <c r="P922" t="s">
        <v>81</v>
      </c>
      <c r="Q922" t="s">
        <v>119</v>
      </c>
      <c r="R922" t="s">
        <v>118</v>
      </c>
    </row>
    <row r="923" spans="1:18" x14ac:dyDescent="0.25">
      <c r="A923" t="s">
        <v>19051</v>
      </c>
      <c r="B923" t="s">
        <v>225</v>
      </c>
      <c r="C923" t="str">
        <f>HYPERLINK("https://nematode.unl.edu/aporoid49.jpg")</f>
        <v>https://nematode.unl.edu/aporoid49.jpg</v>
      </c>
      <c r="D923" t="s">
        <v>43</v>
      </c>
      <c r="G923" t="s">
        <v>28</v>
      </c>
      <c r="I923" t="s">
        <v>19</v>
      </c>
      <c r="J923" t="s">
        <v>20</v>
      </c>
      <c r="L923" t="s">
        <v>38</v>
      </c>
      <c r="M923" t="s">
        <v>156</v>
      </c>
      <c r="N923" t="s">
        <v>135</v>
      </c>
      <c r="O923" t="s">
        <v>73</v>
      </c>
      <c r="P923" t="s">
        <v>81</v>
      </c>
      <c r="Q923" t="s">
        <v>119</v>
      </c>
      <c r="R923" t="s">
        <v>118</v>
      </c>
    </row>
    <row r="924" spans="1:18" x14ac:dyDescent="0.25">
      <c r="A924" t="s">
        <v>19052</v>
      </c>
      <c r="B924" t="s">
        <v>226</v>
      </c>
      <c r="C924" t="str">
        <f>HYPERLINK("https://nematode.unl.edu/aporoid5.jpg")</f>
        <v>https://nematode.unl.edu/aporoid5.jpg</v>
      </c>
      <c r="D924" t="s">
        <v>77</v>
      </c>
      <c r="G924" t="s">
        <v>28</v>
      </c>
      <c r="I924" t="s">
        <v>45</v>
      </c>
      <c r="J924" t="s">
        <v>20</v>
      </c>
      <c r="L924" t="s">
        <v>141</v>
      </c>
      <c r="M924" t="s">
        <v>156</v>
      </c>
      <c r="N924" t="s">
        <v>135</v>
      </c>
      <c r="O924" t="s">
        <v>73</v>
      </c>
      <c r="P924" t="s">
        <v>81</v>
      </c>
      <c r="Q924" t="s">
        <v>119</v>
      </c>
      <c r="R924" t="s">
        <v>118</v>
      </c>
    </row>
    <row r="925" spans="1:18" x14ac:dyDescent="0.25">
      <c r="A925" t="s">
        <v>19019</v>
      </c>
      <c r="B925" t="s">
        <v>227</v>
      </c>
      <c r="C925" t="str">
        <f>HYPERLINK("https://nematode.unl.edu/aporoid6.jpg")</f>
        <v>https://nematode.unl.edu/aporoid6.jpg</v>
      </c>
      <c r="D925" t="s">
        <v>77</v>
      </c>
      <c r="G925" t="s">
        <v>34</v>
      </c>
      <c r="H925" t="s">
        <v>18</v>
      </c>
      <c r="I925" t="s">
        <v>19</v>
      </c>
      <c r="J925" t="s">
        <v>20</v>
      </c>
      <c r="L925" t="s">
        <v>138</v>
      </c>
      <c r="M925" t="s">
        <v>156</v>
      </c>
      <c r="N925" t="s">
        <v>135</v>
      </c>
      <c r="O925" t="s">
        <v>73</v>
      </c>
      <c r="P925" t="s">
        <v>81</v>
      </c>
      <c r="Q925" t="s">
        <v>119</v>
      </c>
      <c r="R925" t="s">
        <v>118</v>
      </c>
    </row>
    <row r="926" spans="1:18" x14ac:dyDescent="0.25">
      <c r="A926" t="s">
        <v>19025</v>
      </c>
      <c r="B926" t="s">
        <v>228</v>
      </c>
      <c r="C926" t="str">
        <f>HYPERLINK("https://nematode.unl.edu/aporoid7.jpg")</f>
        <v>https://nematode.unl.edu/aporoid7.jpg</v>
      </c>
      <c r="D926" t="s">
        <v>77</v>
      </c>
      <c r="G926" t="s">
        <v>87</v>
      </c>
      <c r="I926" t="s">
        <v>19</v>
      </c>
      <c r="J926" t="s">
        <v>20</v>
      </c>
      <c r="M926" t="s">
        <v>156</v>
      </c>
      <c r="N926" t="s">
        <v>135</v>
      </c>
      <c r="O926" t="s">
        <v>73</v>
      </c>
      <c r="P926" t="s">
        <v>81</v>
      </c>
      <c r="Q926" t="s">
        <v>119</v>
      </c>
      <c r="R926" t="s">
        <v>118</v>
      </c>
    </row>
    <row r="927" spans="1:18" x14ac:dyDescent="0.25">
      <c r="A927" t="s">
        <v>19036</v>
      </c>
      <c r="B927" t="s">
        <v>229</v>
      </c>
      <c r="C927" t="str">
        <f>HYPERLINK("https://nematode.unl.edu/aporoid8.jpg")</f>
        <v>https://nematode.unl.edu/aporoid8.jpg</v>
      </c>
      <c r="D927" t="s">
        <v>77</v>
      </c>
      <c r="G927" t="s">
        <v>230</v>
      </c>
      <c r="I927" t="s">
        <v>19</v>
      </c>
      <c r="J927" t="s">
        <v>20</v>
      </c>
      <c r="L927" t="s">
        <v>173</v>
      </c>
      <c r="M927" t="s">
        <v>156</v>
      </c>
      <c r="N927" t="s">
        <v>135</v>
      </c>
      <c r="O927" t="s">
        <v>73</v>
      </c>
      <c r="P927" t="s">
        <v>81</v>
      </c>
      <c r="Q927" t="s">
        <v>119</v>
      </c>
      <c r="R927" t="s">
        <v>118</v>
      </c>
    </row>
    <row r="928" spans="1:18" x14ac:dyDescent="0.25">
      <c r="A928" t="s">
        <v>19063</v>
      </c>
      <c r="B928" t="s">
        <v>231</v>
      </c>
      <c r="C928" t="str">
        <f>HYPERLINK("https://nematode.unl.edu/aporoid9.jpg")</f>
        <v>https://nematode.unl.edu/aporoid9.jpg</v>
      </c>
      <c r="D928" t="s">
        <v>43</v>
      </c>
      <c r="G928" t="s">
        <v>51</v>
      </c>
      <c r="I928" t="s">
        <v>19</v>
      </c>
      <c r="J928" t="s">
        <v>20</v>
      </c>
      <c r="M928" t="s">
        <v>156</v>
      </c>
      <c r="N928" t="s">
        <v>135</v>
      </c>
      <c r="O928" t="s">
        <v>73</v>
      </c>
      <c r="P928" t="s">
        <v>81</v>
      </c>
      <c r="Q928" t="s">
        <v>119</v>
      </c>
      <c r="R928" t="s">
        <v>118</v>
      </c>
    </row>
    <row r="929" spans="1:18" x14ac:dyDescent="0.25">
      <c r="A929" t="s">
        <v>19148</v>
      </c>
      <c r="B929" t="s">
        <v>2789</v>
      </c>
      <c r="C929" t="str">
        <f>HYPERLINK("https://nematode.unl.edu/aporpl1.jpg")</f>
        <v>https://nematode.unl.edu/aporpl1.jpg</v>
      </c>
      <c r="D929" t="s">
        <v>43</v>
      </c>
      <c r="G929" t="s">
        <v>34</v>
      </c>
      <c r="H929" t="s">
        <v>18</v>
      </c>
      <c r="I929" t="s">
        <v>19</v>
      </c>
      <c r="J929" t="s">
        <v>161</v>
      </c>
      <c r="M929" t="s">
        <v>2785</v>
      </c>
      <c r="N929" t="s">
        <v>2785</v>
      </c>
      <c r="O929" t="s">
        <v>73</v>
      </c>
      <c r="P929" t="s">
        <v>81</v>
      </c>
      <c r="Q929" t="s">
        <v>119</v>
      </c>
      <c r="R929" t="s">
        <v>118</v>
      </c>
    </row>
    <row r="930" spans="1:18" x14ac:dyDescent="0.25">
      <c r="A930" t="s">
        <v>19162</v>
      </c>
      <c r="B930" t="s">
        <v>2790</v>
      </c>
      <c r="C930" t="str">
        <f>HYPERLINK("https://nematode.unl.edu/aporpl2.jpg")</f>
        <v>https://nematode.unl.edu/aporpl2.jpg</v>
      </c>
      <c r="D930" t="s">
        <v>43</v>
      </c>
      <c r="G930" t="s">
        <v>28</v>
      </c>
      <c r="I930" t="s">
        <v>19</v>
      </c>
      <c r="J930" t="s">
        <v>161</v>
      </c>
      <c r="L930" t="s">
        <v>162</v>
      </c>
      <c r="M930" t="s">
        <v>2785</v>
      </c>
      <c r="N930" t="s">
        <v>2785</v>
      </c>
      <c r="O930" t="s">
        <v>73</v>
      </c>
      <c r="P930" t="s">
        <v>81</v>
      </c>
      <c r="Q930" t="s">
        <v>119</v>
      </c>
      <c r="R930" t="s">
        <v>118</v>
      </c>
    </row>
    <row r="931" spans="1:18" x14ac:dyDescent="0.25">
      <c r="A931" t="s">
        <v>19149</v>
      </c>
      <c r="B931" t="s">
        <v>2791</v>
      </c>
      <c r="C931" t="str">
        <f>HYPERLINK("https://nematode.unl.edu/aporpl3.jpg")</f>
        <v>https://nematode.unl.edu/aporpl3.jpg</v>
      </c>
      <c r="D931" t="s">
        <v>43</v>
      </c>
      <c r="G931" t="s">
        <v>34</v>
      </c>
      <c r="H931" t="s">
        <v>18</v>
      </c>
      <c r="I931" t="s">
        <v>19</v>
      </c>
      <c r="J931" t="s">
        <v>161</v>
      </c>
      <c r="M931" t="s">
        <v>2785</v>
      </c>
      <c r="N931" t="s">
        <v>2785</v>
      </c>
      <c r="O931" t="s">
        <v>73</v>
      </c>
      <c r="P931" t="s">
        <v>81</v>
      </c>
      <c r="Q931" t="s">
        <v>119</v>
      </c>
      <c r="R931" t="s">
        <v>118</v>
      </c>
    </row>
    <row r="932" spans="1:18" x14ac:dyDescent="0.25">
      <c r="A932" t="s">
        <v>19157</v>
      </c>
      <c r="B932" t="s">
        <v>2792</v>
      </c>
      <c r="C932" t="str">
        <f>HYPERLINK("https://nematode.unl.edu/aporpl4.jpg")</f>
        <v>https://nematode.unl.edu/aporpl4.jpg</v>
      </c>
      <c r="D932" t="s">
        <v>43</v>
      </c>
      <c r="G932" t="s">
        <v>87</v>
      </c>
      <c r="I932" t="s">
        <v>19</v>
      </c>
      <c r="J932" t="s">
        <v>161</v>
      </c>
      <c r="M932" t="s">
        <v>2785</v>
      </c>
      <c r="N932" t="s">
        <v>2785</v>
      </c>
      <c r="O932" t="s">
        <v>73</v>
      </c>
      <c r="P932" t="s">
        <v>81</v>
      </c>
      <c r="Q932" t="s">
        <v>119</v>
      </c>
      <c r="R932" t="s">
        <v>118</v>
      </c>
    </row>
    <row r="933" spans="1:18" x14ac:dyDescent="0.25">
      <c r="A933" t="s">
        <v>19174</v>
      </c>
      <c r="B933" t="s">
        <v>2793</v>
      </c>
      <c r="C933" t="str">
        <f>HYPERLINK("https://nematode.unl.edu/aporpl5.jpg")</f>
        <v>https://nematode.unl.edu/aporpl5.jpg</v>
      </c>
      <c r="D933" t="s">
        <v>43</v>
      </c>
      <c r="G933" t="s">
        <v>51</v>
      </c>
      <c r="I933" t="s">
        <v>19</v>
      </c>
      <c r="J933" t="s">
        <v>161</v>
      </c>
      <c r="L933" t="s">
        <v>162</v>
      </c>
      <c r="M933" t="s">
        <v>2785</v>
      </c>
      <c r="N933" t="s">
        <v>2785</v>
      </c>
      <c r="O933" t="s">
        <v>73</v>
      </c>
      <c r="P933" t="s">
        <v>81</v>
      </c>
      <c r="Q933" t="s">
        <v>119</v>
      </c>
      <c r="R933" t="s">
        <v>118</v>
      </c>
    </row>
    <row r="934" spans="1:18" x14ac:dyDescent="0.25">
      <c r="A934" t="s">
        <v>19163</v>
      </c>
      <c r="B934" t="s">
        <v>2794</v>
      </c>
      <c r="C934" t="str">
        <f>HYPERLINK("https://nematode.unl.edu/aporpl6.jpg")</f>
        <v>https://nematode.unl.edu/aporpl6.jpg</v>
      </c>
      <c r="D934" t="s">
        <v>43</v>
      </c>
      <c r="G934" t="s">
        <v>28</v>
      </c>
      <c r="I934" t="s">
        <v>19</v>
      </c>
      <c r="J934" t="s">
        <v>161</v>
      </c>
      <c r="M934" t="s">
        <v>2785</v>
      </c>
      <c r="N934" t="s">
        <v>2785</v>
      </c>
      <c r="O934" t="s">
        <v>73</v>
      </c>
      <c r="P934" t="s">
        <v>81</v>
      </c>
      <c r="Q934" t="s">
        <v>119</v>
      </c>
      <c r="R934" t="s">
        <v>118</v>
      </c>
    </row>
    <row r="935" spans="1:18" x14ac:dyDescent="0.25">
      <c r="A935" t="s">
        <v>18818</v>
      </c>
      <c r="B935" t="s">
        <v>2599</v>
      </c>
      <c r="C935" t="str">
        <f>HYPERLINK("https://nematode.unl.edu/aporsp1.jpg")</f>
        <v>https://nematode.unl.edu/aporsp1.jpg</v>
      </c>
      <c r="D935" t="s">
        <v>16</v>
      </c>
      <c r="G935" t="s">
        <v>34</v>
      </c>
      <c r="H935" t="s">
        <v>18</v>
      </c>
      <c r="I935" t="s">
        <v>19</v>
      </c>
      <c r="J935" t="s">
        <v>267</v>
      </c>
      <c r="M935" t="s">
        <v>118</v>
      </c>
      <c r="N935" t="s">
        <v>118</v>
      </c>
      <c r="O935" t="s">
        <v>73</v>
      </c>
      <c r="P935" t="s">
        <v>81</v>
      </c>
      <c r="Q935" t="s">
        <v>119</v>
      </c>
      <c r="R935" t="s">
        <v>118</v>
      </c>
    </row>
    <row r="936" spans="1:18" x14ac:dyDescent="0.25">
      <c r="A936" t="s">
        <v>18831</v>
      </c>
      <c r="B936" t="s">
        <v>2600</v>
      </c>
      <c r="C936" t="str">
        <f>HYPERLINK("https://nematode.unl.edu/aporsp2.jpg")</f>
        <v>https://nematode.unl.edu/aporsp2.jpg</v>
      </c>
      <c r="D936" t="s">
        <v>16</v>
      </c>
      <c r="G936" t="s">
        <v>28</v>
      </c>
      <c r="I936" t="s">
        <v>19</v>
      </c>
      <c r="J936" t="s">
        <v>267</v>
      </c>
      <c r="M936" t="s">
        <v>118</v>
      </c>
      <c r="N936" t="s">
        <v>118</v>
      </c>
      <c r="O936" t="s">
        <v>73</v>
      </c>
      <c r="P936" t="s">
        <v>81</v>
      </c>
      <c r="Q936" t="s">
        <v>119</v>
      </c>
      <c r="R936" t="s">
        <v>118</v>
      </c>
    </row>
    <row r="937" spans="1:18" x14ac:dyDescent="0.25">
      <c r="A937" t="s">
        <v>18819</v>
      </c>
      <c r="B937" t="s">
        <v>2601</v>
      </c>
      <c r="C937" t="str">
        <f>HYPERLINK("https://nematode.unl.edu/aporsp3.jpg")</f>
        <v>https://nematode.unl.edu/aporsp3.jpg</v>
      </c>
      <c r="D937" t="s">
        <v>16</v>
      </c>
      <c r="G937" t="s">
        <v>34</v>
      </c>
      <c r="H937" t="s">
        <v>18</v>
      </c>
      <c r="I937" t="s">
        <v>19</v>
      </c>
      <c r="J937" t="s">
        <v>267</v>
      </c>
      <c r="M937" t="s">
        <v>118</v>
      </c>
      <c r="N937" t="s">
        <v>118</v>
      </c>
      <c r="O937" t="s">
        <v>73</v>
      </c>
      <c r="P937" t="s">
        <v>81</v>
      </c>
      <c r="Q937" t="s">
        <v>119</v>
      </c>
      <c r="R937" t="s">
        <v>118</v>
      </c>
    </row>
    <row r="938" spans="1:18" x14ac:dyDescent="0.25">
      <c r="A938" t="s">
        <v>18832</v>
      </c>
      <c r="B938" t="s">
        <v>2602</v>
      </c>
      <c r="C938" t="str">
        <f>HYPERLINK("https://nematode.unl.edu/aporsp4.jpg")</f>
        <v>https://nematode.unl.edu/aporsp4.jpg</v>
      </c>
      <c r="D938" t="s">
        <v>16</v>
      </c>
      <c r="G938" t="s">
        <v>28</v>
      </c>
      <c r="I938" t="s">
        <v>19</v>
      </c>
      <c r="J938" t="s">
        <v>267</v>
      </c>
      <c r="M938" t="s">
        <v>118</v>
      </c>
      <c r="N938" t="s">
        <v>118</v>
      </c>
      <c r="O938" t="s">
        <v>73</v>
      </c>
      <c r="P938" t="s">
        <v>81</v>
      </c>
      <c r="Q938" t="s">
        <v>119</v>
      </c>
      <c r="R938" t="s">
        <v>118</v>
      </c>
    </row>
    <row r="939" spans="1:18" x14ac:dyDescent="0.25">
      <c r="A939" t="s">
        <v>18820</v>
      </c>
      <c r="B939" t="s">
        <v>2603</v>
      </c>
      <c r="C939" t="str">
        <f>HYPERLINK("https://nematode.unl.edu/aporsp5.jpg")</f>
        <v>https://nematode.unl.edu/aporsp5.jpg</v>
      </c>
      <c r="D939" t="s">
        <v>16</v>
      </c>
      <c r="G939" t="s">
        <v>34</v>
      </c>
      <c r="H939" t="s">
        <v>18</v>
      </c>
      <c r="I939" t="s">
        <v>41</v>
      </c>
      <c r="J939" t="s">
        <v>267</v>
      </c>
      <c r="M939" t="s">
        <v>118</v>
      </c>
      <c r="N939" t="s">
        <v>118</v>
      </c>
      <c r="O939" t="s">
        <v>73</v>
      </c>
      <c r="P939" t="s">
        <v>81</v>
      </c>
      <c r="Q939" t="s">
        <v>119</v>
      </c>
      <c r="R939" t="s">
        <v>118</v>
      </c>
    </row>
    <row r="940" spans="1:18" x14ac:dyDescent="0.25">
      <c r="A940" t="s">
        <v>18821</v>
      </c>
      <c r="B940" t="s">
        <v>2604</v>
      </c>
      <c r="C940" t="str">
        <f>HYPERLINK("https://nematode.unl.edu/aporsp6.jpg")</f>
        <v>https://nematode.unl.edu/aporsp6.jpg</v>
      </c>
      <c r="D940" t="s">
        <v>16</v>
      </c>
      <c r="G940" t="s">
        <v>34</v>
      </c>
      <c r="H940" t="s">
        <v>18</v>
      </c>
      <c r="I940" t="s">
        <v>19</v>
      </c>
      <c r="J940" t="s">
        <v>267</v>
      </c>
      <c r="M940" t="s">
        <v>118</v>
      </c>
      <c r="N940" t="s">
        <v>118</v>
      </c>
      <c r="O940" t="s">
        <v>73</v>
      </c>
      <c r="P940" t="s">
        <v>81</v>
      </c>
      <c r="Q940" t="s">
        <v>119</v>
      </c>
      <c r="R940" t="s">
        <v>118</v>
      </c>
    </row>
    <row r="941" spans="1:18" x14ac:dyDescent="0.25">
      <c r="A941" t="s">
        <v>18833</v>
      </c>
      <c r="B941" t="s">
        <v>2605</v>
      </c>
      <c r="C941" t="str">
        <f>HYPERLINK("https://nematode.unl.edu/aporsp7.jpg")</f>
        <v>https://nematode.unl.edu/aporsp7.jpg</v>
      </c>
      <c r="D941" t="s">
        <v>16</v>
      </c>
      <c r="G941" t="s">
        <v>28</v>
      </c>
      <c r="I941" t="s">
        <v>19</v>
      </c>
      <c r="J941" t="s">
        <v>267</v>
      </c>
      <c r="M941" t="s">
        <v>118</v>
      </c>
      <c r="N941" t="s">
        <v>118</v>
      </c>
      <c r="O941" t="s">
        <v>73</v>
      </c>
      <c r="P941" t="s">
        <v>81</v>
      </c>
      <c r="Q941" t="s">
        <v>119</v>
      </c>
      <c r="R941" t="s">
        <v>118</v>
      </c>
    </row>
    <row r="942" spans="1:18" x14ac:dyDescent="0.25">
      <c r="A942" t="s">
        <v>18822</v>
      </c>
      <c r="B942" t="s">
        <v>2606</v>
      </c>
      <c r="C942" t="str">
        <f>HYPERLINK("https://nematode.unl.edu/aporsp8.jpg")</f>
        <v>https://nematode.unl.edu/aporsp8.jpg</v>
      </c>
      <c r="D942" t="s">
        <v>16</v>
      </c>
      <c r="G942" t="s">
        <v>34</v>
      </c>
      <c r="H942" t="s">
        <v>18</v>
      </c>
      <c r="I942" t="s">
        <v>19</v>
      </c>
      <c r="J942" t="s">
        <v>267</v>
      </c>
      <c r="M942" t="s">
        <v>118</v>
      </c>
      <c r="N942" t="s">
        <v>118</v>
      </c>
      <c r="O942" t="s">
        <v>73</v>
      </c>
      <c r="P942" t="s">
        <v>81</v>
      </c>
      <c r="Q942" t="s">
        <v>119</v>
      </c>
      <c r="R942" t="s">
        <v>118</v>
      </c>
    </row>
    <row r="943" spans="1:18" x14ac:dyDescent="0.25">
      <c r="A943" t="s">
        <v>18834</v>
      </c>
      <c r="B943" t="s">
        <v>2607</v>
      </c>
      <c r="C943" t="str">
        <f>HYPERLINK("https://nematode.unl.edu/aporsp9.jpg")</f>
        <v>https://nematode.unl.edu/aporsp9.jpg</v>
      </c>
      <c r="D943" t="s">
        <v>16</v>
      </c>
      <c r="G943" t="s">
        <v>28</v>
      </c>
      <c r="I943" t="s">
        <v>19</v>
      </c>
      <c r="J943" t="s">
        <v>267</v>
      </c>
      <c r="M943" t="s">
        <v>118</v>
      </c>
      <c r="N943" t="s">
        <v>118</v>
      </c>
      <c r="O943" t="s">
        <v>73</v>
      </c>
      <c r="P943" t="s">
        <v>81</v>
      </c>
      <c r="Q943" t="s">
        <v>119</v>
      </c>
      <c r="R943" t="s">
        <v>118</v>
      </c>
    </row>
    <row r="944" spans="1:18" x14ac:dyDescent="0.25">
      <c r="A944" t="s">
        <v>18823</v>
      </c>
      <c r="B944" t="s">
        <v>2608</v>
      </c>
      <c r="C944" t="str">
        <f>HYPERLINK("https://nematode.unl.edu/aporspr.jpg")</f>
        <v>https://nematode.unl.edu/aporspr.jpg</v>
      </c>
      <c r="D944" t="s">
        <v>16</v>
      </c>
      <c r="G944" t="s">
        <v>34</v>
      </c>
      <c r="H944" t="s">
        <v>18</v>
      </c>
      <c r="I944" t="s">
        <v>19</v>
      </c>
      <c r="J944" t="s">
        <v>46</v>
      </c>
      <c r="L944" t="s">
        <v>105</v>
      </c>
      <c r="M944" t="s">
        <v>118</v>
      </c>
      <c r="N944" t="s">
        <v>118</v>
      </c>
      <c r="O944" t="s">
        <v>73</v>
      </c>
      <c r="P944" t="s">
        <v>81</v>
      </c>
      <c r="Q944" t="s">
        <v>119</v>
      </c>
      <c r="R944" t="s">
        <v>118</v>
      </c>
    </row>
    <row r="945" spans="1:18" x14ac:dyDescent="0.25">
      <c r="A945" t="s">
        <v>18835</v>
      </c>
      <c r="B945" t="s">
        <v>2609</v>
      </c>
      <c r="C945" t="str">
        <f>HYPERLINK("https://nematode.unl.edu/aportl.jpg")</f>
        <v>https://nematode.unl.edu/aportl.jpg</v>
      </c>
      <c r="D945" t="s">
        <v>16</v>
      </c>
      <c r="G945" t="s">
        <v>28</v>
      </c>
      <c r="I945" t="s">
        <v>19</v>
      </c>
      <c r="J945" t="s">
        <v>46</v>
      </c>
      <c r="L945" t="s">
        <v>105</v>
      </c>
      <c r="M945" t="s">
        <v>118</v>
      </c>
      <c r="N945" t="s">
        <v>118</v>
      </c>
      <c r="O945" t="s">
        <v>73</v>
      </c>
      <c r="P945" t="s">
        <v>81</v>
      </c>
      <c r="Q945" t="s">
        <v>119</v>
      </c>
      <c r="R945" t="s">
        <v>118</v>
      </c>
    </row>
    <row r="946" spans="1:18" x14ac:dyDescent="0.25">
      <c r="A946" t="s">
        <v>19096</v>
      </c>
      <c r="B946" t="s">
        <v>281</v>
      </c>
      <c r="C946" t="str">
        <f>HYPERLINK("https://nematode.unl.edu/aporus1.jpg")</f>
        <v>https://nematode.unl.edu/aporus1.jpg</v>
      </c>
      <c r="D946" t="s">
        <v>43</v>
      </c>
      <c r="G946" t="s">
        <v>44</v>
      </c>
      <c r="I946" t="s">
        <v>91</v>
      </c>
      <c r="J946" t="s">
        <v>282</v>
      </c>
      <c r="M946" t="s">
        <v>233</v>
      </c>
      <c r="N946" t="s">
        <v>135</v>
      </c>
      <c r="O946" t="s">
        <v>73</v>
      </c>
      <c r="P946" t="s">
        <v>81</v>
      </c>
      <c r="Q946" t="s">
        <v>119</v>
      </c>
      <c r="R946" t="s">
        <v>118</v>
      </c>
    </row>
    <row r="947" spans="1:18" x14ac:dyDescent="0.25">
      <c r="A947" t="s">
        <v>19126</v>
      </c>
      <c r="B947" t="s">
        <v>283</v>
      </c>
      <c r="C947" t="str">
        <f>HYPERLINK("https://nematode.unl.edu/aporus10.jpg")</f>
        <v>https://nematode.unl.edu/aporus10.jpg</v>
      </c>
      <c r="D947" t="s">
        <v>43</v>
      </c>
      <c r="G947" t="s">
        <v>51</v>
      </c>
      <c r="I947" t="s">
        <v>19</v>
      </c>
      <c r="J947" t="s">
        <v>282</v>
      </c>
      <c r="M947" t="s">
        <v>233</v>
      </c>
      <c r="N947" t="s">
        <v>135</v>
      </c>
      <c r="O947" t="s">
        <v>73</v>
      </c>
      <c r="P947" t="s">
        <v>81</v>
      </c>
      <c r="Q947" t="s">
        <v>119</v>
      </c>
      <c r="R947" t="s">
        <v>118</v>
      </c>
    </row>
    <row r="948" spans="1:18" x14ac:dyDescent="0.25">
      <c r="A948" t="s">
        <v>19086</v>
      </c>
      <c r="B948" t="s">
        <v>284</v>
      </c>
      <c r="C948" t="str">
        <f>HYPERLINK("https://nematode.unl.edu/aporus11.jpg")</f>
        <v>https://nematode.unl.edu/aporus11.jpg</v>
      </c>
      <c r="D948" t="s">
        <v>43</v>
      </c>
      <c r="G948" t="s">
        <v>87</v>
      </c>
      <c r="I948" t="s">
        <v>19</v>
      </c>
      <c r="J948" t="s">
        <v>282</v>
      </c>
      <c r="M948" t="s">
        <v>233</v>
      </c>
      <c r="N948" t="s">
        <v>135</v>
      </c>
      <c r="O948" t="s">
        <v>73</v>
      </c>
      <c r="P948" t="s">
        <v>81</v>
      </c>
      <c r="Q948" t="s">
        <v>119</v>
      </c>
      <c r="R948" t="s">
        <v>118</v>
      </c>
    </row>
    <row r="949" spans="1:18" x14ac:dyDescent="0.25">
      <c r="A949" t="s">
        <v>19118</v>
      </c>
      <c r="B949" t="s">
        <v>285</v>
      </c>
      <c r="C949" t="str">
        <f>HYPERLINK("https://nematode.unl.edu/aporus12.jpg")</f>
        <v>https://nematode.unl.edu/aporus12.jpg</v>
      </c>
      <c r="D949" t="s">
        <v>43</v>
      </c>
      <c r="G949" t="s">
        <v>28</v>
      </c>
      <c r="I949" t="s">
        <v>19</v>
      </c>
      <c r="J949" t="s">
        <v>282</v>
      </c>
      <c r="M949" t="s">
        <v>233</v>
      </c>
      <c r="N949" t="s">
        <v>135</v>
      </c>
      <c r="O949" t="s">
        <v>73</v>
      </c>
      <c r="P949" t="s">
        <v>81</v>
      </c>
      <c r="Q949" t="s">
        <v>119</v>
      </c>
      <c r="R949" t="s">
        <v>118</v>
      </c>
    </row>
    <row r="950" spans="1:18" x14ac:dyDescent="0.25">
      <c r="A950" t="s">
        <v>19081</v>
      </c>
      <c r="B950" t="s">
        <v>286</v>
      </c>
      <c r="C950" t="str">
        <f>HYPERLINK("https://nematode.unl.edu/aporus2.jpg")</f>
        <v>https://nematode.unl.edu/aporus2.jpg</v>
      </c>
      <c r="D950" t="s">
        <v>43</v>
      </c>
      <c r="G950" t="s">
        <v>34</v>
      </c>
      <c r="H950" t="s">
        <v>18</v>
      </c>
      <c r="I950" t="s">
        <v>19</v>
      </c>
      <c r="J950" t="s">
        <v>282</v>
      </c>
      <c r="M950" t="s">
        <v>233</v>
      </c>
      <c r="N950" t="s">
        <v>135</v>
      </c>
      <c r="O950" t="s">
        <v>73</v>
      </c>
      <c r="P950" t="s">
        <v>81</v>
      </c>
      <c r="Q950" t="s">
        <v>119</v>
      </c>
      <c r="R950" t="s">
        <v>118</v>
      </c>
    </row>
    <row r="951" spans="1:18" x14ac:dyDescent="0.25">
      <c r="A951" t="s">
        <v>19087</v>
      </c>
      <c r="B951" t="s">
        <v>287</v>
      </c>
      <c r="C951" t="str">
        <f>HYPERLINK("https://nematode.unl.edu/aporus3.jpg")</f>
        <v>https://nematode.unl.edu/aporus3.jpg</v>
      </c>
      <c r="D951" t="s">
        <v>43</v>
      </c>
      <c r="G951" t="s">
        <v>87</v>
      </c>
      <c r="I951" t="s">
        <v>19</v>
      </c>
      <c r="J951" t="s">
        <v>282</v>
      </c>
      <c r="M951" t="s">
        <v>233</v>
      </c>
      <c r="N951" t="s">
        <v>135</v>
      </c>
      <c r="O951" t="s">
        <v>73</v>
      </c>
      <c r="P951" t="s">
        <v>81</v>
      </c>
      <c r="Q951" t="s">
        <v>119</v>
      </c>
      <c r="R951" t="s">
        <v>118</v>
      </c>
    </row>
    <row r="952" spans="1:18" x14ac:dyDescent="0.25">
      <c r="A952" t="s">
        <v>19127</v>
      </c>
      <c r="B952" t="s">
        <v>288</v>
      </c>
      <c r="C952" t="str">
        <f>HYPERLINK("https://nematode.unl.edu/aporus4.jpg")</f>
        <v>https://nematode.unl.edu/aporus4.jpg</v>
      </c>
      <c r="D952" t="s">
        <v>43</v>
      </c>
      <c r="G952" t="s">
        <v>51</v>
      </c>
      <c r="I952" t="s">
        <v>19</v>
      </c>
      <c r="J952" t="s">
        <v>282</v>
      </c>
      <c r="M952" t="s">
        <v>233</v>
      </c>
      <c r="N952" t="s">
        <v>135</v>
      </c>
      <c r="O952" t="s">
        <v>73</v>
      </c>
      <c r="P952" t="s">
        <v>81</v>
      </c>
      <c r="Q952" t="s">
        <v>119</v>
      </c>
      <c r="R952" t="s">
        <v>118</v>
      </c>
    </row>
    <row r="953" spans="1:18" x14ac:dyDescent="0.25">
      <c r="A953" t="s">
        <v>19119</v>
      </c>
      <c r="B953" t="s">
        <v>289</v>
      </c>
      <c r="C953" t="str">
        <f>HYPERLINK("https://nematode.unl.edu/aporus5.jpg")</f>
        <v>https://nematode.unl.edu/aporus5.jpg</v>
      </c>
      <c r="D953" t="s">
        <v>43</v>
      </c>
      <c r="G953" t="s">
        <v>28</v>
      </c>
      <c r="I953" t="s">
        <v>19</v>
      </c>
      <c r="J953" t="s">
        <v>282</v>
      </c>
      <c r="M953" t="s">
        <v>233</v>
      </c>
      <c r="N953" t="s">
        <v>135</v>
      </c>
      <c r="O953" t="s">
        <v>73</v>
      </c>
      <c r="P953" t="s">
        <v>81</v>
      </c>
      <c r="Q953" t="s">
        <v>119</v>
      </c>
      <c r="R953" t="s">
        <v>118</v>
      </c>
    </row>
    <row r="954" spans="1:18" x14ac:dyDescent="0.25">
      <c r="A954" t="s">
        <v>19097</v>
      </c>
      <c r="B954" t="s">
        <v>290</v>
      </c>
      <c r="C954" t="str">
        <f>HYPERLINK("https://nematode.unl.edu/aporus6.jpg")</f>
        <v>https://nematode.unl.edu/aporus6.jpg</v>
      </c>
      <c r="D954" t="s">
        <v>43</v>
      </c>
      <c r="G954" t="s">
        <v>44</v>
      </c>
      <c r="I954" t="s">
        <v>91</v>
      </c>
      <c r="J954" t="s">
        <v>282</v>
      </c>
      <c r="M954" t="s">
        <v>233</v>
      </c>
      <c r="N954" t="s">
        <v>135</v>
      </c>
      <c r="O954" t="s">
        <v>73</v>
      </c>
      <c r="P954" t="s">
        <v>81</v>
      </c>
      <c r="Q954" t="s">
        <v>119</v>
      </c>
      <c r="R954" t="s">
        <v>118</v>
      </c>
    </row>
    <row r="955" spans="1:18" x14ac:dyDescent="0.25">
      <c r="A955" t="s">
        <v>19065</v>
      </c>
      <c r="B955" t="s">
        <v>291</v>
      </c>
      <c r="C955" t="str">
        <f>HYPERLINK("https://nematode.unl.edu/aporus7.jpg")</f>
        <v>https://nematode.unl.edu/aporus7.jpg</v>
      </c>
      <c r="D955" t="s">
        <v>43</v>
      </c>
      <c r="G955" t="s">
        <v>96</v>
      </c>
      <c r="H955" t="s">
        <v>18</v>
      </c>
      <c r="I955" t="s">
        <v>45</v>
      </c>
      <c r="J955" t="s">
        <v>282</v>
      </c>
      <c r="M955" t="s">
        <v>233</v>
      </c>
      <c r="N955" t="s">
        <v>135</v>
      </c>
      <c r="O955" t="s">
        <v>73</v>
      </c>
      <c r="P955" t="s">
        <v>81</v>
      </c>
      <c r="Q955" t="s">
        <v>119</v>
      </c>
      <c r="R955" t="s">
        <v>118</v>
      </c>
    </row>
    <row r="956" spans="1:18" x14ac:dyDescent="0.25">
      <c r="A956" t="s">
        <v>19103</v>
      </c>
      <c r="B956" t="s">
        <v>292</v>
      </c>
      <c r="C956" t="str">
        <f>HYPERLINK("https://nematode.unl.edu/aporus8.jpg")</f>
        <v>https://nematode.unl.edu/aporus8.jpg</v>
      </c>
      <c r="D956" t="s">
        <v>43</v>
      </c>
      <c r="G956" t="s">
        <v>181</v>
      </c>
      <c r="I956" t="s">
        <v>45</v>
      </c>
      <c r="J956" t="s">
        <v>282</v>
      </c>
      <c r="M956" t="s">
        <v>233</v>
      </c>
      <c r="N956" t="s">
        <v>135</v>
      </c>
      <c r="O956" t="s">
        <v>73</v>
      </c>
      <c r="P956" t="s">
        <v>81</v>
      </c>
      <c r="Q956" t="s">
        <v>119</v>
      </c>
      <c r="R956" t="s">
        <v>118</v>
      </c>
    </row>
    <row r="957" spans="1:18" x14ac:dyDescent="0.25">
      <c r="A957" t="s">
        <v>19088</v>
      </c>
      <c r="B957" t="s">
        <v>293</v>
      </c>
      <c r="C957" t="str">
        <f>HYPERLINK("https://nematode.unl.edu/aporus9.jpg")</f>
        <v>https://nematode.unl.edu/aporus9.jpg</v>
      </c>
      <c r="D957" t="s">
        <v>43</v>
      </c>
      <c r="G957" t="s">
        <v>87</v>
      </c>
      <c r="I957" t="s">
        <v>19</v>
      </c>
      <c r="J957" t="s">
        <v>282</v>
      </c>
      <c r="M957" t="s">
        <v>233</v>
      </c>
      <c r="N957" t="s">
        <v>135</v>
      </c>
      <c r="O957" t="s">
        <v>73</v>
      </c>
      <c r="P957" t="s">
        <v>81</v>
      </c>
      <c r="Q957" t="s">
        <v>119</v>
      </c>
      <c r="R957" t="s">
        <v>118</v>
      </c>
    </row>
    <row r="958" spans="1:18" x14ac:dyDescent="0.25">
      <c r="A958" t="s">
        <v>18827</v>
      </c>
      <c r="B958" t="s">
        <v>2610</v>
      </c>
      <c r="C958" t="str">
        <f>HYPERLINK("https://nematode.unl.edu/aporwhl.jpg")</f>
        <v>https://nematode.unl.edu/aporwhl.jpg</v>
      </c>
      <c r="D958" t="s">
        <v>16</v>
      </c>
      <c r="G958" t="s">
        <v>44</v>
      </c>
      <c r="I958" t="s">
        <v>45</v>
      </c>
      <c r="J958" t="s">
        <v>46</v>
      </c>
      <c r="L958" t="s">
        <v>105</v>
      </c>
      <c r="M958" t="s">
        <v>118</v>
      </c>
      <c r="N958" t="s">
        <v>118</v>
      </c>
      <c r="O958" t="s">
        <v>73</v>
      </c>
      <c r="P958" t="s">
        <v>81</v>
      </c>
      <c r="Q958" t="s">
        <v>119</v>
      </c>
      <c r="R958" t="s">
        <v>118</v>
      </c>
    </row>
    <row r="959" spans="1:18" x14ac:dyDescent="0.25">
      <c r="A959" t="s">
        <v>19233</v>
      </c>
      <c r="B959" t="s">
        <v>2851</v>
      </c>
      <c r="C959" t="str">
        <f>HYPERLINK("https://nematode.unl.edu/appach1.jpg")</f>
        <v>https://nematode.unl.edu/appach1.jpg</v>
      </c>
      <c r="D959" t="s">
        <v>16</v>
      </c>
      <c r="G959" t="s">
        <v>34</v>
      </c>
      <c r="H959" t="s">
        <v>18</v>
      </c>
      <c r="I959" t="s">
        <v>137</v>
      </c>
      <c r="J959" t="s">
        <v>116</v>
      </c>
      <c r="M959" t="s">
        <v>2852</v>
      </c>
      <c r="N959" t="s">
        <v>2852</v>
      </c>
      <c r="O959" t="s">
        <v>73</v>
      </c>
      <c r="P959" t="s">
        <v>81</v>
      </c>
      <c r="Q959" t="s">
        <v>119</v>
      </c>
      <c r="R959" t="s">
        <v>320</v>
      </c>
    </row>
    <row r="960" spans="1:18" x14ac:dyDescent="0.25">
      <c r="A960" t="s">
        <v>19235</v>
      </c>
      <c r="B960" t="s">
        <v>2853</v>
      </c>
      <c r="C960" t="str">
        <f>HYPERLINK("https://nematode.unl.edu/appach2.jpg")</f>
        <v>https://nematode.unl.edu/appach2.jpg</v>
      </c>
      <c r="D960" t="s">
        <v>16</v>
      </c>
      <c r="G960" t="s">
        <v>28</v>
      </c>
      <c r="I960" t="s">
        <v>137</v>
      </c>
      <c r="J960" t="s">
        <v>116</v>
      </c>
      <c r="M960" t="s">
        <v>2852</v>
      </c>
      <c r="N960" t="s">
        <v>2852</v>
      </c>
      <c r="O960" t="s">
        <v>73</v>
      </c>
      <c r="P960" t="s">
        <v>81</v>
      </c>
      <c r="Q960" t="s">
        <v>119</v>
      </c>
      <c r="R960" t="s">
        <v>320</v>
      </c>
    </row>
    <row r="961" spans="1:18" x14ac:dyDescent="0.25">
      <c r="A961" t="s">
        <v>19234</v>
      </c>
      <c r="B961" t="s">
        <v>2854</v>
      </c>
      <c r="C961" t="str">
        <f>HYPERLINK("https://nematode.unl.edu/appachydraw.jpg")</f>
        <v>https://nematode.unl.edu/appachydraw.jpg</v>
      </c>
      <c r="D961" t="s">
        <v>43</v>
      </c>
      <c r="G961" t="s">
        <v>108</v>
      </c>
      <c r="I961" t="s">
        <v>316</v>
      </c>
      <c r="M961" t="s">
        <v>2852</v>
      </c>
      <c r="N961" t="s">
        <v>2852</v>
      </c>
      <c r="O961" t="s">
        <v>73</v>
      </c>
      <c r="P961" t="s">
        <v>81</v>
      </c>
      <c r="Q961" t="s">
        <v>119</v>
      </c>
      <c r="R961" t="s">
        <v>320</v>
      </c>
    </row>
    <row r="962" spans="1:18" x14ac:dyDescent="0.25">
      <c r="A962" t="s">
        <v>19160</v>
      </c>
      <c r="B962" t="s">
        <v>2795</v>
      </c>
      <c r="C962" t="str">
        <f>HYPERLINK("https://nematode.unl.edu/appl1.jpg")</f>
        <v>https://nematode.unl.edu/appl1.jpg</v>
      </c>
      <c r="D962" t="s">
        <v>43</v>
      </c>
      <c r="G962" t="s">
        <v>44</v>
      </c>
      <c r="I962" t="s">
        <v>19</v>
      </c>
      <c r="J962" t="s">
        <v>20</v>
      </c>
      <c r="L962" t="s">
        <v>141</v>
      </c>
      <c r="M962" t="s">
        <v>2785</v>
      </c>
      <c r="N962" t="s">
        <v>2785</v>
      </c>
      <c r="O962" t="s">
        <v>73</v>
      </c>
      <c r="P962" t="s">
        <v>81</v>
      </c>
      <c r="Q962" t="s">
        <v>119</v>
      </c>
      <c r="R962" t="s">
        <v>118</v>
      </c>
    </row>
    <row r="963" spans="1:18" x14ac:dyDescent="0.25">
      <c r="A963" t="s">
        <v>19164</v>
      </c>
      <c r="B963" t="s">
        <v>2796</v>
      </c>
      <c r="C963" t="str">
        <f>HYPERLINK("https://nematode.unl.edu/appl10.jpg")</f>
        <v>https://nematode.unl.edu/appl10.jpg</v>
      </c>
      <c r="D963" t="s">
        <v>43</v>
      </c>
      <c r="G963" t="s">
        <v>28</v>
      </c>
      <c r="I963" t="s">
        <v>137</v>
      </c>
      <c r="J963" t="s">
        <v>20</v>
      </c>
      <c r="L963" t="s">
        <v>35</v>
      </c>
      <c r="M963" t="s">
        <v>2785</v>
      </c>
      <c r="N963" t="s">
        <v>2785</v>
      </c>
      <c r="O963" t="s">
        <v>73</v>
      </c>
      <c r="P963" t="s">
        <v>81</v>
      </c>
      <c r="Q963" t="s">
        <v>119</v>
      </c>
      <c r="R963" t="s">
        <v>118</v>
      </c>
    </row>
    <row r="964" spans="1:18" x14ac:dyDescent="0.25">
      <c r="A964" t="s">
        <v>19150</v>
      </c>
      <c r="B964" t="s">
        <v>2797</v>
      </c>
      <c r="C964" t="str">
        <f>HYPERLINK("https://nematode.unl.edu/appl11.jpg")</f>
        <v>https://nematode.unl.edu/appl11.jpg</v>
      </c>
      <c r="D964" t="s">
        <v>43</v>
      </c>
      <c r="G964" t="s">
        <v>34</v>
      </c>
      <c r="H964" t="s">
        <v>18</v>
      </c>
      <c r="I964" t="s">
        <v>19</v>
      </c>
      <c r="J964" t="s">
        <v>20</v>
      </c>
      <c r="M964" t="s">
        <v>2785</v>
      </c>
      <c r="N964" t="s">
        <v>2785</v>
      </c>
      <c r="O964" t="s">
        <v>73</v>
      </c>
      <c r="P964" t="s">
        <v>81</v>
      </c>
      <c r="Q964" t="s">
        <v>119</v>
      </c>
      <c r="R964" t="s">
        <v>118</v>
      </c>
    </row>
    <row r="965" spans="1:18" x14ac:dyDescent="0.25">
      <c r="A965" t="s">
        <v>19165</v>
      </c>
      <c r="B965" t="s">
        <v>2798</v>
      </c>
      <c r="C965" t="str">
        <f>HYPERLINK("https://nematode.unl.edu/appl12.jpg")</f>
        <v>https://nematode.unl.edu/appl12.jpg</v>
      </c>
      <c r="D965" t="s">
        <v>16</v>
      </c>
      <c r="G965" t="s">
        <v>28</v>
      </c>
      <c r="I965" t="s">
        <v>19</v>
      </c>
      <c r="J965" t="s">
        <v>20</v>
      </c>
      <c r="L965" t="s">
        <v>141</v>
      </c>
      <c r="M965" t="s">
        <v>2785</v>
      </c>
      <c r="N965" t="s">
        <v>2785</v>
      </c>
      <c r="O965" t="s">
        <v>73</v>
      </c>
      <c r="P965" t="s">
        <v>81</v>
      </c>
      <c r="Q965" t="s">
        <v>119</v>
      </c>
      <c r="R965" t="s">
        <v>118</v>
      </c>
    </row>
    <row r="966" spans="1:18" x14ac:dyDescent="0.25">
      <c r="A966" t="s">
        <v>19151</v>
      </c>
      <c r="B966" t="s">
        <v>2799</v>
      </c>
      <c r="C966" t="str">
        <f>HYPERLINK("https://nematode.unl.edu/appl13.jpg")</f>
        <v>https://nematode.unl.edu/appl13.jpg</v>
      </c>
      <c r="D966" t="s">
        <v>16</v>
      </c>
      <c r="G966" t="s">
        <v>34</v>
      </c>
      <c r="H966" t="s">
        <v>18</v>
      </c>
      <c r="I966" t="s">
        <v>19</v>
      </c>
      <c r="J966" t="s">
        <v>20</v>
      </c>
      <c r="L966" t="s">
        <v>64</v>
      </c>
      <c r="M966" t="s">
        <v>2785</v>
      </c>
      <c r="N966" t="s">
        <v>2785</v>
      </c>
      <c r="O966" t="s">
        <v>73</v>
      </c>
      <c r="P966" t="s">
        <v>81</v>
      </c>
      <c r="Q966" t="s">
        <v>119</v>
      </c>
      <c r="R966" t="s">
        <v>118</v>
      </c>
    </row>
    <row r="967" spans="1:18" x14ac:dyDescent="0.25">
      <c r="A967" t="s">
        <v>19166</v>
      </c>
      <c r="B967" t="s">
        <v>2800</v>
      </c>
      <c r="C967" t="str">
        <f>HYPERLINK("https://nematode.unl.edu/appl14.jpg")</f>
        <v>https://nematode.unl.edu/appl14.jpg</v>
      </c>
      <c r="D967" t="s">
        <v>16</v>
      </c>
      <c r="G967" t="s">
        <v>28</v>
      </c>
      <c r="I967" t="s">
        <v>19</v>
      </c>
      <c r="J967" t="s">
        <v>20</v>
      </c>
      <c r="L967" t="s">
        <v>64</v>
      </c>
      <c r="M967" t="s">
        <v>2785</v>
      </c>
      <c r="N967" t="s">
        <v>2785</v>
      </c>
      <c r="O967" t="s">
        <v>73</v>
      </c>
      <c r="P967" t="s">
        <v>81</v>
      </c>
      <c r="Q967" t="s">
        <v>119</v>
      </c>
      <c r="R967" t="s">
        <v>118</v>
      </c>
    </row>
    <row r="968" spans="1:18" x14ac:dyDescent="0.25">
      <c r="A968" t="s">
        <v>19152</v>
      </c>
      <c r="B968" t="s">
        <v>2801</v>
      </c>
      <c r="C968" t="str">
        <f>HYPERLINK("https://nematode.unl.edu/appl15.jpg")</f>
        <v>https://nematode.unl.edu/appl15.jpg</v>
      </c>
      <c r="D968" t="s">
        <v>16</v>
      </c>
      <c r="G968" t="s">
        <v>34</v>
      </c>
      <c r="H968" t="s">
        <v>18</v>
      </c>
      <c r="I968" t="s">
        <v>19</v>
      </c>
      <c r="J968" t="s">
        <v>20</v>
      </c>
      <c r="L968" t="s">
        <v>352</v>
      </c>
      <c r="M968" t="s">
        <v>2785</v>
      </c>
      <c r="N968" t="s">
        <v>2785</v>
      </c>
      <c r="O968" t="s">
        <v>73</v>
      </c>
      <c r="P968" t="s">
        <v>81</v>
      </c>
      <c r="Q968" t="s">
        <v>119</v>
      </c>
      <c r="R968" t="s">
        <v>118</v>
      </c>
    </row>
    <row r="969" spans="1:18" x14ac:dyDescent="0.25">
      <c r="A969" t="s">
        <v>19167</v>
      </c>
      <c r="B969" t="s">
        <v>2802</v>
      </c>
      <c r="C969" t="str">
        <f>HYPERLINK("https://nematode.unl.edu/appl16.jpg")</f>
        <v>https://nematode.unl.edu/appl16.jpg</v>
      </c>
      <c r="D969" t="s">
        <v>16</v>
      </c>
      <c r="G969" t="s">
        <v>28</v>
      </c>
      <c r="I969" t="s">
        <v>19</v>
      </c>
      <c r="J969" t="s">
        <v>20</v>
      </c>
      <c r="L969" t="s">
        <v>141</v>
      </c>
      <c r="M969" t="s">
        <v>2785</v>
      </c>
      <c r="N969" t="s">
        <v>2785</v>
      </c>
      <c r="O969" t="s">
        <v>73</v>
      </c>
      <c r="P969" t="s">
        <v>81</v>
      </c>
      <c r="Q969" t="s">
        <v>119</v>
      </c>
      <c r="R969" t="s">
        <v>118</v>
      </c>
    </row>
    <row r="970" spans="1:18" x14ac:dyDescent="0.25">
      <c r="A970" t="s">
        <v>19153</v>
      </c>
      <c r="B970" t="s">
        <v>2803</v>
      </c>
      <c r="C970" t="str">
        <f>HYPERLINK("https://nematode.unl.edu/appl17.jpg")</f>
        <v>https://nematode.unl.edu/appl17.jpg</v>
      </c>
      <c r="D970" t="s">
        <v>16</v>
      </c>
      <c r="G970" t="s">
        <v>34</v>
      </c>
      <c r="H970" t="s">
        <v>18</v>
      </c>
      <c r="I970" t="s">
        <v>19</v>
      </c>
      <c r="J970" t="s">
        <v>20</v>
      </c>
      <c r="L970" t="s">
        <v>64</v>
      </c>
      <c r="M970" t="s">
        <v>2785</v>
      </c>
      <c r="N970" t="s">
        <v>2785</v>
      </c>
      <c r="O970" t="s">
        <v>73</v>
      </c>
      <c r="P970" t="s">
        <v>81</v>
      </c>
      <c r="Q970" t="s">
        <v>119</v>
      </c>
      <c r="R970" t="s">
        <v>118</v>
      </c>
    </row>
    <row r="971" spans="1:18" x14ac:dyDescent="0.25">
      <c r="A971" t="s">
        <v>19168</v>
      </c>
      <c r="B971" t="s">
        <v>2804</v>
      </c>
      <c r="C971" t="str">
        <f>HYPERLINK("https://nematode.unl.edu/appl18.jpg")</f>
        <v>https://nematode.unl.edu/appl18.jpg</v>
      </c>
      <c r="D971" t="s">
        <v>16</v>
      </c>
      <c r="G971" t="s">
        <v>28</v>
      </c>
      <c r="I971" t="s">
        <v>19</v>
      </c>
      <c r="J971" t="s">
        <v>20</v>
      </c>
      <c r="L971" t="s">
        <v>64</v>
      </c>
      <c r="M971" t="s">
        <v>2785</v>
      </c>
      <c r="N971" t="s">
        <v>2785</v>
      </c>
      <c r="O971" t="s">
        <v>73</v>
      </c>
      <c r="P971" t="s">
        <v>81</v>
      </c>
      <c r="Q971" t="s">
        <v>119</v>
      </c>
      <c r="R971" t="s">
        <v>118</v>
      </c>
    </row>
    <row r="972" spans="1:18" x14ac:dyDescent="0.25">
      <c r="A972" t="s">
        <v>19169</v>
      </c>
      <c r="B972" t="s">
        <v>2805</v>
      </c>
      <c r="C972" t="str">
        <f>HYPERLINK("https://nematode.unl.edu/appl19.jpg")</f>
        <v>https://nematode.unl.edu/appl19.jpg</v>
      </c>
      <c r="D972" t="s">
        <v>16</v>
      </c>
      <c r="G972" t="s">
        <v>28</v>
      </c>
      <c r="I972" t="s">
        <v>19</v>
      </c>
      <c r="J972" t="s">
        <v>20</v>
      </c>
      <c r="M972" t="s">
        <v>2785</v>
      </c>
      <c r="N972" t="s">
        <v>2785</v>
      </c>
      <c r="O972" t="s">
        <v>73</v>
      </c>
      <c r="P972" t="s">
        <v>81</v>
      </c>
      <c r="Q972" t="s">
        <v>119</v>
      </c>
      <c r="R972" t="s">
        <v>118</v>
      </c>
    </row>
    <row r="973" spans="1:18" x14ac:dyDescent="0.25">
      <c r="A973" t="s">
        <v>19170</v>
      </c>
      <c r="B973" t="s">
        <v>2806</v>
      </c>
      <c r="C973" t="str">
        <f>HYPERLINK("https://nematode.unl.edu/appl2.jpg")</f>
        <v>https://nematode.unl.edu/appl2.jpg</v>
      </c>
      <c r="D973" t="s">
        <v>43</v>
      </c>
      <c r="G973" t="s">
        <v>28</v>
      </c>
      <c r="I973" t="s">
        <v>19</v>
      </c>
      <c r="J973" t="s">
        <v>20</v>
      </c>
      <c r="L973" t="s">
        <v>220</v>
      </c>
      <c r="M973" t="s">
        <v>2785</v>
      </c>
      <c r="N973" t="s">
        <v>2785</v>
      </c>
      <c r="O973" t="s">
        <v>73</v>
      </c>
      <c r="P973" t="s">
        <v>81</v>
      </c>
      <c r="Q973" t="s">
        <v>119</v>
      </c>
      <c r="R973" t="s">
        <v>118</v>
      </c>
    </row>
    <row r="974" spans="1:18" x14ac:dyDescent="0.25">
      <c r="A974" t="s">
        <v>19171</v>
      </c>
      <c r="B974" t="s">
        <v>2807</v>
      </c>
      <c r="C974" t="str">
        <f>HYPERLINK("https://nematode.unl.edu/appl20.jpg")</f>
        <v>https://nematode.unl.edu/appl20.jpg</v>
      </c>
      <c r="D974" t="s">
        <v>16</v>
      </c>
      <c r="G974" t="s">
        <v>28</v>
      </c>
      <c r="I974" t="s">
        <v>19</v>
      </c>
      <c r="J974" t="s">
        <v>20</v>
      </c>
      <c r="M974" t="s">
        <v>2785</v>
      </c>
      <c r="N974" t="s">
        <v>2785</v>
      </c>
      <c r="O974" t="s">
        <v>73</v>
      </c>
      <c r="P974" t="s">
        <v>81</v>
      </c>
      <c r="Q974" t="s">
        <v>119</v>
      </c>
      <c r="R974" t="s">
        <v>118</v>
      </c>
    </row>
    <row r="975" spans="1:18" x14ac:dyDescent="0.25">
      <c r="A975" t="s">
        <v>19172</v>
      </c>
      <c r="B975" t="s">
        <v>2808</v>
      </c>
      <c r="C975" t="str">
        <f>HYPERLINK("https://nematode.unl.edu/appl21.jpg")</f>
        <v>https://nematode.unl.edu/appl21.jpg</v>
      </c>
      <c r="D975" t="s">
        <v>16</v>
      </c>
      <c r="G975" t="s">
        <v>28</v>
      </c>
      <c r="I975" t="s">
        <v>19</v>
      </c>
      <c r="J975" t="s">
        <v>20</v>
      </c>
      <c r="L975" t="s">
        <v>38</v>
      </c>
      <c r="M975" t="s">
        <v>2785</v>
      </c>
      <c r="N975" t="s">
        <v>2785</v>
      </c>
      <c r="O975" t="s">
        <v>73</v>
      </c>
      <c r="P975" t="s">
        <v>81</v>
      </c>
      <c r="Q975" t="s">
        <v>119</v>
      </c>
      <c r="R975" t="s">
        <v>118</v>
      </c>
    </row>
    <row r="976" spans="1:18" x14ac:dyDescent="0.25">
      <c r="A976" t="s">
        <v>19175</v>
      </c>
      <c r="B976" t="s">
        <v>2809</v>
      </c>
      <c r="C976" t="str">
        <f>HYPERLINK("https://nematode.unl.edu/appl3.jpg")</f>
        <v>https://nematode.unl.edu/appl3.jpg</v>
      </c>
      <c r="D976" t="s">
        <v>43</v>
      </c>
      <c r="G976" t="s">
        <v>51</v>
      </c>
      <c r="I976" t="s">
        <v>19</v>
      </c>
      <c r="J976" t="s">
        <v>20</v>
      </c>
      <c r="L976" t="s">
        <v>220</v>
      </c>
      <c r="M976" t="s">
        <v>2785</v>
      </c>
      <c r="N976" t="s">
        <v>2785</v>
      </c>
      <c r="O976" t="s">
        <v>73</v>
      </c>
      <c r="P976" t="s">
        <v>81</v>
      </c>
      <c r="Q976" t="s">
        <v>119</v>
      </c>
      <c r="R976" t="s">
        <v>118</v>
      </c>
    </row>
    <row r="977" spans="1:18" x14ac:dyDescent="0.25">
      <c r="A977" t="s">
        <v>19158</v>
      </c>
      <c r="B977" t="s">
        <v>2810</v>
      </c>
      <c r="C977" t="str">
        <f>HYPERLINK("https://nematode.unl.edu/appl4.jpg")</f>
        <v>https://nematode.unl.edu/appl4.jpg</v>
      </c>
      <c r="D977" t="s">
        <v>43</v>
      </c>
      <c r="G977" t="s">
        <v>87</v>
      </c>
      <c r="I977" t="s">
        <v>19</v>
      </c>
      <c r="J977" t="s">
        <v>20</v>
      </c>
      <c r="M977" t="s">
        <v>2785</v>
      </c>
      <c r="N977" t="s">
        <v>2785</v>
      </c>
      <c r="O977" t="s">
        <v>73</v>
      </c>
      <c r="P977" t="s">
        <v>81</v>
      </c>
      <c r="Q977" t="s">
        <v>119</v>
      </c>
      <c r="R977" t="s">
        <v>118</v>
      </c>
    </row>
    <row r="978" spans="1:18" x14ac:dyDescent="0.25">
      <c r="A978" t="s">
        <v>19154</v>
      </c>
      <c r="B978" t="s">
        <v>2811</v>
      </c>
      <c r="C978" t="str">
        <f>HYPERLINK("https://nematode.unl.edu/appl5.jpg")</f>
        <v>https://nematode.unl.edu/appl5.jpg</v>
      </c>
      <c r="D978" t="s">
        <v>43</v>
      </c>
      <c r="G978" t="s">
        <v>34</v>
      </c>
      <c r="H978" t="s">
        <v>18</v>
      </c>
      <c r="I978" t="s">
        <v>19</v>
      </c>
      <c r="J978" t="s">
        <v>20</v>
      </c>
      <c r="L978" t="s">
        <v>173</v>
      </c>
      <c r="M978" t="s">
        <v>2785</v>
      </c>
      <c r="N978" t="s">
        <v>2785</v>
      </c>
      <c r="O978" t="s">
        <v>73</v>
      </c>
      <c r="P978" t="s">
        <v>81</v>
      </c>
      <c r="Q978" t="s">
        <v>119</v>
      </c>
      <c r="R978" t="s">
        <v>118</v>
      </c>
    </row>
    <row r="979" spans="1:18" x14ac:dyDescent="0.25">
      <c r="A979" t="s">
        <v>19155</v>
      </c>
      <c r="B979" t="s">
        <v>2812</v>
      </c>
      <c r="C979" t="str">
        <f>HYPERLINK("https://nematode.unl.edu/appl6.jpg")</f>
        <v>https://nematode.unl.edu/appl6.jpg</v>
      </c>
      <c r="D979" t="s">
        <v>43</v>
      </c>
      <c r="G979" t="s">
        <v>34</v>
      </c>
      <c r="H979" t="s">
        <v>18</v>
      </c>
      <c r="I979" t="s">
        <v>137</v>
      </c>
      <c r="J979" t="s">
        <v>20</v>
      </c>
      <c r="L979" t="s">
        <v>141</v>
      </c>
      <c r="M979" t="s">
        <v>2785</v>
      </c>
      <c r="N979" t="s">
        <v>2785</v>
      </c>
      <c r="O979" t="s">
        <v>73</v>
      </c>
      <c r="P979" t="s">
        <v>81</v>
      </c>
      <c r="Q979" t="s">
        <v>119</v>
      </c>
      <c r="R979" t="s">
        <v>118</v>
      </c>
    </row>
    <row r="980" spans="1:18" x14ac:dyDescent="0.25">
      <c r="A980" t="s">
        <v>19176</v>
      </c>
      <c r="B980" t="s">
        <v>2813</v>
      </c>
      <c r="C980" t="str">
        <f>HYPERLINK("https://nematode.unl.edu/appl7.jpg")</f>
        <v>https://nematode.unl.edu/appl7.jpg</v>
      </c>
      <c r="D980" t="s">
        <v>43</v>
      </c>
      <c r="G980" t="s">
        <v>51</v>
      </c>
      <c r="I980" t="s">
        <v>137</v>
      </c>
      <c r="J980" t="s">
        <v>20</v>
      </c>
      <c r="L980" t="s">
        <v>141</v>
      </c>
      <c r="M980" t="s">
        <v>2785</v>
      </c>
      <c r="N980" t="s">
        <v>2785</v>
      </c>
      <c r="O980" t="s">
        <v>73</v>
      </c>
      <c r="P980" t="s">
        <v>81</v>
      </c>
      <c r="Q980" t="s">
        <v>119</v>
      </c>
      <c r="R980" t="s">
        <v>118</v>
      </c>
    </row>
    <row r="981" spans="1:18" x14ac:dyDescent="0.25">
      <c r="A981" t="s">
        <v>19173</v>
      </c>
      <c r="B981" t="s">
        <v>2814</v>
      </c>
      <c r="C981" t="str">
        <f>HYPERLINK("https://nematode.unl.edu/appl8.jpg")</f>
        <v>https://nematode.unl.edu/appl8.jpg</v>
      </c>
      <c r="D981" t="s">
        <v>43</v>
      </c>
      <c r="G981" t="s">
        <v>28</v>
      </c>
      <c r="I981" t="s">
        <v>137</v>
      </c>
      <c r="J981" t="s">
        <v>20</v>
      </c>
      <c r="L981" t="s">
        <v>141</v>
      </c>
      <c r="M981" t="s">
        <v>2785</v>
      </c>
      <c r="N981" t="s">
        <v>2785</v>
      </c>
      <c r="O981" t="s">
        <v>73</v>
      </c>
      <c r="P981" t="s">
        <v>81</v>
      </c>
      <c r="Q981" t="s">
        <v>119</v>
      </c>
      <c r="R981" t="s">
        <v>118</v>
      </c>
    </row>
    <row r="982" spans="1:18" x14ac:dyDescent="0.25">
      <c r="A982" t="s">
        <v>19177</v>
      </c>
      <c r="B982" t="s">
        <v>2815</v>
      </c>
      <c r="C982" t="str">
        <f>HYPERLINK("https://nematode.unl.edu/appl9.jpg")</f>
        <v>https://nematode.unl.edu/appl9.jpg</v>
      </c>
      <c r="D982" t="s">
        <v>43</v>
      </c>
      <c r="G982" t="s">
        <v>51</v>
      </c>
      <c r="I982" t="s">
        <v>19</v>
      </c>
      <c r="J982" t="s">
        <v>20</v>
      </c>
      <c r="L982" t="s">
        <v>35</v>
      </c>
      <c r="M982" t="s">
        <v>2785</v>
      </c>
      <c r="N982" t="s">
        <v>2785</v>
      </c>
      <c r="O982" t="s">
        <v>73</v>
      </c>
      <c r="P982" t="s">
        <v>81</v>
      </c>
      <c r="Q982" t="s">
        <v>119</v>
      </c>
      <c r="R982" t="s">
        <v>118</v>
      </c>
    </row>
    <row r="983" spans="1:18" x14ac:dyDescent="0.25">
      <c r="A983" t="s">
        <v>19179</v>
      </c>
      <c r="B983" t="s">
        <v>307</v>
      </c>
      <c r="C983" t="str">
        <f>HYPERLINK("https://nematode.unl.edu/appor1.jpg")</f>
        <v>https://nematode.unl.edu/appor1.jpg</v>
      </c>
      <c r="D983" t="s">
        <v>16</v>
      </c>
      <c r="G983" t="s">
        <v>34</v>
      </c>
      <c r="H983" t="s">
        <v>18</v>
      </c>
      <c r="I983" t="s">
        <v>19</v>
      </c>
      <c r="J983" t="s">
        <v>20</v>
      </c>
      <c r="L983" t="s">
        <v>35</v>
      </c>
      <c r="M983" t="s">
        <v>308</v>
      </c>
      <c r="N983" t="s">
        <v>135</v>
      </c>
      <c r="O983" t="s">
        <v>73</v>
      </c>
      <c r="P983" t="s">
        <v>81</v>
      </c>
      <c r="Q983" t="s">
        <v>119</v>
      </c>
      <c r="R983" t="s">
        <v>118</v>
      </c>
    </row>
    <row r="984" spans="1:18" x14ac:dyDescent="0.25">
      <c r="A984" t="s">
        <v>19182</v>
      </c>
      <c r="B984" t="s">
        <v>309</v>
      </c>
      <c r="C984" t="str">
        <f>HYPERLINK("https://nematode.unl.edu/appor2.jpg")</f>
        <v>https://nematode.unl.edu/appor2.jpg</v>
      </c>
      <c r="D984" t="s">
        <v>16</v>
      </c>
      <c r="G984" t="s">
        <v>28</v>
      </c>
      <c r="I984" t="s">
        <v>19</v>
      </c>
      <c r="J984" t="s">
        <v>20</v>
      </c>
      <c r="L984" t="s">
        <v>85</v>
      </c>
      <c r="M984" t="s">
        <v>308</v>
      </c>
      <c r="N984" t="s">
        <v>135</v>
      </c>
      <c r="O984" t="s">
        <v>73</v>
      </c>
      <c r="P984" t="s">
        <v>81</v>
      </c>
      <c r="Q984" t="s">
        <v>119</v>
      </c>
      <c r="R984" t="s">
        <v>118</v>
      </c>
    </row>
    <row r="985" spans="1:18" x14ac:dyDescent="0.25">
      <c r="A985" t="s">
        <v>19183</v>
      </c>
      <c r="B985" t="s">
        <v>310</v>
      </c>
      <c r="C985" t="str">
        <f>HYPERLINK("https://nematode.unl.edu/appor3.jpg")</f>
        <v>https://nematode.unl.edu/appor3.jpg</v>
      </c>
      <c r="D985" t="s">
        <v>16</v>
      </c>
      <c r="G985" t="s">
        <v>28</v>
      </c>
      <c r="I985" t="s">
        <v>45</v>
      </c>
      <c r="J985" t="s">
        <v>20</v>
      </c>
      <c r="L985" t="s">
        <v>64</v>
      </c>
      <c r="M985" t="s">
        <v>308</v>
      </c>
      <c r="N985" t="s">
        <v>135</v>
      </c>
      <c r="O985" t="s">
        <v>73</v>
      </c>
      <c r="P985" t="s">
        <v>81</v>
      </c>
      <c r="Q985" t="s">
        <v>119</v>
      </c>
      <c r="R985" t="s">
        <v>118</v>
      </c>
    </row>
    <row r="986" spans="1:18" x14ac:dyDescent="0.25">
      <c r="A986" t="s">
        <v>19181</v>
      </c>
      <c r="B986" t="s">
        <v>311</v>
      </c>
      <c r="C986" t="str">
        <f>HYPERLINK("https://nematode.unl.edu/appor4.jpg")</f>
        <v>https://nematode.unl.edu/appor4.jpg</v>
      </c>
      <c r="D986" t="s">
        <v>16</v>
      </c>
      <c r="G986" t="s">
        <v>87</v>
      </c>
      <c r="I986" t="s">
        <v>19</v>
      </c>
      <c r="J986" t="s">
        <v>20</v>
      </c>
      <c r="L986" t="s">
        <v>64</v>
      </c>
      <c r="M986" t="s">
        <v>308</v>
      </c>
      <c r="N986" t="s">
        <v>135</v>
      </c>
      <c r="O986" t="s">
        <v>73</v>
      </c>
      <c r="P986" t="s">
        <v>81</v>
      </c>
      <c r="Q986" t="s">
        <v>119</v>
      </c>
      <c r="R986" t="s">
        <v>118</v>
      </c>
    </row>
    <row r="987" spans="1:18" x14ac:dyDescent="0.25">
      <c r="A987" t="s">
        <v>19180</v>
      </c>
      <c r="B987" t="s">
        <v>312</v>
      </c>
      <c r="C987" t="str">
        <f>HYPERLINK("https://nematode.unl.edu/appor5.jpg")</f>
        <v>https://nematode.unl.edu/appor5.jpg</v>
      </c>
      <c r="D987" t="s">
        <v>16</v>
      </c>
      <c r="G987" t="s">
        <v>34</v>
      </c>
      <c r="H987" t="s">
        <v>18</v>
      </c>
      <c r="I987" t="s">
        <v>19</v>
      </c>
      <c r="J987" t="s">
        <v>20</v>
      </c>
      <c r="L987" t="s">
        <v>64</v>
      </c>
      <c r="M987" t="s">
        <v>308</v>
      </c>
      <c r="N987" t="s">
        <v>135</v>
      </c>
      <c r="O987" t="s">
        <v>73</v>
      </c>
      <c r="P987" t="s">
        <v>81</v>
      </c>
      <c r="Q987" t="s">
        <v>119</v>
      </c>
      <c r="R987" t="s">
        <v>118</v>
      </c>
    </row>
    <row r="988" spans="1:18" x14ac:dyDescent="0.25">
      <c r="A988" t="s">
        <v>19178</v>
      </c>
      <c r="B988" t="s">
        <v>313</v>
      </c>
      <c r="C988" t="str">
        <f>HYPERLINK("https://nematode.unl.edu/appor6.jpg")</f>
        <v>https://nematode.unl.edu/appor6.jpg</v>
      </c>
      <c r="D988" t="s">
        <v>16</v>
      </c>
      <c r="G988" t="s">
        <v>96</v>
      </c>
      <c r="H988" t="s">
        <v>18</v>
      </c>
      <c r="I988" t="s">
        <v>45</v>
      </c>
      <c r="J988" t="s">
        <v>20</v>
      </c>
      <c r="L988" t="s">
        <v>64</v>
      </c>
      <c r="M988" t="s">
        <v>308</v>
      </c>
      <c r="N988" t="s">
        <v>135</v>
      </c>
      <c r="O988" t="s">
        <v>73</v>
      </c>
      <c r="P988" t="s">
        <v>81</v>
      </c>
      <c r="Q988" t="s">
        <v>119</v>
      </c>
      <c r="R988" t="s">
        <v>118</v>
      </c>
    </row>
    <row r="989" spans="1:18" x14ac:dyDescent="0.25">
      <c r="A989" t="s">
        <v>19184</v>
      </c>
      <c r="B989" t="s">
        <v>314</v>
      </c>
      <c r="C989" t="str">
        <f>HYPERLINK("https://nematode.unl.edu/appor7.jpg")</f>
        <v>https://nematode.unl.edu/appor7.jpg</v>
      </c>
      <c r="D989" t="s">
        <v>16</v>
      </c>
      <c r="G989" t="s">
        <v>28</v>
      </c>
      <c r="I989" t="s">
        <v>19</v>
      </c>
      <c r="J989" t="s">
        <v>20</v>
      </c>
      <c r="L989" t="s">
        <v>64</v>
      </c>
      <c r="M989" t="s">
        <v>308</v>
      </c>
      <c r="N989" t="s">
        <v>135</v>
      </c>
      <c r="O989" t="s">
        <v>73</v>
      </c>
      <c r="P989" t="s">
        <v>81</v>
      </c>
      <c r="Q989" t="s">
        <v>119</v>
      </c>
      <c r="R989" t="s">
        <v>118</v>
      </c>
    </row>
    <row r="990" spans="1:18" x14ac:dyDescent="0.25">
      <c r="A990" t="s">
        <v>13044</v>
      </c>
      <c r="B990" t="s">
        <v>2536</v>
      </c>
      <c r="C990" t="str">
        <f>HYPERLINK("https://nematode.unl.edu/appus1.jpg")</f>
        <v>https://nematode.unl.edu/appus1.jpg</v>
      </c>
      <c r="D990" t="s">
        <v>43</v>
      </c>
      <c r="G990" t="s">
        <v>44</v>
      </c>
      <c r="I990" t="s">
        <v>137</v>
      </c>
      <c r="J990" t="s">
        <v>482</v>
      </c>
      <c r="M990" t="s">
        <v>2537</v>
      </c>
      <c r="N990" t="s">
        <v>2537</v>
      </c>
      <c r="O990" t="s">
        <v>23</v>
      </c>
      <c r="P990" t="s">
        <v>24</v>
      </c>
      <c r="Q990" t="s">
        <v>102</v>
      </c>
      <c r="R990" t="s">
        <v>103</v>
      </c>
    </row>
    <row r="991" spans="1:18" x14ac:dyDescent="0.25">
      <c r="A991" t="s">
        <v>13046</v>
      </c>
      <c r="B991" t="s">
        <v>2538</v>
      </c>
      <c r="C991" t="str">
        <f>HYPERLINK("https://nematode.unl.edu/appus10.jpg")</f>
        <v>https://nematode.unl.edu/appus10.jpg</v>
      </c>
      <c r="D991" t="s">
        <v>43</v>
      </c>
      <c r="G991" t="s">
        <v>414</v>
      </c>
      <c r="I991" t="s">
        <v>41</v>
      </c>
      <c r="J991" t="s">
        <v>482</v>
      </c>
      <c r="M991" t="s">
        <v>2537</v>
      </c>
      <c r="N991" t="s">
        <v>2537</v>
      </c>
      <c r="O991" t="s">
        <v>23</v>
      </c>
      <c r="P991" t="s">
        <v>24</v>
      </c>
      <c r="Q991" t="s">
        <v>102</v>
      </c>
      <c r="R991" t="s">
        <v>103</v>
      </c>
    </row>
    <row r="992" spans="1:18" x14ac:dyDescent="0.25">
      <c r="A992" t="s">
        <v>13041</v>
      </c>
      <c r="B992" t="s">
        <v>2539</v>
      </c>
      <c r="C992" t="str">
        <f>HYPERLINK("https://nematode.unl.edu/appus2.jpg")</f>
        <v>https://nematode.unl.edu/appus2.jpg</v>
      </c>
      <c r="D992" t="s">
        <v>43</v>
      </c>
      <c r="G992" t="s">
        <v>34</v>
      </c>
      <c r="H992" t="s">
        <v>18</v>
      </c>
      <c r="I992" t="s">
        <v>19</v>
      </c>
      <c r="J992" t="s">
        <v>482</v>
      </c>
      <c r="M992" t="s">
        <v>2537</v>
      </c>
      <c r="N992" t="s">
        <v>2537</v>
      </c>
      <c r="O992" t="s">
        <v>23</v>
      </c>
      <c r="P992" t="s">
        <v>24</v>
      </c>
      <c r="Q992" t="s">
        <v>102</v>
      </c>
      <c r="R992" t="s">
        <v>103</v>
      </c>
    </row>
    <row r="993" spans="1:18" x14ac:dyDescent="0.25">
      <c r="A993" t="s">
        <v>13050</v>
      </c>
      <c r="B993" t="s">
        <v>2540</v>
      </c>
      <c r="C993" t="str">
        <f>HYPERLINK("https://nematode.unl.edu/appus3.jpg")</f>
        <v>https://nematode.unl.edu/appus3.jpg</v>
      </c>
      <c r="D993" t="s">
        <v>43</v>
      </c>
      <c r="G993" t="s">
        <v>51</v>
      </c>
      <c r="I993" t="s">
        <v>19</v>
      </c>
      <c r="J993" t="s">
        <v>482</v>
      </c>
      <c r="M993" t="s">
        <v>2537</v>
      </c>
      <c r="N993" t="s">
        <v>2537</v>
      </c>
      <c r="O993" t="s">
        <v>23</v>
      </c>
      <c r="P993" t="s">
        <v>24</v>
      </c>
      <c r="Q993" t="s">
        <v>102</v>
      </c>
      <c r="R993" t="s">
        <v>103</v>
      </c>
    </row>
    <row r="994" spans="1:18" x14ac:dyDescent="0.25">
      <c r="A994" t="s">
        <v>13048</v>
      </c>
      <c r="B994" t="s">
        <v>2541</v>
      </c>
      <c r="C994" t="str">
        <f>HYPERLINK("https://nematode.unl.edu/appus4.jpg")</f>
        <v>https://nematode.unl.edu/appus4.jpg</v>
      </c>
      <c r="D994" t="s">
        <v>43</v>
      </c>
      <c r="G994" t="s">
        <v>28</v>
      </c>
      <c r="I994" t="s">
        <v>19</v>
      </c>
      <c r="J994" t="s">
        <v>482</v>
      </c>
      <c r="M994" t="s">
        <v>2537</v>
      </c>
      <c r="N994" t="s">
        <v>2537</v>
      </c>
      <c r="O994" t="s">
        <v>23</v>
      </c>
      <c r="P994" t="s">
        <v>24</v>
      </c>
      <c r="Q994" t="s">
        <v>102</v>
      </c>
      <c r="R994" t="s">
        <v>103</v>
      </c>
    </row>
    <row r="995" spans="1:18" x14ac:dyDescent="0.25">
      <c r="A995" t="s">
        <v>13049</v>
      </c>
      <c r="B995" t="s">
        <v>2542</v>
      </c>
      <c r="C995" t="str">
        <f>HYPERLINK("https://nematode.unl.edu/appus5.jpg")</f>
        <v>https://nematode.unl.edu/appus5.jpg</v>
      </c>
      <c r="D995" t="s">
        <v>43</v>
      </c>
      <c r="G995" t="s">
        <v>422</v>
      </c>
      <c r="I995" t="s">
        <v>41</v>
      </c>
      <c r="J995" t="s">
        <v>482</v>
      </c>
      <c r="M995" t="s">
        <v>2537</v>
      </c>
      <c r="N995" t="s">
        <v>2537</v>
      </c>
      <c r="O995" t="s">
        <v>23</v>
      </c>
      <c r="P995" t="s">
        <v>24</v>
      </c>
      <c r="Q995" t="s">
        <v>102</v>
      </c>
      <c r="R995" t="s">
        <v>103</v>
      </c>
    </row>
    <row r="996" spans="1:18" x14ac:dyDescent="0.25">
      <c r="A996" t="s">
        <v>13051</v>
      </c>
      <c r="B996" t="s">
        <v>2543</v>
      </c>
      <c r="C996" t="str">
        <f>HYPERLINK("https://nematode.unl.edu/appus6.jpg")</f>
        <v>https://nematode.unl.edu/appus6.jpg</v>
      </c>
      <c r="D996" t="s">
        <v>43</v>
      </c>
      <c r="G996" t="s">
        <v>51</v>
      </c>
      <c r="I996" t="s">
        <v>41</v>
      </c>
      <c r="J996" t="s">
        <v>482</v>
      </c>
      <c r="M996" t="s">
        <v>2537</v>
      </c>
      <c r="N996" t="s">
        <v>2537</v>
      </c>
      <c r="O996" t="s">
        <v>23</v>
      </c>
      <c r="P996" t="s">
        <v>24</v>
      </c>
      <c r="Q996" t="s">
        <v>102</v>
      </c>
      <c r="R996" t="s">
        <v>103</v>
      </c>
    </row>
    <row r="997" spans="1:18" x14ac:dyDescent="0.25">
      <c r="A997" t="s">
        <v>13043</v>
      </c>
      <c r="B997" t="s">
        <v>2544</v>
      </c>
      <c r="C997" t="str">
        <f>HYPERLINK("https://nematode.unl.edu/appus7.jpg")</f>
        <v>https://nematode.unl.edu/appus7.jpg</v>
      </c>
      <c r="D997" t="s">
        <v>43</v>
      </c>
      <c r="G997" t="s">
        <v>87</v>
      </c>
      <c r="I997" t="s">
        <v>41</v>
      </c>
      <c r="J997" t="s">
        <v>482</v>
      </c>
      <c r="M997" t="s">
        <v>2537</v>
      </c>
      <c r="N997" t="s">
        <v>2537</v>
      </c>
      <c r="O997" t="s">
        <v>23</v>
      </c>
      <c r="P997" t="s">
        <v>24</v>
      </c>
      <c r="Q997" t="s">
        <v>102</v>
      </c>
      <c r="R997" t="s">
        <v>103</v>
      </c>
    </row>
    <row r="998" spans="1:18" x14ac:dyDescent="0.25">
      <c r="A998" t="s">
        <v>13047</v>
      </c>
      <c r="B998" t="s">
        <v>2545</v>
      </c>
      <c r="C998" t="str">
        <f>HYPERLINK("https://nematode.unl.edu/appus8.jpg")</f>
        <v>https://nematode.unl.edu/appus8.jpg</v>
      </c>
      <c r="D998" t="s">
        <v>43</v>
      </c>
      <c r="G998" t="s">
        <v>414</v>
      </c>
      <c r="I998" t="s">
        <v>41</v>
      </c>
      <c r="J998" t="s">
        <v>482</v>
      </c>
      <c r="M998" t="s">
        <v>2537</v>
      </c>
      <c r="N998" t="s">
        <v>2537</v>
      </c>
      <c r="O998" t="s">
        <v>23</v>
      </c>
      <c r="P998" t="s">
        <v>24</v>
      </c>
      <c r="Q998" t="s">
        <v>102</v>
      </c>
      <c r="R998" t="s">
        <v>103</v>
      </c>
    </row>
    <row r="999" spans="1:18" x14ac:dyDescent="0.25">
      <c r="A999" t="s">
        <v>13042</v>
      </c>
      <c r="B999" t="s">
        <v>2546</v>
      </c>
      <c r="C999" t="str">
        <f>HYPERLINK("https://nematode.unl.edu/appus9.jpg")</f>
        <v>https://nematode.unl.edu/appus9.jpg</v>
      </c>
      <c r="D999" t="s">
        <v>43</v>
      </c>
      <c r="G999" t="s">
        <v>34</v>
      </c>
      <c r="H999" t="s">
        <v>18</v>
      </c>
      <c r="I999" t="s">
        <v>41</v>
      </c>
      <c r="J999" t="s">
        <v>482</v>
      </c>
      <c r="M999" t="s">
        <v>2537</v>
      </c>
      <c r="N999" t="s">
        <v>2537</v>
      </c>
      <c r="O999" t="s">
        <v>23</v>
      </c>
      <c r="P999" t="s">
        <v>24</v>
      </c>
      <c r="Q999" t="s">
        <v>102</v>
      </c>
      <c r="R999" t="s">
        <v>103</v>
      </c>
    </row>
    <row r="1000" spans="1:18" x14ac:dyDescent="0.25">
      <c r="A1000" t="s">
        <v>13045</v>
      </c>
      <c r="B1000" t="s">
        <v>2547</v>
      </c>
      <c r="C1000" t="str">
        <f>HYPERLINK("https://nematode.unl.edu/appuscmp.jpg")</f>
        <v>https://nematode.unl.edu/appuscmp.jpg</v>
      </c>
      <c r="G1000" t="s">
        <v>108</v>
      </c>
      <c r="J1000" t="s">
        <v>482</v>
      </c>
      <c r="M1000" t="s">
        <v>2537</v>
      </c>
      <c r="N1000" t="s">
        <v>2537</v>
      </c>
      <c r="O1000" t="s">
        <v>23</v>
      </c>
      <c r="P1000" t="s">
        <v>24</v>
      </c>
      <c r="Q1000" t="s">
        <v>102</v>
      </c>
      <c r="R1000" t="s">
        <v>103</v>
      </c>
    </row>
    <row r="1001" spans="1:18" x14ac:dyDescent="0.25">
      <c r="A1001" t="s">
        <v>22181</v>
      </c>
      <c r="B1001" t="s">
        <v>2275</v>
      </c>
      <c r="C1001" t="str">
        <f>HYPERLINK("https://nematode.unl.edu/aprim1.jpg")</f>
        <v>https://nematode.unl.edu/aprim1.jpg</v>
      </c>
      <c r="D1001" t="s">
        <v>43</v>
      </c>
      <c r="G1001" t="s">
        <v>44</v>
      </c>
      <c r="I1001" t="s">
        <v>45</v>
      </c>
      <c r="J1001" t="s">
        <v>20</v>
      </c>
      <c r="M1001" t="s">
        <v>2270</v>
      </c>
      <c r="N1001" t="s">
        <v>2270</v>
      </c>
      <c r="O1001" t="s">
        <v>73</v>
      </c>
      <c r="P1001" t="s">
        <v>74</v>
      </c>
      <c r="Q1001" t="s">
        <v>75</v>
      </c>
      <c r="R1001" t="s">
        <v>72</v>
      </c>
    </row>
    <row r="1002" spans="1:18" x14ac:dyDescent="0.25">
      <c r="A1002" t="s">
        <v>22171</v>
      </c>
      <c r="B1002" t="s">
        <v>2276</v>
      </c>
      <c r="C1002" t="str">
        <f>HYPERLINK("https://nematode.unl.edu/aprim10.jpg")</f>
        <v>https://nematode.unl.edu/aprim10.jpg</v>
      </c>
      <c r="D1002" t="s">
        <v>43</v>
      </c>
      <c r="G1002" t="s">
        <v>34</v>
      </c>
      <c r="H1002" t="s">
        <v>18</v>
      </c>
      <c r="I1002" t="s">
        <v>41</v>
      </c>
      <c r="J1002" t="s">
        <v>20</v>
      </c>
      <c r="M1002" t="s">
        <v>2270</v>
      </c>
      <c r="N1002" t="s">
        <v>2270</v>
      </c>
      <c r="O1002" t="s">
        <v>73</v>
      </c>
      <c r="P1002" t="s">
        <v>74</v>
      </c>
      <c r="Q1002" t="s">
        <v>75</v>
      </c>
      <c r="R1002" t="s">
        <v>72</v>
      </c>
    </row>
    <row r="1003" spans="1:18" x14ac:dyDescent="0.25">
      <c r="A1003" t="s">
        <v>22192</v>
      </c>
      <c r="B1003" t="s">
        <v>71</v>
      </c>
      <c r="C1003" t="str">
        <f>HYPERLINK("https://nematode.unl.edu/aprim11.jpg")</f>
        <v>https://nematode.unl.edu/aprim11.jpg</v>
      </c>
      <c r="D1003" t="s">
        <v>43</v>
      </c>
      <c r="G1003" t="s">
        <v>51</v>
      </c>
      <c r="I1003" t="s">
        <v>41</v>
      </c>
      <c r="J1003" t="s">
        <v>20</v>
      </c>
      <c r="M1003" t="s">
        <v>12154</v>
      </c>
      <c r="N1003" t="s">
        <v>72</v>
      </c>
      <c r="O1003" t="s">
        <v>73</v>
      </c>
      <c r="P1003" t="s">
        <v>74</v>
      </c>
      <c r="Q1003" t="s">
        <v>75</v>
      </c>
      <c r="R1003" t="s">
        <v>72</v>
      </c>
    </row>
    <row r="1004" spans="1:18" x14ac:dyDescent="0.25">
      <c r="A1004" t="s">
        <v>22182</v>
      </c>
      <c r="B1004" t="s">
        <v>2277</v>
      </c>
      <c r="C1004" t="str">
        <f>HYPERLINK("https://nematode.unl.edu/aprim12.jpg")</f>
        <v>https://nematode.unl.edu/aprim12.jpg</v>
      </c>
      <c r="D1004" t="s">
        <v>77</v>
      </c>
      <c r="G1004" t="s">
        <v>44</v>
      </c>
      <c r="I1004" t="s">
        <v>45</v>
      </c>
      <c r="J1004" t="s">
        <v>20</v>
      </c>
      <c r="L1004" t="s">
        <v>752</v>
      </c>
      <c r="M1004" t="s">
        <v>2270</v>
      </c>
      <c r="N1004" t="s">
        <v>2270</v>
      </c>
      <c r="O1004" t="s">
        <v>73</v>
      </c>
      <c r="P1004" t="s">
        <v>74</v>
      </c>
      <c r="Q1004" t="s">
        <v>75</v>
      </c>
      <c r="R1004" t="s">
        <v>72</v>
      </c>
    </row>
    <row r="1005" spans="1:18" x14ac:dyDescent="0.25">
      <c r="A1005" t="s">
        <v>22172</v>
      </c>
      <c r="B1005" t="s">
        <v>2278</v>
      </c>
      <c r="C1005" t="str">
        <f>HYPERLINK("https://nematode.unl.edu/aprim13.jpg")</f>
        <v>https://nematode.unl.edu/aprim13.jpg</v>
      </c>
      <c r="D1005" t="s">
        <v>77</v>
      </c>
      <c r="G1005" t="s">
        <v>34</v>
      </c>
      <c r="H1005" t="s">
        <v>18</v>
      </c>
      <c r="I1005" t="s">
        <v>19</v>
      </c>
      <c r="J1005" t="s">
        <v>20</v>
      </c>
      <c r="L1005" t="s">
        <v>752</v>
      </c>
      <c r="M1005" t="s">
        <v>2270</v>
      </c>
      <c r="N1005" t="s">
        <v>2270</v>
      </c>
      <c r="O1005" t="s">
        <v>73</v>
      </c>
      <c r="P1005" t="s">
        <v>74</v>
      </c>
      <c r="Q1005" t="s">
        <v>75</v>
      </c>
      <c r="R1005" t="s">
        <v>72</v>
      </c>
    </row>
    <row r="1006" spans="1:18" x14ac:dyDescent="0.25">
      <c r="A1006" t="s">
        <v>22183</v>
      </c>
      <c r="B1006" t="s">
        <v>2279</v>
      </c>
      <c r="C1006" t="str">
        <f>HYPERLINK("https://nematode.unl.edu/aprim14.jpg")</f>
        <v>https://nematode.unl.edu/aprim14.jpg</v>
      </c>
      <c r="D1006" t="s">
        <v>77</v>
      </c>
      <c r="G1006" t="s">
        <v>112</v>
      </c>
      <c r="I1006" t="s">
        <v>19</v>
      </c>
      <c r="J1006" t="s">
        <v>20</v>
      </c>
      <c r="L1006" t="s">
        <v>752</v>
      </c>
      <c r="M1006" t="s">
        <v>2270</v>
      </c>
      <c r="N1006" t="s">
        <v>2270</v>
      </c>
      <c r="O1006" t="s">
        <v>73</v>
      </c>
      <c r="P1006" t="s">
        <v>74</v>
      </c>
      <c r="Q1006" t="s">
        <v>75</v>
      </c>
      <c r="R1006" t="s">
        <v>72</v>
      </c>
    </row>
    <row r="1007" spans="1:18" x14ac:dyDescent="0.25">
      <c r="A1007" t="s">
        <v>22185</v>
      </c>
      <c r="B1007" t="s">
        <v>2280</v>
      </c>
      <c r="C1007" t="str">
        <f>HYPERLINK("https://nematode.unl.edu/aprim15.jpg")</f>
        <v>https://nematode.unl.edu/aprim15.jpg</v>
      </c>
      <c r="D1007" t="s">
        <v>77</v>
      </c>
      <c r="G1007" t="s">
        <v>28</v>
      </c>
      <c r="I1007" t="s">
        <v>19</v>
      </c>
      <c r="J1007" t="s">
        <v>20</v>
      </c>
      <c r="L1007" t="s">
        <v>752</v>
      </c>
      <c r="M1007" t="s">
        <v>2270</v>
      </c>
      <c r="N1007" t="s">
        <v>2270</v>
      </c>
      <c r="O1007" t="s">
        <v>73</v>
      </c>
      <c r="P1007" t="s">
        <v>74</v>
      </c>
      <c r="Q1007" t="s">
        <v>75</v>
      </c>
      <c r="R1007" t="s">
        <v>72</v>
      </c>
    </row>
    <row r="1008" spans="1:18" x14ac:dyDescent="0.25">
      <c r="A1008" t="s">
        <v>22173</v>
      </c>
      <c r="B1008" t="s">
        <v>2281</v>
      </c>
      <c r="C1008" t="str">
        <f>HYPERLINK("https://nematode.unl.edu/aprim16.jpg")</f>
        <v>https://nematode.unl.edu/aprim16.jpg</v>
      </c>
      <c r="D1008" t="s">
        <v>16</v>
      </c>
      <c r="G1008" t="s">
        <v>34</v>
      </c>
      <c r="H1008" t="s">
        <v>18</v>
      </c>
      <c r="I1008" t="s">
        <v>19</v>
      </c>
      <c r="J1008" t="s">
        <v>20</v>
      </c>
      <c r="L1008" t="s">
        <v>752</v>
      </c>
      <c r="M1008" t="s">
        <v>2270</v>
      </c>
      <c r="N1008" t="s">
        <v>2270</v>
      </c>
      <c r="O1008" t="s">
        <v>73</v>
      </c>
      <c r="P1008" t="s">
        <v>74</v>
      </c>
      <c r="Q1008" t="s">
        <v>75</v>
      </c>
      <c r="R1008" t="s">
        <v>72</v>
      </c>
    </row>
    <row r="1009" spans="1:18" x14ac:dyDescent="0.25">
      <c r="A1009" t="s">
        <v>22174</v>
      </c>
      <c r="B1009" t="s">
        <v>2282</v>
      </c>
      <c r="C1009" t="str">
        <f>HYPERLINK("https://nematode.unl.edu/aprim17.jpg")</f>
        <v>https://nematode.unl.edu/aprim17.jpg</v>
      </c>
      <c r="D1009" t="s">
        <v>16</v>
      </c>
      <c r="G1009" t="s">
        <v>34</v>
      </c>
      <c r="H1009" t="s">
        <v>18</v>
      </c>
      <c r="I1009" t="s">
        <v>41</v>
      </c>
      <c r="J1009" t="s">
        <v>20</v>
      </c>
      <c r="L1009" t="s">
        <v>752</v>
      </c>
      <c r="M1009" t="s">
        <v>2270</v>
      </c>
      <c r="N1009" t="s">
        <v>2270</v>
      </c>
      <c r="O1009" t="s">
        <v>73</v>
      </c>
      <c r="P1009" t="s">
        <v>74</v>
      </c>
      <c r="Q1009" t="s">
        <v>75</v>
      </c>
      <c r="R1009" t="s">
        <v>72</v>
      </c>
    </row>
    <row r="1010" spans="1:18" x14ac:dyDescent="0.25">
      <c r="A1010" t="s">
        <v>22175</v>
      </c>
      <c r="B1010" t="s">
        <v>2283</v>
      </c>
      <c r="C1010" t="str">
        <f>HYPERLINK("https://nematode.unl.edu/aprim18.jpg")</f>
        <v>https://nematode.unl.edu/aprim18.jpg</v>
      </c>
      <c r="D1010" t="s">
        <v>16</v>
      </c>
      <c r="G1010" t="s">
        <v>34</v>
      </c>
      <c r="H1010" t="s">
        <v>18</v>
      </c>
      <c r="I1010" t="s">
        <v>19</v>
      </c>
      <c r="J1010" t="s">
        <v>20</v>
      </c>
      <c r="M1010" t="s">
        <v>2270</v>
      </c>
      <c r="N1010" t="s">
        <v>2270</v>
      </c>
      <c r="O1010" t="s">
        <v>73</v>
      </c>
      <c r="P1010" t="s">
        <v>74</v>
      </c>
      <c r="Q1010" t="s">
        <v>75</v>
      </c>
      <c r="R1010" t="s">
        <v>72</v>
      </c>
    </row>
    <row r="1011" spans="1:18" x14ac:dyDescent="0.25">
      <c r="A1011" t="s">
        <v>22186</v>
      </c>
      <c r="B1011" t="s">
        <v>2284</v>
      </c>
      <c r="C1011" t="str">
        <f>HYPERLINK("https://nematode.unl.edu/aprim19.jpg")</f>
        <v>https://nematode.unl.edu/aprim19.jpg</v>
      </c>
      <c r="D1011" t="s">
        <v>16</v>
      </c>
      <c r="G1011" t="s">
        <v>28</v>
      </c>
      <c r="I1011" t="s">
        <v>19</v>
      </c>
      <c r="J1011" t="s">
        <v>20</v>
      </c>
      <c r="L1011" t="s">
        <v>183</v>
      </c>
      <c r="M1011" t="s">
        <v>2270</v>
      </c>
      <c r="N1011" t="s">
        <v>2270</v>
      </c>
      <c r="O1011" t="s">
        <v>73</v>
      </c>
      <c r="P1011" t="s">
        <v>74</v>
      </c>
      <c r="Q1011" t="s">
        <v>75</v>
      </c>
      <c r="R1011" t="s">
        <v>72</v>
      </c>
    </row>
    <row r="1012" spans="1:18" x14ac:dyDescent="0.25">
      <c r="A1012" t="s">
        <v>22176</v>
      </c>
      <c r="B1012" t="s">
        <v>2285</v>
      </c>
      <c r="C1012" t="str">
        <f>HYPERLINK("https://nematode.unl.edu/aprim2.jpg")</f>
        <v>https://nematode.unl.edu/aprim2.jpg</v>
      </c>
      <c r="D1012" t="s">
        <v>43</v>
      </c>
      <c r="G1012" t="s">
        <v>34</v>
      </c>
      <c r="H1012" t="s">
        <v>18</v>
      </c>
      <c r="I1012" t="s">
        <v>19</v>
      </c>
      <c r="J1012" t="s">
        <v>20</v>
      </c>
      <c r="M1012" t="s">
        <v>2270</v>
      </c>
      <c r="N1012" t="s">
        <v>2270</v>
      </c>
      <c r="O1012" t="s">
        <v>73</v>
      </c>
      <c r="P1012" t="s">
        <v>74</v>
      </c>
      <c r="Q1012" t="s">
        <v>75</v>
      </c>
      <c r="R1012" t="s">
        <v>72</v>
      </c>
    </row>
    <row r="1013" spans="1:18" x14ac:dyDescent="0.25">
      <c r="A1013" t="s">
        <v>22190</v>
      </c>
      <c r="B1013" t="s">
        <v>2286</v>
      </c>
      <c r="C1013" t="str">
        <f>HYPERLINK("https://nematode.unl.edu/aprim3.jpg")</f>
        <v>https://nematode.unl.edu/aprim3.jpg</v>
      </c>
      <c r="D1013" t="s">
        <v>43</v>
      </c>
      <c r="G1013" t="s">
        <v>51</v>
      </c>
      <c r="I1013" t="s">
        <v>19</v>
      </c>
      <c r="J1013" t="s">
        <v>20</v>
      </c>
      <c r="M1013" t="s">
        <v>2270</v>
      </c>
      <c r="N1013" t="s">
        <v>2270</v>
      </c>
      <c r="O1013" t="s">
        <v>73</v>
      </c>
      <c r="P1013" t="s">
        <v>74</v>
      </c>
      <c r="Q1013" t="s">
        <v>75</v>
      </c>
      <c r="R1013" t="s">
        <v>72</v>
      </c>
    </row>
    <row r="1014" spans="1:18" x14ac:dyDescent="0.25">
      <c r="A1014" t="s">
        <v>22187</v>
      </c>
      <c r="B1014" t="s">
        <v>2287</v>
      </c>
      <c r="C1014" t="str">
        <f>HYPERLINK("https://nematode.unl.edu/aprim4.jpg")</f>
        <v>https://nematode.unl.edu/aprim4.jpg</v>
      </c>
      <c r="D1014" t="s">
        <v>43</v>
      </c>
      <c r="G1014" t="s">
        <v>28</v>
      </c>
      <c r="I1014" t="s">
        <v>19</v>
      </c>
      <c r="J1014" t="s">
        <v>20</v>
      </c>
      <c r="L1014" t="s">
        <v>85</v>
      </c>
      <c r="M1014" t="s">
        <v>2270</v>
      </c>
      <c r="N1014" t="s">
        <v>2270</v>
      </c>
      <c r="O1014" t="s">
        <v>73</v>
      </c>
      <c r="P1014" t="s">
        <v>74</v>
      </c>
      <c r="Q1014" t="s">
        <v>75</v>
      </c>
      <c r="R1014" t="s">
        <v>72</v>
      </c>
    </row>
    <row r="1015" spans="1:18" x14ac:dyDescent="0.25">
      <c r="A1015" t="s">
        <v>22177</v>
      </c>
      <c r="B1015" t="s">
        <v>2288</v>
      </c>
      <c r="C1015" t="str">
        <f>HYPERLINK("https://nematode.unl.edu/aprim5.jpg")</f>
        <v>https://nematode.unl.edu/aprim5.jpg</v>
      </c>
      <c r="D1015" t="s">
        <v>43</v>
      </c>
      <c r="G1015" t="s">
        <v>34</v>
      </c>
      <c r="H1015" t="s">
        <v>18</v>
      </c>
      <c r="I1015" t="s">
        <v>41</v>
      </c>
      <c r="J1015" t="s">
        <v>20</v>
      </c>
      <c r="L1015" t="s">
        <v>85</v>
      </c>
      <c r="M1015" t="s">
        <v>2270</v>
      </c>
      <c r="N1015" t="s">
        <v>2270</v>
      </c>
      <c r="O1015" t="s">
        <v>73</v>
      </c>
      <c r="P1015" t="s">
        <v>74</v>
      </c>
      <c r="Q1015" t="s">
        <v>75</v>
      </c>
      <c r="R1015" t="s">
        <v>72</v>
      </c>
    </row>
    <row r="1016" spans="1:18" x14ac:dyDescent="0.25">
      <c r="A1016" t="s">
        <v>22179</v>
      </c>
      <c r="B1016" t="s">
        <v>2289</v>
      </c>
      <c r="C1016" t="str">
        <f>HYPERLINK("https://nematode.unl.edu/aprim6.jpg")</f>
        <v>https://nematode.unl.edu/aprim6.jpg</v>
      </c>
      <c r="D1016" t="s">
        <v>43</v>
      </c>
      <c r="G1016" t="s">
        <v>87</v>
      </c>
      <c r="I1016" t="s">
        <v>41</v>
      </c>
      <c r="J1016" t="s">
        <v>20</v>
      </c>
      <c r="M1016" t="s">
        <v>2270</v>
      </c>
      <c r="N1016" t="s">
        <v>2270</v>
      </c>
      <c r="O1016" t="s">
        <v>73</v>
      </c>
      <c r="P1016" t="s">
        <v>74</v>
      </c>
      <c r="Q1016" t="s">
        <v>75</v>
      </c>
      <c r="R1016" t="s">
        <v>72</v>
      </c>
    </row>
    <row r="1017" spans="1:18" x14ac:dyDescent="0.25">
      <c r="A1017" t="s">
        <v>22178</v>
      </c>
      <c r="B1017" t="s">
        <v>2290</v>
      </c>
      <c r="C1017" t="str">
        <f>HYPERLINK("https://nematode.unl.edu/aprim7.jpg")</f>
        <v>https://nematode.unl.edu/aprim7.jpg</v>
      </c>
      <c r="D1017" t="s">
        <v>43</v>
      </c>
      <c r="G1017" t="s">
        <v>34</v>
      </c>
      <c r="H1017" t="s">
        <v>18</v>
      </c>
      <c r="I1017" t="s">
        <v>19</v>
      </c>
      <c r="J1017" t="s">
        <v>20</v>
      </c>
      <c r="M1017" t="s">
        <v>2270</v>
      </c>
      <c r="N1017" t="s">
        <v>2270</v>
      </c>
      <c r="O1017" t="s">
        <v>73</v>
      </c>
      <c r="P1017" t="s">
        <v>74</v>
      </c>
      <c r="Q1017" t="s">
        <v>75</v>
      </c>
      <c r="R1017" t="s">
        <v>72</v>
      </c>
    </row>
    <row r="1018" spans="1:18" x14ac:dyDescent="0.25">
      <c r="A1018" t="s">
        <v>22191</v>
      </c>
      <c r="B1018" t="s">
        <v>2291</v>
      </c>
      <c r="C1018" t="str">
        <f>HYPERLINK("https://nematode.unl.edu/aprim8.jpg")</f>
        <v>https://nematode.unl.edu/aprim8.jpg</v>
      </c>
      <c r="D1018" t="s">
        <v>43</v>
      </c>
      <c r="G1018" t="s">
        <v>51</v>
      </c>
      <c r="I1018" t="s">
        <v>19</v>
      </c>
      <c r="J1018" t="s">
        <v>20</v>
      </c>
      <c r="M1018" t="s">
        <v>2270</v>
      </c>
      <c r="N1018" t="s">
        <v>2270</v>
      </c>
      <c r="O1018" t="s">
        <v>73</v>
      </c>
      <c r="P1018" t="s">
        <v>74</v>
      </c>
      <c r="Q1018" t="s">
        <v>75</v>
      </c>
      <c r="R1018" t="s">
        <v>72</v>
      </c>
    </row>
    <row r="1019" spans="1:18" x14ac:dyDescent="0.25">
      <c r="A1019" t="s">
        <v>22188</v>
      </c>
      <c r="B1019" t="s">
        <v>2292</v>
      </c>
      <c r="C1019" t="str">
        <f>HYPERLINK("https://nematode.unl.edu/aprim9.jpg")</f>
        <v>https://nematode.unl.edu/aprim9.jpg</v>
      </c>
      <c r="D1019" t="s">
        <v>43</v>
      </c>
      <c r="G1019" t="s">
        <v>28</v>
      </c>
      <c r="I1019" t="s">
        <v>19</v>
      </c>
      <c r="J1019" t="s">
        <v>20</v>
      </c>
      <c r="L1019" t="s">
        <v>85</v>
      </c>
      <c r="M1019" t="s">
        <v>2270</v>
      </c>
      <c r="N1019" t="s">
        <v>2270</v>
      </c>
      <c r="O1019" t="s">
        <v>73</v>
      </c>
      <c r="P1019" t="s">
        <v>74</v>
      </c>
      <c r="Q1019" t="s">
        <v>75</v>
      </c>
      <c r="R1019" t="s">
        <v>72</v>
      </c>
    </row>
    <row r="1020" spans="1:18" x14ac:dyDescent="0.25">
      <c r="A1020" t="s">
        <v>19098</v>
      </c>
      <c r="B1020" t="s">
        <v>294</v>
      </c>
      <c r="C1020" t="str">
        <f>HYPERLINK("https://nematode.unl.edu/apscurus1.jpg")</f>
        <v>https://nematode.unl.edu/apscurus1.jpg</v>
      </c>
      <c r="D1020" t="s">
        <v>43</v>
      </c>
      <c r="G1020" t="s">
        <v>44</v>
      </c>
      <c r="I1020" t="s">
        <v>45</v>
      </c>
      <c r="J1020" t="s">
        <v>295</v>
      </c>
      <c r="L1020" t="s">
        <v>296</v>
      </c>
      <c r="M1020" t="s">
        <v>233</v>
      </c>
      <c r="N1020" t="s">
        <v>135</v>
      </c>
      <c r="O1020" t="s">
        <v>73</v>
      </c>
      <c r="P1020" t="s">
        <v>81</v>
      </c>
      <c r="Q1020" t="s">
        <v>119</v>
      </c>
      <c r="R1020" t="s">
        <v>118</v>
      </c>
    </row>
    <row r="1021" spans="1:18" x14ac:dyDescent="0.25">
      <c r="A1021" t="s">
        <v>19120</v>
      </c>
      <c r="B1021" t="s">
        <v>297</v>
      </c>
      <c r="C1021" t="str">
        <f>HYPERLINK("https://nematode.unl.edu/apscurus10.jpg")</f>
        <v>https://nematode.unl.edu/apscurus10.jpg</v>
      </c>
      <c r="D1021" t="s">
        <v>43</v>
      </c>
      <c r="G1021" t="s">
        <v>28</v>
      </c>
      <c r="I1021" t="s">
        <v>19</v>
      </c>
      <c r="J1021" t="s">
        <v>295</v>
      </c>
      <c r="L1021" t="s">
        <v>296</v>
      </c>
      <c r="M1021" t="s">
        <v>233</v>
      </c>
      <c r="N1021" t="s">
        <v>135</v>
      </c>
      <c r="O1021" t="s">
        <v>73</v>
      </c>
      <c r="P1021" t="s">
        <v>81</v>
      </c>
      <c r="Q1021" t="s">
        <v>119</v>
      </c>
      <c r="R1021" t="s">
        <v>118</v>
      </c>
    </row>
    <row r="1022" spans="1:18" x14ac:dyDescent="0.25">
      <c r="A1022" t="s">
        <v>19104</v>
      </c>
      <c r="B1022" t="s">
        <v>298</v>
      </c>
      <c r="C1022" t="str">
        <f>HYPERLINK("https://nematode.unl.edu/apscurus11.jpg")</f>
        <v>https://nematode.unl.edu/apscurus11.jpg</v>
      </c>
      <c r="D1022" t="s">
        <v>43</v>
      </c>
      <c r="G1022" t="s">
        <v>181</v>
      </c>
      <c r="I1022" t="s">
        <v>45</v>
      </c>
      <c r="J1022" t="s">
        <v>295</v>
      </c>
      <c r="L1022" t="s">
        <v>296</v>
      </c>
      <c r="M1022" t="s">
        <v>233</v>
      </c>
      <c r="N1022" t="s">
        <v>135</v>
      </c>
      <c r="O1022" t="s">
        <v>73</v>
      </c>
      <c r="P1022" t="s">
        <v>81</v>
      </c>
      <c r="Q1022" t="s">
        <v>119</v>
      </c>
      <c r="R1022" t="s">
        <v>118</v>
      </c>
    </row>
    <row r="1023" spans="1:18" x14ac:dyDescent="0.25">
      <c r="A1023" t="s">
        <v>19082</v>
      </c>
      <c r="B1023" t="s">
        <v>299</v>
      </c>
      <c r="C1023" t="str">
        <f>HYPERLINK("https://nematode.unl.edu/apscurus2.jpg")</f>
        <v>https://nematode.unl.edu/apscurus2.jpg</v>
      </c>
      <c r="D1023" t="s">
        <v>43</v>
      </c>
      <c r="G1023" t="s">
        <v>34</v>
      </c>
      <c r="H1023" t="s">
        <v>18</v>
      </c>
      <c r="I1023" t="s">
        <v>19</v>
      </c>
      <c r="J1023" t="s">
        <v>295</v>
      </c>
      <c r="L1023" t="s">
        <v>296</v>
      </c>
      <c r="M1023" t="s">
        <v>233</v>
      </c>
      <c r="N1023" t="s">
        <v>135</v>
      </c>
      <c r="O1023" t="s">
        <v>73</v>
      </c>
      <c r="P1023" t="s">
        <v>81</v>
      </c>
      <c r="Q1023" t="s">
        <v>119</v>
      </c>
      <c r="R1023" t="s">
        <v>118</v>
      </c>
    </row>
    <row r="1024" spans="1:18" x14ac:dyDescent="0.25">
      <c r="A1024" t="s">
        <v>19089</v>
      </c>
      <c r="B1024" t="s">
        <v>300</v>
      </c>
      <c r="C1024" t="str">
        <f>HYPERLINK("https://nematode.unl.edu/apscurus3.jpg")</f>
        <v>https://nematode.unl.edu/apscurus3.jpg</v>
      </c>
      <c r="D1024" t="s">
        <v>43</v>
      </c>
      <c r="G1024" t="s">
        <v>87</v>
      </c>
      <c r="I1024" t="s">
        <v>19</v>
      </c>
      <c r="J1024" t="s">
        <v>295</v>
      </c>
      <c r="L1024" t="s">
        <v>296</v>
      </c>
      <c r="M1024" t="s">
        <v>233</v>
      </c>
      <c r="N1024" t="s">
        <v>135</v>
      </c>
      <c r="O1024" t="s">
        <v>73</v>
      </c>
      <c r="P1024" t="s">
        <v>81</v>
      </c>
      <c r="Q1024" t="s">
        <v>119</v>
      </c>
      <c r="R1024" t="s">
        <v>118</v>
      </c>
    </row>
    <row r="1025" spans="1:18" x14ac:dyDescent="0.25">
      <c r="A1025" t="s">
        <v>19128</v>
      </c>
      <c r="B1025" t="s">
        <v>301</v>
      </c>
      <c r="C1025" t="str">
        <f>HYPERLINK("https://nematode.unl.edu/apscurus4.jpg")</f>
        <v>https://nematode.unl.edu/apscurus4.jpg</v>
      </c>
      <c r="D1025" t="s">
        <v>43</v>
      </c>
      <c r="G1025" t="s">
        <v>51</v>
      </c>
      <c r="I1025" t="s">
        <v>19</v>
      </c>
      <c r="J1025" t="s">
        <v>295</v>
      </c>
      <c r="L1025" t="s">
        <v>296</v>
      </c>
      <c r="M1025" t="s">
        <v>233</v>
      </c>
      <c r="N1025" t="s">
        <v>135</v>
      </c>
      <c r="O1025" t="s">
        <v>73</v>
      </c>
      <c r="P1025" t="s">
        <v>81</v>
      </c>
      <c r="Q1025" t="s">
        <v>119</v>
      </c>
      <c r="R1025" t="s">
        <v>118</v>
      </c>
    </row>
    <row r="1026" spans="1:18" x14ac:dyDescent="0.25">
      <c r="A1026" t="s">
        <v>19121</v>
      </c>
      <c r="B1026" t="s">
        <v>302</v>
      </c>
      <c r="C1026" t="str">
        <f>HYPERLINK("https://nematode.unl.edu/apscurus5.jpg")</f>
        <v>https://nematode.unl.edu/apscurus5.jpg</v>
      </c>
      <c r="D1026" t="s">
        <v>43</v>
      </c>
      <c r="G1026" t="s">
        <v>28</v>
      </c>
      <c r="I1026" t="s">
        <v>19</v>
      </c>
      <c r="J1026" t="s">
        <v>295</v>
      </c>
      <c r="L1026" t="s">
        <v>296</v>
      </c>
      <c r="M1026" t="s">
        <v>233</v>
      </c>
      <c r="N1026" t="s">
        <v>135</v>
      </c>
      <c r="O1026" t="s">
        <v>73</v>
      </c>
      <c r="P1026" t="s">
        <v>81</v>
      </c>
      <c r="Q1026" t="s">
        <v>119</v>
      </c>
      <c r="R1026" t="s">
        <v>118</v>
      </c>
    </row>
    <row r="1027" spans="1:18" x14ac:dyDescent="0.25">
      <c r="A1027" t="s">
        <v>19066</v>
      </c>
      <c r="B1027" t="s">
        <v>303</v>
      </c>
      <c r="C1027" t="str">
        <f>HYPERLINK("https://nematode.unl.edu/apscurus6.jpg")</f>
        <v>https://nematode.unl.edu/apscurus6.jpg</v>
      </c>
      <c r="D1027" t="s">
        <v>43</v>
      </c>
      <c r="G1027" t="s">
        <v>96</v>
      </c>
      <c r="H1027" t="s">
        <v>18</v>
      </c>
      <c r="I1027" t="s">
        <v>45</v>
      </c>
      <c r="J1027" t="s">
        <v>295</v>
      </c>
      <c r="L1027" t="s">
        <v>296</v>
      </c>
      <c r="M1027" t="s">
        <v>233</v>
      </c>
      <c r="N1027" t="s">
        <v>135</v>
      </c>
      <c r="O1027" t="s">
        <v>73</v>
      </c>
      <c r="P1027" t="s">
        <v>81</v>
      </c>
      <c r="Q1027" t="s">
        <v>119</v>
      </c>
      <c r="R1027" t="s">
        <v>118</v>
      </c>
    </row>
    <row r="1028" spans="1:18" x14ac:dyDescent="0.25">
      <c r="A1028" t="s">
        <v>19083</v>
      </c>
      <c r="B1028" t="s">
        <v>304</v>
      </c>
      <c r="C1028" t="str">
        <f>HYPERLINK("https://nematode.unl.edu/apscurus7.jpg")</f>
        <v>https://nematode.unl.edu/apscurus7.jpg</v>
      </c>
      <c r="D1028" t="s">
        <v>43</v>
      </c>
      <c r="G1028" t="s">
        <v>34</v>
      </c>
      <c r="H1028" t="s">
        <v>18</v>
      </c>
      <c r="I1028" t="s">
        <v>19</v>
      </c>
      <c r="J1028" t="s">
        <v>295</v>
      </c>
      <c r="L1028" t="s">
        <v>296</v>
      </c>
      <c r="M1028" t="s">
        <v>233</v>
      </c>
      <c r="N1028" t="s">
        <v>135</v>
      </c>
      <c r="O1028" t="s">
        <v>73</v>
      </c>
      <c r="P1028" t="s">
        <v>81</v>
      </c>
      <c r="Q1028" t="s">
        <v>119</v>
      </c>
      <c r="R1028" t="s">
        <v>118</v>
      </c>
    </row>
    <row r="1029" spans="1:18" x14ac:dyDescent="0.25">
      <c r="A1029" t="s">
        <v>19090</v>
      </c>
      <c r="B1029" t="s">
        <v>305</v>
      </c>
      <c r="C1029" t="str">
        <f>HYPERLINK("https://nematode.unl.edu/apscurus8.jpg")</f>
        <v>https://nematode.unl.edu/apscurus8.jpg</v>
      </c>
      <c r="D1029" t="s">
        <v>43</v>
      </c>
      <c r="G1029" t="s">
        <v>87</v>
      </c>
      <c r="I1029" t="s">
        <v>19</v>
      </c>
      <c r="J1029" t="s">
        <v>295</v>
      </c>
      <c r="L1029" t="s">
        <v>296</v>
      </c>
      <c r="M1029" t="s">
        <v>233</v>
      </c>
      <c r="N1029" t="s">
        <v>135</v>
      </c>
      <c r="O1029" t="s">
        <v>73</v>
      </c>
      <c r="P1029" t="s">
        <v>81</v>
      </c>
      <c r="Q1029" t="s">
        <v>119</v>
      </c>
      <c r="R1029" t="s">
        <v>118</v>
      </c>
    </row>
    <row r="1030" spans="1:18" x14ac:dyDescent="0.25">
      <c r="A1030" t="s">
        <v>19129</v>
      </c>
      <c r="B1030" t="s">
        <v>306</v>
      </c>
      <c r="C1030" t="str">
        <f>HYPERLINK("https://nematode.unl.edu/apscurus9.jpg")</f>
        <v>https://nematode.unl.edu/apscurus9.jpg</v>
      </c>
      <c r="D1030" t="s">
        <v>43</v>
      </c>
      <c r="G1030" t="s">
        <v>51</v>
      </c>
      <c r="I1030" t="s">
        <v>19</v>
      </c>
      <c r="J1030" t="s">
        <v>295</v>
      </c>
      <c r="L1030" t="s">
        <v>296</v>
      </c>
      <c r="M1030" t="s">
        <v>233</v>
      </c>
      <c r="N1030" t="s">
        <v>135</v>
      </c>
      <c r="O1030" t="s">
        <v>73</v>
      </c>
      <c r="P1030" t="s">
        <v>81</v>
      </c>
      <c r="Q1030" t="s">
        <v>119</v>
      </c>
      <c r="R1030" t="s">
        <v>118</v>
      </c>
    </row>
    <row r="1031" spans="1:18" x14ac:dyDescent="0.25">
      <c r="A1031" t="s">
        <v>19236</v>
      </c>
      <c r="B1031" t="s">
        <v>326</v>
      </c>
      <c r="C1031" t="str">
        <f>HYPERLINK("https://nematode.unl.edu/apta1.jpg")</f>
        <v>https://nematode.unl.edu/apta1.jpg</v>
      </c>
      <c r="D1031" t="s">
        <v>43</v>
      </c>
      <c r="G1031" t="s">
        <v>34</v>
      </c>
      <c r="H1031" t="s">
        <v>18</v>
      </c>
      <c r="I1031" t="s">
        <v>19</v>
      </c>
      <c r="J1031" t="s">
        <v>20</v>
      </c>
      <c r="M1031" t="s">
        <v>327</v>
      </c>
      <c r="N1031" t="s">
        <v>328</v>
      </c>
      <c r="O1031" t="s">
        <v>73</v>
      </c>
      <c r="P1031" t="s">
        <v>81</v>
      </c>
      <c r="Q1031" t="s">
        <v>119</v>
      </c>
      <c r="R1031" t="s">
        <v>329</v>
      </c>
    </row>
    <row r="1032" spans="1:18" x14ac:dyDescent="0.25">
      <c r="A1032" t="s">
        <v>19238</v>
      </c>
      <c r="B1032" t="s">
        <v>330</v>
      </c>
      <c r="C1032" t="str">
        <f>HYPERLINK("https://nematode.unl.edu/apta2.jpg")</f>
        <v>https://nematode.unl.edu/apta2.jpg</v>
      </c>
      <c r="D1032" t="s">
        <v>43</v>
      </c>
      <c r="G1032" t="s">
        <v>87</v>
      </c>
      <c r="I1032" t="s">
        <v>19</v>
      </c>
      <c r="J1032" t="s">
        <v>20</v>
      </c>
      <c r="L1032" t="s">
        <v>206</v>
      </c>
      <c r="M1032" t="s">
        <v>327</v>
      </c>
      <c r="N1032" t="s">
        <v>328</v>
      </c>
      <c r="O1032" t="s">
        <v>73</v>
      </c>
      <c r="P1032" t="s">
        <v>81</v>
      </c>
      <c r="Q1032" t="s">
        <v>119</v>
      </c>
      <c r="R1032" t="s">
        <v>329</v>
      </c>
    </row>
    <row r="1033" spans="1:18" x14ac:dyDescent="0.25">
      <c r="A1033" t="s">
        <v>19242</v>
      </c>
      <c r="B1033" t="s">
        <v>331</v>
      </c>
      <c r="C1033" t="str">
        <f>HYPERLINK("https://nematode.unl.edu/apta3.jpg")</f>
        <v>https://nematode.unl.edu/apta3.jpg</v>
      </c>
      <c r="D1033" t="s">
        <v>43</v>
      </c>
      <c r="G1033" t="s">
        <v>51</v>
      </c>
      <c r="I1033" t="s">
        <v>19</v>
      </c>
      <c r="J1033" t="s">
        <v>20</v>
      </c>
      <c r="M1033" t="s">
        <v>327</v>
      </c>
      <c r="N1033" t="s">
        <v>328</v>
      </c>
      <c r="O1033" t="s">
        <v>73</v>
      </c>
      <c r="P1033" t="s">
        <v>81</v>
      </c>
      <c r="Q1033" t="s">
        <v>119</v>
      </c>
      <c r="R1033" t="s">
        <v>329</v>
      </c>
    </row>
    <row r="1034" spans="1:18" x14ac:dyDescent="0.25">
      <c r="A1034" t="s">
        <v>19240</v>
      </c>
      <c r="B1034" t="s">
        <v>332</v>
      </c>
      <c r="C1034" t="str">
        <f>HYPERLINK("https://nematode.unl.edu/apta4.jpg")</f>
        <v>https://nematode.unl.edu/apta4.jpg</v>
      </c>
      <c r="D1034" t="s">
        <v>43</v>
      </c>
      <c r="G1034" t="s">
        <v>28</v>
      </c>
      <c r="I1034" t="s">
        <v>19</v>
      </c>
      <c r="J1034" t="s">
        <v>20</v>
      </c>
      <c r="M1034" t="s">
        <v>327</v>
      </c>
      <c r="N1034" t="s">
        <v>328</v>
      </c>
      <c r="O1034" t="s">
        <v>73</v>
      </c>
      <c r="P1034" t="s">
        <v>81</v>
      </c>
      <c r="Q1034" t="s">
        <v>119</v>
      </c>
      <c r="R1034" t="s">
        <v>329</v>
      </c>
    </row>
    <row r="1035" spans="1:18" x14ac:dyDescent="0.25">
      <c r="A1035" t="s">
        <v>19237</v>
      </c>
      <c r="B1035" t="s">
        <v>333</v>
      </c>
      <c r="C1035" t="str">
        <f>HYPERLINK("https://nematode.unl.edu/apta5.jpg")</f>
        <v>https://nematode.unl.edu/apta5.jpg</v>
      </c>
      <c r="D1035" t="s">
        <v>43</v>
      </c>
      <c r="G1035" t="s">
        <v>34</v>
      </c>
      <c r="H1035" t="s">
        <v>18</v>
      </c>
      <c r="I1035" t="s">
        <v>19</v>
      </c>
      <c r="J1035" t="s">
        <v>20</v>
      </c>
      <c r="M1035" t="s">
        <v>327</v>
      </c>
      <c r="N1035" t="s">
        <v>328</v>
      </c>
      <c r="O1035" t="s">
        <v>73</v>
      </c>
      <c r="P1035" t="s">
        <v>81</v>
      </c>
      <c r="Q1035" t="s">
        <v>119</v>
      </c>
      <c r="R1035" t="s">
        <v>329</v>
      </c>
    </row>
    <row r="1036" spans="1:18" x14ac:dyDescent="0.25">
      <c r="A1036" t="s">
        <v>19241</v>
      </c>
      <c r="B1036" t="s">
        <v>334</v>
      </c>
      <c r="C1036" t="str">
        <f>HYPERLINK("https://nematode.unl.edu/apta6.jpg")</f>
        <v>https://nematode.unl.edu/apta6.jpg</v>
      </c>
      <c r="D1036" t="s">
        <v>16</v>
      </c>
      <c r="G1036" t="s">
        <v>28</v>
      </c>
      <c r="I1036" t="s">
        <v>19</v>
      </c>
      <c r="J1036" t="s">
        <v>20</v>
      </c>
      <c r="M1036" t="s">
        <v>327</v>
      </c>
      <c r="N1036" t="s">
        <v>328</v>
      </c>
      <c r="O1036" t="s">
        <v>73</v>
      </c>
      <c r="P1036" t="s">
        <v>81</v>
      </c>
      <c r="Q1036" t="s">
        <v>119</v>
      </c>
      <c r="R1036" t="s">
        <v>329</v>
      </c>
    </row>
    <row r="1037" spans="1:18" x14ac:dyDescent="0.25">
      <c r="A1037" t="s">
        <v>13078</v>
      </c>
      <c r="B1037" t="s">
        <v>2855</v>
      </c>
      <c r="C1037" t="str">
        <f>HYPERLINK("https://nematode.unl.edu/aptida1.jpg")</f>
        <v>https://nematode.unl.edu/aptida1.jpg</v>
      </c>
      <c r="D1037" t="s">
        <v>43</v>
      </c>
      <c r="G1037" t="s">
        <v>44</v>
      </c>
      <c r="I1037" t="s">
        <v>45</v>
      </c>
      <c r="J1037" t="s">
        <v>267</v>
      </c>
      <c r="M1037" t="s">
        <v>2856</v>
      </c>
      <c r="N1037" t="s">
        <v>2856</v>
      </c>
      <c r="O1037" t="s">
        <v>23</v>
      </c>
      <c r="P1037" t="s">
        <v>24</v>
      </c>
      <c r="Q1037" t="s">
        <v>102</v>
      </c>
      <c r="R1037" t="s">
        <v>2856</v>
      </c>
    </row>
    <row r="1038" spans="1:18" x14ac:dyDescent="0.25">
      <c r="A1038" t="s">
        <v>13068</v>
      </c>
      <c r="B1038" t="s">
        <v>2857</v>
      </c>
      <c r="C1038" t="str">
        <f>HYPERLINK("https://nematode.unl.edu/aptida10.jpg")</f>
        <v>https://nematode.unl.edu/aptida10.jpg</v>
      </c>
      <c r="D1038" t="s">
        <v>16</v>
      </c>
      <c r="G1038" t="s">
        <v>34</v>
      </c>
      <c r="H1038" t="s">
        <v>18</v>
      </c>
      <c r="I1038" t="s">
        <v>41</v>
      </c>
      <c r="J1038" t="s">
        <v>267</v>
      </c>
      <c r="M1038" t="s">
        <v>2856</v>
      </c>
      <c r="N1038" t="s">
        <v>2856</v>
      </c>
      <c r="O1038" t="s">
        <v>23</v>
      </c>
      <c r="P1038" t="s">
        <v>24</v>
      </c>
      <c r="Q1038" t="s">
        <v>102</v>
      </c>
      <c r="R1038" t="s">
        <v>2856</v>
      </c>
    </row>
    <row r="1039" spans="1:18" x14ac:dyDescent="0.25">
      <c r="A1039" t="s">
        <v>13088</v>
      </c>
      <c r="B1039" t="s">
        <v>2858</v>
      </c>
      <c r="C1039" t="str">
        <f>HYPERLINK("https://nematode.unl.edu/aptida11.jpg")</f>
        <v>https://nematode.unl.edu/aptida11.jpg</v>
      </c>
      <c r="D1039" t="s">
        <v>16</v>
      </c>
      <c r="G1039" t="s">
        <v>28</v>
      </c>
      <c r="I1039" t="s">
        <v>41</v>
      </c>
      <c r="J1039" t="s">
        <v>267</v>
      </c>
      <c r="M1039" t="s">
        <v>2856</v>
      </c>
      <c r="N1039" t="s">
        <v>2856</v>
      </c>
      <c r="O1039" t="s">
        <v>23</v>
      </c>
      <c r="P1039" t="s">
        <v>24</v>
      </c>
      <c r="Q1039" t="s">
        <v>102</v>
      </c>
      <c r="R1039" t="s">
        <v>2856</v>
      </c>
    </row>
    <row r="1040" spans="1:18" x14ac:dyDescent="0.25">
      <c r="A1040" t="s">
        <v>13064</v>
      </c>
      <c r="B1040" t="s">
        <v>2859</v>
      </c>
      <c r="C1040" t="str">
        <f>HYPERLINK("https://nematode.unl.edu/aptida2.jpg")</f>
        <v>https://nematode.unl.edu/aptida2.jpg</v>
      </c>
      <c r="D1040" t="s">
        <v>43</v>
      </c>
      <c r="G1040" t="s">
        <v>96</v>
      </c>
      <c r="H1040" t="s">
        <v>18</v>
      </c>
      <c r="I1040" t="s">
        <v>19</v>
      </c>
      <c r="J1040" t="s">
        <v>267</v>
      </c>
      <c r="M1040" t="s">
        <v>2856</v>
      </c>
      <c r="N1040" t="s">
        <v>2856</v>
      </c>
      <c r="O1040" t="s">
        <v>23</v>
      </c>
      <c r="P1040" t="s">
        <v>24</v>
      </c>
      <c r="Q1040" t="s">
        <v>102</v>
      </c>
      <c r="R1040" t="s">
        <v>2856</v>
      </c>
    </row>
    <row r="1041" spans="1:18" x14ac:dyDescent="0.25">
      <c r="A1041" t="s">
        <v>13089</v>
      </c>
      <c r="B1041" t="s">
        <v>2860</v>
      </c>
      <c r="C1041" t="str">
        <f>HYPERLINK("https://nematode.unl.edu/aptida3.jpg")</f>
        <v>https://nematode.unl.edu/aptida3.jpg</v>
      </c>
      <c r="D1041" t="s">
        <v>43</v>
      </c>
      <c r="G1041" t="s">
        <v>28</v>
      </c>
      <c r="I1041" t="s">
        <v>19</v>
      </c>
      <c r="J1041" t="s">
        <v>267</v>
      </c>
      <c r="M1041" t="s">
        <v>2856</v>
      </c>
      <c r="N1041" t="s">
        <v>2856</v>
      </c>
      <c r="O1041" t="s">
        <v>23</v>
      </c>
      <c r="P1041" t="s">
        <v>24</v>
      </c>
      <c r="Q1041" t="s">
        <v>102</v>
      </c>
      <c r="R1041" t="s">
        <v>2856</v>
      </c>
    </row>
    <row r="1042" spans="1:18" x14ac:dyDescent="0.25">
      <c r="A1042" t="s">
        <v>13069</v>
      </c>
      <c r="B1042" t="s">
        <v>2861</v>
      </c>
      <c r="C1042" t="str">
        <f>HYPERLINK("https://nematode.unl.edu/aptida4.jpg")</f>
        <v>https://nematode.unl.edu/aptida4.jpg</v>
      </c>
      <c r="D1042" t="s">
        <v>43</v>
      </c>
      <c r="G1042" t="s">
        <v>34</v>
      </c>
      <c r="H1042" t="s">
        <v>18</v>
      </c>
      <c r="I1042" t="s">
        <v>41</v>
      </c>
      <c r="J1042" t="s">
        <v>267</v>
      </c>
      <c r="M1042" t="s">
        <v>2856</v>
      </c>
      <c r="N1042" t="s">
        <v>2856</v>
      </c>
      <c r="O1042" t="s">
        <v>23</v>
      </c>
      <c r="P1042" t="s">
        <v>24</v>
      </c>
      <c r="Q1042" t="s">
        <v>102</v>
      </c>
      <c r="R1042" t="s">
        <v>2856</v>
      </c>
    </row>
    <row r="1043" spans="1:18" x14ac:dyDescent="0.25">
      <c r="A1043" t="s">
        <v>13097</v>
      </c>
      <c r="B1043" t="s">
        <v>2862</v>
      </c>
      <c r="C1043" t="str">
        <f>HYPERLINK("https://nematode.unl.edu/aptida5.jpg")</f>
        <v>https://nematode.unl.edu/aptida5.jpg</v>
      </c>
      <c r="D1043" t="s">
        <v>43</v>
      </c>
      <c r="G1043" t="s">
        <v>51</v>
      </c>
      <c r="I1043" t="s">
        <v>41</v>
      </c>
      <c r="J1043" t="s">
        <v>267</v>
      </c>
      <c r="M1043" t="s">
        <v>2856</v>
      </c>
      <c r="N1043" t="s">
        <v>2856</v>
      </c>
      <c r="O1043" t="s">
        <v>23</v>
      </c>
      <c r="P1043" t="s">
        <v>24</v>
      </c>
      <c r="Q1043" t="s">
        <v>102</v>
      </c>
      <c r="R1043" t="s">
        <v>2856</v>
      </c>
    </row>
    <row r="1044" spans="1:18" x14ac:dyDescent="0.25">
      <c r="A1044" t="s">
        <v>13081</v>
      </c>
      <c r="B1044" t="s">
        <v>2863</v>
      </c>
      <c r="C1044" t="str">
        <f>HYPERLINK("https://nematode.unl.edu/aptida6.jpg")</f>
        <v>https://nematode.unl.edu/aptida6.jpg</v>
      </c>
      <c r="D1044" t="s">
        <v>43</v>
      </c>
      <c r="G1044" t="s">
        <v>53</v>
      </c>
      <c r="I1044" t="s">
        <v>41</v>
      </c>
      <c r="J1044" t="s">
        <v>267</v>
      </c>
      <c r="M1044" t="s">
        <v>2856</v>
      </c>
      <c r="N1044" t="s">
        <v>2856</v>
      </c>
      <c r="O1044" t="s">
        <v>23</v>
      </c>
      <c r="P1044" t="s">
        <v>24</v>
      </c>
      <c r="Q1044" t="s">
        <v>102</v>
      </c>
      <c r="R1044" t="s">
        <v>2856</v>
      </c>
    </row>
    <row r="1045" spans="1:18" x14ac:dyDescent="0.25">
      <c r="A1045" t="s">
        <v>13070</v>
      </c>
      <c r="B1045" t="s">
        <v>2864</v>
      </c>
      <c r="C1045" t="str">
        <f>HYPERLINK("https://nematode.unl.edu/aptida8.jpg")</f>
        <v>https://nematode.unl.edu/aptida8.jpg</v>
      </c>
      <c r="D1045" t="s">
        <v>16</v>
      </c>
      <c r="G1045" t="s">
        <v>34</v>
      </c>
      <c r="H1045" t="s">
        <v>18</v>
      </c>
      <c r="I1045" t="s">
        <v>19</v>
      </c>
      <c r="J1045" t="s">
        <v>267</v>
      </c>
      <c r="M1045" t="s">
        <v>2856</v>
      </c>
      <c r="N1045" t="s">
        <v>2856</v>
      </c>
      <c r="O1045" t="s">
        <v>23</v>
      </c>
      <c r="P1045" t="s">
        <v>24</v>
      </c>
      <c r="Q1045" t="s">
        <v>102</v>
      </c>
      <c r="R1045" t="s">
        <v>2856</v>
      </c>
    </row>
    <row r="1046" spans="1:18" x14ac:dyDescent="0.25">
      <c r="A1046" t="s">
        <v>13090</v>
      </c>
      <c r="B1046" t="s">
        <v>2865</v>
      </c>
      <c r="C1046" t="str">
        <f>HYPERLINK("https://nematode.unl.edu/aptida9.jpg")</f>
        <v>https://nematode.unl.edu/aptida9.jpg</v>
      </c>
      <c r="D1046" t="s">
        <v>16</v>
      </c>
      <c r="G1046" t="s">
        <v>28</v>
      </c>
      <c r="I1046" t="s">
        <v>19</v>
      </c>
      <c r="J1046" t="s">
        <v>267</v>
      </c>
      <c r="M1046" t="s">
        <v>2856</v>
      </c>
      <c r="N1046" t="s">
        <v>2856</v>
      </c>
      <c r="O1046" t="s">
        <v>23</v>
      </c>
      <c r="P1046" t="s">
        <v>24</v>
      </c>
      <c r="Q1046" t="s">
        <v>102</v>
      </c>
      <c r="R1046" t="s">
        <v>2856</v>
      </c>
    </row>
    <row r="1047" spans="1:18" x14ac:dyDescent="0.25">
      <c r="A1047" t="s">
        <v>13085</v>
      </c>
      <c r="B1047" t="s">
        <v>2866</v>
      </c>
      <c r="C1047" t="str">
        <f>HYPERLINK("https://nematode.unl.edu/aptidb1.jpg")</f>
        <v>https://nematode.unl.edu/aptidb1.jpg</v>
      </c>
      <c r="D1047" t="s">
        <v>43</v>
      </c>
      <c r="G1047" t="s">
        <v>414</v>
      </c>
      <c r="I1047" t="s">
        <v>41</v>
      </c>
      <c r="J1047" t="s">
        <v>267</v>
      </c>
      <c r="M1047" t="s">
        <v>2856</v>
      </c>
      <c r="N1047" t="s">
        <v>2856</v>
      </c>
      <c r="O1047" t="s">
        <v>23</v>
      </c>
      <c r="P1047" t="s">
        <v>24</v>
      </c>
      <c r="Q1047" t="s">
        <v>102</v>
      </c>
      <c r="R1047" t="s">
        <v>2856</v>
      </c>
    </row>
    <row r="1048" spans="1:18" x14ac:dyDescent="0.25">
      <c r="A1048" t="s">
        <v>13091</v>
      </c>
      <c r="B1048" t="s">
        <v>2867</v>
      </c>
      <c r="C1048" t="str">
        <f>HYPERLINK("https://nematode.unl.edu/aptidb10.jpg")</f>
        <v>https://nematode.unl.edu/aptidb10.jpg</v>
      </c>
      <c r="D1048" t="s">
        <v>43</v>
      </c>
      <c r="G1048" t="s">
        <v>28</v>
      </c>
      <c r="I1048" t="s">
        <v>19</v>
      </c>
      <c r="J1048" t="s">
        <v>267</v>
      </c>
      <c r="M1048" t="s">
        <v>2856</v>
      </c>
      <c r="N1048" t="s">
        <v>2856</v>
      </c>
      <c r="O1048" t="s">
        <v>23</v>
      </c>
      <c r="P1048" t="s">
        <v>24</v>
      </c>
      <c r="Q1048" t="s">
        <v>102</v>
      </c>
      <c r="R1048" t="s">
        <v>2856</v>
      </c>
    </row>
    <row r="1049" spans="1:18" x14ac:dyDescent="0.25">
      <c r="A1049" t="s">
        <v>13071</v>
      </c>
      <c r="B1049" t="s">
        <v>2868</v>
      </c>
      <c r="C1049" t="str">
        <f>HYPERLINK("https://nematode.unl.edu/aptidb11.jpg")</f>
        <v>https://nematode.unl.edu/aptidb11.jpg</v>
      </c>
      <c r="D1049" t="s">
        <v>43</v>
      </c>
      <c r="G1049" t="s">
        <v>34</v>
      </c>
      <c r="H1049" t="s">
        <v>18</v>
      </c>
      <c r="I1049" t="s">
        <v>41</v>
      </c>
      <c r="J1049" t="s">
        <v>267</v>
      </c>
      <c r="M1049" t="s">
        <v>2856</v>
      </c>
      <c r="N1049" t="s">
        <v>2856</v>
      </c>
      <c r="O1049" t="s">
        <v>23</v>
      </c>
      <c r="P1049" t="s">
        <v>24</v>
      </c>
      <c r="Q1049" t="s">
        <v>102</v>
      </c>
      <c r="R1049" t="s">
        <v>2856</v>
      </c>
    </row>
    <row r="1050" spans="1:18" x14ac:dyDescent="0.25">
      <c r="A1050" t="s">
        <v>13086</v>
      </c>
      <c r="B1050" t="s">
        <v>2869</v>
      </c>
      <c r="C1050" t="str">
        <f>HYPERLINK("https://nematode.unl.edu/aptidb12.jpg")</f>
        <v>https://nematode.unl.edu/aptidb12.jpg</v>
      </c>
      <c r="D1050" t="s">
        <v>43</v>
      </c>
      <c r="G1050" t="s">
        <v>414</v>
      </c>
      <c r="I1050" t="s">
        <v>41</v>
      </c>
      <c r="J1050" t="s">
        <v>267</v>
      </c>
      <c r="M1050" t="s">
        <v>2856</v>
      </c>
      <c r="N1050" t="s">
        <v>2856</v>
      </c>
      <c r="O1050" t="s">
        <v>23</v>
      </c>
      <c r="P1050" t="s">
        <v>24</v>
      </c>
      <c r="Q1050" t="s">
        <v>102</v>
      </c>
      <c r="R1050" t="s">
        <v>2856</v>
      </c>
    </row>
    <row r="1051" spans="1:18" x14ac:dyDescent="0.25">
      <c r="A1051" t="s">
        <v>13098</v>
      </c>
      <c r="B1051" t="s">
        <v>2870</v>
      </c>
      <c r="C1051" t="str">
        <f>HYPERLINK("https://nematode.unl.edu/aptidb13.jpg")</f>
        <v>https://nematode.unl.edu/aptidb13.jpg</v>
      </c>
      <c r="D1051" t="s">
        <v>43</v>
      </c>
      <c r="G1051" t="s">
        <v>51</v>
      </c>
      <c r="I1051" t="s">
        <v>41</v>
      </c>
      <c r="J1051" t="s">
        <v>267</v>
      </c>
      <c r="M1051" t="s">
        <v>2856</v>
      </c>
      <c r="N1051" t="s">
        <v>2856</v>
      </c>
      <c r="O1051" t="s">
        <v>23</v>
      </c>
      <c r="P1051" t="s">
        <v>24</v>
      </c>
      <c r="Q1051" t="s">
        <v>102</v>
      </c>
      <c r="R1051" t="s">
        <v>2856</v>
      </c>
    </row>
    <row r="1052" spans="1:18" x14ac:dyDescent="0.25">
      <c r="A1052" t="s">
        <v>13082</v>
      </c>
      <c r="B1052" t="s">
        <v>2871</v>
      </c>
      <c r="C1052" t="str">
        <f>HYPERLINK("https://nematode.unl.edu/aptidb14.jpg")</f>
        <v>https://nematode.unl.edu/aptidb14.jpg</v>
      </c>
      <c r="D1052" t="s">
        <v>43</v>
      </c>
      <c r="G1052" t="s">
        <v>53</v>
      </c>
      <c r="I1052" t="s">
        <v>41</v>
      </c>
      <c r="J1052" t="s">
        <v>267</v>
      </c>
      <c r="M1052" t="s">
        <v>2856</v>
      </c>
      <c r="N1052" t="s">
        <v>2856</v>
      </c>
      <c r="O1052" t="s">
        <v>23</v>
      </c>
      <c r="P1052" t="s">
        <v>24</v>
      </c>
      <c r="Q1052" t="s">
        <v>102</v>
      </c>
      <c r="R1052" t="s">
        <v>2856</v>
      </c>
    </row>
    <row r="1053" spans="1:18" x14ac:dyDescent="0.25">
      <c r="A1053" t="s">
        <v>13072</v>
      </c>
      <c r="B1053" t="s">
        <v>2872</v>
      </c>
      <c r="C1053" t="str">
        <f>HYPERLINK("https://nematode.unl.edu/aptidb15.jpg")</f>
        <v>https://nematode.unl.edu/aptidb15.jpg</v>
      </c>
      <c r="D1053" t="s">
        <v>43</v>
      </c>
      <c r="G1053" t="s">
        <v>34</v>
      </c>
      <c r="H1053" t="s">
        <v>18</v>
      </c>
      <c r="I1053" t="s">
        <v>19</v>
      </c>
      <c r="J1053" t="s">
        <v>267</v>
      </c>
      <c r="M1053" t="s">
        <v>2856</v>
      </c>
      <c r="N1053" t="s">
        <v>2856</v>
      </c>
      <c r="O1053" t="s">
        <v>23</v>
      </c>
      <c r="P1053" t="s">
        <v>24</v>
      </c>
      <c r="Q1053" t="s">
        <v>102</v>
      </c>
      <c r="R1053" t="s">
        <v>2856</v>
      </c>
    </row>
    <row r="1054" spans="1:18" x14ac:dyDescent="0.25">
      <c r="A1054" t="s">
        <v>13099</v>
      </c>
      <c r="B1054" t="s">
        <v>2873</v>
      </c>
      <c r="C1054" t="str">
        <f>HYPERLINK("https://nematode.unl.edu/aptidb18.jpg")</f>
        <v>https://nematode.unl.edu/aptidb18.jpg</v>
      </c>
      <c r="D1054" t="s">
        <v>43</v>
      </c>
      <c r="G1054" t="s">
        <v>51</v>
      </c>
      <c r="I1054" t="s">
        <v>19</v>
      </c>
      <c r="J1054" t="s">
        <v>267</v>
      </c>
      <c r="M1054" t="s">
        <v>2856</v>
      </c>
      <c r="N1054" t="s">
        <v>2856</v>
      </c>
      <c r="O1054" t="s">
        <v>23</v>
      </c>
      <c r="P1054" t="s">
        <v>24</v>
      </c>
      <c r="Q1054" t="s">
        <v>102</v>
      </c>
      <c r="R1054" t="s">
        <v>2856</v>
      </c>
    </row>
    <row r="1055" spans="1:18" x14ac:dyDescent="0.25">
      <c r="A1055" t="s">
        <v>13092</v>
      </c>
      <c r="B1055" t="s">
        <v>2874</v>
      </c>
      <c r="C1055" t="str">
        <f>HYPERLINK("https://nematode.unl.edu/aptidb19.jpg")</f>
        <v>https://nematode.unl.edu/aptidb19.jpg</v>
      </c>
      <c r="D1055" t="s">
        <v>43</v>
      </c>
      <c r="G1055" t="s">
        <v>28</v>
      </c>
      <c r="I1055" t="s">
        <v>19</v>
      </c>
      <c r="J1055" t="s">
        <v>267</v>
      </c>
      <c r="M1055" t="s">
        <v>2856</v>
      </c>
      <c r="N1055" t="s">
        <v>2856</v>
      </c>
      <c r="O1055" t="s">
        <v>23</v>
      </c>
      <c r="P1055" t="s">
        <v>24</v>
      </c>
      <c r="Q1055" t="s">
        <v>102</v>
      </c>
      <c r="R1055" t="s">
        <v>2856</v>
      </c>
    </row>
    <row r="1056" spans="1:18" x14ac:dyDescent="0.25">
      <c r="A1056" t="s">
        <v>13100</v>
      </c>
      <c r="B1056" t="s">
        <v>2875</v>
      </c>
      <c r="C1056" t="str">
        <f>HYPERLINK("https://nematode.unl.edu/aptidb2.jpg")</f>
        <v>https://nematode.unl.edu/aptidb2.jpg</v>
      </c>
      <c r="D1056" t="s">
        <v>43</v>
      </c>
      <c r="G1056" t="s">
        <v>51</v>
      </c>
      <c r="I1056" t="s">
        <v>19</v>
      </c>
      <c r="J1056" t="s">
        <v>267</v>
      </c>
      <c r="M1056" t="s">
        <v>2856</v>
      </c>
      <c r="N1056" t="s">
        <v>2856</v>
      </c>
      <c r="O1056" t="s">
        <v>23</v>
      </c>
      <c r="P1056" t="s">
        <v>24</v>
      </c>
      <c r="Q1056" t="s">
        <v>102</v>
      </c>
      <c r="R1056" t="s">
        <v>2856</v>
      </c>
    </row>
    <row r="1057" spans="1:18" x14ac:dyDescent="0.25">
      <c r="A1057" t="s">
        <v>13073</v>
      </c>
      <c r="B1057" t="s">
        <v>2876</v>
      </c>
      <c r="C1057" t="str">
        <f>HYPERLINK("https://nematode.unl.edu/aptidb20.jpg")</f>
        <v>https://nematode.unl.edu/aptidb20.jpg</v>
      </c>
      <c r="D1057" t="s">
        <v>43</v>
      </c>
      <c r="G1057" t="s">
        <v>34</v>
      </c>
      <c r="H1057" t="s">
        <v>18</v>
      </c>
      <c r="I1057" t="s">
        <v>19</v>
      </c>
      <c r="J1057" t="s">
        <v>267</v>
      </c>
      <c r="M1057" t="s">
        <v>2856</v>
      </c>
      <c r="N1057" t="s">
        <v>2856</v>
      </c>
      <c r="O1057" t="s">
        <v>23</v>
      </c>
      <c r="P1057" t="s">
        <v>24</v>
      </c>
      <c r="Q1057" t="s">
        <v>102</v>
      </c>
      <c r="R1057" t="s">
        <v>2856</v>
      </c>
    </row>
    <row r="1058" spans="1:18" x14ac:dyDescent="0.25">
      <c r="A1058" t="s">
        <v>13101</v>
      </c>
      <c r="B1058" t="s">
        <v>2877</v>
      </c>
      <c r="C1058" t="str">
        <f>HYPERLINK("https://nematode.unl.edu/aptidb21.jpg")</f>
        <v>https://nematode.unl.edu/aptidb21.jpg</v>
      </c>
      <c r="D1058" t="s">
        <v>43</v>
      </c>
      <c r="G1058" t="s">
        <v>51</v>
      </c>
      <c r="I1058" t="s">
        <v>19</v>
      </c>
      <c r="J1058" t="s">
        <v>267</v>
      </c>
      <c r="M1058" t="s">
        <v>2856</v>
      </c>
      <c r="N1058" t="s">
        <v>2856</v>
      </c>
      <c r="O1058" t="s">
        <v>23</v>
      </c>
      <c r="P1058" t="s">
        <v>24</v>
      </c>
      <c r="Q1058" t="s">
        <v>102</v>
      </c>
      <c r="R1058" t="s">
        <v>2856</v>
      </c>
    </row>
    <row r="1059" spans="1:18" x14ac:dyDescent="0.25">
      <c r="A1059" t="s">
        <v>13067</v>
      </c>
      <c r="B1059" t="s">
        <v>2878</v>
      </c>
      <c r="C1059" t="str">
        <f>HYPERLINK("https://nematode.unl.edu/aptidb22.jpg")</f>
        <v>https://nematode.unl.edu/aptidb22.jpg</v>
      </c>
      <c r="D1059" t="s">
        <v>43</v>
      </c>
      <c r="G1059" t="s">
        <v>17</v>
      </c>
      <c r="H1059" t="s">
        <v>18</v>
      </c>
      <c r="I1059" t="s">
        <v>19</v>
      </c>
      <c r="J1059" t="s">
        <v>267</v>
      </c>
      <c r="M1059" t="s">
        <v>2856</v>
      </c>
      <c r="N1059" t="s">
        <v>2856</v>
      </c>
      <c r="O1059" t="s">
        <v>23</v>
      </c>
      <c r="P1059" t="s">
        <v>24</v>
      </c>
      <c r="Q1059" t="s">
        <v>102</v>
      </c>
      <c r="R1059" t="s">
        <v>2856</v>
      </c>
    </row>
    <row r="1060" spans="1:18" x14ac:dyDescent="0.25">
      <c r="A1060" t="s">
        <v>13079</v>
      </c>
      <c r="B1060" t="s">
        <v>2879</v>
      </c>
      <c r="C1060" t="str">
        <f>HYPERLINK("https://nematode.unl.edu/aptidb23.jpg")</f>
        <v>https://nematode.unl.edu/aptidb23.jpg</v>
      </c>
      <c r="D1060" t="s">
        <v>43</v>
      </c>
      <c r="G1060" t="s">
        <v>44</v>
      </c>
      <c r="I1060" t="s">
        <v>19</v>
      </c>
      <c r="J1060" t="s">
        <v>267</v>
      </c>
      <c r="M1060" t="s">
        <v>2856</v>
      </c>
      <c r="N1060" t="s">
        <v>2856</v>
      </c>
      <c r="O1060" t="s">
        <v>23</v>
      </c>
      <c r="P1060" t="s">
        <v>24</v>
      </c>
      <c r="Q1060" t="s">
        <v>102</v>
      </c>
      <c r="R1060" t="s">
        <v>2856</v>
      </c>
    </row>
    <row r="1061" spans="1:18" x14ac:dyDescent="0.25">
      <c r="A1061" t="s">
        <v>13074</v>
      </c>
      <c r="B1061" t="s">
        <v>2880</v>
      </c>
      <c r="C1061" t="str">
        <f>HYPERLINK("https://nematode.unl.edu/aptidb24.jpg")</f>
        <v>https://nematode.unl.edu/aptidb24.jpg</v>
      </c>
      <c r="D1061" t="s">
        <v>43</v>
      </c>
      <c r="G1061" t="s">
        <v>34</v>
      </c>
      <c r="H1061" t="s">
        <v>18</v>
      </c>
      <c r="I1061" t="s">
        <v>19</v>
      </c>
      <c r="J1061" t="s">
        <v>267</v>
      </c>
      <c r="M1061" t="s">
        <v>2856</v>
      </c>
      <c r="N1061" t="s">
        <v>2856</v>
      </c>
      <c r="O1061" t="s">
        <v>23</v>
      </c>
      <c r="P1061" t="s">
        <v>24</v>
      </c>
      <c r="Q1061" t="s">
        <v>102</v>
      </c>
      <c r="R1061" t="s">
        <v>2856</v>
      </c>
    </row>
    <row r="1062" spans="1:18" x14ac:dyDescent="0.25">
      <c r="A1062" t="s">
        <v>13102</v>
      </c>
      <c r="B1062" t="s">
        <v>2881</v>
      </c>
      <c r="C1062" t="str">
        <f>HYPERLINK("https://nematode.unl.edu/aptidb25.jpg")</f>
        <v>https://nematode.unl.edu/aptidb25.jpg</v>
      </c>
      <c r="D1062" t="s">
        <v>43</v>
      </c>
      <c r="G1062" t="s">
        <v>51</v>
      </c>
      <c r="I1062" t="s">
        <v>19</v>
      </c>
      <c r="J1062" t="s">
        <v>267</v>
      </c>
      <c r="M1062" t="s">
        <v>2856</v>
      </c>
      <c r="N1062" t="s">
        <v>2856</v>
      </c>
      <c r="O1062" t="s">
        <v>23</v>
      </c>
      <c r="P1062" t="s">
        <v>24</v>
      </c>
      <c r="Q1062" t="s">
        <v>102</v>
      </c>
      <c r="R1062" t="s">
        <v>2856</v>
      </c>
    </row>
    <row r="1063" spans="1:18" x14ac:dyDescent="0.25">
      <c r="A1063" t="s">
        <v>13093</v>
      </c>
      <c r="B1063" t="s">
        <v>2882</v>
      </c>
      <c r="C1063" t="str">
        <f>HYPERLINK("https://nematode.unl.edu/aptidb26.jpg")</f>
        <v>https://nematode.unl.edu/aptidb26.jpg</v>
      </c>
      <c r="D1063" t="s">
        <v>43</v>
      </c>
      <c r="G1063" t="s">
        <v>28</v>
      </c>
      <c r="I1063" t="s">
        <v>19</v>
      </c>
      <c r="J1063" t="s">
        <v>267</v>
      </c>
      <c r="M1063" t="s">
        <v>2856</v>
      </c>
      <c r="N1063" t="s">
        <v>2856</v>
      </c>
      <c r="O1063" t="s">
        <v>23</v>
      </c>
      <c r="P1063" t="s">
        <v>24</v>
      </c>
      <c r="Q1063" t="s">
        <v>102</v>
      </c>
      <c r="R1063" t="s">
        <v>2856</v>
      </c>
    </row>
    <row r="1064" spans="1:18" x14ac:dyDescent="0.25">
      <c r="A1064" t="s">
        <v>13075</v>
      </c>
      <c r="B1064" t="s">
        <v>2883</v>
      </c>
      <c r="C1064" t="str">
        <f>HYPERLINK("https://nematode.unl.edu/aptidb27.jpg")</f>
        <v>https://nematode.unl.edu/aptidb27.jpg</v>
      </c>
      <c r="D1064" t="s">
        <v>43</v>
      </c>
      <c r="G1064" t="s">
        <v>34</v>
      </c>
      <c r="H1064" t="s">
        <v>18</v>
      </c>
      <c r="I1064" t="s">
        <v>41</v>
      </c>
      <c r="J1064" t="s">
        <v>267</v>
      </c>
      <c r="M1064" t="s">
        <v>2856</v>
      </c>
      <c r="N1064" t="s">
        <v>2856</v>
      </c>
      <c r="O1064" t="s">
        <v>23</v>
      </c>
      <c r="P1064" t="s">
        <v>24</v>
      </c>
      <c r="Q1064" t="s">
        <v>102</v>
      </c>
      <c r="R1064" t="s">
        <v>2856</v>
      </c>
    </row>
    <row r="1065" spans="1:18" x14ac:dyDescent="0.25">
      <c r="A1065" t="s">
        <v>13087</v>
      </c>
      <c r="B1065" t="s">
        <v>2884</v>
      </c>
      <c r="C1065" t="str">
        <f>HYPERLINK("https://nematode.unl.edu/aptidb28.jpg")</f>
        <v>https://nematode.unl.edu/aptidb28.jpg</v>
      </c>
      <c r="D1065" t="s">
        <v>43</v>
      </c>
      <c r="G1065" t="s">
        <v>414</v>
      </c>
      <c r="I1065" t="s">
        <v>41</v>
      </c>
      <c r="J1065" t="s">
        <v>267</v>
      </c>
      <c r="M1065" t="s">
        <v>2856</v>
      </c>
      <c r="N1065" t="s">
        <v>2856</v>
      </c>
      <c r="O1065" t="s">
        <v>23</v>
      </c>
      <c r="P1065" t="s">
        <v>24</v>
      </c>
      <c r="Q1065" t="s">
        <v>102</v>
      </c>
      <c r="R1065" t="s">
        <v>2856</v>
      </c>
    </row>
    <row r="1066" spans="1:18" x14ac:dyDescent="0.25">
      <c r="A1066" t="s">
        <v>13103</v>
      </c>
      <c r="B1066" t="s">
        <v>2885</v>
      </c>
      <c r="C1066" t="str">
        <f>HYPERLINK("https://nematode.unl.edu/aptidb29.jpg")</f>
        <v>https://nematode.unl.edu/aptidb29.jpg</v>
      </c>
      <c r="D1066" t="s">
        <v>43</v>
      </c>
      <c r="G1066" t="s">
        <v>51</v>
      </c>
      <c r="I1066" t="s">
        <v>41</v>
      </c>
      <c r="J1066" t="s">
        <v>267</v>
      </c>
      <c r="M1066" t="s">
        <v>2856</v>
      </c>
      <c r="N1066" t="s">
        <v>2856</v>
      </c>
      <c r="O1066" t="s">
        <v>23</v>
      </c>
      <c r="P1066" t="s">
        <v>24</v>
      </c>
      <c r="Q1066" t="s">
        <v>102</v>
      </c>
      <c r="R1066" t="s">
        <v>2856</v>
      </c>
    </row>
    <row r="1067" spans="1:18" x14ac:dyDescent="0.25">
      <c r="A1067" t="s">
        <v>13083</v>
      </c>
      <c r="B1067" t="s">
        <v>2886</v>
      </c>
      <c r="C1067" t="str">
        <f>HYPERLINK("https://nematode.unl.edu/aptidb3.jpg")</f>
        <v>https://nematode.unl.edu/aptidb3.jpg</v>
      </c>
      <c r="D1067" t="s">
        <v>43</v>
      </c>
      <c r="G1067" t="s">
        <v>53</v>
      </c>
      <c r="I1067" t="s">
        <v>41</v>
      </c>
      <c r="J1067" t="s">
        <v>267</v>
      </c>
      <c r="M1067" t="s">
        <v>2856</v>
      </c>
      <c r="N1067" t="s">
        <v>2856</v>
      </c>
      <c r="O1067" t="s">
        <v>23</v>
      </c>
      <c r="P1067" t="s">
        <v>24</v>
      </c>
      <c r="Q1067" t="s">
        <v>102</v>
      </c>
      <c r="R1067" t="s">
        <v>2856</v>
      </c>
    </row>
    <row r="1068" spans="1:18" x14ac:dyDescent="0.25">
      <c r="A1068" t="s">
        <v>13084</v>
      </c>
      <c r="B1068" t="s">
        <v>2887</v>
      </c>
      <c r="C1068" t="str">
        <f>HYPERLINK("https://nematode.unl.edu/aptidb30.jpg")</f>
        <v>https://nematode.unl.edu/aptidb30.jpg</v>
      </c>
      <c r="D1068" t="s">
        <v>43</v>
      </c>
      <c r="G1068" t="s">
        <v>53</v>
      </c>
      <c r="I1068" t="s">
        <v>41</v>
      </c>
      <c r="J1068" t="s">
        <v>267</v>
      </c>
      <c r="M1068" t="s">
        <v>2856</v>
      </c>
      <c r="N1068" t="s">
        <v>2856</v>
      </c>
      <c r="O1068" t="s">
        <v>23</v>
      </c>
      <c r="P1068" t="s">
        <v>24</v>
      </c>
      <c r="Q1068" t="s">
        <v>102</v>
      </c>
      <c r="R1068" t="s">
        <v>2856</v>
      </c>
    </row>
    <row r="1069" spans="1:18" x14ac:dyDescent="0.25">
      <c r="A1069" t="s">
        <v>13076</v>
      </c>
      <c r="B1069" t="s">
        <v>2888</v>
      </c>
      <c r="C1069" t="str">
        <f>HYPERLINK("https://nematode.unl.edu/aptidb31.jpg")</f>
        <v>https://nematode.unl.edu/aptidb31.jpg</v>
      </c>
      <c r="D1069" t="s">
        <v>16</v>
      </c>
      <c r="G1069" t="s">
        <v>34</v>
      </c>
      <c r="H1069" t="s">
        <v>18</v>
      </c>
      <c r="I1069" t="s">
        <v>19</v>
      </c>
      <c r="J1069" t="s">
        <v>267</v>
      </c>
      <c r="M1069" t="s">
        <v>2856</v>
      </c>
      <c r="N1069" t="s">
        <v>2856</v>
      </c>
      <c r="O1069" t="s">
        <v>23</v>
      </c>
      <c r="P1069" t="s">
        <v>24</v>
      </c>
      <c r="Q1069" t="s">
        <v>102</v>
      </c>
      <c r="R1069" t="s">
        <v>2856</v>
      </c>
    </row>
    <row r="1070" spans="1:18" x14ac:dyDescent="0.25">
      <c r="A1070" t="s">
        <v>13094</v>
      </c>
      <c r="B1070" t="s">
        <v>2889</v>
      </c>
      <c r="C1070" t="str">
        <f>HYPERLINK("https://nematode.unl.edu/aptidb32.jpg")</f>
        <v>https://nematode.unl.edu/aptidb32.jpg</v>
      </c>
      <c r="D1070" t="s">
        <v>16</v>
      </c>
      <c r="G1070" t="s">
        <v>28</v>
      </c>
      <c r="I1070" t="s">
        <v>19</v>
      </c>
      <c r="J1070" t="s">
        <v>267</v>
      </c>
      <c r="M1070" t="s">
        <v>2856</v>
      </c>
      <c r="N1070" t="s">
        <v>2856</v>
      </c>
      <c r="O1070" t="s">
        <v>23</v>
      </c>
      <c r="P1070" t="s">
        <v>24</v>
      </c>
      <c r="Q1070" t="s">
        <v>102</v>
      </c>
      <c r="R1070" t="s">
        <v>2856</v>
      </c>
    </row>
    <row r="1071" spans="1:18" x14ac:dyDescent="0.25">
      <c r="A1071" t="s">
        <v>13065</v>
      </c>
      <c r="B1071" t="s">
        <v>2890</v>
      </c>
      <c r="C1071" t="str">
        <f>HYPERLINK("https://nematode.unl.edu/aptidb33.jpg")</f>
        <v>https://nematode.unl.edu/aptidb33.jpg</v>
      </c>
      <c r="D1071" t="s">
        <v>43</v>
      </c>
      <c r="G1071" t="s">
        <v>96</v>
      </c>
      <c r="H1071" t="s">
        <v>18</v>
      </c>
      <c r="I1071" t="s">
        <v>19</v>
      </c>
      <c r="J1071" t="s">
        <v>267</v>
      </c>
      <c r="M1071" t="s">
        <v>2856</v>
      </c>
      <c r="N1071" t="s">
        <v>2856</v>
      </c>
      <c r="O1071" t="s">
        <v>23</v>
      </c>
      <c r="P1071" t="s">
        <v>24</v>
      </c>
      <c r="Q1071" t="s">
        <v>102</v>
      </c>
      <c r="R1071" t="s">
        <v>2856</v>
      </c>
    </row>
    <row r="1072" spans="1:18" x14ac:dyDescent="0.25">
      <c r="A1072" t="s">
        <v>13104</v>
      </c>
      <c r="B1072" t="s">
        <v>2891</v>
      </c>
      <c r="C1072" t="str">
        <f>HYPERLINK("https://nematode.unl.edu/aptidb34.jpg")</f>
        <v>https://nematode.unl.edu/aptidb34.jpg</v>
      </c>
      <c r="D1072" t="s">
        <v>43</v>
      </c>
      <c r="G1072" t="s">
        <v>51</v>
      </c>
      <c r="I1072" t="s">
        <v>19</v>
      </c>
      <c r="J1072" t="s">
        <v>267</v>
      </c>
      <c r="M1072" t="s">
        <v>2856</v>
      </c>
      <c r="N1072" t="s">
        <v>2856</v>
      </c>
      <c r="O1072" t="s">
        <v>23</v>
      </c>
      <c r="P1072" t="s">
        <v>24</v>
      </c>
      <c r="Q1072" t="s">
        <v>102</v>
      </c>
      <c r="R1072" t="s">
        <v>2856</v>
      </c>
    </row>
    <row r="1073" spans="1:18" x14ac:dyDescent="0.25">
      <c r="A1073" t="s">
        <v>13095</v>
      </c>
      <c r="B1073" t="s">
        <v>2892</v>
      </c>
      <c r="C1073" t="str">
        <f>HYPERLINK("https://nematode.unl.edu/aptidb35.jpg")</f>
        <v>https://nematode.unl.edu/aptidb35.jpg</v>
      </c>
      <c r="D1073" t="s">
        <v>43</v>
      </c>
      <c r="G1073" t="s">
        <v>28</v>
      </c>
      <c r="I1073" t="s">
        <v>19</v>
      </c>
      <c r="J1073" t="s">
        <v>267</v>
      </c>
      <c r="M1073" t="s">
        <v>2856</v>
      </c>
      <c r="N1073" t="s">
        <v>2856</v>
      </c>
      <c r="O1073" t="s">
        <v>23</v>
      </c>
      <c r="P1073" t="s">
        <v>24</v>
      </c>
      <c r="Q1073" t="s">
        <v>102</v>
      </c>
      <c r="R1073" t="s">
        <v>2856</v>
      </c>
    </row>
    <row r="1074" spans="1:18" x14ac:dyDescent="0.25">
      <c r="A1074" t="s">
        <v>13096</v>
      </c>
      <c r="B1074" t="s">
        <v>2893</v>
      </c>
      <c r="C1074" t="str">
        <f>HYPERLINK("https://nematode.unl.edu/aptidb4.jpg")</f>
        <v>https://nematode.unl.edu/aptidb4.jpg</v>
      </c>
      <c r="D1074" t="s">
        <v>43</v>
      </c>
      <c r="G1074" t="s">
        <v>28</v>
      </c>
      <c r="I1074" t="s">
        <v>19</v>
      </c>
      <c r="J1074" t="s">
        <v>267</v>
      </c>
      <c r="M1074" t="s">
        <v>2856</v>
      </c>
      <c r="N1074" t="s">
        <v>2856</v>
      </c>
      <c r="O1074" t="s">
        <v>23</v>
      </c>
      <c r="P1074" t="s">
        <v>24</v>
      </c>
      <c r="Q1074" t="s">
        <v>102</v>
      </c>
      <c r="R1074" t="s">
        <v>2856</v>
      </c>
    </row>
    <row r="1075" spans="1:18" x14ac:dyDescent="0.25">
      <c r="A1075" t="s">
        <v>13080</v>
      </c>
      <c r="B1075" t="s">
        <v>2894</v>
      </c>
      <c r="C1075" t="str">
        <f>HYPERLINK("https://nematode.unl.edu/aptidb5.jpg")</f>
        <v>https://nematode.unl.edu/aptidb5.jpg</v>
      </c>
      <c r="D1075" t="s">
        <v>43</v>
      </c>
      <c r="G1075" t="s">
        <v>44</v>
      </c>
      <c r="I1075" t="s">
        <v>45</v>
      </c>
      <c r="J1075" t="s">
        <v>267</v>
      </c>
      <c r="M1075" t="s">
        <v>2856</v>
      </c>
      <c r="N1075" t="s">
        <v>2856</v>
      </c>
      <c r="O1075" t="s">
        <v>23</v>
      </c>
      <c r="P1075" t="s">
        <v>24</v>
      </c>
      <c r="Q1075" t="s">
        <v>102</v>
      </c>
      <c r="R1075" t="s">
        <v>2856</v>
      </c>
    </row>
    <row r="1076" spans="1:18" x14ac:dyDescent="0.25">
      <c r="A1076" t="s">
        <v>13077</v>
      </c>
      <c r="B1076" t="s">
        <v>2895</v>
      </c>
      <c r="C1076" t="str">
        <f>HYPERLINK("https://nematode.unl.edu/aptidb6.jpg")</f>
        <v>https://nematode.unl.edu/aptidb6.jpg</v>
      </c>
      <c r="D1076" t="s">
        <v>43</v>
      </c>
      <c r="G1076" t="s">
        <v>34</v>
      </c>
      <c r="H1076" t="s">
        <v>18</v>
      </c>
      <c r="I1076" t="s">
        <v>19</v>
      </c>
      <c r="J1076" t="s">
        <v>267</v>
      </c>
      <c r="M1076" t="s">
        <v>2856</v>
      </c>
      <c r="N1076" t="s">
        <v>2856</v>
      </c>
      <c r="O1076" t="s">
        <v>23</v>
      </c>
      <c r="P1076" t="s">
        <v>24</v>
      </c>
      <c r="Q1076" t="s">
        <v>102</v>
      </c>
      <c r="R1076" t="s">
        <v>2856</v>
      </c>
    </row>
    <row r="1077" spans="1:18" x14ac:dyDescent="0.25">
      <c r="A1077" t="s">
        <v>13105</v>
      </c>
      <c r="B1077" t="s">
        <v>2896</v>
      </c>
      <c r="C1077" t="str">
        <f>HYPERLINK("https://nematode.unl.edu/aptidb7.jpg")</f>
        <v>https://nematode.unl.edu/aptidb7.jpg</v>
      </c>
      <c r="D1077" t="s">
        <v>43</v>
      </c>
      <c r="G1077" t="s">
        <v>51</v>
      </c>
      <c r="I1077" t="s">
        <v>19</v>
      </c>
      <c r="J1077" t="s">
        <v>267</v>
      </c>
      <c r="M1077" t="s">
        <v>2856</v>
      </c>
      <c r="N1077" t="s">
        <v>2856</v>
      </c>
      <c r="O1077" t="s">
        <v>23</v>
      </c>
      <c r="P1077" t="s">
        <v>24</v>
      </c>
      <c r="Q1077" t="s">
        <v>102</v>
      </c>
      <c r="R1077" t="s">
        <v>2856</v>
      </c>
    </row>
    <row r="1078" spans="1:18" x14ac:dyDescent="0.25">
      <c r="A1078" t="s">
        <v>13066</v>
      </c>
      <c r="B1078" t="s">
        <v>2897</v>
      </c>
      <c r="C1078" t="str">
        <f>HYPERLINK("https://nematode.unl.edu/aptidb8.jpg")</f>
        <v>https://nematode.unl.edu/aptidb8.jpg</v>
      </c>
      <c r="D1078" t="s">
        <v>43</v>
      </c>
      <c r="G1078" t="s">
        <v>96</v>
      </c>
      <c r="H1078" t="s">
        <v>18</v>
      </c>
      <c r="I1078" t="s">
        <v>19</v>
      </c>
      <c r="J1078" t="s">
        <v>267</v>
      </c>
      <c r="M1078" t="s">
        <v>2856</v>
      </c>
      <c r="N1078" t="s">
        <v>2856</v>
      </c>
      <c r="O1078" t="s">
        <v>23</v>
      </c>
      <c r="P1078" t="s">
        <v>24</v>
      </c>
      <c r="Q1078" t="s">
        <v>102</v>
      </c>
      <c r="R1078" t="s">
        <v>2856</v>
      </c>
    </row>
    <row r="1079" spans="1:18" x14ac:dyDescent="0.25">
      <c r="A1079" t="s">
        <v>20688</v>
      </c>
      <c r="B1079" t="s">
        <v>336</v>
      </c>
      <c r="C1079" t="str">
        <f>HYPERLINK("https://nematode.unl.edu/aquac1.jpg")</f>
        <v>https://nematode.unl.edu/aquac1.jpg</v>
      </c>
      <c r="D1079" t="s">
        <v>16</v>
      </c>
      <c r="G1079" t="s">
        <v>34</v>
      </c>
      <c r="H1079" t="s">
        <v>18</v>
      </c>
      <c r="I1079" t="s">
        <v>45</v>
      </c>
      <c r="J1079" t="s">
        <v>20</v>
      </c>
      <c r="M1079" t="s">
        <v>337</v>
      </c>
      <c r="N1079" t="s">
        <v>338</v>
      </c>
      <c r="O1079" t="s">
        <v>73</v>
      </c>
      <c r="P1079" t="s">
        <v>81</v>
      </c>
      <c r="Q1079" t="s">
        <v>339</v>
      </c>
      <c r="R1079" t="s">
        <v>340</v>
      </c>
    </row>
    <row r="1080" spans="1:18" x14ac:dyDescent="0.25">
      <c r="A1080" t="s">
        <v>20704</v>
      </c>
      <c r="B1080" t="s">
        <v>341</v>
      </c>
      <c r="C1080" t="str">
        <f>HYPERLINK("https://nematode.unl.edu/aquac10.jpg")</f>
        <v>https://nematode.unl.edu/aquac10.jpg</v>
      </c>
      <c r="D1080" t="s">
        <v>16</v>
      </c>
      <c r="G1080" t="s">
        <v>28</v>
      </c>
      <c r="I1080" t="s">
        <v>19</v>
      </c>
      <c r="J1080" t="s">
        <v>20</v>
      </c>
      <c r="M1080" t="s">
        <v>337</v>
      </c>
      <c r="N1080" t="s">
        <v>338</v>
      </c>
      <c r="O1080" t="s">
        <v>73</v>
      </c>
      <c r="P1080" t="s">
        <v>81</v>
      </c>
      <c r="Q1080" t="s">
        <v>339</v>
      </c>
      <c r="R1080" t="s">
        <v>340</v>
      </c>
    </row>
    <row r="1081" spans="1:18" x14ac:dyDescent="0.25">
      <c r="A1081" t="s">
        <v>20699</v>
      </c>
      <c r="B1081" t="s">
        <v>342</v>
      </c>
      <c r="C1081" t="str">
        <f>HYPERLINK("https://nematode.unl.edu/aquac11.jpg")</f>
        <v>https://nematode.unl.edu/aquac11.jpg</v>
      </c>
      <c r="D1081" t="s">
        <v>77</v>
      </c>
      <c r="G1081" t="s">
        <v>44</v>
      </c>
      <c r="I1081" t="s">
        <v>91</v>
      </c>
      <c r="J1081" t="s">
        <v>20</v>
      </c>
      <c r="L1081" t="s">
        <v>35</v>
      </c>
      <c r="M1081" t="s">
        <v>337</v>
      </c>
      <c r="N1081" t="s">
        <v>338</v>
      </c>
      <c r="O1081" t="s">
        <v>73</v>
      </c>
      <c r="P1081" t="s">
        <v>81</v>
      </c>
      <c r="Q1081" t="s">
        <v>339</v>
      </c>
      <c r="R1081" t="s">
        <v>340</v>
      </c>
    </row>
    <row r="1082" spans="1:18" x14ac:dyDescent="0.25">
      <c r="A1082" t="s">
        <v>20695</v>
      </c>
      <c r="B1082" t="s">
        <v>343</v>
      </c>
      <c r="C1082" t="str">
        <f>HYPERLINK("https://nematode.unl.edu/aquac12.jpg")</f>
        <v>https://nematode.unl.edu/aquac12.jpg</v>
      </c>
      <c r="D1082" t="s">
        <v>77</v>
      </c>
      <c r="G1082" t="s">
        <v>87</v>
      </c>
      <c r="I1082" t="s">
        <v>19</v>
      </c>
      <c r="J1082" t="s">
        <v>20</v>
      </c>
      <c r="L1082" t="s">
        <v>35</v>
      </c>
      <c r="M1082" t="s">
        <v>337</v>
      </c>
      <c r="N1082" t="s">
        <v>338</v>
      </c>
      <c r="O1082" t="s">
        <v>73</v>
      </c>
      <c r="P1082" t="s">
        <v>81</v>
      </c>
      <c r="Q1082" t="s">
        <v>339</v>
      </c>
      <c r="R1082" t="s">
        <v>340</v>
      </c>
    </row>
    <row r="1083" spans="1:18" x14ac:dyDescent="0.25">
      <c r="A1083" t="s">
        <v>20689</v>
      </c>
      <c r="B1083" t="s">
        <v>344</v>
      </c>
      <c r="C1083" t="str">
        <f>HYPERLINK("https://nematode.unl.edu/aquac13.jpg")</f>
        <v>https://nematode.unl.edu/aquac13.jpg</v>
      </c>
      <c r="D1083" t="s">
        <v>77</v>
      </c>
      <c r="G1083" t="s">
        <v>34</v>
      </c>
      <c r="H1083" t="s">
        <v>18</v>
      </c>
      <c r="I1083" t="s">
        <v>19</v>
      </c>
      <c r="J1083" t="s">
        <v>20</v>
      </c>
      <c r="L1083" t="s">
        <v>183</v>
      </c>
      <c r="M1083" t="s">
        <v>337</v>
      </c>
      <c r="N1083" t="s">
        <v>338</v>
      </c>
      <c r="O1083" t="s">
        <v>73</v>
      </c>
      <c r="P1083" t="s">
        <v>81</v>
      </c>
      <c r="Q1083" t="s">
        <v>339</v>
      </c>
      <c r="R1083" t="s">
        <v>340</v>
      </c>
    </row>
    <row r="1084" spans="1:18" x14ac:dyDescent="0.25">
      <c r="A1084" t="s">
        <v>20702</v>
      </c>
      <c r="B1084" t="s">
        <v>345</v>
      </c>
      <c r="C1084" t="str">
        <f>HYPERLINK("https://nematode.unl.edu/aquac14.jpg")</f>
        <v>https://nematode.unl.edu/aquac14.jpg</v>
      </c>
      <c r="D1084" t="s">
        <v>77</v>
      </c>
      <c r="G1084" t="s">
        <v>346</v>
      </c>
      <c r="I1084" t="s">
        <v>19</v>
      </c>
      <c r="J1084" t="s">
        <v>20</v>
      </c>
      <c r="M1084" t="s">
        <v>337</v>
      </c>
      <c r="N1084" t="s">
        <v>338</v>
      </c>
      <c r="O1084" t="s">
        <v>73</v>
      </c>
      <c r="P1084" t="s">
        <v>81</v>
      </c>
      <c r="Q1084" t="s">
        <v>339</v>
      </c>
      <c r="R1084" t="s">
        <v>340</v>
      </c>
    </row>
    <row r="1085" spans="1:18" x14ac:dyDescent="0.25">
      <c r="A1085" t="s">
        <v>20705</v>
      </c>
      <c r="B1085" t="s">
        <v>347</v>
      </c>
      <c r="C1085" t="str">
        <f>HYPERLINK("https://nematode.unl.edu/aquac15.jpg")</f>
        <v>https://nematode.unl.edu/aquac15.jpg</v>
      </c>
      <c r="D1085" t="s">
        <v>77</v>
      </c>
      <c r="G1085" t="s">
        <v>28</v>
      </c>
      <c r="I1085" t="s">
        <v>137</v>
      </c>
      <c r="J1085" t="s">
        <v>20</v>
      </c>
      <c r="M1085" t="s">
        <v>337</v>
      </c>
      <c r="N1085" t="s">
        <v>338</v>
      </c>
      <c r="O1085" t="s">
        <v>73</v>
      </c>
      <c r="P1085" t="s">
        <v>81</v>
      </c>
      <c r="Q1085" t="s">
        <v>339</v>
      </c>
      <c r="R1085" t="s">
        <v>340</v>
      </c>
    </row>
    <row r="1086" spans="1:18" x14ac:dyDescent="0.25">
      <c r="A1086" t="s">
        <v>20687</v>
      </c>
      <c r="B1086" t="s">
        <v>348</v>
      </c>
      <c r="C1086" t="str">
        <f>HYPERLINK("https://nematode.unl.edu/aquac16.jpg")</f>
        <v>https://nematode.unl.edu/aquac16.jpg</v>
      </c>
      <c r="D1086" t="s">
        <v>43</v>
      </c>
      <c r="G1086" t="s">
        <v>96</v>
      </c>
      <c r="H1086" t="s">
        <v>18</v>
      </c>
      <c r="I1086" t="s">
        <v>45</v>
      </c>
      <c r="J1086" t="s">
        <v>20</v>
      </c>
      <c r="L1086" t="s">
        <v>141</v>
      </c>
      <c r="M1086" t="s">
        <v>337</v>
      </c>
      <c r="N1086" t="s">
        <v>338</v>
      </c>
      <c r="O1086" t="s">
        <v>73</v>
      </c>
      <c r="P1086" t="s">
        <v>81</v>
      </c>
      <c r="Q1086" t="s">
        <v>339</v>
      </c>
      <c r="R1086" t="s">
        <v>340</v>
      </c>
    </row>
    <row r="1087" spans="1:18" x14ac:dyDescent="0.25">
      <c r="A1087" t="s">
        <v>20690</v>
      </c>
      <c r="B1087" t="s">
        <v>349</v>
      </c>
      <c r="C1087" t="str">
        <f>HYPERLINK("https://nematode.unl.edu/aquac17.jpg")</f>
        <v>https://nematode.unl.edu/aquac17.jpg</v>
      </c>
      <c r="D1087" t="s">
        <v>43</v>
      </c>
      <c r="G1087" t="s">
        <v>34</v>
      </c>
      <c r="H1087" t="s">
        <v>18</v>
      </c>
      <c r="I1087" t="s">
        <v>19</v>
      </c>
      <c r="J1087" t="s">
        <v>20</v>
      </c>
      <c r="L1087" t="s">
        <v>193</v>
      </c>
      <c r="M1087" t="s">
        <v>337</v>
      </c>
      <c r="N1087" t="s">
        <v>338</v>
      </c>
      <c r="O1087" t="s">
        <v>73</v>
      </c>
      <c r="P1087" t="s">
        <v>81</v>
      </c>
      <c r="Q1087" t="s">
        <v>339</v>
      </c>
      <c r="R1087" t="s">
        <v>340</v>
      </c>
    </row>
    <row r="1088" spans="1:18" x14ac:dyDescent="0.25">
      <c r="A1088" t="s">
        <v>20706</v>
      </c>
      <c r="B1088" t="s">
        <v>350</v>
      </c>
      <c r="C1088" t="str">
        <f>HYPERLINK("https://nematode.unl.edu/aquac18.jpg")</f>
        <v>https://nematode.unl.edu/aquac18.jpg</v>
      </c>
      <c r="D1088" t="s">
        <v>43</v>
      </c>
      <c r="G1088" t="s">
        <v>28</v>
      </c>
      <c r="I1088" t="s">
        <v>19</v>
      </c>
      <c r="J1088" t="s">
        <v>20</v>
      </c>
      <c r="L1088" t="s">
        <v>138</v>
      </c>
      <c r="M1088" t="s">
        <v>337</v>
      </c>
      <c r="N1088" t="s">
        <v>338</v>
      </c>
      <c r="O1088" t="s">
        <v>73</v>
      </c>
      <c r="P1088" t="s">
        <v>81</v>
      </c>
      <c r="Q1088" t="s">
        <v>339</v>
      </c>
      <c r="R1088" t="s">
        <v>340</v>
      </c>
    </row>
    <row r="1089" spans="1:18" x14ac:dyDescent="0.25">
      <c r="A1089" t="s">
        <v>20700</v>
      </c>
      <c r="B1089" t="s">
        <v>351</v>
      </c>
      <c r="C1089" t="str">
        <f>HYPERLINK("https://nematode.unl.edu/aquac19.jpg")</f>
        <v>https://nematode.unl.edu/aquac19.jpg</v>
      </c>
      <c r="D1089" t="s">
        <v>43</v>
      </c>
      <c r="G1089" t="s">
        <v>44</v>
      </c>
      <c r="I1089" t="s">
        <v>45</v>
      </c>
      <c r="J1089" t="s">
        <v>20</v>
      </c>
      <c r="L1089" t="s">
        <v>352</v>
      </c>
      <c r="M1089" t="s">
        <v>337</v>
      </c>
      <c r="N1089" t="s">
        <v>338</v>
      </c>
      <c r="O1089" t="s">
        <v>73</v>
      </c>
      <c r="P1089" t="s">
        <v>81</v>
      </c>
      <c r="Q1089" t="s">
        <v>339</v>
      </c>
      <c r="R1089" t="s">
        <v>340</v>
      </c>
    </row>
    <row r="1090" spans="1:18" x14ac:dyDescent="0.25">
      <c r="A1090" t="s">
        <v>20707</v>
      </c>
      <c r="B1090" t="s">
        <v>353</v>
      </c>
      <c r="C1090" t="str">
        <f>HYPERLINK("https://nematode.unl.edu/aquac2.jpg")</f>
        <v>https://nematode.unl.edu/aquac2.jpg</v>
      </c>
      <c r="D1090" t="s">
        <v>16</v>
      </c>
      <c r="G1090" t="s">
        <v>28</v>
      </c>
      <c r="I1090" t="s">
        <v>19</v>
      </c>
      <c r="J1090" t="s">
        <v>20</v>
      </c>
      <c r="L1090" t="s">
        <v>85</v>
      </c>
      <c r="M1090" t="s">
        <v>337</v>
      </c>
      <c r="N1090" t="s">
        <v>338</v>
      </c>
      <c r="O1090" t="s">
        <v>73</v>
      </c>
      <c r="P1090" t="s">
        <v>81</v>
      </c>
      <c r="Q1090" t="s">
        <v>339</v>
      </c>
      <c r="R1090" t="s">
        <v>340</v>
      </c>
    </row>
    <row r="1091" spans="1:18" x14ac:dyDescent="0.25">
      <c r="A1091" t="s">
        <v>20709</v>
      </c>
      <c r="B1091" t="s">
        <v>354</v>
      </c>
      <c r="C1091" t="str">
        <f>HYPERLINK("https://nematode.unl.edu/aquac20.jpg")</f>
        <v>https://nematode.unl.edu/aquac20.jpg</v>
      </c>
      <c r="D1091" t="s">
        <v>43</v>
      </c>
      <c r="G1091" t="s">
        <v>51</v>
      </c>
      <c r="I1091" t="s">
        <v>19</v>
      </c>
      <c r="J1091" t="s">
        <v>20</v>
      </c>
      <c r="L1091" t="s">
        <v>85</v>
      </c>
      <c r="M1091" t="s">
        <v>337</v>
      </c>
      <c r="N1091" t="s">
        <v>338</v>
      </c>
      <c r="O1091" t="s">
        <v>73</v>
      </c>
      <c r="P1091" t="s">
        <v>81</v>
      </c>
      <c r="Q1091" t="s">
        <v>339</v>
      </c>
      <c r="R1091" t="s">
        <v>340</v>
      </c>
    </row>
    <row r="1092" spans="1:18" x14ac:dyDescent="0.25">
      <c r="A1092" t="s">
        <v>20696</v>
      </c>
      <c r="B1092" t="s">
        <v>355</v>
      </c>
      <c r="C1092" t="str">
        <f>HYPERLINK("https://nematode.unl.edu/aquac21.jpg")</f>
        <v>https://nematode.unl.edu/aquac21.jpg</v>
      </c>
      <c r="D1092" t="s">
        <v>43</v>
      </c>
      <c r="G1092" t="s">
        <v>87</v>
      </c>
      <c r="I1092" t="s">
        <v>19</v>
      </c>
      <c r="J1092" t="s">
        <v>20</v>
      </c>
      <c r="M1092" t="s">
        <v>337</v>
      </c>
      <c r="N1092" t="s">
        <v>338</v>
      </c>
      <c r="O1092" t="s">
        <v>73</v>
      </c>
      <c r="P1092" t="s">
        <v>81</v>
      </c>
      <c r="Q1092" t="s">
        <v>339</v>
      </c>
      <c r="R1092" t="s">
        <v>340</v>
      </c>
    </row>
    <row r="1093" spans="1:18" x14ac:dyDescent="0.25">
      <c r="A1093" t="s">
        <v>20691</v>
      </c>
      <c r="B1093" t="s">
        <v>356</v>
      </c>
      <c r="C1093" t="str">
        <f>HYPERLINK("https://nematode.unl.edu/aquac22.jpg")</f>
        <v>https://nematode.unl.edu/aquac22.jpg</v>
      </c>
      <c r="D1093" t="s">
        <v>43</v>
      </c>
      <c r="G1093" t="s">
        <v>34</v>
      </c>
      <c r="H1093" t="s">
        <v>18</v>
      </c>
      <c r="I1093" t="s">
        <v>19</v>
      </c>
      <c r="J1093" t="s">
        <v>20</v>
      </c>
      <c r="L1093" t="s">
        <v>85</v>
      </c>
      <c r="M1093" t="s">
        <v>337</v>
      </c>
      <c r="N1093" t="s">
        <v>338</v>
      </c>
      <c r="O1093" t="s">
        <v>73</v>
      </c>
      <c r="P1093" t="s">
        <v>81</v>
      </c>
      <c r="Q1093" t="s">
        <v>339</v>
      </c>
      <c r="R1093" t="s">
        <v>340</v>
      </c>
    </row>
    <row r="1094" spans="1:18" x14ac:dyDescent="0.25">
      <c r="A1094" t="s">
        <v>20692</v>
      </c>
      <c r="B1094" t="s">
        <v>357</v>
      </c>
      <c r="C1094" t="str">
        <f>HYPERLINK("https://nematode.unl.edu/aquac3.jpg")</f>
        <v>https://nematode.unl.edu/aquac3.jpg</v>
      </c>
      <c r="D1094" t="s">
        <v>16</v>
      </c>
      <c r="G1094" t="s">
        <v>34</v>
      </c>
      <c r="H1094" t="s">
        <v>18</v>
      </c>
      <c r="I1094" t="s">
        <v>19</v>
      </c>
      <c r="J1094" t="s">
        <v>20</v>
      </c>
      <c r="L1094" t="s">
        <v>35</v>
      </c>
      <c r="M1094" t="s">
        <v>337</v>
      </c>
      <c r="N1094" t="s">
        <v>338</v>
      </c>
      <c r="O1094" t="s">
        <v>73</v>
      </c>
      <c r="P1094" t="s">
        <v>81</v>
      </c>
      <c r="Q1094" t="s">
        <v>339</v>
      </c>
      <c r="R1094" t="s">
        <v>340</v>
      </c>
    </row>
    <row r="1095" spans="1:18" x14ac:dyDescent="0.25">
      <c r="A1095" t="s">
        <v>20701</v>
      </c>
      <c r="B1095" t="s">
        <v>358</v>
      </c>
      <c r="C1095" t="str">
        <f>HYPERLINK("https://nematode.unl.edu/aquac4.jpg")</f>
        <v>https://nematode.unl.edu/aquac4.jpg</v>
      </c>
      <c r="D1095" t="s">
        <v>16</v>
      </c>
      <c r="G1095" t="s">
        <v>44</v>
      </c>
      <c r="I1095" t="s">
        <v>45</v>
      </c>
      <c r="J1095" t="s">
        <v>20</v>
      </c>
      <c r="L1095" t="s">
        <v>35</v>
      </c>
      <c r="M1095" t="s">
        <v>337</v>
      </c>
      <c r="N1095" t="s">
        <v>338</v>
      </c>
      <c r="O1095" t="s">
        <v>73</v>
      </c>
      <c r="P1095" t="s">
        <v>81</v>
      </c>
      <c r="Q1095" t="s">
        <v>339</v>
      </c>
      <c r="R1095" t="s">
        <v>340</v>
      </c>
    </row>
    <row r="1096" spans="1:18" x14ac:dyDescent="0.25">
      <c r="A1096" t="s">
        <v>20708</v>
      </c>
      <c r="B1096" t="s">
        <v>359</v>
      </c>
      <c r="C1096" t="str">
        <f>HYPERLINK("https://nematode.unl.edu/aquac5.jpg")</f>
        <v>https://nematode.unl.edu/aquac5.jpg</v>
      </c>
      <c r="D1096" t="s">
        <v>16</v>
      </c>
      <c r="G1096" t="s">
        <v>28</v>
      </c>
      <c r="I1096" t="s">
        <v>19</v>
      </c>
      <c r="J1096" t="s">
        <v>20</v>
      </c>
      <c r="M1096" t="s">
        <v>337</v>
      </c>
      <c r="N1096" t="s">
        <v>338</v>
      </c>
      <c r="O1096" t="s">
        <v>73</v>
      </c>
      <c r="P1096" t="s">
        <v>81</v>
      </c>
      <c r="Q1096" t="s">
        <v>339</v>
      </c>
      <c r="R1096" t="s">
        <v>340</v>
      </c>
    </row>
    <row r="1097" spans="1:18" x14ac:dyDescent="0.25">
      <c r="A1097" t="s">
        <v>20697</v>
      </c>
      <c r="B1097" t="s">
        <v>360</v>
      </c>
      <c r="C1097" t="str">
        <f>HYPERLINK("https://nematode.unl.edu/aquac6.jpg")</f>
        <v>https://nematode.unl.edu/aquac6.jpg</v>
      </c>
      <c r="D1097" t="s">
        <v>16</v>
      </c>
      <c r="G1097" t="s">
        <v>87</v>
      </c>
      <c r="I1097" t="s">
        <v>19</v>
      </c>
      <c r="J1097" t="s">
        <v>20</v>
      </c>
      <c r="M1097" t="s">
        <v>337</v>
      </c>
      <c r="N1097" t="s">
        <v>338</v>
      </c>
      <c r="O1097" t="s">
        <v>73</v>
      </c>
      <c r="P1097" t="s">
        <v>81</v>
      </c>
      <c r="Q1097" t="s">
        <v>339</v>
      </c>
      <c r="R1097" t="s">
        <v>340</v>
      </c>
    </row>
    <row r="1098" spans="1:18" x14ac:dyDescent="0.25">
      <c r="A1098" t="s">
        <v>20693</v>
      </c>
      <c r="B1098" t="s">
        <v>361</v>
      </c>
      <c r="C1098" t="str">
        <f>HYPERLINK("https://nematode.unl.edu/aquac7.jpg")</f>
        <v>https://nematode.unl.edu/aquac7.jpg</v>
      </c>
      <c r="D1098" t="s">
        <v>16</v>
      </c>
      <c r="G1098" t="s">
        <v>34</v>
      </c>
      <c r="H1098" t="s">
        <v>18</v>
      </c>
      <c r="I1098" t="s">
        <v>19</v>
      </c>
      <c r="J1098" t="s">
        <v>20</v>
      </c>
      <c r="M1098" t="s">
        <v>337</v>
      </c>
      <c r="N1098" t="s">
        <v>338</v>
      </c>
      <c r="O1098" t="s">
        <v>73</v>
      </c>
      <c r="P1098" t="s">
        <v>81</v>
      </c>
      <c r="Q1098" t="s">
        <v>339</v>
      </c>
      <c r="R1098" t="s">
        <v>340</v>
      </c>
    </row>
    <row r="1099" spans="1:18" x14ac:dyDescent="0.25">
      <c r="A1099" t="s">
        <v>20694</v>
      </c>
      <c r="B1099" t="s">
        <v>362</v>
      </c>
      <c r="C1099" t="str">
        <f>HYPERLINK("https://nematode.unl.edu/aquac8.jpg")</f>
        <v>https://nematode.unl.edu/aquac8.jpg</v>
      </c>
      <c r="D1099" t="s">
        <v>16</v>
      </c>
      <c r="G1099" t="s">
        <v>34</v>
      </c>
      <c r="H1099" t="s">
        <v>18</v>
      </c>
      <c r="I1099" t="s">
        <v>19</v>
      </c>
      <c r="J1099" t="s">
        <v>20</v>
      </c>
      <c r="M1099" t="s">
        <v>337</v>
      </c>
      <c r="N1099" t="s">
        <v>338</v>
      </c>
      <c r="O1099" t="s">
        <v>73</v>
      </c>
      <c r="P1099" t="s">
        <v>81</v>
      </c>
      <c r="Q1099" t="s">
        <v>339</v>
      </c>
      <c r="R1099" t="s">
        <v>340</v>
      </c>
    </row>
    <row r="1100" spans="1:18" x14ac:dyDescent="0.25">
      <c r="A1100" t="s">
        <v>20698</v>
      </c>
      <c r="B1100" t="s">
        <v>363</v>
      </c>
      <c r="C1100" t="str">
        <f>HYPERLINK("https://nematode.unl.edu/aquac9.jpg")</f>
        <v>https://nematode.unl.edu/aquac9.jpg</v>
      </c>
      <c r="D1100" t="s">
        <v>16</v>
      </c>
      <c r="G1100" t="s">
        <v>87</v>
      </c>
      <c r="I1100" t="s">
        <v>19</v>
      </c>
      <c r="J1100" t="s">
        <v>20</v>
      </c>
      <c r="M1100" t="s">
        <v>337</v>
      </c>
      <c r="N1100" t="s">
        <v>338</v>
      </c>
      <c r="O1100" t="s">
        <v>73</v>
      </c>
      <c r="P1100" t="s">
        <v>81</v>
      </c>
      <c r="Q1100" t="s">
        <v>339</v>
      </c>
      <c r="R1100" t="s">
        <v>340</v>
      </c>
    </row>
    <row r="1101" spans="1:18" x14ac:dyDescent="0.25">
      <c r="A1101" t="s">
        <v>20703</v>
      </c>
      <c r="B1101" t="s">
        <v>364</v>
      </c>
      <c r="C1101" t="str">
        <f>HYPERLINK("https://nematode.unl.edu/aquaccmp.jpg")</f>
        <v>https://nematode.unl.edu/aquaccmp.jpg</v>
      </c>
      <c r="D1101" t="s">
        <v>77</v>
      </c>
      <c r="G1101" t="s">
        <v>108</v>
      </c>
      <c r="M1101" t="s">
        <v>337</v>
      </c>
      <c r="N1101" t="s">
        <v>338</v>
      </c>
      <c r="O1101" t="s">
        <v>73</v>
      </c>
      <c r="P1101" t="s">
        <v>81</v>
      </c>
      <c r="Q1101" t="s">
        <v>339</v>
      </c>
      <c r="R1101" t="s">
        <v>340</v>
      </c>
    </row>
    <row r="1102" spans="1:18" x14ac:dyDescent="0.25">
      <c r="A1102" t="s">
        <v>20719</v>
      </c>
      <c r="B1102" t="s">
        <v>2898</v>
      </c>
      <c r="C1102" t="str">
        <f>HYPERLINK("https://nematode.unl.edu/aquar1.jpg")</f>
        <v>https://nematode.unl.edu/aquar1.jpg</v>
      </c>
      <c r="D1102" t="s">
        <v>43</v>
      </c>
      <c r="G1102" t="s">
        <v>28</v>
      </c>
      <c r="I1102" t="s">
        <v>137</v>
      </c>
      <c r="J1102" t="s">
        <v>20</v>
      </c>
      <c r="M1102" t="s">
        <v>2899</v>
      </c>
      <c r="N1102" t="s">
        <v>2899</v>
      </c>
      <c r="O1102" t="s">
        <v>73</v>
      </c>
      <c r="P1102" t="s">
        <v>81</v>
      </c>
      <c r="Q1102" t="s">
        <v>339</v>
      </c>
      <c r="R1102" t="s">
        <v>340</v>
      </c>
    </row>
    <row r="1103" spans="1:18" x14ac:dyDescent="0.25">
      <c r="A1103" t="s">
        <v>20715</v>
      </c>
      <c r="B1103" t="s">
        <v>2900</v>
      </c>
      <c r="C1103" t="str">
        <f>HYPERLINK("https://nematode.unl.edu/aquar10.jpg")</f>
        <v>https://nematode.unl.edu/aquar10.jpg</v>
      </c>
      <c r="D1103" t="s">
        <v>16</v>
      </c>
      <c r="G1103" t="s">
        <v>87</v>
      </c>
      <c r="I1103" t="s">
        <v>19</v>
      </c>
      <c r="J1103" t="s">
        <v>20</v>
      </c>
      <c r="L1103" t="s">
        <v>29</v>
      </c>
      <c r="M1103" t="s">
        <v>2899</v>
      </c>
      <c r="N1103" t="s">
        <v>2899</v>
      </c>
      <c r="O1103" t="s">
        <v>73</v>
      </c>
      <c r="P1103" t="s">
        <v>81</v>
      </c>
      <c r="Q1103" t="s">
        <v>339</v>
      </c>
      <c r="R1103" t="s">
        <v>340</v>
      </c>
    </row>
    <row r="1104" spans="1:18" x14ac:dyDescent="0.25">
      <c r="A1104" t="s">
        <v>20710</v>
      </c>
      <c r="B1104" t="s">
        <v>2901</v>
      </c>
      <c r="C1104" t="str">
        <f>HYPERLINK("https://nematode.unl.edu/aquar11.jpg")</f>
        <v>https://nematode.unl.edu/aquar11.jpg</v>
      </c>
      <c r="D1104" t="s">
        <v>16</v>
      </c>
      <c r="G1104" t="s">
        <v>34</v>
      </c>
      <c r="H1104" t="s">
        <v>18</v>
      </c>
      <c r="I1104" t="s">
        <v>19</v>
      </c>
      <c r="J1104" t="s">
        <v>20</v>
      </c>
      <c r="L1104" t="s">
        <v>29</v>
      </c>
      <c r="M1104" t="s">
        <v>2899</v>
      </c>
      <c r="N1104" t="s">
        <v>2899</v>
      </c>
      <c r="O1104" t="s">
        <v>73</v>
      </c>
      <c r="P1104" t="s">
        <v>81</v>
      </c>
      <c r="Q1104" t="s">
        <v>339</v>
      </c>
      <c r="R1104" t="s">
        <v>340</v>
      </c>
    </row>
    <row r="1105" spans="1:18" x14ac:dyDescent="0.25">
      <c r="A1105" t="s">
        <v>20721</v>
      </c>
      <c r="B1105" t="s">
        <v>2902</v>
      </c>
      <c r="C1105" t="str">
        <f>HYPERLINK("https://nematode.unl.edu/aquar2.jpg")</f>
        <v>https://nematode.unl.edu/aquar2.jpg</v>
      </c>
      <c r="D1105" t="s">
        <v>43</v>
      </c>
      <c r="G1105" t="s">
        <v>51</v>
      </c>
      <c r="I1105" t="s">
        <v>137</v>
      </c>
      <c r="J1105" t="s">
        <v>20</v>
      </c>
      <c r="M1105" t="s">
        <v>2899</v>
      </c>
      <c r="N1105" t="s">
        <v>2899</v>
      </c>
      <c r="O1105" t="s">
        <v>73</v>
      </c>
      <c r="P1105" t="s">
        <v>81</v>
      </c>
      <c r="Q1105" t="s">
        <v>339</v>
      </c>
      <c r="R1105" t="s">
        <v>340</v>
      </c>
    </row>
    <row r="1106" spans="1:18" x14ac:dyDescent="0.25">
      <c r="A1106" t="s">
        <v>20716</v>
      </c>
      <c r="B1106" t="s">
        <v>2903</v>
      </c>
      <c r="C1106" t="str">
        <f>HYPERLINK("https://nematode.unl.edu/aquar3.jpg")</f>
        <v>https://nematode.unl.edu/aquar3.jpg</v>
      </c>
      <c r="D1106" t="s">
        <v>43</v>
      </c>
      <c r="G1106" t="s">
        <v>87</v>
      </c>
      <c r="I1106" t="s">
        <v>137</v>
      </c>
      <c r="J1106" t="s">
        <v>20</v>
      </c>
      <c r="M1106" t="s">
        <v>2899</v>
      </c>
      <c r="N1106" t="s">
        <v>2899</v>
      </c>
      <c r="O1106" t="s">
        <v>73</v>
      </c>
      <c r="P1106" t="s">
        <v>81</v>
      </c>
      <c r="Q1106" t="s">
        <v>339</v>
      </c>
      <c r="R1106" t="s">
        <v>340</v>
      </c>
    </row>
    <row r="1107" spans="1:18" x14ac:dyDescent="0.25">
      <c r="A1107" t="s">
        <v>20711</v>
      </c>
      <c r="B1107" t="s">
        <v>2904</v>
      </c>
      <c r="C1107" t="str">
        <f>HYPERLINK("https://nematode.unl.edu/aquar4.jpg")</f>
        <v>https://nematode.unl.edu/aquar4.jpg</v>
      </c>
      <c r="D1107" t="s">
        <v>43</v>
      </c>
      <c r="G1107" t="s">
        <v>34</v>
      </c>
      <c r="H1107" t="s">
        <v>18</v>
      </c>
      <c r="I1107" t="s">
        <v>137</v>
      </c>
      <c r="J1107" t="s">
        <v>20</v>
      </c>
      <c r="M1107" t="s">
        <v>2899</v>
      </c>
      <c r="N1107" t="s">
        <v>2899</v>
      </c>
      <c r="O1107" t="s">
        <v>73</v>
      </c>
      <c r="P1107" t="s">
        <v>81</v>
      </c>
      <c r="Q1107" t="s">
        <v>339</v>
      </c>
      <c r="R1107" t="s">
        <v>340</v>
      </c>
    </row>
    <row r="1108" spans="1:18" x14ac:dyDescent="0.25">
      <c r="A1108" t="s">
        <v>20712</v>
      </c>
      <c r="B1108" t="s">
        <v>2905</v>
      </c>
      <c r="C1108" t="str">
        <f>HYPERLINK("https://nematode.unl.edu/aquar5.jpg")</f>
        <v>https://nematode.unl.edu/aquar5.jpg</v>
      </c>
      <c r="D1108" t="s">
        <v>43</v>
      </c>
      <c r="G1108" t="s">
        <v>34</v>
      </c>
      <c r="H1108" t="s">
        <v>18</v>
      </c>
      <c r="I1108" t="s">
        <v>19</v>
      </c>
      <c r="J1108" t="s">
        <v>20</v>
      </c>
      <c r="M1108" t="s">
        <v>2899</v>
      </c>
      <c r="N1108" t="s">
        <v>2899</v>
      </c>
      <c r="O1108" t="s">
        <v>73</v>
      </c>
      <c r="P1108" t="s">
        <v>81</v>
      </c>
      <c r="Q1108" t="s">
        <v>339</v>
      </c>
      <c r="R1108" t="s">
        <v>340</v>
      </c>
    </row>
    <row r="1109" spans="1:18" x14ac:dyDescent="0.25">
      <c r="A1109" t="s">
        <v>20717</v>
      </c>
      <c r="B1109" t="s">
        <v>2906</v>
      </c>
      <c r="C1109" t="str">
        <f>HYPERLINK("https://nematode.unl.edu/aquar6.jpg")</f>
        <v>https://nematode.unl.edu/aquar6.jpg</v>
      </c>
      <c r="D1109" t="s">
        <v>43</v>
      </c>
      <c r="G1109" t="s">
        <v>87</v>
      </c>
      <c r="I1109" t="s">
        <v>19</v>
      </c>
      <c r="J1109" t="s">
        <v>20</v>
      </c>
      <c r="M1109" t="s">
        <v>2899</v>
      </c>
      <c r="N1109" t="s">
        <v>2899</v>
      </c>
      <c r="O1109" t="s">
        <v>73</v>
      </c>
      <c r="P1109" t="s">
        <v>81</v>
      </c>
      <c r="Q1109" t="s">
        <v>339</v>
      </c>
      <c r="R1109" t="s">
        <v>340</v>
      </c>
    </row>
    <row r="1110" spans="1:18" x14ac:dyDescent="0.25">
      <c r="A1110" t="s">
        <v>20713</v>
      </c>
      <c r="B1110" t="s">
        <v>2907</v>
      </c>
      <c r="C1110" t="str">
        <f>HYPERLINK("https://nematode.unl.edu/aquar7.jpg")</f>
        <v>https://nematode.unl.edu/aquar7.jpg</v>
      </c>
      <c r="D1110" t="s">
        <v>43</v>
      </c>
      <c r="G1110" t="s">
        <v>34</v>
      </c>
      <c r="H1110" t="s">
        <v>18</v>
      </c>
      <c r="I1110" t="s">
        <v>19</v>
      </c>
      <c r="J1110" t="s">
        <v>20</v>
      </c>
      <c r="M1110" t="s">
        <v>2899</v>
      </c>
      <c r="N1110" t="s">
        <v>2899</v>
      </c>
      <c r="O1110" t="s">
        <v>73</v>
      </c>
      <c r="P1110" t="s">
        <v>81</v>
      </c>
      <c r="Q1110" t="s">
        <v>339</v>
      </c>
      <c r="R1110" t="s">
        <v>340</v>
      </c>
    </row>
    <row r="1111" spans="1:18" x14ac:dyDescent="0.25">
      <c r="A1111" t="s">
        <v>20714</v>
      </c>
      <c r="B1111" t="s">
        <v>2908</v>
      </c>
      <c r="C1111" t="str">
        <f>HYPERLINK("https://nematode.unl.edu/aquar8.jpg")</f>
        <v>https://nematode.unl.edu/aquar8.jpg</v>
      </c>
      <c r="D1111" t="s">
        <v>43</v>
      </c>
      <c r="G1111" t="s">
        <v>34</v>
      </c>
      <c r="H1111" t="s">
        <v>18</v>
      </c>
      <c r="I1111" t="s">
        <v>41</v>
      </c>
      <c r="J1111" t="s">
        <v>20</v>
      </c>
      <c r="M1111" t="s">
        <v>2899</v>
      </c>
      <c r="N1111" t="s">
        <v>2899</v>
      </c>
      <c r="O1111" t="s">
        <v>73</v>
      </c>
      <c r="P1111" t="s">
        <v>81</v>
      </c>
      <c r="Q1111" t="s">
        <v>339</v>
      </c>
      <c r="R1111" t="s">
        <v>340</v>
      </c>
    </row>
    <row r="1112" spans="1:18" x14ac:dyDescent="0.25">
      <c r="A1112" t="s">
        <v>20720</v>
      </c>
      <c r="B1112" t="s">
        <v>2909</v>
      </c>
      <c r="C1112" t="str">
        <f>HYPERLINK("https://nematode.unl.edu/aquar9.jpg")</f>
        <v>https://nematode.unl.edu/aquar9.jpg</v>
      </c>
      <c r="D1112" t="s">
        <v>16</v>
      </c>
      <c r="G1112" t="s">
        <v>28</v>
      </c>
      <c r="I1112" t="s">
        <v>19</v>
      </c>
      <c r="J1112" t="s">
        <v>20</v>
      </c>
      <c r="M1112" t="s">
        <v>2899</v>
      </c>
      <c r="N1112" t="s">
        <v>2899</v>
      </c>
      <c r="O1112" t="s">
        <v>73</v>
      </c>
      <c r="P1112" t="s">
        <v>81</v>
      </c>
      <c r="Q1112" t="s">
        <v>339</v>
      </c>
      <c r="R1112" t="s">
        <v>340</v>
      </c>
    </row>
    <row r="1113" spans="1:18" x14ac:dyDescent="0.25">
      <c r="A1113" t="s">
        <v>20718</v>
      </c>
      <c r="B1113" t="s">
        <v>2910</v>
      </c>
      <c r="C1113" t="str">
        <f>HYPERLINK("https://nematode.unl.edu/aquarcmp.jpg")</f>
        <v>https://nematode.unl.edu/aquarcmp.jpg</v>
      </c>
      <c r="D1113" t="s">
        <v>43</v>
      </c>
      <c r="G1113" t="s">
        <v>108</v>
      </c>
      <c r="M1113" t="s">
        <v>2899</v>
      </c>
      <c r="N1113" t="s">
        <v>2899</v>
      </c>
      <c r="O1113" t="s">
        <v>73</v>
      </c>
      <c r="P1113" t="s">
        <v>81</v>
      </c>
      <c r="Q1113" t="s">
        <v>339</v>
      </c>
      <c r="R1113" t="s">
        <v>340</v>
      </c>
    </row>
    <row r="1114" spans="1:18" x14ac:dyDescent="0.25">
      <c r="A1114" t="s">
        <v>13055</v>
      </c>
      <c r="B1114" t="s">
        <v>99</v>
      </c>
      <c r="C1114" t="str">
        <f>HYPERLINK("https://nematode.unl.edu/asac1.jpg")</f>
        <v>https://nematode.unl.edu/asac1.jpg</v>
      </c>
      <c r="D1114" t="s">
        <v>43</v>
      </c>
      <c r="G1114" t="s">
        <v>44</v>
      </c>
      <c r="I1114" t="s">
        <v>45</v>
      </c>
      <c r="J1114" t="s">
        <v>46</v>
      </c>
      <c r="M1114" t="s">
        <v>100</v>
      </c>
      <c r="N1114" t="s">
        <v>101</v>
      </c>
      <c r="O1114" t="s">
        <v>23</v>
      </c>
      <c r="P1114" t="s">
        <v>24</v>
      </c>
      <c r="Q1114" t="s">
        <v>102</v>
      </c>
      <c r="R1114" t="s">
        <v>103</v>
      </c>
    </row>
    <row r="1115" spans="1:18" x14ac:dyDescent="0.25">
      <c r="A1115" t="s">
        <v>13052</v>
      </c>
      <c r="B1115" t="s">
        <v>104</v>
      </c>
      <c r="C1115" t="str">
        <f>HYPERLINK("https://nematode.unl.edu/asac2.jpg")</f>
        <v>https://nematode.unl.edu/asac2.jpg</v>
      </c>
      <c r="D1115" t="s">
        <v>43</v>
      </c>
      <c r="G1115" t="s">
        <v>34</v>
      </c>
      <c r="H1115" t="s">
        <v>18</v>
      </c>
      <c r="I1115" t="s">
        <v>19</v>
      </c>
      <c r="J1115" t="s">
        <v>46</v>
      </c>
      <c r="L1115" t="s">
        <v>105</v>
      </c>
      <c r="M1115" t="s">
        <v>100</v>
      </c>
      <c r="N1115" t="s">
        <v>101</v>
      </c>
      <c r="O1115" t="s">
        <v>23</v>
      </c>
      <c r="P1115" t="s">
        <v>24</v>
      </c>
      <c r="Q1115" t="s">
        <v>102</v>
      </c>
      <c r="R1115" t="s">
        <v>103</v>
      </c>
    </row>
    <row r="1116" spans="1:18" x14ac:dyDescent="0.25">
      <c r="A1116" t="s">
        <v>13060</v>
      </c>
      <c r="B1116" t="s">
        <v>106</v>
      </c>
      <c r="C1116" t="str">
        <f>HYPERLINK("https://nematode.unl.edu/asac3.jpg")</f>
        <v>https://nematode.unl.edu/asac3.jpg</v>
      </c>
      <c r="D1116" t="s">
        <v>43</v>
      </c>
      <c r="G1116" t="s">
        <v>51</v>
      </c>
      <c r="I1116" t="s">
        <v>19</v>
      </c>
      <c r="J1116" t="s">
        <v>46</v>
      </c>
      <c r="L1116" t="s">
        <v>105</v>
      </c>
      <c r="M1116" t="s">
        <v>100</v>
      </c>
      <c r="N1116" t="s">
        <v>101</v>
      </c>
      <c r="O1116" t="s">
        <v>23</v>
      </c>
      <c r="P1116" t="s">
        <v>24</v>
      </c>
      <c r="Q1116" t="s">
        <v>102</v>
      </c>
      <c r="R1116" t="s">
        <v>103</v>
      </c>
    </row>
    <row r="1117" spans="1:18" x14ac:dyDescent="0.25">
      <c r="A1117" t="s">
        <v>13057</v>
      </c>
      <c r="B1117" t="s">
        <v>107</v>
      </c>
      <c r="C1117" t="str">
        <f>HYPERLINK("https://nematode.unl.edu/asaccmp.jpg")</f>
        <v>https://nematode.unl.edu/asaccmp.jpg</v>
      </c>
      <c r="G1117" t="s">
        <v>108</v>
      </c>
      <c r="M1117" t="s">
        <v>100</v>
      </c>
      <c r="N1117" t="s">
        <v>101</v>
      </c>
      <c r="O1117" t="s">
        <v>23</v>
      </c>
      <c r="P1117" t="s">
        <v>24</v>
      </c>
      <c r="Q1117" t="s">
        <v>102</v>
      </c>
      <c r="R1117" t="s">
        <v>103</v>
      </c>
    </row>
    <row r="1118" spans="1:18" x14ac:dyDescent="0.25">
      <c r="A1118" t="s">
        <v>13056</v>
      </c>
      <c r="B1118" t="s">
        <v>109</v>
      </c>
      <c r="C1118" t="str">
        <f>HYPERLINK("https://nematode.unl.edu/asack1.jpg")</f>
        <v>https://nematode.unl.edu/asack1.jpg</v>
      </c>
      <c r="D1118" t="s">
        <v>77</v>
      </c>
      <c r="G1118" t="s">
        <v>44</v>
      </c>
      <c r="I1118" t="s">
        <v>45</v>
      </c>
      <c r="J1118" t="s">
        <v>20</v>
      </c>
      <c r="M1118" t="s">
        <v>100</v>
      </c>
      <c r="N1118" t="s">
        <v>101</v>
      </c>
      <c r="O1118" t="s">
        <v>23</v>
      </c>
      <c r="P1118" t="s">
        <v>24</v>
      </c>
      <c r="Q1118" t="s">
        <v>102</v>
      </c>
      <c r="R1118" t="s">
        <v>103</v>
      </c>
    </row>
    <row r="1119" spans="1:18" x14ac:dyDescent="0.25">
      <c r="A1119" t="s">
        <v>13053</v>
      </c>
      <c r="B1119" t="s">
        <v>110</v>
      </c>
      <c r="C1119" t="str">
        <f>HYPERLINK("https://nematode.unl.edu/asack2.jpg")</f>
        <v>https://nematode.unl.edu/asack2.jpg</v>
      </c>
      <c r="D1119" t="s">
        <v>77</v>
      </c>
      <c r="G1119" t="s">
        <v>34</v>
      </c>
      <c r="H1119" t="s">
        <v>18</v>
      </c>
      <c r="I1119" t="s">
        <v>19</v>
      </c>
      <c r="J1119" t="s">
        <v>20</v>
      </c>
      <c r="L1119" t="s">
        <v>64</v>
      </c>
      <c r="M1119" t="s">
        <v>100</v>
      </c>
      <c r="N1119" t="s">
        <v>101</v>
      </c>
      <c r="O1119" t="s">
        <v>23</v>
      </c>
      <c r="P1119" t="s">
        <v>24</v>
      </c>
      <c r="Q1119" t="s">
        <v>102</v>
      </c>
      <c r="R1119" t="s">
        <v>103</v>
      </c>
    </row>
    <row r="1120" spans="1:18" x14ac:dyDescent="0.25">
      <c r="A1120" t="s">
        <v>13058</v>
      </c>
      <c r="B1120" t="s">
        <v>111</v>
      </c>
      <c r="C1120" t="str">
        <f>HYPERLINK("https://nematode.unl.edu/asack3.jpg")</f>
        <v>https://nematode.unl.edu/asack3.jpg</v>
      </c>
      <c r="D1120" t="s">
        <v>77</v>
      </c>
      <c r="G1120" t="s">
        <v>112</v>
      </c>
      <c r="I1120" t="s">
        <v>19</v>
      </c>
      <c r="J1120" t="s">
        <v>20</v>
      </c>
      <c r="L1120" t="s">
        <v>64</v>
      </c>
      <c r="M1120" t="s">
        <v>100</v>
      </c>
      <c r="N1120" t="s">
        <v>101</v>
      </c>
      <c r="O1120" t="s">
        <v>23</v>
      </c>
      <c r="P1120" t="s">
        <v>24</v>
      </c>
      <c r="Q1120" t="s">
        <v>102</v>
      </c>
      <c r="R1120" t="s">
        <v>103</v>
      </c>
    </row>
    <row r="1121" spans="1:18" x14ac:dyDescent="0.25">
      <c r="A1121" t="s">
        <v>13054</v>
      </c>
      <c r="B1121" t="s">
        <v>113</v>
      </c>
      <c r="C1121" t="str">
        <f>HYPERLINK("https://nematode.unl.edu/asack4.jpg")</f>
        <v>https://nematode.unl.edu/asack4.jpg</v>
      </c>
      <c r="D1121" t="s">
        <v>77</v>
      </c>
      <c r="G1121" t="s">
        <v>34</v>
      </c>
      <c r="H1121" t="s">
        <v>18</v>
      </c>
      <c r="I1121" t="s">
        <v>19</v>
      </c>
      <c r="J1121" t="s">
        <v>20</v>
      </c>
      <c r="L1121" t="s">
        <v>64</v>
      </c>
      <c r="M1121" t="s">
        <v>100</v>
      </c>
      <c r="N1121" t="s">
        <v>101</v>
      </c>
      <c r="O1121" t="s">
        <v>23</v>
      </c>
      <c r="P1121" t="s">
        <v>24</v>
      </c>
      <c r="Q1121" t="s">
        <v>102</v>
      </c>
      <c r="R1121" t="s">
        <v>103</v>
      </c>
    </row>
    <row r="1122" spans="1:18" x14ac:dyDescent="0.25">
      <c r="A1122" t="s">
        <v>13059</v>
      </c>
      <c r="B1122" t="s">
        <v>114</v>
      </c>
      <c r="C1122" t="str">
        <f>HYPERLINK("https://nematode.unl.edu/asack5.jpg")</f>
        <v>https://nematode.unl.edu/asack5.jpg</v>
      </c>
      <c r="D1122" t="s">
        <v>77</v>
      </c>
      <c r="G1122" t="s">
        <v>112</v>
      </c>
      <c r="I1122" t="s">
        <v>41</v>
      </c>
      <c r="J1122" t="s">
        <v>20</v>
      </c>
      <c r="L1122" t="s">
        <v>64</v>
      </c>
      <c r="M1122" t="s">
        <v>100</v>
      </c>
      <c r="N1122" t="s">
        <v>101</v>
      </c>
      <c r="O1122" t="s">
        <v>23</v>
      </c>
      <c r="P1122" t="s">
        <v>24</v>
      </c>
      <c r="Q1122" t="s">
        <v>102</v>
      </c>
      <c r="R1122" t="s">
        <v>103</v>
      </c>
    </row>
    <row r="1123" spans="1:18" x14ac:dyDescent="0.25">
      <c r="A1123" t="s">
        <v>19239</v>
      </c>
      <c r="B1123" t="s">
        <v>335</v>
      </c>
      <c r="C1123" t="str">
        <f>HYPERLINK("https://nematode.unl.edu/ataycmp.jpg")</f>
        <v>https://nematode.unl.edu/ataycmp.jpg</v>
      </c>
      <c r="G1123" t="s">
        <v>108</v>
      </c>
      <c r="M1123" t="s">
        <v>327</v>
      </c>
      <c r="N1123" t="s">
        <v>328</v>
      </c>
      <c r="O1123" t="s">
        <v>73</v>
      </c>
      <c r="P1123" t="s">
        <v>81</v>
      </c>
      <c r="Q1123" t="s">
        <v>119</v>
      </c>
      <c r="R1123" t="s">
        <v>329</v>
      </c>
    </row>
    <row r="1124" spans="1:18" x14ac:dyDescent="0.25">
      <c r="A1124" t="s">
        <v>16394</v>
      </c>
      <c r="B1124" t="s">
        <v>2459</v>
      </c>
      <c r="C1124" t="str">
        <f>HYPERLINK("https://nematode.unl.edu/atorp1.jpg")</f>
        <v>https://nematode.unl.edu/atorp1.jpg</v>
      </c>
      <c r="D1124" t="s">
        <v>43</v>
      </c>
      <c r="G1124" t="s">
        <v>44</v>
      </c>
      <c r="I1124" t="s">
        <v>316</v>
      </c>
      <c r="L1124" t="s">
        <v>105</v>
      </c>
      <c r="M1124" t="s">
        <v>2460</v>
      </c>
      <c r="N1124" t="s">
        <v>2460</v>
      </c>
      <c r="O1124" t="s">
        <v>23</v>
      </c>
      <c r="P1124" t="s">
        <v>24</v>
      </c>
      <c r="Q1124" t="s">
        <v>2454</v>
      </c>
      <c r="R1124" t="s">
        <v>2453</v>
      </c>
    </row>
    <row r="1125" spans="1:18" x14ac:dyDescent="0.25">
      <c r="A1125" t="s">
        <v>16392</v>
      </c>
      <c r="B1125" t="s">
        <v>2461</v>
      </c>
      <c r="C1125" t="str">
        <f>HYPERLINK("https://nematode.unl.edu/atorp2.jpg")</f>
        <v>https://nematode.unl.edu/atorp2.jpg</v>
      </c>
      <c r="D1125" t="s">
        <v>43</v>
      </c>
      <c r="G1125" t="s">
        <v>34</v>
      </c>
      <c r="H1125" t="s">
        <v>18</v>
      </c>
      <c r="I1125" t="s">
        <v>19</v>
      </c>
      <c r="L1125" t="s">
        <v>105</v>
      </c>
      <c r="M1125" t="s">
        <v>2460</v>
      </c>
      <c r="N1125" t="s">
        <v>2460</v>
      </c>
      <c r="O1125" t="s">
        <v>23</v>
      </c>
      <c r="P1125" t="s">
        <v>24</v>
      </c>
      <c r="Q1125" t="s">
        <v>2454</v>
      </c>
      <c r="R1125" t="s">
        <v>2453</v>
      </c>
    </row>
    <row r="1126" spans="1:18" x14ac:dyDescent="0.25">
      <c r="A1126" t="s">
        <v>16397</v>
      </c>
      <c r="B1126" t="s">
        <v>2462</v>
      </c>
      <c r="C1126" t="str">
        <f>HYPERLINK("https://nematode.unl.edu/atorp3.jpg")</f>
        <v>https://nematode.unl.edu/atorp3.jpg</v>
      </c>
      <c r="D1126" t="s">
        <v>43</v>
      </c>
      <c r="G1126" t="s">
        <v>51</v>
      </c>
      <c r="I1126" t="s">
        <v>19</v>
      </c>
      <c r="L1126" t="s">
        <v>105</v>
      </c>
      <c r="M1126" t="s">
        <v>2460</v>
      </c>
      <c r="N1126" t="s">
        <v>2460</v>
      </c>
      <c r="O1126" t="s">
        <v>23</v>
      </c>
      <c r="P1126" t="s">
        <v>24</v>
      </c>
      <c r="Q1126" t="s">
        <v>2454</v>
      </c>
      <c r="R1126" t="s">
        <v>2453</v>
      </c>
    </row>
    <row r="1127" spans="1:18" x14ac:dyDescent="0.25">
      <c r="A1127" t="s">
        <v>16396</v>
      </c>
      <c r="B1127" t="s">
        <v>2463</v>
      </c>
      <c r="C1127" t="str">
        <f>HYPERLINK("https://nematode.unl.edu/atorp4.jpg")</f>
        <v>https://nematode.unl.edu/atorp4.jpg</v>
      </c>
      <c r="D1127" t="s">
        <v>43</v>
      </c>
      <c r="G1127" t="s">
        <v>28</v>
      </c>
      <c r="I1127" t="s">
        <v>19</v>
      </c>
      <c r="L1127" t="s">
        <v>105</v>
      </c>
      <c r="M1127" t="s">
        <v>2460</v>
      </c>
      <c r="N1127" t="s">
        <v>2460</v>
      </c>
      <c r="O1127" t="s">
        <v>23</v>
      </c>
      <c r="P1127" t="s">
        <v>24</v>
      </c>
      <c r="Q1127" t="s">
        <v>2454</v>
      </c>
      <c r="R1127" t="s">
        <v>2453</v>
      </c>
    </row>
    <row r="1128" spans="1:18" x14ac:dyDescent="0.25">
      <c r="A1128" t="s">
        <v>16393</v>
      </c>
      <c r="B1128" t="s">
        <v>2464</v>
      </c>
      <c r="C1128" t="str">
        <f>HYPERLINK("https://nematode.unl.edu/atorp5.jpg")</f>
        <v>https://nematode.unl.edu/atorp5.jpg</v>
      </c>
      <c r="D1128" t="s">
        <v>43</v>
      </c>
      <c r="G1128" t="s">
        <v>34</v>
      </c>
      <c r="H1128" t="s">
        <v>18</v>
      </c>
      <c r="I1128" t="s">
        <v>41</v>
      </c>
      <c r="L1128" t="s">
        <v>105</v>
      </c>
      <c r="M1128" t="s">
        <v>2460</v>
      </c>
      <c r="N1128" t="s">
        <v>2460</v>
      </c>
      <c r="O1128" t="s">
        <v>23</v>
      </c>
      <c r="P1128" t="s">
        <v>24</v>
      </c>
      <c r="Q1128" t="s">
        <v>2454</v>
      </c>
      <c r="R1128" t="s">
        <v>2453</v>
      </c>
    </row>
    <row r="1129" spans="1:18" x14ac:dyDescent="0.25">
      <c r="A1129" t="s">
        <v>16395</v>
      </c>
      <c r="B1129" t="s">
        <v>2465</v>
      </c>
      <c r="C1129" t="str">
        <f>HYPERLINK("https://nematode.unl.edu/atorp6.jpg")</f>
        <v>https://nematode.unl.edu/atorp6.jpg</v>
      </c>
      <c r="D1129" t="s">
        <v>43</v>
      </c>
      <c r="G1129" t="s">
        <v>2029</v>
      </c>
      <c r="I1129" t="s">
        <v>41</v>
      </c>
      <c r="L1129" t="s">
        <v>105</v>
      </c>
      <c r="M1129" t="s">
        <v>2460</v>
      </c>
      <c r="N1129" t="s">
        <v>2460</v>
      </c>
      <c r="O1129" t="s">
        <v>23</v>
      </c>
      <c r="P1129" t="s">
        <v>24</v>
      </c>
      <c r="Q1129" t="s">
        <v>2454</v>
      </c>
      <c r="R1129" t="s">
        <v>2453</v>
      </c>
    </row>
    <row r="1130" spans="1:18" x14ac:dyDescent="0.25">
      <c r="A1130" t="s">
        <v>19272</v>
      </c>
      <c r="B1130" t="s">
        <v>2913</v>
      </c>
      <c r="C1130" t="str">
        <f>HYPERLINK("https://nematode.unl.edu/axampl1.jpg")</f>
        <v>https://nematode.unl.edu/axampl1.jpg</v>
      </c>
      <c r="D1130" t="s">
        <v>43</v>
      </c>
      <c r="G1130" t="s">
        <v>34</v>
      </c>
      <c r="H1130" t="s">
        <v>18</v>
      </c>
      <c r="I1130" t="s">
        <v>19</v>
      </c>
      <c r="J1130" t="s">
        <v>20</v>
      </c>
      <c r="M1130" t="s">
        <v>2914</v>
      </c>
      <c r="N1130" t="s">
        <v>2914</v>
      </c>
      <c r="O1130" t="s">
        <v>73</v>
      </c>
      <c r="P1130" t="s">
        <v>81</v>
      </c>
      <c r="Q1130" t="s">
        <v>733</v>
      </c>
      <c r="R1130" t="s">
        <v>2912</v>
      </c>
    </row>
    <row r="1131" spans="1:18" x14ac:dyDescent="0.25">
      <c r="A1131" t="s">
        <v>19273</v>
      </c>
      <c r="B1131" t="s">
        <v>2915</v>
      </c>
      <c r="C1131" t="str">
        <f>HYPERLINK("https://nematode.unl.edu/axampl10.jpg")</f>
        <v>https://nematode.unl.edu/axampl10.jpg</v>
      </c>
      <c r="D1131" t="s">
        <v>43</v>
      </c>
      <c r="G1131" t="s">
        <v>34</v>
      </c>
      <c r="H1131" t="s">
        <v>18</v>
      </c>
      <c r="I1131" t="s">
        <v>41</v>
      </c>
      <c r="J1131" t="s">
        <v>20</v>
      </c>
      <c r="M1131" t="s">
        <v>2914</v>
      </c>
      <c r="N1131" t="s">
        <v>2914</v>
      </c>
      <c r="O1131" t="s">
        <v>73</v>
      </c>
      <c r="P1131" t="s">
        <v>81</v>
      </c>
      <c r="Q1131" t="s">
        <v>733</v>
      </c>
      <c r="R1131" t="s">
        <v>2912</v>
      </c>
    </row>
    <row r="1132" spans="1:18" x14ac:dyDescent="0.25">
      <c r="A1132" t="s">
        <v>19276</v>
      </c>
      <c r="B1132" t="s">
        <v>2916</v>
      </c>
      <c r="C1132" t="str">
        <f>HYPERLINK("https://nematode.unl.edu/axampl11.jpg")</f>
        <v>https://nematode.unl.edu/axampl11.jpg</v>
      </c>
      <c r="D1132" t="s">
        <v>43</v>
      </c>
      <c r="G1132" t="s">
        <v>2917</v>
      </c>
      <c r="I1132" t="s">
        <v>41</v>
      </c>
      <c r="J1132" t="s">
        <v>20</v>
      </c>
      <c r="M1132" t="s">
        <v>2914</v>
      </c>
      <c r="N1132" t="s">
        <v>2914</v>
      </c>
      <c r="O1132" t="s">
        <v>73</v>
      </c>
      <c r="P1132" t="s">
        <v>81</v>
      </c>
      <c r="Q1132" t="s">
        <v>733</v>
      </c>
      <c r="R1132" t="s">
        <v>2912</v>
      </c>
    </row>
    <row r="1133" spans="1:18" x14ac:dyDescent="0.25">
      <c r="A1133" t="s">
        <v>19270</v>
      </c>
      <c r="B1133" t="s">
        <v>2918</v>
      </c>
      <c r="C1133" t="str">
        <f>HYPERLINK("https://nematode.unl.edu/axampl12.jpg")</f>
        <v>https://nematode.unl.edu/axampl12.jpg</v>
      </c>
      <c r="D1133" t="s">
        <v>43</v>
      </c>
      <c r="G1133" t="s">
        <v>17</v>
      </c>
      <c r="H1133" t="s">
        <v>18</v>
      </c>
      <c r="I1133" t="s">
        <v>41</v>
      </c>
      <c r="J1133" t="s">
        <v>20</v>
      </c>
      <c r="M1133" t="s">
        <v>2914</v>
      </c>
      <c r="N1133" t="s">
        <v>2914</v>
      </c>
      <c r="O1133" t="s">
        <v>73</v>
      </c>
      <c r="P1133" t="s">
        <v>81</v>
      </c>
      <c r="Q1133" t="s">
        <v>733</v>
      </c>
      <c r="R1133" t="s">
        <v>2912</v>
      </c>
    </row>
    <row r="1134" spans="1:18" x14ac:dyDescent="0.25">
      <c r="A1134" t="s">
        <v>19271</v>
      </c>
      <c r="B1134" t="s">
        <v>2919</v>
      </c>
      <c r="C1134" t="str">
        <f>HYPERLINK("https://nematode.unl.edu/axampl2.jpg")</f>
        <v>https://nematode.unl.edu/axampl2.jpg</v>
      </c>
      <c r="D1134" t="s">
        <v>43</v>
      </c>
      <c r="G1134" t="s">
        <v>17</v>
      </c>
      <c r="H1134" t="s">
        <v>18</v>
      </c>
      <c r="I1134" t="s">
        <v>19</v>
      </c>
      <c r="J1134" t="s">
        <v>20</v>
      </c>
      <c r="M1134" t="s">
        <v>2914</v>
      </c>
      <c r="N1134" t="s">
        <v>2914</v>
      </c>
      <c r="O1134" t="s">
        <v>73</v>
      </c>
      <c r="P1134" t="s">
        <v>81</v>
      </c>
      <c r="Q1134" t="s">
        <v>733</v>
      </c>
      <c r="R1134" t="s">
        <v>2912</v>
      </c>
    </row>
    <row r="1135" spans="1:18" x14ac:dyDescent="0.25">
      <c r="A1135" t="s">
        <v>19280</v>
      </c>
      <c r="B1135" t="s">
        <v>2920</v>
      </c>
      <c r="C1135" t="str">
        <f>HYPERLINK("https://nematode.unl.edu/axampl3.jpg")</f>
        <v>https://nematode.unl.edu/axampl3.jpg</v>
      </c>
      <c r="D1135" t="s">
        <v>43</v>
      </c>
      <c r="G1135" t="s">
        <v>51</v>
      </c>
      <c r="I1135" t="s">
        <v>19</v>
      </c>
      <c r="J1135" t="s">
        <v>20</v>
      </c>
      <c r="M1135" t="s">
        <v>2914</v>
      </c>
      <c r="N1135" t="s">
        <v>2914</v>
      </c>
      <c r="O1135" t="s">
        <v>73</v>
      </c>
      <c r="P1135" t="s">
        <v>81</v>
      </c>
      <c r="Q1135" t="s">
        <v>733</v>
      </c>
      <c r="R1135" t="s">
        <v>2912</v>
      </c>
    </row>
    <row r="1136" spans="1:18" x14ac:dyDescent="0.25">
      <c r="A1136" t="s">
        <v>19278</v>
      </c>
      <c r="B1136" t="s">
        <v>2921</v>
      </c>
      <c r="C1136" t="str">
        <f>HYPERLINK("https://nematode.unl.edu/axampl4.jpg")</f>
        <v>https://nematode.unl.edu/axampl4.jpg</v>
      </c>
      <c r="D1136" t="s">
        <v>43</v>
      </c>
      <c r="G1136" t="s">
        <v>28</v>
      </c>
      <c r="I1136" t="s">
        <v>19</v>
      </c>
      <c r="J1136" t="s">
        <v>20</v>
      </c>
      <c r="M1136" t="s">
        <v>2914</v>
      </c>
      <c r="N1136" t="s">
        <v>2914</v>
      </c>
      <c r="O1136" t="s">
        <v>73</v>
      </c>
      <c r="P1136" t="s">
        <v>81</v>
      </c>
      <c r="Q1136" t="s">
        <v>733</v>
      </c>
      <c r="R1136" t="s">
        <v>2912</v>
      </c>
    </row>
    <row r="1137" spans="1:18" x14ac:dyDescent="0.25">
      <c r="A1137" t="s">
        <v>19279</v>
      </c>
      <c r="B1137" t="s">
        <v>2922</v>
      </c>
      <c r="C1137" t="str">
        <f>HYPERLINK("https://nematode.unl.edu/axampl5.jpg")</f>
        <v>https://nematode.unl.edu/axampl5.jpg</v>
      </c>
      <c r="D1137" t="s">
        <v>43</v>
      </c>
      <c r="G1137" t="s">
        <v>28</v>
      </c>
      <c r="I1137" t="s">
        <v>19</v>
      </c>
      <c r="J1137" t="s">
        <v>20</v>
      </c>
      <c r="M1137" t="s">
        <v>2914</v>
      </c>
      <c r="N1137" t="s">
        <v>2914</v>
      </c>
      <c r="O1137" t="s">
        <v>73</v>
      </c>
      <c r="P1137" t="s">
        <v>81</v>
      </c>
      <c r="Q1137" t="s">
        <v>733</v>
      </c>
      <c r="R1137" t="s">
        <v>2912</v>
      </c>
    </row>
    <row r="1138" spans="1:18" x14ac:dyDescent="0.25">
      <c r="A1138" t="s">
        <v>19274</v>
      </c>
      <c r="B1138" t="s">
        <v>2923</v>
      </c>
      <c r="C1138" t="str">
        <f>HYPERLINK("https://nematode.unl.edu/axampl6.jpg")</f>
        <v>https://nematode.unl.edu/axampl6.jpg</v>
      </c>
      <c r="D1138" t="s">
        <v>43</v>
      </c>
      <c r="G1138" t="s">
        <v>34</v>
      </c>
      <c r="H1138" t="s">
        <v>18</v>
      </c>
      <c r="I1138" t="s">
        <v>19</v>
      </c>
      <c r="J1138" t="s">
        <v>20</v>
      </c>
      <c r="M1138" t="s">
        <v>2914</v>
      </c>
      <c r="N1138" t="s">
        <v>2914</v>
      </c>
      <c r="O1138" t="s">
        <v>73</v>
      </c>
      <c r="P1138" t="s">
        <v>81</v>
      </c>
      <c r="Q1138" t="s">
        <v>733</v>
      </c>
      <c r="R1138" t="s">
        <v>2912</v>
      </c>
    </row>
    <row r="1139" spans="1:18" x14ac:dyDescent="0.25">
      <c r="A1139" t="s">
        <v>19275</v>
      </c>
      <c r="B1139" t="s">
        <v>2924</v>
      </c>
      <c r="C1139" t="str">
        <f>HYPERLINK("https://nematode.unl.edu/axampl7.jpg")</f>
        <v>https://nematode.unl.edu/axampl7.jpg</v>
      </c>
      <c r="D1139" t="s">
        <v>43</v>
      </c>
      <c r="G1139" t="s">
        <v>87</v>
      </c>
      <c r="I1139" t="s">
        <v>19</v>
      </c>
      <c r="J1139" t="s">
        <v>20</v>
      </c>
      <c r="M1139" t="s">
        <v>2914</v>
      </c>
      <c r="N1139" t="s">
        <v>2914</v>
      </c>
      <c r="O1139" t="s">
        <v>73</v>
      </c>
      <c r="P1139" t="s">
        <v>81</v>
      </c>
      <c r="Q1139" t="s">
        <v>733</v>
      </c>
      <c r="R1139" t="s">
        <v>2912</v>
      </c>
    </row>
    <row r="1140" spans="1:18" x14ac:dyDescent="0.25">
      <c r="A1140" t="s">
        <v>19277</v>
      </c>
      <c r="B1140" t="s">
        <v>2925</v>
      </c>
      <c r="C1140" t="str">
        <f>HYPERLINK("https://nematode.unl.edu/axampl8.jpg")</f>
        <v>https://nematode.unl.edu/axampl8.jpg</v>
      </c>
      <c r="D1140" t="s">
        <v>43</v>
      </c>
      <c r="G1140" t="s">
        <v>1000</v>
      </c>
      <c r="I1140" t="s">
        <v>45</v>
      </c>
      <c r="J1140" t="s">
        <v>20</v>
      </c>
      <c r="M1140" t="s">
        <v>2914</v>
      </c>
      <c r="N1140" t="s">
        <v>2914</v>
      </c>
      <c r="O1140" t="s">
        <v>73</v>
      </c>
      <c r="P1140" t="s">
        <v>81</v>
      </c>
      <c r="Q1140" t="s">
        <v>733</v>
      </c>
      <c r="R1140" t="s">
        <v>2912</v>
      </c>
    </row>
    <row r="1141" spans="1:18" x14ac:dyDescent="0.25">
      <c r="A1141" t="s">
        <v>19269</v>
      </c>
      <c r="B1141" t="s">
        <v>2926</v>
      </c>
      <c r="C1141" t="str">
        <f>HYPERLINK("https://nematode.unl.edu/axampl9.jpg")</f>
        <v>https://nematode.unl.edu/axampl9.jpg</v>
      </c>
      <c r="D1141" t="s">
        <v>43</v>
      </c>
      <c r="G1141" t="s">
        <v>96</v>
      </c>
      <c r="H1141" t="s">
        <v>18</v>
      </c>
      <c r="I1141" t="s">
        <v>45</v>
      </c>
      <c r="J1141" t="s">
        <v>20</v>
      </c>
      <c r="M1141" t="s">
        <v>2914</v>
      </c>
      <c r="N1141" t="s">
        <v>2914</v>
      </c>
      <c r="O1141" t="s">
        <v>73</v>
      </c>
      <c r="P1141" t="s">
        <v>81</v>
      </c>
      <c r="Q1141" t="s">
        <v>733</v>
      </c>
      <c r="R1141" t="s">
        <v>2912</v>
      </c>
    </row>
    <row r="1142" spans="1:18" x14ac:dyDescent="0.25">
      <c r="A1142" t="s">
        <v>19302</v>
      </c>
      <c r="B1142" t="s">
        <v>2945</v>
      </c>
      <c r="C1142" t="str">
        <f>HYPERLINK("https://nematode.unl.edu/axmica.jpg")</f>
        <v>https://nematode.unl.edu/axmica.jpg</v>
      </c>
      <c r="D1142" t="s">
        <v>43</v>
      </c>
      <c r="G1142" t="s">
        <v>34</v>
      </c>
      <c r="H1142" t="s">
        <v>18</v>
      </c>
      <c r="I1142" t="s">
        <v>19</v>
      </c>
      <c r="J1142" t="s">
        <v>20</v>
      </c>
      <c r="M1142" t="s">
        <v>2946</v>
      </c>
      <c r="N1142" t="s">
        <v>2946</v>
      </c>
      <c r="O1142" t="s">
        <v>73</v>
      </c>
      <c r="P1142" t="s">
        <v>81</v>
      </c>
      <c r="Q1142" t="s">
        <v>733</v>
      </c>
      <c r="R1142" t="s">
        <v>2912</v>
      </c>
    </row>
    <row r="1143" spans="1:18" x14ac:dyDescent="0.25">
      <c r="A1143" t="s">
        <v>19342</v>
      </c>
      <c r="B1143" t="s">
        <v>2947</v>
      </c>
      <c r="C1143" t="str">
        <f>HYPERLINK("https://nematode.unl.edu/axmica10.jpg")</f>
        <v>https://nematode.unl.edu/axmica10.jpg</v>
      </c>
      <c r="D1143" t="s">
        <v>43</v>
      </c>
      <c r="G1143" t="s">
        <v>51</v>
      </c>
      <c r="I1143" t="s">
        <v>19</v>
      </c>
      <c r="J1143" t="s">
        <v>20</v>
      </c>
      <c r="M1143" t="s">
        <v>2946</v>
      </c>
      <c r="N1143" t="s">
        <v>2946</v>
      </c>
      <c r="O1143" t="s">
        <v>73</v>
      </c>
      <c r="P1143" t="s">
        <v>81</v>
      </c>
      <c r="Q1143" t="s">
        <v>733</v>
      </c>
      <c r="R1143" t="s">
        <v>2912</v>
      </c>
    </row>
    <row r="1144" spans="1:18" x14ac:dyDescent="0.25">
      <c r="A1144" t="s">
        <v>19332</v>
      </c>
      <c r="B1144" t="s">
        <v>2948</v>
      </c>
      <c r="C1144" t="str">
        <f>HYPERLINK("https://nematode.unl.edu/axmica11.jpg")</f>
        <v>https://nematode.unl.edu/axmica11.jpg</v>
      </c>
      <c r="D1144" t="s">
        <v>43</v>
      </c>
      <c r="G1144" t="s">
        <v>28</v>
      </c>
      <c r="I1144" t="s">
        <v>19</v>
      </c>
      <c r="J1144" t="s">
        <v>20</v>
      </c>
      <c r="L1144" t="s">
        <v>352</v>
      </c>
      <c r="M1144" t="s">
        <v>2946</v>
      </c>
      <c r="N1144" t="s">
        <v>2946</v>
      </c>
      <c r="O1144" t="s">
        <v>73</v>
      </c>
      <c r="P1144" t="s">
        <v>81</v>
      </c>
      <c r="Q1144" t="s">
        <v>733</v>
      </c>
      <c r="R1144" t="s">
        <v>2912</v>
      </c>
    </row>
    <row r="1145" spans="1:18" x14ac:dyDescent="0.25">
      <c r="A1145" t="s">
        <v>19320</v>
      </c>
      <c r="B1145" t="s">
        <v>2949</v>
      </c>
      <c r="C1145" t="str">
        <f>HYPERLINK("https://nematode.unl.edu/axmica12.jpg")</f>
        <v>https://nematode.unl.edu/axmica12.jpg</v>
      </c>
      <c r="D1145" t="s">
        <v>43</v>
      </c>
      <c r="G1145" t="s">
        <v>44</v>
      </c>
      <c r="I1145" t="s">
        <v>91</v>
      </c>
      <c r="J1145" t="s">
        <v>20</v>
      </c>
      <c r="L1145" t="s">
        <v>212</v>
      </c>
      <c r="M1145" t="s">
        <v>2946</v>
      </c>
      <c r="N1145" t="s">
        <v>2946</v>
      </c>
      <c r="O1145" t="s">
        <v>73</v>
      </c>
      <c r="P1145" t="s">
        <v>81</v>
      </c>
      <c r="Q1145" t="s">
        <v>733</v>
      </c>
      <c r="R1145" t="s">
        <v>2912</v>
      </c>
    </row>
    <row r="1146" spans="1:18" x14ac:dyDescent="0.25">
      <c r="A1146" t="s">
        <v>19298</v>
      </c>
      <c r="B1146" t="s">
        <v>2950</v>
      </c>
      <c r="C1146" t="str">
        <f>HYPERLINK("https://nematode.unl.edu/axmica13.jpg")</f>
        <v>https://nematode.unl.edu/axmica13.jpg</v>
      </c>
      <c r="D1146" t="s">
        <v>43</v>
      </c>
      <c r="G1146" t="s">
        <v>96</v>
      </c>
      <c r="H1146" t="s">
        <v>18</v>
      </c>
      <c r="I1146" t="s">
        <v>45</v>
      </c>
      <c r="J1146" t="s">
        <v>20</v>
      </c>
      <c r="L1146" t="s">
        <v>138</v>
      </c>
      <c r="M1146" t="s">
        <v>2946</v>
      </c>
      <c r="N1146" t="s">
        <v>2946</v>
      </c>
      <c r="O1146" t="s">
        <v>73</v>
      </c>
      <c r="P1146" t="s">
        <v>81</v>
      </c>
      <c r="Q1146" t="s">
        <v>733</v>
      </c>
      <c r="R1146" t="s">
        <v>2912</v>
      </c>
    </row>
    <row r="1147" spans="1:18" x14ac:dyDescent="0.25">
      <c r="A1147" t="s">
        <v>19330</v>
      </c>
      <c r="B1147" t="s">
        <v>2951</v>
      </c>
      <c r="C1147" t="str">
        <f>HYPERLINK("https://nematode.unl.edu/axmica14.jpg")</f>
        <v>https://nematode.unl.edu/axmica14.jpg</v>
      </c>
      <c r="D1147" t="s">
        <v>43</v>
      </c>
      <c r="G1147" t="s">
        <v>674</v>
      </c>
      <c r="I1147" t="s">
        <v>19</v>
      </c>
      <c r="J1147" t="s">
        <v>20</v>
      </c>
      <c r="L1147" t="s">
        <v>352</v>
      </c>
      <c r="M1147" t="s">
        <v>2946</v>
      </c>
      <c r="N1147" t="s">
        <v>2946</v>
      </c>
      <c r="O1147" t="s">
        <v>73</v>
      </c>
      <c r="P1147" t="s">
        <v>81</v>
      </c>
      <c r="Q1147" t="s">
        <v>733</v>
      </c>
      <c r="R1147" t="s">
        <v>2912</v>
      </c>
    </row>
    <row r="1148" spans="1:18" x14ac:dyDescent="0.25">
      <c r="A1148" t="s">
        <v>19303</v>
      </c>
      <c r="B1148" t="s">
        <v>2952</v>
      </c>
      <c r="C1148" t="str">
        <f>HYPERLINK("https://nematode.unl.edu/axmica15.jpg")</f>
        <v>https://nematode.unl.edu/axmica15.jpg</v>
      </c>
      <c r="D1148" t="s">
        <v>43</v>
      </c>
      <c r="G1148" t="s">
        <v>34</v>
      </c>
      <c r="H1148" t="s">
        <v>18</v>
      </c>
      <c r="I1148" t="s">
        <v>19</v>
      </c>
      <c r="J1148" t="s">
        <v>20</v>
      </c>
      <c r="L1148" t="s">
        <v>138</v>
      </c>
      <c r="M1148" t="s">
        <v>2946</v>
      </c>
      <c r="N1148" t="s">
        <v>2946</v>
      </c>
      <c r="O1148" t="s">
        <v>73</v>
      </c>
      <c r="P1148" t="s">
        <v>81</v>
      </c>
      <c r="Q1148" t="s">
        <v>733</v>
      </c>
      <c r="R1148" t="s">
        <v>2912</v>
      </c>
    </row>
    <row r="1149" spans="1:18" x14ac:dyDescent="0.25">
      <c r="A1149" t="s">
        <v>19321</v>
      </c>
      <c r="B1149" t="s">
        <v>2953</v>
      </c>
      <c r="C1149" t="str">
        <f>HYPERLINK("https://nematode.unl.edu/axmica16.jpg")</f>
        <v>https://nematode.unl.edu/axmica16.jpg</v>
      </c>
      <c r="D1149" t="s">
        <v>43</v>
      </c>
      <c r="G1149" t="s">
        <v>44</v>
      </c>
      <c r="I1149" t="s">
        <v>91</v>
      </c>
      <c r="J1149" t="s">
        <v>20</v>
      </c>
      <c r="M1149" t="s">
        <v>2946</v>
      </c>
      <c r="N1149" t="s">
        <v>2946</v>
      </c>
      <c r="O1149" t="s">
        <v>73</v>
      </c>
      <c r="P1149" t="s">
        <v>81</v>
      </c>
      <c r="Q1149" t="s">
        <v>733</v>
      </c>
      <c r="R1149" t="s">
        <v>2912</v>
      </c>
    </row>
    <row r="1150" spans="1:18" x14ac:dyDescent="0.25">
      <c r="A1150" t="s">
        <v>19343</v>
      </c>
      <c r="B1150" t="s">
        <v>2954</v>
      </c>
      <c r="C1150" t="str">
        <f>HYPERLINK("https://nematode.unl.edu/axmica17.jpg")</f>
        <v>https://nematode.unl.edu/axmica17.jpg</v>
      </c>
      <c r="D1150" t="s">
        <v>43</v>
      </c>
      <c r="G1150" t="s">
        <v>51</v>
      </c>
      <c r="I1150" t="s">
        <v>19</v>
      </c>
      <c r="J1150" t="s">
        <v>20</v>
      </c>
      <c r="M1150" t="s">
        <v>2946</v>
      </c>
      <c r="N1150" t="s">
        <v>2946</v>
      </c>
      <c r="O1150" t="s">
        <v>73</v>
      </c>
      <c r="P1150" t="s">
        <v>81</v>
      </c>
      <c r="Q1150" t="s">
        <v>733</v>
      </c>
      <c r="R1150" t="s">
        <v>2912</v>
      </c>
    </row>
    <row r="1151" spans="1:18" x14ac:dyDescent="0.25">
      <c r="A1151" t="s">
        <v>19304</v>
      </c>
      <c r="B1151" t="s">
        <v>2955</v>
      </c>
      <c r="C1151" t="str">
        <f>HYPERLINK("https://nematode.unl.edu/axmica18.jpg")</f>
        <v>https://nematode.unl.edu/axmica18.jpg</v>
      </c>
      <c r="D1151" t="s">
        <v>43</v>
      </c>
      <c r="G1151" t="s">
        <v>34</v>
      </c>
      <c r="H1151" t="s">
        <v>18</v>
      </c>
      <c r="I1151" t="s">
        <v>19</v>
      </c>
      <c r="J1151" t="s">
        <v>20</v>
      </c>
      <c r="M1151" t="s">
        <v>2946</v>
      </c>
      <c r="N1151" t="s">
        <v>2946</v>
      </c>
      <c r="O1151" t="s">
        <v>73</v>
      </c>
      <c r="P1151" t="s">
        <v>81</v>
      </c>
      <c r="Q1151" t="s">
        <v>733</v>
      </c>
      <c r="R1151" t="s">
        <v>2912</v>
      </c>
    </row>
    <row r="1152" spans="1:18" x14ac:dyDescent="0.25">
      <c r="A1152" t="s">
        <v>19305</v>
      </c>
      <c r="B1152" t="s">
        <v>2956</v>
      </c>
      <c r="C1152" t="str">
        <f>HYPERLINK("https://nematode.unl.edu/axmica19.jpg")</f>
        <v>https://nematode.unl.edu/axmica19.jpg</v>
      </c>
      <c r="D1152" t="s">
        <v>43</v>
      </c>
      <c r="G1152" t="s">
        <v>34</v>
      </c>
      <c r="H1152" t="s">
        <v>18</v>
      </c>
      <c r="I1152" t="s">
        <v>19</v>
      </c>
      <c r="J1152" t="s">
        <v>20</v>
      </c>
      <c r="L1152" t="s">
        <v>141</v>
      </c>
      <c r="M1152" t="s">
        <v>2946</v>
      </c>
      <c r="N1152" t="s">
        <v>2946</v>
      </c>
      <c r="O1152" t="s">
        <v>73</v>
      </c>
      <c r="P1152" t="s">
        <v>81</v>
      </c>
      <c r="Q1152" t="s">
        <v>733</v>
      </c>
      <c r="R1152" t="s">
        <v>2912</v>
      </c>
    </row>
    <row r="1153" spans="1:18" x14ac:dyDescent="0.25">
      <c r="A1153" t="s">
        <v>19331</v>
      </c>
      <c r="B1153" t="s">
        <v>2957</v>
      </c>
      <c r="C1153" t="str">
        <f>HYPERLINK("https://nematode.unl.edu/axmica2.jpg")</f>
        <v>https://nematode.unl.edu/axmica2.jpg</v>
      </c>
      <c r="D1153" t="s">
        <v>43</v>
      </c>
      <c r="G1153" t="s">
        <v>674</v>
      </c>
      <c r="I1153" t="s">
        <v>19</v>
      </c>
      <c r="J1153" t="s">
        <v>20</v>
      </c>
      <c r="L1153" t="s">
        <v>85</v>
      </c>
      <c r="M1153" t="s">
        <v>2946</v>
      </c>
      <c r="N1153" t="s">
        <v>2946</v>
      </c>
      <c r="O1153" t="s">
        <v>73</v>
      </c>
      <c r="P1153" t="s">
        <v>81</v>
      </c>
      <c r="Q1153" t="s">
        <v>733</v>
      </c>
      <c r="R1153" t="s">
        <v>2912</v>
      </c>
    </row>
    <row r="1154" spans="1:18" x14ac:dyDescent="0.25">
      <c r="A1154" t="s">
        <v>19327</v>
      </c>
      <c r="B1154" t="s">
        <v>2958</v>
      </c>
      <c r="C1154" t="str">
        <f>HYPERLINK("https://nematode.unl.edu/axmica20.jpg")</f>
        <v>https://nematode.unl.edu/axmica20.jpg</v>
      </c>
      <c r="D1154" t="s">
        <v>43</v>
      </c>
      <c r="G1154" t="s">
        <v>2959</v>
      </c>
      <c r="I1154" t="s">
        <v>19</v>
      </c>
      <c r="J1154" t="s">
        <v>20</v>
      </c>
      <c r="L1154" t="s">
        <v>352</v>
      </c>
      <c r="M1154" t="s">
        <v>2946</v>
      </c>
      <c r="N1154" t="s">
        <v>2946</v>
      </c>
      <c r="O1154" t="s">
        <v>73</v>
      </c>
      <c r="P1154" t="s">
        <v>81</v>
      </c>
      <c r="Q1154" t="s">
        <v>733</v>
      </c>
      <c r="R1154" t="s">
        <v>2912</v>
      </c>
    </row>
    <row r="1155" spans="1:18" x14ac:dyDescent="0.25">
      <c r="A1155" t="s">
        <v>19316</v>
      </c>
      <c r="B1155" t="s">
        <v>2960</v>
      </c>
      <c r="C1155" t="str">
        <f>HYPERLINK("https://nematode.unl.edu/axmica21.jpg")</f>
        <v>https://nematode.unl.edu/axmica21.jpg</v>
      </c>
      <c r="D1155" t="s">
        <v>43</v>
      </c>
      <c r="G1155" t="s">
        <v>87</v>
      </c>
      <c r="I1155" t="s">
        <v>19</v>
      </c>
      <c r="J1155" t="s">
        <v>20</v>
      </c>
      <c r="L1155" t="s">
        <v>141</v>
      </c>
      <c r="M1155" t="s">
        <v>2946</v>
      </c>
      <c r="N1155" t="s">
        <v>2946</v>
      </c>
      <c r="O1155" t="s">
        <v>73</v>
      </c>
      <c r="P1155" t="s">
        <v>81</v>
      </c>
      <c r="Q1155" t="s">
        <v>733</v>
      </c>
      <c r="R1155" t="s">
        <v>2912</v>
      </c>
    </row>
    <row r="1156" spans="1:18" x14ac:dyDescent="0.25">
      <c r="A1156" t="s">
        <v>19344</v>
      </c>
      <c r="B1156" t="s">
        <v>2961</v>
      </c>
      <c r="C1156" t="str">
        <f>HYPERLINK("https://nematode.unl.edu/axmica22.jpg")</f>
        <v>https://nematode.unl.edu/axmica22.jpg</v>
      </c>
      <c r="D1156" t="s">
        <v>43</v>
      </c>
      <c r="G1156" t="s">
        <v>51</v>
      </c>
      <c r="I1156" t="s">
        <v>19</v>
      </c>
      <c r="J1156" t="s">
        <v>20</v>
      </c>
      <c r="L1156" t="s">
        <v>141</v>
      </c>
      <c r="M1156" t="s">
        <v>2946</v>
      </c>
      <c r="N1156" t="s">
        <v>2946</v>
      </c>
      <c r="O1156" t="s">
        <v>73</v>
      </c>
      <c r="P1156" t="s">
        <v>81</v>
      </c>
      <c r="Q1156" t="s">
        <v>733</v>
      </c>
      <c r="R1156" t="s">
        <v>2912</v>
      </c>
    </row>
    <row r="1157" spans="1:18" x14ac:dyDescent="0.25">
      <c r="A1157" t="s">
        <v>19333</v>
      </c>
      <c r="B1157" t="s">
        <v>2962</v>
      </c>
      <c r="C1157" t="str">
        <f>HYPERLINK("https://nematode.unl.edu/axmica23.jpg")</f>
        <v>https://nematode.unl.edu/axmica23.jpg</v>
      </c>
      <c r="D1157" t="s">
        <v>43</v>
      </c>
      <c r="G1157" t="s">
        <v>28</v>
      </c>
      <c r="I1157" t="s">
        <v>19</v>
      </c>
      <c r="J1157" t="s">
        <v>20</v>
      </c>
      <c r="M1157" t="s">
        <v>2946</v>
      </c>
      <c r="N1157" t="s">
        <v>2946</v>
      </c>
      <c r="O1157" t="s">
        <v>73</v>
      </c>
      <c r="P1157" t="s">
        <v>81</v>
      </c>
      <c r="Q1157" t="s">
        <v>733</v>
      </c>
      <c r="R1157" t="s">
        <v>2912</v>
      </c>
    </row>
    <row r="1158" spans="1:18" x14ac:dyDescent="0.25">
      <c r="A1158" t="s">
        <v>19326</v>
      </c>
      <c r="B1158" t="s">
        <v>2963</v>
      </c>
      <c r="C1158" t="str">
        <f>HYPERLINK("https://nematode.unl.edu/axmica24.jpg")</f>
        <v>https://nematode.unl.edu/axmica24.jpg</v>
      </c>
      <c r="D1158" t="s">
        <v>43</v>
      </c>
      <c r="G1158" t="s">
        <v>2964</v>
      </c>
      <c r="I1158" t="s">
        <v>45</v>
      </c>
      <c r="J1158" t="s">
        <v>20</v>
      </c>
      <c r="L1158" t="s">
        <v>138</v>
      </c>
      <c r="M1158" t="s">
        <v>2946</v>
      </c>
      <c r="N1158" t="s">
        <v>2946</v>
      </c>
      <c r="O1158" t="s">
        <v>73</v>
      </c>
      <c r="P1158" t="s">
        <v>81</v>
      </c>
      <c r="Q1158" t="s">
        <v>733</v>
      </c>
      <c r="R1158" t="s">
        <v>2912</v>
      </c>
    </row>
    <row r="1159" spans="1:18" x14ac:dyDescent="0.25">
      <c r="A1159" t="s">
        <v>19322</v>
      </c>
      <c r="B1159" t="s">
        <v>2965</v>
      </c>
      <c r="C1159" t="str">
        <f>HYPERLINK("https://nematode.unl.edu/axmica25.jpg")</f>
        <v>https://nematode.unl.edu/axmica25.jpg</v>
      </c>
      <c r="D1159" t="s">
        <v>43</v>
      </c>
      <c r="G1159" t="s">
        <v>44</v>
      </c>
      <c r="I1159" t="s">
        <v>45</v>
      </c>
      <c r="J1159" t="s">
        <v>20</v>
      </c>
      <c r="L1159" t="s">
        <v>173</v>
      </c>
      <c r="M1159" t="s">
        <v>2946</v>
      </c>
      <c r="N1159" t="s">
        <v>2946</v>
      </c>
      <c r="O1159" t="s">
        <v>73</v>
      </c>
      <c r="P1159" t="s">
        <v>81</v>
      </c>
      <c r="Q1159" t="s">
        <v>733</v>
      </c>
      <c r="R1159" t="s">
        <v>2912</v>
      </c>
    </row>
    <row r="1160" spans="1:18" x14ac:dyDescent="0.25">
      <c r="A1160" t="s">
        <v>19306</v>
      </c>
      <c r="B1160" t="s">
        <v>2966</v>
      </c>
      <c r="C1160" t="str">
        <f>HYPERLINK("https://nematode.unl.edu/axmica26.jpg")</f>
        <v>https://nematode.unl.edu/axmica26.jpg</v>
      </c>
      <c r="D1160" t="s">
        <v>43</v>
      </c>
      <c r="G1160" t="s">
        <v>34</v>
      </c>
      <c r="H1160" t="s">
        <v>18</v>
      </c>
      <c r="I1160" t="s">
        <v>19</v>
      </c>
      <c r="J1160" t="s">
        <v>20</v>
      </c>
      <c r="L1160" t="s">
        <v>173</v>
      </c>
      <c r="M1160" t="s">
        <v>2946</v>
      </c>
      <c r="N1160" t="s">
        <v>2946</v>
      </c>
      <c r="O1160" t="s">
        <v>73</v>
      </c>
      <c r="P1160" t="s">
        <v>81</v>
      </c>
      <c r="Q1160" t="s">
        <v>733</v>
      </c>
      <c r="R1160" t="s">
        <v>2912</v>
      </c>
    </row>
    <row r="1161" spans="1:18" x14ac:dyDescent="0.25">
      <c r="A1161" t="s">
        <v>19317</v>
      </c>
      <c r="B1161" t="s">
        <v>2967</v>
      </c>
      <c r="C1161" t="str">
        <f>HYPERLINK("https://nematode.unl.edu/axmica27.jpg")</f>
        <v>https://nematode.unl.edu/axmica27.jpg</v>
      </c>
      <c r="D1161" t="s">
        <v>43</v>
      </c>
      <c r="G1161" t="s">
        <v>87</v>
      </c>
      <c r="I1161" t="s">
        <v>19</v>
      </c>
      <c r="J1161" t="s">
        <v>20</v>
      </c>
      <c r="L1161" t="s">
        <v>173</v>
      </c>
      <c r="M1161" t="s">
        <v>2946</v>
      </c>
      <c r="N1161" t="s">
        <v>2946</v>
      </c>
      <c r="O1161" t="s">
        <v>73</v>
      </c>
      <c r="P1161" t="s">
        <v>81</v>
      </c>
      <c r="Q1161" t="s">
        <v>733</v>
      </c>
      <c r="R1161" t="s">
        <v>2912</v>
      </c>
    </row>
    <row r="1162" spans="1:18" x14ac:dyDescent="0.25">
      <c r="A1162" t="s">
        <v>19345</v>
      </c>
      <c r="B1162" t="s">
        <v>2968</v>
      </c>
      <c r="C1162" t="str">
        <f>HYPERLINK("https://nematode.unl.edu/axmica28.jpg")</f>
        <v>https://nematode.unl.edu/axmica28.jpg</v>
      </c>
      <c r="D1162" t="s">
        <v>43</v>
      </c>
      <c r="G1162" t="s">
        <v>51</v>
      </c>
      <c r="I1162" t="s">
        <v>19</v>
      </c>
      <c r="J1162" t="s">
        <v>20</v>
      </c>
      <c r="L1162" t="s">
        <v>173</v>
      </c>
      <c r="M1162" t="s">
        <v>2946</v>
      </c>
      <c r="N1162" t="s">
        <v>2946</v>
      </c>
      <c r="O1162" t="s">
        <v>73</v>
      </c>
      <c r="P1162" t="s">
        <v>81</v>
      </c>
      <c r="Q1162" t="s">
        <v>733</v>
      </c>
      <c r="R1162" t="s">
        <v>2912</v>
      </c>
    </row>
    <row r="1163" spans="1:18" x14ac:dyDescent="0.25">
      <c r="A1163" t="s">
        <v>19328</v>
      </c>
      <c r="B1163" t="s">
        <v>2969</v>
      </c>
      <c r="C1163" t="str">
        <f>HYPERLINK("https://nematode.unl.edu/axmica29.jpg")</f>
        <v>https://nematode.unl.edu/axmica29.jpg</v>
      </c>
      <c r="D1163" t="s">
        <v>43</v>
      </c>
      <c r="G1163" t="s">
        <v>1000</v>
      </c>
      <c r="I1163" t="s">
        <v>19</v>
      </c>
      <c r="J1163" t="s">
        <v>20</v>
      </c>
      <c r="L1163" t="s">
        <v>138</v>
      </c>
      <c r="M1163" t="s">
        <v>2946</v>
      </c>
      <c r="N1163" t="s">
        <v>2946</v>
      </c>
      <c r="O1163" t="s">
        <v>73</v>
      </c>
      <c r="P1163" t="s">
        <v>81</v>
      </c>
      <c r="Q1163" t="s">
        <v>733</v>
      </c>
      <c r="R1163" t="s">
        <v>2912</v>
      </c>
    </row>
    <row r="1164" spans="1:18" x14ac:dyDescent="0.25">
      <c r="A1164" t="s">
        <v>19346</v>
      </c>
      <c r="B1164" t="s">
        <v>2970</v>
      </c>
      <c r="C1164" t="str">
        <f>HYPERLINK("https://nematode.unl.edu/axmica3.jpg")</f>
        <v>https://nematode.unl.edu/axmica3.jpg</v>
      </c>
      <c r="D1164" t="s">
        <v>43</v>
      </c>
      <c r="G1164" t="s">
        <v>51</v>
      </c>
      <c r="I1164" t="s">
        <v>19</v>
      </c>
      <c r="J1164" t="s">
        <v>20</v>
      </c>
      <c r="M1164" t="s">
        <v>2946</v>
      </c>
      <c r="N1164" t="s">
        <v>2946</v>
      </c>
      <c r="O1164" t="s">
        <v>73</v>
      </c>
      <c r="P1164" t="s">
        <v>81</v>
      </c>
      <c r="Q1164" t="s">
        <v>733</v>
      </c>
      <c r="R1164" t="s">
        <v>2912</v>
      </c>
    </row>
    <row r="1165" spans="1:18" x14ac:dyDescent="0.25">
      <c r="A1165" t="s">
        <v>19334</v>
      </c>
      <c r="B1165" t="s">
        <v>2971</v>
      </c>
      <c r="C1165" t="str">
        <f>HYPERLINK("https://nematode.unl.edu/axmica30.jpg")</f>
        <v>https://nematode.unl.edu/axmica30.jpg</v>
      </c>
      <c r="D1165" t="s">
        <v>43</v>
      </c>
      <c r="G1165" t="s">
        <v>28</v>
      </c>
      <c r="I1165" t="s">
        <v>19</v>
      </c>
      <c r="J1165" t="s">
        <v>20</v>
      </c>
      <c r="L1165" t="s">
        <v>138</v>
      </c>
      <c r="M1165" t="s">
        <v>2946</v>
      </c>
      <c r="N1165" t="s">
        <v>2946</v>
      </c>
      <c r="O1165" t="s">
        <v>73</v>
      </c>
      <c r="P1165" t="s">
        <v>81</v>
      </c>
      <c r="Q1165" t="s">
        <v>733</v>
      </c>
      <c r="R1165" t="s">
        <v>2912</v>
      </c>
    </row>
    <row r="1166" spans="1:18" x14ac:dyDescent="0.25">
      <c r="A1166" t="s">
        <v>19307</v>
      </c>
      <c r="B1166" t="s">
        <v>2972</v>
      </c>
      <c r="C1166" t="str">
        <f>HYPERLINK("https://nematode.unl.edu/axmica31.jpg")</f>
        <v>https://nematode.unl.edu/axmica31.jpg</v>
      </c>
      <c r="D1166" t="s">
        <v>43</v>
      </c>
      <c r="G1166" t="s">
        <v>34</v>
      </c>
      <c r="H1166" t="s">
        <v>18</v>
      </c>
      <c r="I1166" t="s">
        <v>19</v>
      </c>
      <c r="J1166" t="s">
        <v>20</v>
      </c>
      <c r="L1166" t="s">
        <v>85</v>
      </c>
      <c r="M1166" t="s">
        <v>2946</v>
      </c>
      <c r="N1166" t="s">
        <v>2946</v>
      </c>
      <c r="O1166" t="s">
        <v>73</v>
      </c>
      <c r="P1166" t="s">
        <v>81</v>
      </c>
      <c r="Q1166" t="s">
        <v>733</v>
      </c>
      <c r="R1166" t="s">
        <v>2912</v>
      </c>
    </row>
    <row r="1167" spans="1:18" x14ac:dyDescent="0.25">
      <c r="A1167" t="s">
        <v>19314</v>
      </c>
      <c r="B1167" t="s">
        <v>2973</v>
      </c>
      <c r="C1167" t="str">
        <f>HYPERLINK("https://nematode.unl.edu/axmica32.jpg")</f>
        <v>https://nematode.unl.edu/axmica32.jpg</v>
      </c>
      <c r="D1167" t="s">
        <v>43</v>
      </c>
      <c r="G1167" t="s">
        <v>2974</v>
      </c>
      <c r="I1167" t="s">
        <v>19</v>
      </c>
      <c r="J1167" t="s">
        <v>20</v>
      </c>
      <c r="L1167" t="s">
        <v>35</v>
      </c>
      <c r="M1167" t="s">
        <v>2946</v>
      </c>
      <c r="N1167" t="s">
        <v>2946</v>
      </c>
      <c r="O1167" t="s">
        <v>73</v>
      </c>
      <c r="P1167" t="s">
        <v>81</v>
      </c>
      <c r="Q1167" t="s">
        <v>733</v>
      </c>
      <c r="R1167" t="s">
        <v>2912</v>
      </c>
    </row>
    <row r="1168" spans="1:18" x14ac:dyDescent="0.25">
      <c r="A1168" t="s">
        <v>19318</v>
      </c>
      <c r="B1168" t="s">
        <v>2975</v>
      </c>
      <c r="C1168" t="str">
        <f>HYPERLINK("https://nematode.unl.edu/axmica33.jpg")</f>
        <v>https://nematode.unl.edu/axmica33.jpg</v>
      </c>
      <c r="D1168" t="s">
        <v>43</v>
      </c>
      <c r="G1168" t="s">
        <v>87</v>
      </c>
      <c r="I1168" t="s">
        <v>19</v>
      </c>
      <c r="J1168" t="s">
        <v>20</v>
      </c>
      <c r="L1168" t="s">
        <v>85</v>
      </c>
      <c r="M1168" t="s">
        <v>2946</v>
      </c>
      <c r="N1168" t="s">
        <v>2946</v>
      </c>
      <c r="O1168" t="s">
        <v>73</v>
      </c>
      <c r="P1168" t="s">
        <v>81</v>
      </c>
      <c r="Q1168" t="s">
        <v>733</v>
      </c>
      <c r="R1168" t="s">
        <v>2912</v>
      </c>
    </row>
    <row r="1169" spans="1:18" x14ac:dyDescent="0.25">
      <c r="A1169" t="s">
        <v>19347</v>
      </c>
      <c r="B1169" t="s">
        <v>2976</v>
      </c>
      <c r="C1169" t="str">
        <f>HYPERLINK("https://nematode.unl.edu/axmica34.jpg")</f>
        <v>https://nematode.unl.edu/axmica34.jpg</v>
      </c>
      <c r="D1169" t="s">
        <v>43</v>
      </c>
      <c r="G1169" t="s">
        <v>51</v>
      </c>
      <c r="I1169" t="s">
        <v>19</v>
      </c>
      <c r="J1169" t="s">
        <v>20</v>
      </c>
      <c r="L1169" t="s">
        <v>35</v>
      </c>
      <c r="M1169" t="s">
        <v>2946</v>
      </c>
      <c r="N1169" t="s">
        <v>2946</v>
      </c>
      <c r="O1169" t="s">
        <v>73</v>
      </c>
      <c r="P1169" t="s">
        <v>81</v>
      </c>
      <c r="Q1169" t="s">
        <v>733</v>
      </c>
      <c r="R1169" t="s">
        <v>2912</v>
      </c>
    </row>
    <row r="1170" spans="1:18" x14ac:dyDescent="0.25">
      <c r="A1170" t="s">
        <v>19335</v>
      </c>
      <c r="B1170" t="s">
        <v>2977</v>
      </c>
      <c r="C1170" t="str">
        <f>HYPERLINK("https://nematode.unl.edu/axmica35.jpg")</f>
        <v>https://nematode.unl.edu/axmica35.jpg</v>
      </c>
      <c r="D1170" t="s">
        <v>43</v>
      </c>
      <c r="G1170" t="s">
        <v>28</v>
      </c>
      <c r="I1170" t="s">
        <v>19</v>
      </c>
      <c r="J1170" t="s">
        <v>20</v>
      </c>
      <c r="M1170" t="s">
        <v>2946</v>
      </c>
      <c r="N1170" t="s">
        <v>2946</v>
      </c>
      <c r="O1170" t="s">
        <v>73</v>
      </c>
      <c r="P1170" t="s">
        <v>81</v>
      </c>
      <c r="Q1170" t="s">
        <v>733</v>
      </c>
      <c r="R1170" t="s">
        <v>2912</v>
      </c>
    </row>
    <row r="1171" spans="1:18" x14ac:dyDescent="0.25">
      <c r="A1171" t="s">
        <v>19336</v>
      </c>
      <c r="B1171" t="s">
        <v>2978</v>
      </c>
      <c r="C1171" t="str">
        <f>HYPERLINK("https://nematode.unl.edu/axmica36.jpg")</f>
        <v>https://nematode.unl.edu/axmica36.jpg</v>
      </c>
      <c r="D1171" t="s">
        <v>43</v>
      </c>
      <c r="G1171" t="s">
        <v>28</v>
      </c>
      <c r="I1171" t="s">
        <v>19</v>
      </c>
      <c r="J1171" t="s">
        <v>20</v>
      </c>
      <c r="M1171" t="s">
        <v>2946</v>
      </c>
      <c r="N1171" t="s">
        <v>2946</v>
      </c>
      <c r="O1171" t="s">
        <v>73</v>
      </c>
      <c r="P1171" t="s">
        <v>81</v>
      </c>
      <c r="Q1171" t="s">
        <v>733</v>
      </c>
      <c r="R1171" t="s">
        <v>2912</v>
      </c>
    </row>
    <row r="1172" spans="1:18" x14ac:dyDescent="0.25">
      <c r="A1172" t="s">
        <v>19348</v>
      </c>
      <c r="B1172" t="s">
        <v>2979</v>
      </c>
      <c r="C1172" t="str">
        <f>HYPERLINK("https://nematode.unl.edu/axmica37.jpg")</f>
        <v>https://nematode.unl.edu/axmica37.jpg</v>
      </c>
      <c r="D1172" t="s">
        <v>43</v>
      </c>
      <c r="G1172" t="s">
        <v>51</v>
      </c>
      <c r="I1172" t="s">
        <v>19</v>
      </c>
      <c r="J1172" t="s">
        <v>20</v>
      </c>
      <c r="L1172" t="s">
        <v>141</v>
      </c>
      <c r="M1172" t="s">
        <v>2946</v>
      </c>
      <c r="N1172" t="s">
        <v>2946</v>
      </c>
      <c r="O1172" t="s">
        <v>73</v>
      </c>
      <c r="P1172" t="s">
        <v>81</v>
      </c>
      <c r="Q1172" t="s">
        <v>733</v>
      </c>
      <c r="R1172" t="s">
        <v>2912</v>
      </c>
    </row>
    <row r="1173" spans="1:18" x14ac:dyDescent="0.25">
      <c r="A1173" t="s">
        <v>19300</v>
      </c>
      <c r="B1173" t="s">
        <v>2980</v>
      </c>
      <c r="C1173" t="str">
        <f>HYPERLINK("https://nematode.unl.edu/axmica38.jpg")</f>
        <v>https://nematode.unl.edu/axmica38.jpg</v>
      </c>
      <c r="D1173" t="s">
        <v>43</v>
      </c>
      <c r="G1173" t="s">
        <v>17</v>
      </c>
      <c r="H1173" t="s">
        <v>18</v>
      </c>
      <c r="I1173" t="s">
        <v>19</v>
      </c>
      <c r="J1173" t="s">
        <v>20</v>
      </c>
      <c r="L1173" t="s">
        <v>141</v>
      </c>
      <c r="M1173" t="s">
        <v>2946</v>
      </c>
      <c r="N1173" t="s">
        <v>2946</v>
      </c>
      <c r="O1173" t="s">
        <v>73</v>
      </c>
      <c r="P1173" t="s">
        <v>81</v>
      </c>
      <c r="Q1173" t="s">
        <v>733</v>
      </c>
      <c r="R1173" t="s">
        <v>2912</v>
      </c>
    </row>
    <row r="1174" spans="1:18" x14ac:dyDescent="0.25">
      <c r="A1174" t="s">
        <v>19308</v>
      </c>
      <c r="B1174" t="s">
        <v>2981</v>
      </c>
      <c r="C1174" t="str">
        <f>HYPERLINK("https://nematode.unl.edu/axmica39.jpg")</f>
        <v>https://nematode.unl.edu/axmica39.jpg</v>
      </c>
      <c r="D1174" t="s">
        <v>43</v>
      </c>
      <c r="G1174" t="s">
        <v>34</v>
      </c>
      <c r="H1174" t="s">
        <v>18</v>
      </c>
      <c r="I1174" t="s">
        <v>19</v>
      </c>
      <c r="J1174" t="s">
        <v>20</v>
      </c>
      <c r="M1174" t="s">
        <v>2946</v>
      </c>
      <c r="N1174" t="s">
        <v>2946</v>
      </c>
      <c r="O1174" t="s">
        <v>73</v>
      </c>
      <c r="P1174" t="s">
        <v>81</v>
      </c>
      <c r="Q1174" t="s">
        <v>733</v>
      </c>
      <c r="R1174" t="s">
        <v>2912</v>
      </c>
    </row>
    <row r="1175" spans="1:18" x14ac:dyDescent="0.25">
      <c r="A1175" t="s">
        <v>19319</v>
      </c>
      <c r="B1175" t="s">
        <v>2982</v>
      </c>
      <c r="C1175" t="str">
        <f>HYPERLINK("https://nematode.unl.edu/axmica4.jpg")</f>
        <v>https://nematode.unl.edu/axmica4.jpg</v>
      </c>
      <c r="D1175" t="s">
        <v>43</v>
      </c>
      <c r="G1175" t="s">
        <v>87</v>
      </c>
      <c r="I1175" t="s">
        <v>19</v>
      </c>
      <c r="J1175" t="s">
        <v>20</v>
      </c>
      <c r="M1175" t="s">
        <v>2946</v>
      </c>
      <c r="N1175" t="s">
        <v>2946</v>
      </c>
      <c r="O1175" t="s">
        <v>73</v>
      </c>
      <c r="P1175" t="s">
        <v>81</v>
      </c>
      <c r="Q1175" t="s">
        <v>733</v>
      </c>
      <c r="R1175" t="s">
        <v>2912</v>
      </c>
    </row>
    <row r="1176" spans="1:18" x14ac:dyDescent="0.25">
      <c r="A1176" t="s">
        <v>19309</v>
      </c>
      <c r="B1176" t="s">
        <v>2983</v>
      </c>
      <c r="C1176" t="str">
        <f>HYPERLINK("https://nematode.unl.edu/axmica40.jpg")</f>
        <v>https://nematode.unl.edu/axmica40.jpg</v>
      </c>
      <c r="D1176" t="s">
        <v>16</v>
      </c>
      <c r="G1176" t="s">
        <v>34</v>
      </c>
      <c r="H1176" t="s">
        <v>18</v>
      </c>
      <c r="I1176" t="s">
        <v>137</v>
      </c>
      <c r="J1176" t="s">
        <v>20</v>
      </c>
      <c r="M1176" t="s">
        <v>2946</v>
      </c>
      <c r="N1176" t="s">
        <v>2946</v>
      </c>
      <c r="O1176" t="s">
        <v>73</v>
      </c>
      <c r="P1176" t="s">
        <v>81</v>
      </c>
      <c r="Q1176" t="s">
        <v>733</v>
      </c>
      <c r="R1176" t="s">
        <v>2912</v>
      </c>
    </row>
    <row r="1177" spans="1:18" x14ac:dyDescent="0.25">
      <c r="A1177" t="s">
        <v>19337</v>
      </c>
      <c r="B1177" t="s">
        <v>2984</v>
      </c>
      <c r="C1177" t="str">
        <f>HYPERLINK("https://nematode.unl.edu/axmica41.jpg")</f>
        <v>https://nematode.unl.edu/axmica41.jpg</v>
      </c>
      <c r="D1177" t="s">
        <v>16</v>
      </c>
      <c r="G1177" t="s">
        <v>28</v>
      </c>
      <c r="I1177" t="s">
        <v>137</v>
      </c>
      <c r="J1177" t="s">
        <v>20</v>
      </c>
      <c r="L1177" t="s">
        <v>35</v>
      </c>
      <c r="M1177" t="s">
        <v>2946</v>
      </c>
      <c r="N1177" t="s">
        <v>2946</v>
      </c>
      <c r="O1177" t="s">
        <v>73</v>
      </c>
      <c r="P1177" t="s">
        <v>81</v>
      </c>
      <c r="Q1177" t="s">
        <v>733</v>
      </c>
      <c r="R1177" t="s">
        <v>2912</v>
      </c>
    </row>
    <row r="1178" spans="1:18" x14ac:dyDescent="0.25">
      <c r="A1178" t="s">
        <v>19323</v>
      </c>
      <c r="B1178" t="s">
        <v>2985</v>
      </c>
      <c r="C1178" t="str">
        <f>HYPERLINK("https://nematode.unl.edu/axmica42.jpg")</f>
        <v>https://nematode.unl.edu/axmica42.jpg</v>
      </c>
      <c r="D1178" t="s">
        <v>43</v>
      </c>
      <c r="G1178" t="s">
        <v>44</v>
      </c>
      <c r="I1178" t="s">
        <v>91</v>
      </c>
      <c r="J1178" t="s">
        <v>20</v>
      </c>
      <c r="L1178" t="s">
        <v>85</v>
      </c>
      <c r="M1178" t="s">
        <v>2946</v>
      </c>
      <c r="N1178" t="s">
        <v>2946</v>
      </c>
      <c r="O1178" t="s">
        <v>73</v>
      </c>
      <c r="P1178" t="s">
        <v>81</v>
      </c>
      <c r="Q1178" t="s">
        <v>733</v>
      </c>
      <c r="R1178" t="s">
        <v>2912</v>
      </c>
    </row>
    <row r="1179" spans="1:18" x14ac:dyDescent="0.25">
      <c r="A1179" t="s">
        <v>19310</v>
      </c>
      <c r="B1179" t="s">
        <v>2986</v>
      </c>
      <c r="C1179" t="str">
        <f>HYPERLINK("https://nematode.unl.edu/axmica43.jpg")</f>
        <v>https://nematode.unl.edu/axmica43.jpg</v>
      </c>
      <c r="D1179" t="s">
        <v>43</v>
      </c>
      <c r="G1179" t="s">
        <v>34</v>
      </c>
      <c r="H1179" t="s">
        <v>18</v>
      </c>
      <c r="I1179" t="s">
        <v>19</v>
      </c>
      <c r="J1179" t="s">
        <v>20</v>
      </c>
      <c r="M1179" t="s">
        <v>2946</v>
      </c>
      <c r="N1179" t="s">
        <v>2946</v>
      </c>
      <c r="O1179" t="s">
        <v>73</v>
      </c>
      <c r="P1179" t="s">
        <v>81</v>
      </c>
      <c r="Q1179" t="s">
        <v>733</v>
      </c>
      <c r="R1179" t="s">
        <v>2912</v>
      </c>
    </row>
    <row r="1180" spans="1:18" x14ac:dyDescent="0.25">
      <c r="A1180" t="s">
        <v>19349</v>
      </c>
      <c r="B1180" t="s">
        <v>2987</v>
      </c>
      <c r="C1180" t="str">
        <f>HYPERLINK("https://nematode.unl.edu/axmica44.jpg")</f>
        <v>https://nematode.unl.edu/axmica44.jpg</v>
      </c>
      <c r="D1180" t="s">
        <v>43</v>
      </c>
      <c r="G1180" t="s">
        <v>51</v>
      </c>
      <c r="I1180" t="s">
        <v>137</v>
      </c>
      <c r="J1180" t="s">
        <v>20</v>
      </c>
      <c r="L1180" t="s">
        <v>85</v>
      </c>
      <c r="M1180" t="s">
        <v>2946</v>
      </c>
      <c r="N1180" t="s">
        <v>2946</v>
      </c>
      <c r="O1180" t="s">
        <v>73</v>
      </c>
      <c r="P1180" t="s">
        <v>81</v>
      </c>
      <c r="Q1180" t="s">
        <v>733</v>
      </c>
      <c r="R1180" t="s">
        <v>2912</v>
      </c>
    </row>
    <row r="1181" spans="1:18" x14ac:dyDescent="0.25">
      <c r="A1181" t="s">
        <v>19338</v>
      </c>
      <c r="B1181" t="s">
        <v>2988</v>
      </c>
      <c r="C1181" t="str">
        <f>HYPERLINK("https://nematode.unl.edu/axmica45.jpg")</f>
        <v>https://nematode.unl.edu/axmica45.jpg</v>
      </c>
      <c r="D1181" t="s">
        <v>43</v>
      </c>
      <c r="G1181" t="s">
        <v>28</v>
      </c>
      <c r="I1181" t="s">
        <v>19</v>
      </c>
      <c r="J1181" t="s">
        <v>20</v>
      </c>
      <c r="M1181" t="s">
        <v>2946</v>
      </c>
      <c r="N1181" t="s">
        <v>2946</v>
      </c>
      <c r="O1181" t="s">
        <v>73</v>
      </c>
      <c r="P1181" t="s">
        <v>81</v>
      </c>
      <c r="Q1181" t="s">
        <v>733</v>
      </c>
      <c r="R1181" t="s">
        <v>2912</v>
      </c>
    </row>
    <row r="1182" spans="1:18" x14ac:dyDescent="0.25">
      <c r="A1182" t="s">
        <v>19339</v>
      </c>
      <c r="B1182" t="s">
        <v>2989</v>
      </c>
      <c r="C1182" t="str">
        <f>HYPERLINK("https://nematode.unl.edu/axmica5.jpg")</f>
        <v>https://nematode.unl.edu/axmica5.jpg</v>
      </c>
      <c r="D1182" t="s">
        <v>43</v>
      </c>
      <c r="G1182" t="s">
        <v>28</v>
      </c>
      <c r="I1182" t="s">
        <v>19</v>
      </c>
      <c r="J1182" t="s">
        <v>20</v>
      </c>
      <c r="L1182" t="s">
        <v>85</v>
      </c>
      <c r="M1182" t="s">
        <v>2946</v>
      </c>
      <c r="N1182" t="s">
        <v>2946</v>
      </c>
      <c r="O1182" t="s">
        <v>73</v>
      </c>
      <c r="P1182" t="s">
        <v>81</v>
      </c>
      <c r="Q1182" t="s">
        <v>733</v>
      </c>
      <c r="R1182" t="s">
        <v>2912</v>
      </c>
    </row>
    <row r="1183" spans="1:18" x14ac:dyDescent="0.25">
      <c r="A1183" t="s">
        <v>19350</v>
      </c>
      <c r="B1183" t="s">
        <v>2990</v>
      </c>
      <c r="C1183" t="str">
        <f>HYPERLINK("https://nematode.unl.edu/axmica6.jpg")</f>
        <v>https://nematode.unl.edu/axmica6.jpg</v>
      </c>
      <c r="D1183" t="s">
        <v>43</v>
      </c>
      <c r="G1183" t="s">
        <v>51</v>
      </c>
      <c r="I1183" t="s">
        <v>45</v>
      </c>
      <c r="J1183" t="s">
        <v>20</v>
      </c>
      <c r="M1183" t="s">
        <v>2946</v>
      </c>
      <c r="N1183" t="s">
        <v>2946</v>
      </c>
      <c r="O1183" t="s">
        <v>73</v>
      </c>
      <c r="P1183" t="s">
        <v>81</v>
      </c>
      <c r="Q1183" t="s">
        <v>733</v>
      </c>
      <c r="R1183" t="s">
        <v>2912</v>
      </c>
    </row>
    <row r="1184" spans="1:18" x14ac:dyDescent="0.25">
      <c r="A1184" t="s">
        <v>19351</v>
      </c>
      <c r="B1184" t="s">
        <v>2991</v>
      </c>
      <c r="C1184" t="str">
        <f>HYPERLINK("https://nematode.unl.edu/axmica7.jpg")</f>
        <v>https://nematode.unl.edu/axmica7.jpg</v>
      </c>
      <c r="D1184" t="s">
        <v>43</v>
      </c>
      <c r="G1184" t="s">
        <v>51</v>
      </c>
      <c r="I1184" t="s">
        <v>19</v>
      </c>
      <c r="J1184" t="s">
        <v>20</v>
      </c>
      <c r="L1184" t="s">
        <v>64</v>
      </c>
      <c r="M1184" t="s">
        <v>2946</v>
      </c>
      <c r="N1184" t="s">
        <v>2946</v>
      </c>
      <c r="O1184" t="s">
        <v>73</v>
      </c>
      <c r="P1184" t="s">
        <v>81</v>
      </c>
      <c r="Q1184" t="s">
        <v>733</v>
      </c>
      <c r="R1184" t="s">
        <v>2912</v>
      </c>
    </row>
    <row r="1185" spans="1:18" x14ac:dyDescent="0.25">
      <c r="A1185" t="s">
        <v>19315</v>
      </c>
      <c r="B1185" t="s">
        <v>2992</v>
      </c>
      <c r="C1185" t="str">
        <f>HYPERLINK("https://nematode.unl.edu/axmica8.jpg")</f>
        <v>https://nematode.unl.edu/axmica8.jpg</v>
      </c>
      <c r="D1185" t="s">
        <v>43</v>
      </c>
      <c r="G1185" t="s">
        <v>2974</v>
      </c>
      <c r="I1185" t="s">
        <v>19</v>
      </c>
      <c r="J1185" t="s">
        <v>20</v>
      </c>
      <c r="M1185" t="s">
        <v>2946</v>
      </c>
      <c r="N1185" t="s">
        <v>2946</v>
      </c>
      <c r="O1185" t="s">
        <v>73</v>
      </c>
      <c r="P1185" t="s">
        <v>81</v>
      </c>
      <c r="Q1185" t="s">
        <v>733</v>
      </c>
      <c r="R1185" t="s">
        <v>2912</v>
      </c>
    </row>
    <row r="1186" spans="1:18" x14ac:dyDescent="0.25">
      <c r="A1186" t="s">
        <v>19311</v>
      </c>
      <c r="B1186" t="s">
        <v>2993</v>
      </c>
      <c r="C1186" t="str">
        <f>HYPERLINK("https://nematode.unl.edu/axmica9.jpg")</f>
        <v>https://nematode.unl.edu/axmica9.jpg</v>
      </c>
      <c r="D1186" t="s">
        <v>43</v>
      </c>
      <c r="G1186" t="s">
        <v>34</v>
      </c>
      <c r="H1186" t="s">
        <v>18</v>
      </c>
      <c r="I1186" t="s">
        <v>19</v>
      </c>
      <c r="J1186" t="s">
        <v>20</v>
      </c>
      <c r="L1186" t="s">
        <v>141</v>
      </c>
      <c r="M1186" t="s">
        <v>2946</v>
      </c>
      <c r="N1186" t="s">
        <v>2946</v>
      </c>
      <c r="O1186" t="s">
        <v>73</v>
      </c>
      <c r="P1186" t="s">
        <v>81</v>
      </c>
      <c r="Q1186" t="s">
        <v>733</v>
      </c>
      <c r="R1186" t="s">
        <v>2912</v>
      </c>
    </row>
    <row r="1187" spans="1:18" x14ac:dyDescent="0.25">
      <c r="A1187" t="s">
        <v>19325</v>
      </c>
      <c r="B1187" t="s">
        <v>2994</v>
      </c>
      <c r="C1187" t="str">
        <f>HYPERLINK("https://nematode.unl.edu/axmicmp.jpg")</f>
        <v>https://nematode.unl.edu/axmicmp.jpg</v>
      </c>
      <c r="D1187" t="s">
        <v>43</v>
      </c>
      <c r="G1187" t="s">
        <v>108</v>
      </c>
      <c r="M1187" t="s">
        <v>2946</v>
      </c>
      <c r="N1187" t="s">
        <v>2946</v>
      </c>
      <c r="O1187" t="s">
        <v>73</v>
      </c>
      <c r="P1187" t="s">
        <v>81</v>
      </c>
      <c r="Q1187" t="s">
        <v>733</v>
      </c>
      <c r="R1187" t="s">
        <v>2912</v>
      </c>
    </row>
    <row r="1188" spans="1:18" x14ac:dyDescent="0.25">
      <c r="A1188" t="s">
        <v>19291</v>
      </c>
      <c r="B1188" t="s">
        <v>2937</v>
      </c>
      <c r="C1188" t="str">
        <f>HYPERLINK("https://nematode.unl.edu/axogi1.jpg")</f>
        <v>https://nematode.unl.edu/axogi1.jpg</v>
      </c>
      <c r="D1188" t="s">
        <v>43</v>
      </c>
      <c r="G1188" t="s">
        <v>1000</v>
      </c>
      <c r="I1188" t="s">
        <v>137</v>
      </c>
      <c r="J1188" t="s">
        <v>20</v>
      </c>
      <c r="L1188" t="s">
        <v>141</v>
      </c>
      <c r="M1188" t="s">
        <v>2928</v>
      </c>
      <c r="N1188" t="s">
        <v>2928</v>
      </c>
      <c r="O1188" t="s">
        <v>73</v>
      </c>
      <c r="P1188" t="s">
        <v>81</v>
      </c>
      <c r="Q1188" t="s">
        <v>733</v>
      </c>
      <c r="R1188" t="s">
        <v>2912</v>
      </c>
    </row>
    <row r="1189" spans="1:18" x14ac:dyDescent="0.25">
      <c r="A1189" t="s">
        <v>19286</v>
      </c>
      <c r="B1189" t="s">
        <v>2938</v>
      </c>
      <c r="C1189" t="str">
        <f>HYPERLINK("https://nematode.unl.edu/axogi2.jpg")</f>
        <v>https://nematode.unl.edu/axogi2.jpg</v>
      </c>
      <c r="D1189" t="s">
        <v>43</v>
      </c>
      <c r="G1189" t="s">
        <v>34</v>
      </c>
      <c r="H1189" t="s">
        <v>18</v>
      </c>
      <c r="I1189" t="s">
        <v>19</v>
      </c>
      <c r="J1189" t="s">
        <v>20</v>
      </c>
      <c r="L1189" t="s">
        <v>141</v>
      </c>
      <c r="M1189" t="s">
        <v>2928</v>
      </c>
      <c r="N1189" t="s">
        <v>2928</v>
      </c>
      <c r="O1189" t="s">
        <v>73</v>
      </c>
      <c r="P1189" t="s">
        <v>81</v>
      </c>
      <c r="Q1189" t="s">
        <v>733</v>
      </c>
      <c r="R1189" t="s">
        <v>2912</v>
      </c>
    </row>
    <row r="1190" spans="1:18" x14ac:dyDescent="0.25">
      <c r="A1190" t="s">
        <v>19294</v>
      </c>
      <c r="B1190" t="s">
        <v>2939</v>
      </c>
      <c r="C1190" t="str">
        <f>HYPERLINK("https://nematode.unl.edu/axogi3.jpg")</f>
        <v>https://nematode.unl.edu/axogi3.jpg</v>
      </c>
      <c r="D1190" t="s">
        <v>43</v>
      </c>
      <c r="G1190" t="s">
        <v>28</v>
      </c>
      <c r="I1190" t="s">
        <v>45</v>
      </c>
      <c r="J1190" t="s">
        <v>20</v>
      </c>
      <c r="M1190" t="s">
        <v>2928</v>
      </c>
      <c r="N1190" t="s">
        <v>2928</v>
      </c>
      <c r="O1190" t="s">
        <v>73</v>
      </c>
      <c r="P1190" t="s">
        <v>81</v>
      </c>
      <c r="Q1190" t="s">
        <v>733</v>
      </c>
      <c r="R1190" t="s">
        <v>2912</v>
      </c>
    </row>
    <row r="1191" spans="1:18" x14ac:dyDescent="0.25">
      <c r="A1191" t="s">
        <v>19287</v>
      </c>
      <c r="B1191" t="s">
        <v>2940</v>
      </c>
      <c r="C1191" t="str">
        <f>HYPERLINK("https://nematode.unl.edu/axogi4.jpg")</f>
        <v>https://nematode.unl.edu/axogi4.jpg</v>
      </c>
      <c r="D1191" t="s">
        <v>43</v>
      </c>
      <c r="G1191" t="s">
        <v>34</v>
      </c>
      <c r="H1191" t="s">
        <v>18</v>
      </c>
      <c r="I1191" t="s">
        <v>19</v>
      </c>
      <c r="J1191" t="s">
        <v>20</v>
      </c>
      <c r="M1191" t="s">
        <v>2928</v>
      </c>
      <c r="N1191" t="s">
        <v>2928</v>
      </c>
      <c r="O1191" t="s">
        <v>73</v>
      </c>
      <c r="P1191" t="s">
        <v>81</v>
      </c>
      <c r="Q1191" t="s">
        <v>733</v>
      </c>
      <c r="R1191" t="s">
        <v>2912</v>
      </c>
    </row>
    <row r="1192" spans="1:18" x14ac:dyDescent="0.25">
      <c r="A1192" t="s">
        <v>19288</v>
      </c>
      <c r="B1192" t="s">
        <v>2941</v>
      </c>
      <c r="C1192" t="str">
        <f>HYPERLINK("https://nematode.unl.edu/axogi5.jpg")</f>
        <v>https://nematode.unl.edu/axogi5.jpg</v>
      </c>
      <c r="D1192" t="s">
        <v>43</v>
      </c>
      <c r="G1192" t="s">
        <v>87</v>
      </c>
      <c r="I1192" t="s">
        <v>19</v>
      </c>
      <c r="J1192" t="s">
        <v>20</v>
      </c>
      <c r="M1192" t="s">
        <v>2928</v>
      </c>
      <c r="N1192" t="s">
        <v>2928</v>
      </c>
      <c r="O1192" t="s">
        <v>73</v>
      </c>
      <c r="P1192" t="s">
        <v>81</v>
      </c>
      <c r="Q1192" t="s">
        <v>733</v>
      </c>
      <c r="R1192" t="s">
        <v>2912</v>
      </c>
    </row>
    <row r="1193" spans="1:18" x14ac:dyDescent="0.25">
      <c r="A1193" t="s">
        <v>19297</v>
      </c>
      <c r="B1193" t="s">
        <v>2942</v>
      </c>
      <c r="C1193" t="str">
        <f>HYPERLINK("https://nematode.unl.edu/axogi6.jpg")</f>
        <v>https://nematode.unl.edu/axogi6.jpg</v>
      </c>
      <c r="D1193" t="s">
        <v>43</v>
      </c>
      <c r="G1193" t="s">
        <v>51</v>
      </c>
      <c r="I1193" t="s">
        <v>19</v>
      </c>
      <c r="J1193" t="s">
        <v>20</v>
      </c>
      <c r="L1193" t="s">
        <v>141</v>
      </c>
      <c r="M1193" t="s">
        <v>2928</v>
      </c>
      <c r="N1193" t="s">
        <v>2928</v>
      </c>
      <c r="O1193" t="s">
        <v>73</v>
      </c>
      <c r="P1193" t="s">
        <v>81</v>
      </c>
      <c r="Q1193" t="s">
        <v>733</v>
      </c>
      <c r="R1193" t="s">
        <v>2912</v>
      </c>
    </row>
    <row r="1194" spans="1:18" x14ac:dyDescent="0.25">
      <c r="A1194" t="s">
        <v>19295</v>
      </c>
      <c r="B1194" t="s">
        <v>2943</v>
      </c>
      <c r="C1194" t="str">
        <f>HYPERLINK("https://nematode.unl.edu/axogi7.jpg")</f>
        <v>https://nematode.unl.edu/axogi7.jpg</v>
      </c>
      <c r="D1194" t="s">
        <v>43</v>
      </c>
      <c r="G1194" t="s">
        <v>28</v>
      </c>
      <c r="I1194" t="s">
        <v>19</v>
      </c>
      <c r="J1194" t="s">
        <v>20</v>
      </c>
      <c r="L1194" t="s">
        <v>141</v>
      </c>
      <c r="M1194" t="s">
        <v>2928</v>
      </c>
      <c r="N1194" t="s">
        <v>2928</v>
      </c>
      <c r="O1194" t="s">
        <v>73</v>
      </c>
      <c r="P1194" t="s">
        <v>81</v>
      </c>
      <c r="Q1194" t="s">
        <v>733</v>
      </c>
      <c r="R1194" t="s">
        <v>2912</v>
      </c>
    </row>
    <row r="1195" spans="1:18" x14ac:dyDescent="0.25">
      <c r="A1195" t="s">
        <v>19290</v>
      </c>
      <c r="B1195" t="s">
        <v>2944</v>
      </c>
      <c r="C1195" t="str">
        <f>HYPERLINK("https://nematode.unl.edu/axogi8.jpg")</f>
        <v>https://nematode.unl.edu/axogi8.jpg</v>
      </c>
      <c r="D1195" t="s">
        <v>43</v>
      </c>
      <c r="G1195" t="s">
        <v>44</v>
      </c>
      <c r="I1195" t="s">
        <v>45</v>
      </c>
      <c r="J1195" t="s">
        <v>20</v>
      </c>
      <c r="L1195" t="s">
        <v>141</v>
      </c>
      <c r="M1195" t="s">
        <v>2928</v>
      </c>
      <c r="N1195" t="s">
        <v>2928</v>
      </c>
      <c r="O1195" t="s">
        <v>73</v>
      </c>
      <c r="P1195" t="s">
        <v>81</v>
      </c>
      <c r="Q1195" t="s">
        <v>733</v>
      </c>
      <c r="R1195" t="s">
        <v>2912</v>
      </c>
    </row>
    <row r="1196" spans="1:18" x14ac:dyDescent="0.25">
      <c r="A1196" t="s">
        <v>19299</v>
      </c>
      <c r="B1196" t="s">
        <v>2995</v>
      </c>
      <c r="C1196" t="str">
        <f>HYPERLINK("https://nematode.unl.edu/axomi1.jpg")</f>
        <v>https://nematode.unl.edu/axomi1.jpg</v>
      </c>
      <c r="D1196" t="s">
        <v>43</v>
      </c>
      <c r="G1196" t="s">
        <v>96</v>
      </c>
      <c r="H1196" t="s">
        <v>18</v>
      </c>
      <c r="I1196" t="s">
        <v>45</v>
      </c>
      <c r="J1196" t="s">
        <v>46</v>
      </c>
      <c r="L1196" t="s">
        <v>727</v>
      </c>
      <c r="M1196" t="s">
        <v>2946</v>
      </c>
      <c r="N1196" t="s">
        <v>2946</v>
      </c>
      <c r="O1196" t="s">
        <v>73</v>
      </c>
      <c r="P1196" t="s">
        <v>81</v>
      </c>
      <c r="Q1196" t="s">
        <v>733</v>
      </c>
      <c r="R1196" t="s">
        <v>2912</v>
      </c>
    </row>
    <row r="1197" spans="1:18" x14ac:dyDescent="0.25">
      <c r="A1197" t="s">
        <v>19352</v>
      </c>
      <c r="B1197" t="s">
        <v>2996</v>
      </c>
      <c r="C1197" t="str">
        <f>HYPERLINK("https://nematode.unl.edu/axomi10.jpg")</f>
        <v>https://nematode.unl.edu/axomi10.jpg</v>
      </c>
      <c r="D1197" t="s">
        <v>43</v>
      </c>
      <c r="G1197" t="s">
        <v>51</v>
      </c>
      <c r="I1197" t="s">
        <v>19</v>
      </c>
      <c r="J1197" t="s">
        <v>46</v>
      </c>
      <c r="L1197" t="s">
        <v>727</v>
      </c>
      <c r="M1197" t="s">
        <v>2946</v>
      </c>
      <c r="N1197" t="s">
        <v>2946</v>
      </c>
      <c r="O1197" t="s">
        <v>73</v>
      </c>
      <c r="P1197" t="s">
        <v>81</v>
      </c>
      <c r="Q1197" t="s">
        <v>733</v>
      </c>
      <c r="R1197" t="s">
        <v>2912</v>
      </c>
    </row>
    <row r="1198" spans="1:18" x14ac:dyDescent="0.25">
      <c r="A1198" t="s">
        <v>19353</v>
      </c>
      <c r="B1198" t="s">
        <v>2997</v>
      </c>
      <c r="C1198" t="str">
        <f>HYPERLINK("https://nematode.unl.edu/axomi2.jpg")</f>
        <v>https://nematode.unl.edu/axomi2.jpg</v>
      </c>
      <c r="D1198" t="s">
        <v>43</v>
      </c>
      <c r="G1198" t="s">
        <v>51</v>
      </c>
      <c r="I1198" t="s">
        <v>45</v>
      </c>
      <c r="J1198" t="s">
        <v>46</v>
      </c>
      <c r="L1198" t="s">
        <v>727</v>
      </c>
      <c r="M1198" t="s">
        <v>2946</v>
      </c>
      <c r="N1198" t="s">
        <v>2946</v>
      </c>
      <c r="O1198" t="s">
        <v>73</v>
      </c>
      <c r="P1198" t="s">
        <v>81</v>
      </c>
      <c r="Q1198" t="s">
        <v>733</v>
      </c>
      <c r="R1198" t="s">
        <v>2912</v>
      </c>
    </row>
    <row r="1199" spans="1:18" x14ac:dyDescent="0.25">
      <c r="A1199" t="s">
        <v>19340</v>
      </c>
      <c r="B1199" t="s">
        <v>2998</v>
      </c>
      <c r="C1199" t="str">
        <f>HYPERLINK("https://nematode.unl.edu/axomi3.jpg")</f>
        <v>https://nematode.unl.edu/axomi3.jpg</v>
      </c>
      <c r="D1199" t="s">
        <v>43</v>
      </c>
      <c r="G1199" t="s">
        <v>28</v>
      </c>
      <c r="I1199" t="s">
        <v>19</v>
      </c>
      <c r="J1199" t="s">
        <v>46</v>
      </c>
      <c r="L1199" t="s">
        <v>727</v>
      </c>
      <c r="M1199" t="s">
        <v>2946</v>
      </c>
      <c r="N1199" t="s">
        <v>2946</v>
      </c>
      <c r="O1199" t="s">
        <v>73</v>
      </c>
      <c r="P1199" t="s">
        <v>81</v>
      </c>
      <c r="Q1199" t="s">
        <v>733</v>
      </c>
      <c r="R1199" t="s">
        <v>2912</v>
      </c>
    </row>
    <row r="1200" spans="1:18" x14ac:dyDescent="0.25">
      <c r="A1200" t="s">
        <v>19329</v>
      </c>
      <c r="B1200" t="s">
        <v>2999</v>
      </c>
      <c r="C1200" t="str">
        <f>HYPERLINK("https://nematode.unl.edu/axomi4.jpg")</f>
        <v>https://nematode.unl.edu/axomi4.jpg</v>
      </c>
      <c r="D1200" t="s">
        <v>43</v>
      </c>
      <c r="G1200" t="s">
        <v>1000</v>
      </c>
      <c r="I1200" t="s">
        <v>19</v>
      </c>
      <c r="J1200" t="s">
        <v>46</v>
      </c>
      <c r="L1200" t="s">
        <v>727</v>
      </c>
      <c r="M1200" t="s">
        <v>2946</v>
      </c>
      <c r="N1200" t="s">
        <v>2946</v>
      </c>
      <c r="O1200" t="s">
        <v>73</v>
      </c>
      <c r="P1200" t="s">
        <v>81</v>
      </c>
      <c r="Q1200" t="s">
        <v>733</v>
      </c>
      <c r="R1200" t="s">
        <v>2912</v>
      </c>
    </row>
    <row r="1201" spans="1:18" x14ac:dyDescent="0.25">
      <c r="A1201" t="s">
        <v>19341</v>
      </c>
      <c r="B1201" t="s">
        <v>3000</v>
      </c>
      <c r="C1201" t="str">
        <f>HYPERLINK("https://nematode.unl.edu/axomi5.jpg")</f>
        <v>https://nematode.unl.edu/axomi5.jpg</v>
      </c>
      <c r="D1201" t="s">
        <v>16</v>
      </c>
      <c r="G1201" t="s">
        <v>28</v>
      </c>
      <c r="I1201" t="s">
        <v>19</v>
      </c>
      <c r="J1201" t="s">
        <v>46</v>
      </c>
      <c r="L1201" t="s">
        <v>105</v>
      </c>
      <c r="M1201" t="s">
        <v>2946</v>
      </c>
      <c r="N1201" t="s">
        <v>2946</v>
      </c>
      <c r="O1201" t="s">
        <v>73</v>
      </c>
      <c r="P1201" t="s">
        <v>81</v>
      </c>
      <c r="Q1201" t="s">
        <v>733</v>
      </c>
      <c r="R1201" t="s">
        <v>2912</v>
      </c>
    </row>
    <row r="1202" spans="1:18" x14ac:dyDescent="0.25">
      <c r="A1202" t="s">
        <v>19312</v>
      </c>
      <c r="B1202" t="s">
        <v>3001</v>
      </c>
      <c r="C1202" t="str">
        <f>HYPERLINK("https://nematode.unl.edu/axomi6.jpg")</f>
        <v>https://nematode.unl.edu/axomi6.jpg</v>
      </c>
      <c r="D1202" t="s">
        <v>16</v>
      </c>
      <c r="G1202" t="s">
        <v>34</v>
      </c>
      <c r="H1202" t="s">
        <v>18</v>
      </c>
      <c r="I1202" t="s">
        <v>19</v>
      </c>
      <c r="J1202" t="s">
        <v>46</v>
      </c>
      <c r="L1202" t="s">
        <v>105</v>
      </c>
      <c r="M1202" t="s">
        <v>2946</v>
      </c>
      <c r="N1202" t="s">
        <v>2946</v>
      </c>
      <c r="O1202" t="s">
        <v>73</v>
      </c>
      <c r="P1202" t="s">
        <v>81</v>
      </c>
      <c r="Q1202" t="s">
        <v>733</v>
      </c>
      <c r="R1202" t="s">
        <v>2912</v>
      </c>
    </row>
    <row r="1203" spans="1:18" x14ac:dyDescent="0.25">
      <c r="A1203" t="s">
        <v>19313</v>
      </c>
      <c r="B1203" t="s">
        <v>3002</v>
      </c>
      <c r="C1203" t="str">
        <f>HYPERLINK("https://nematode.unl.edu/axomi7.jpg")</f>
        <v>https://nematode.unl.edu/axomi7.jpg</v>
      </c>
      <c r="D1203" t="s">
        <v>43</v>
      </c>
      <c r="G1203" t="s">
        <v>34</v>
      </c>
      <c r="H1203" t="s">
        <v>18</v>
      </c>
      <c r="I1203" t="s">
        <v>19</v>
      </c>
      <c r="J1203" t="s">
        <v>46</v>
      </c>
      <c r="L1203" t="s">
        <v>727</v>
      </c>
      <c r="M1203" t="s">
        <v>2946</v>
      </c>
      <c r="N1203" t="s">
        <v>2946</v>
      </c>
      <c r="O1203" t="s">
        <v>73</v>
      </c>
      <c r="P1203" t="s">
        <v>81</v>
      </c>
      <c r="Q1203" t="s">
        <v>733</v>
      </c>
      <c r="R1203" t="s">
        <v>2912</v>
      </c>
    </row>
    <row r="1204" spans="1:18" x14ac:dyDescent="0.25">
      <c r="A1204" t="s">
        <v>19301</v>
      </c>
      <c r="B1204" t="s">
        <v>3003</v>
      </c>
      <c r="C1204" t="str">
        <f>HYPERLINK("https://nematode.unl.edu/axomi8.jpg")</f>
        <v>https://nematode.unl.edu/axomi8.jpg</v>
      </c>
      <c r="D1204" t="s">
        <v>43</v>
      </c>
      <c r="G1204" t="s">
        <v>17</v>
      </c>
      <c r="H1204" t="s">
        <v>18</v>
      </c>
      <c r="I1204" t="s">
        <v>19</v>
      </c>
      <c r="J1204" t="s">
        <v>46</v>
      </c>
      <c r="L1204" t="s">
        <v>727</v>
      </c>
      <c r="M1204" t="s">
        <v>2946</v>
      </c>
      <c r="N1204" t="s">
        <v>2946</v>
      </c>
      <c r="O1204" t="s">
        <v>73</v>
      </c>
      <c r="P1204" t="s">
        <v>81</v>
      </c>
      <c r="Q1204" t="s">
        <v>733</v>
      </c>
      <c r="R1204" t="s">
        <v>2912</v>
      </c>
    </row>
    <row r="1205" spans="1:18" x14ac:dyDescent="0.25">
      <c r="A1205" t="s">
        <v>19324</v>
      </c>
      <c r="B1205" t="s">
        <v>3004</v>
      </c>
      <c r="C1205" t="str">
        <f>HYPERLINK("https://nematode.unl.edu/axomi9.jpg")</f>
        <v>https://nematode.unl.edu/axomi9.jpg</v>
      </c>
      <c r="D1205" t="s">
        <v>43</v>
      </c>
      <c r="G1205" t="s">
        <v>44</v>
      </c>
      <c r="I1205" t="s">
        <v>91</v>
      </c>
      <c r="J1205" t="s">
        <v>46</v>
      </c>
      <c r="L1205" t="s">
        <v>727</v>
      </c>
      <c r="M1205" t="s">
        <v>2946</v>
      </c>
      <c r="N1205" t="s">
        <v>2946</v>
      </c>
      <c r="O1205" t="s">
        <v>73</v>
      </c>
      <c r="P1205" t="s">
        <v>81</v>
      </c>
      <c r="Q1205" t="s">
        <v>733</v>
      </c>
      <c r="R1205" t="s">
        <v>2912</v>
      </c>
    </row>
    <row r="1206" spans="1:18" x14ac:dyDescent="0.25">
      <c r="A1206" t="s">
        <v>19268</v>
      </c>
      <c r="B1206" t="s">
        <v>2911</v>
      </c>
      <c r="C1206" t="str">
        <f>HYPERLINK("https://nematode.unl.edu/axoneck.jpg")</f>
        <v>https://nematode.unl.edu/axoneck.jpg</v>
      </c>
      <c r="D1206" t="s">
        <v>16</v>
      </c>
      <c r="G1206" t="s">
        <v>34</v>
      </c>
      <c r="H1206" t="s">
        <v>18</v>
      </c>
      <c r="I1206" t="s">
        <v>45</v>
      </c>
      <c r="L1206" t="s">
        <v>105</v>
      </c>
      <c r="M1206" t="s">
        <v>2912</v>
      </c>
      <c r="N1206" t="s">
        <v>2912</v>
      </c>
      <c r="O1206" t="s">
        <v>73</v>
      </c>
      <c r="P1206" t="s">
        <v>81</v>
      </c>
      <c r="Q1206" t="s">
        <v>733</v>
      </c>
      <c r="R1206" t="s">
        <v>2912</v>
      </c>
    </row>
    <row r="1207" spans="1:18" x14ac:dyDescent="0.25">
      <c r="A1207" t="s">
        <v>19388</v>
      </c>
      <c r="B1207" t="s">
        <v>3041</v>
      </c>
      <c r="C1207" t="str">
        <f>HYPERLINK("https://nematode.unl.edu/axoth1.jpg")</f>
        <v>https://nematode.unl.edu/axoth1.jpg</v>
      </c>
      <c r="D1207" t="s">
        <v>43</v>
      </c>
      <c r="G1207" t="s">
        <v>44</v>
      </c>
      <c r="I1207" t="s">
        <v>91</v>
      </c>
      <c r="J1207" t="s">
        <v>20</v>
      </c>
      <c r="L1207" t="s">
        <v>85</v>
      </c>
      <c r="M1207" t="s">
        <v>3042</v>
      </c>
      <c r="N1207" t="s">
        <v>3042</v>
      </c>
      <c r="O1207" t="s">
        <v>73</v>
      </c>
      <c r="P1207" t="s">
        <v>81</v>
      </c>
      <c r="Q1207" t="s">
        <v>733</v>
      </c>
      <c r="R1207" t="s">
        <v>2912</v>
      </c>
    </row>
    <row r="1208" spans="1:18" x14ac:dyDescent="0.25">
      <c r="A1208" t="s">
        <v>19386</v>
      </c>
      <c r="B1208" t="s">
        <v>3043</v>
      </c>
      <c r="C1208" t="str">
        <f>HYPERLINK("https://nematode.unl.edu/axoth2.jpg")</f>
        <v>https://nematode.unl.edu/axoth2.jpg</v>
      </c>
      <c r="D1208" t="s">
        <v>43</v>
      </c>
      <c r="G1208" t="s">
        <v>34</v>
      </c>
      <c r="H1208" t="s">
        <v>18</v>
      </c>
      <c r="I1208" t="s">
        <v>19</v>
      </c>
      <c r="J1208" t="s">
        <v>20</v>
      </c>
      <c r="M1208" t="s">
        <v>3042</v>
      </c>
      <c r="N1208" t="s">
        <v>3042</v>
      </c>
      <c r="O1208" t="s">
        <v>73</v>
      </c>
      <c r="P1208" t="s">
        <v>81</v>
      </c>
      <c r="Q1208" t="s">
        <v>733</v>
      </c>
      <c r="R1208" t="s">
        <v>2912</v>
      </c>
    </row>
    <row r="1209" spans="1:18" x14ac:dyDescent="0.25">
      <c r="A1209" t="s">
        <v>19389</v>
      </c>
      <c r="B1209" t="s">
        <v>3044</v>
      </c>
      <c r="C1209" t="str">
        <f>HYPERLINK("https://nematode.unl.edu/axoth3.jpg")</f>
        <v>https://nematode.unl.edu/axoth3.jpg</v>
      </c>
      <c r="D1209" t="s">
        <v>43</v>
      </c>
      <c r="G1209" t="s">
        <v>3045</v>
      </c>
      <c r="I1209" t="s">
        <v>19</v>
      </c>
      <c r="J1209" t="s">
        <v>20</v>
      </c>
      <c r="L1209" t="s">
        <v>85</v>
      </c>
      <c r="M1209" t="s">
        <v>3042</v>
      </c>
      <c r="N1209" t="s">
        <v>3042</v>
      </c>
      <c r="O1209" t="s">
        <v>73</v>
      </c>
      <c r="P1209" t="s">
        <v>81</v>
      </c>
      <c r="Q1209" t="s">
        <v>733</v>
      </c>
      <c r="R1209" t="s">
        <v>2912</v>
      </c>
    </row>
    <row r="1210" spans="1:18" x14ac:dyDescent="0.25">
      <c r="A1210" t="s">
        <v>19387</v>
      </c>
      <c r="B1210" t="s">
        <v>3046</v>
      </c>
      <c r="C1210" t="str">
        <f>HYPERLINK("https://nematode.unl.edu/axoth4.jpg")</f>
        <v>https://nematode.unl.edu/axoth4.jpg</v>
      </c>
      <c r="D1210" t="s">
        <v>43</v>
      </c>
      <c r="G1210" t="s">
        <v>1553</v>
      </c>
      <c r="I1210" t="s">
        <v>19</v>
      </c>
      <c r="J1210" t="s">
        <v>20</v>
      </c>
      <c r="M1210" t="s">
        <v>3042</v>
      </c>
      <c r="N1210" t="s">
        <v>3042</v>
      </c>
      <c r="O1210" t="s">
        <v>73</v>
      </c>
      <c r="P1210" t="s">
        <v>81</v>
      </c>
      <c r="Q1210" t="s">
        <v>733</v>
      </c>
      <c r="R1210" t="s">
        <v>2912</v>
      </c>
    </row>
    <row r="1211" spans="1:18" x14ac:dyDescent="0.25">
      <c r="A1211" t="s">
        <v>19391</v>
      </c>
      <c r="B1211" t="s">
        <v>3047</v>
      </c>
      <c r="C1211" t="str">
        <f>HYPERLINK("https://nematode.unl.edu/axoth5.jpg")</f>
        <v>https://nematode.unl.edu/axoth5.jpg</v>
      </c>
      <c r="D1211" t="s">
        <v>43</v>
      </c>
      <c r="G1211" t="s">
        <v>51</v>
      </c>
      <c r="I1211" t="s">
        <v>19</v>
      </c>
      <c r="J1211" t="s">
        <v>20</v>
      </c>
      <c r="L1211" t="s">
        <v>85</v>
      </c>
      <c r="M1211" t="s">
        <v>3042</v>
      </c>
      <c r="N1211" t="s">
        <v>3042</v>
      </c>
      <c r="O1211" t="s">
        <v>73</v>
      </c>
      <c r="P1211" t="s">
        <v>81</v>
      </c>
      <c r="Q1211" t="s">
        <v>733</v>
      </c>
      <c r="R1211" t="s">
        <v>2912</v>
      </c>
    </row>
    <row r="1212" spans="1:18" x14ac:dyDescent="0.25">
      <c r="A1212" t="s">
        <v>19392</v>
      </c>
      <c r="B1212" t="s">
        <v>3048</v>
      </c>
      <c r="C1212" t="str">
        <f>HYPERLINK("https://nematode.unl.edu/axoth6.jpg")</f>
        <v>https://nematode.unl.edu/axoth6.jpg</v>
      </c>
      <c r="D1212" t="s">
        <v>43</v>
      </c>
      <c r="G1212" t="s">
        <v>51</v>
      </c>
      <c r="I1212" t="s">
        <v>19</v>
      </c>
      <c r="J1212" t="s">
        <v>20</v>
      </c>
      <c r="M1212" t="s">
        <v>3042</v>
      </c>
      <c r="N1212" t="s">
        <v>3042</v>
      </c>
      <c r="O1212" t="s">
        <v>73</v>
      </c>
      <c r="P1212" t="s">
        <v>81</v>
      </c>
      <c r="Q1212" t="s">
        <v>733</v>
      </c>
      <c r="R1212" t="s">
        <v>2912</v>
      </c>
    </row>
    <row r="1213" spans="1:18" x14ac:dyDescent="0.25">
      <c r="A1213" t="s">
        <v>19390</v>
      </c>
      <c r="B1213" t="s">
        <v>3049</v>
      </c>
      <c r="C1213" t="str">
        <f>HYPERLINK("https://nematode.unl.edu/axoth7.jpg")</f>
        <v>https://nematode.unl.edu/axoth7.jpg</v>
      </c>
      <c r="D1213" t="s">
        <v>43</v>
      </c>
      <c r="G1213" t="s">
        <v>28</v>
      </c>
      <c r="I1213" t="s">
        <v>19</v>
      </c>
      <c r="J1213" t="s">
        <v>20</v>
      </c>
      <c r="L1213" t="s">
        <v>85</v>
      </c>
      <c r="M1213" t="s">
        <v>3042</v>
      </c>
      <c r="N1213" t="s">
        <v>3042</v>
      </c>
      <c r="O1213" t="s">
        <v>73</v>
      </c>
      <c r="P1213" t="s">
        <v>81</v>
      </c>
      <c r="Q1213" t="s">
        <v>733</v>
      </c>
      <c r="R1213" t="s">
        <v>2912</v>
      </c>
    </row>
    <row r="1214" spans="1:18" x14ac:dyDescent="0.25">
      <c r="A1214" t="s">
        <v>19395</v>
      </c>
      <c r="B1214" t="s">
        <v>3050</v>
      </c>
      <c r="C1214" t="str">
        <f>HYPERLINK("https://nematode.unl.edu/axova1.jpg")</f>
        <v>https://nematode.unl.edu/axova1.jpg</v>
      </c>
      <c r="D1214" t="s">
        <v>43</v>
      </c>
      <c r="G1214" t="s">
        <v>44</v>
      </c>
      <c r="I1214" t="s">
        <v>91</v>
      </c>
      <c r="J1214" t="s">
        <v>20</v>
      </c>
      <c r="M1214" t="s">
        <v>3051</v>
      </c>
      <c r="N1214" t="s">
        <v>3051</v>
      </c>
      <c r="O1214" t="s">
        <v>73</v>
      </c>
      <c r="P1214" t="s">
        <v>81</v>
      </c>
      <c r="Q1214" t="s">
        <v>733</v>
      </c>
      <c r="R1214" t="s">
        <v>2912</v>
      </c>
    </row>
    <row r="1215" spans="1:18" x14ac:dyDescent="0.25">
      <c r="A1215" t="s">
        <v>19393</v>
      </c>
      <c r="B1215" t="s">
        <v>3052</v>
      </c>
      <c r="C1215" t="str">
        <f>HYPERLINK("https://nematode.unl.edu/axova2.jpg")</f>
        <v>https://nematode.unl.edu/axova2.jpg</v>
      </c>
      <c r="D1215" t="s">
        <v>43</v>
      </c>
      <c r="G1215" t="s">
        <v>34</v>
      </c>
      <c r="H1215" t="s">
        <v>18</v>
      </c>
      <c r="I1215" t="s">
        <v>19</v>
      </c>
      <c r="J1215" t="s">
        <v>20</v>
      </c>
      <c r="L1215" t="s">
        <v>141</v>
      </c>
      <c r="M1215" t="s">
        <v>3051</v>
      </c>
      <c r="N1215" t="s">
        <v>3051</v>
      </c>
      <c r="O1215" t="s">
        <v>73</v>
      </c>
      <c r="P1215" t="s">
        <v>81</v>
      </c>
      <c r="Q1215" t="s">
        <v>733</v>
      </c>
      <c r="R1215" t="s">
        <v>2912</v>
      </c>
    </row>
    <row r="1216" spans="1:18" x14ac:dyDescent="0.25">
      <c r="A1216" t="s">
        <v>19394</v>
      </c>
      <c r="B1216" t="s">
        <v>3053</v>
      </c>
      <c r="C1216" t="str">
        <f>HYPERLINK("https://nematode.unl.edu/axova3.jpg")</f>
        <v>https://nematode.unl.edu/axova3.jpg</v>
      </c>
      <c r="D1216" t="s">
        <v>43</v>
      </c>
      <c r="G1216" t="s">
        <v>2974</v>
      </c>
      <c r="I1216" t="s">
        <v>137</v>
      </c>
      <c r="J1216" t="s">
        <v>20</v>
      </c>
      <c r="L1216" t="s">
        <v>141</v>
      </c>
      <c r="M1216" t="s">
        <v>3051</v>
      </c>
      <c r="N1216" t="s">
        <v>3051</v>
      </c>
      <c r="O1216" t="s">
        <v>73</v>
      </c>
      <c r="P1216" t="s">
        <v>81</v>
      </c>
      <c r="Q1216" t="s">
        <v>733</v>
      </c>
      <c r="R1216" t="s">
        <v>2912</v>
      </c>
    </row>
    <row r="1217" spans="1:18" x14ac:dyDescent="0.25">
      <c r="A1217" t="s">
        <v>19398</v>
      </c>
      <c r="B1217" t="s">
        <v>3054</v>
      </c>
      <c r="C1217" t="str">
        <f>HYPERLINK("https://nematode.unl.edu/axova4.jpg")</f>
        <v>https://nematode.unl.edu/axova4.jpg</v>
      </c>
      <c r="D1217" t="s">
        <v>43</v>
      </c>
      <c r="G1217" t="s">
        <v>51</v>
      </c>
      <c r="I1217" t="s">
        <v>137</v>
      </c>
      <c r="J1217" t="s">
        <v>20</v>
      </c>
      <c r="M1217" t="s">
        <v>3051</v>
      </c>
      <c r="N1217" t="s">
        <v>3051</v>
      </c>
      <c r="O1217" t="s">
        <v>73</v>
      </c>
      <c r="P1217" t="s">
        <v>81</v>
      </c>
      <c r="Q1217" t="s">
        <v>733</v>
      </c>
      <c r="R1217" t="s">
        <v>2912</v>
      </c>
    </row>
    <row r="1218" spans="1:18" x14ac:dyDescent="0.25">
      <c r="A1218" t="s">
        <v>19399</v>
      </c>
      <c r="B1218" t="s">
        <v>3055</v>
      </c>
      <c r="C1218" t="str">
        <f>HYPERLINK("https://nematode.unl.edu/axova5.jpg")</f>
        <v>https://nematode.unl.edu/axova5.jpg</v>
      </c>
      <c r="D1218" t="s">
        <v>43</v>
      </c>
      <c r="G1218" t="s">
        <v>51</v>
      </c>
      <c r="I1218" t="s">
        <v>19</v>
      </c>
      <c r="J1218" t="s">
        <v>20</v>
      </c>
      <c r="M1218" t="s">
        <v>3051</v>
      </c>
      <c r="N1218" t="s">
        <v>3051</v>
      </c>
      <c r="O1218" t="s">
        <v>73</v>
      </c>
      <c r="P1218" t="s">
        <v>81</v>
      </c>
      <c r="Q1218" t="s">
        <v>733</v>
      </c>
      <c r="R1218" t="s">
        <v>2912</v>
      </c>
    </row>
    <row r="1219" spans="1:18" x14ac:dyDescent="0.25">
      <c r="A1219" t="s">
        <v>19396</v>
      </c>
      <c r="B1219" t="s">
        <v>3056</v>
      </c>
      <c r="C1219" t="str">
        <f>HYPERLINK("https://nematode.unl.edu/axova6.jpg")</f>
        <v>https://nematode.unl.edu/axova6.jpg</v>
      </c>
      <c r="D1219" t="s">
        <v>43</v>
      </c>
      <c r="G1219" t="s">
        <v>1000</v>
      </c>
      <c r="I1219" t="s">
        <v>45</v>
      </c>
      <c r="J1219" t="s">
        <v>20</v>
      </c>
      <c r="M1219" t="s">
        <v>3051</v>
      </c>
      <c r="N1219" t="s">
        <v>3051</v>
      </c>
      <c r="O1219" t="s">
        <v>73</v>
      </c>
      <c r="P1219" t="s">
        <v>81</v>
      </c>
      <c r="Q1219" t="s">
        <v>733</v>
      </c>
      <c r="R1219" t="s">
        <v>2912</v>
      </c>
    </row>
    <row r="1220" spans="1:18" x14ac:dyDescent="0.25">
      <c r="A1220" t="s">
        <v>19400</v>
      </c>
      <c r="B1220" t="s">
        <v>3057</v>
      </c>
      <c r="C1220" t="str">
        <f>HYPERLINK("https://nematode.unl.edu/axova7.jpg")</f>
        <v>https://nematode.unl.edu/axova7.jpg</v>
      </c>
      <c r="D1220" t="s">
        <v>43</v>
      </c>
      <c r="G1220" t="s">
        <v>3058</v>
      </c>
      <c r="I1220" t="s">
        <v>19</v>
      </c>
      <c r="J1220" t="s">
        <v>20</v>
      </c>
      <c r="L1220" t="s">
        <v>352</v>
      </c>
      <c r="M1220" t="s">
        <v>3051</v>
      </c>
      <c r="N1220" t="s">
        <v>3051</v>
      </c>
      <c r="O1220" t="s">
        <v>73</v>
      </c>
      <c r="P1220" t="s">
        <v>81</v>
      </c>
      <c r="Q1220" t="s">
        <v>733</v>
      </c>
      <c r="R1220" t="s">
        <v>2912</v>
      </c>
    </row>
    <row r="1221" spans="1:18" x14ac:dyDescent="0.25">
      <c r="A1221" t="s">
        <v>19397</v>
      </c>
      <c r="B1221" t="s">
        <v>3059</v>
      </c>
      <c r="C1221" t="str">
        <f>HYPERLINK("https://nematode.unl.edu/axova8.jpg")</f>
        <v>https://nematode.unl.edu/axova8.jpg</v>
      </c>
      <c r="D1221" t="s">
        <v>43</v>
      </c>
      <c r="G1221" t="s">
        <v>28</v>
      </c>
      <c r="I1221" t="s">
        <v>137</v>
      </c>
      <c r="J1221" t="s">
        <v>20</v>
      </c>
      <c r="M1221" t="s">
        <v>3051</v>
      </c>
      <c r="N1221" t="s">
        <v>3051</v>
      </c>
      <c r="O1221" t="s">
        <v>73</v>
      </c>
      <c r="P1221" t="s">
        <v>81</v>
      </c>
      <c r="Q1221" t="s">
        <v>733</v>
      </c>
      <c r="R1221" t="s">
        <v>2912</v>
      </c>
    </row>
    <row r="1222" spans="1:18" x14ac:dyDescent="0.25">
      <c r="A1222" t="s">
        <v>19354</v>
      </c>
      <c r="B1222" t="s">
        <v>3005</v>
      </c>
      <c r="C1222" t="str">
        <f>HYPERLINK("https://nematode.unl.edu/axser1.jpg")</f>
        <v>https://nematode.unl.edu/axser1.jpg</v>
      </c>
      <c r="D1222" t="s">
        <v>43</v>
      </c>
      <c r="G1222" t="s">
        <v>34</v>
      </c>
      <c r="H1222" t="s">
        <v>18</v>
      </c>
      <c r="I1222" t="s">
        <v>137</v>
      </c>
      <c r="J1222" t="s">
        <v>20</v>
      </c>
      <c r="L1222" t="s">
        <v>193</v>
      </c>
      <c r="M1222" t="s">
        <v>3006</v>
      </c>
      <c r="N1222" t="s">
        <v>3006</v>
      </c>
      <c r="O1222" t="s">
        <v>73</v>
      </c>
      <c r="P1222" t="s">
        <v>81</v>
      </c>
      <c r="Q1222" t="s">
        <v>733</v>
      </c>
      <c r="R1222" t="s">
        <v>2912</v>
      </c>
    </row>
    <row r="1223" spans="1:18" x14ac:dyDescent="0.25">
      <c r="A1223" t="s">
        <v>19355</v>
      </c>
      <c r="B1223" t="s">
        <v>3007</v>
      </c>
      <c r="C1223" t="str">
        <f>HYPERLINK("https://nematode.unl.edu/axser10.jpg")</f>
        <v>https://nematode.unl.edu/axser10.jpg</v>
      </c>
      <c r="D1223" t="s">
        <v>43</v>
      </c>
      <c r="G1223" t="s">
        <v>34</v>
      </c>
      <c r="H1223" t="s">
        <v>18</v>
      </c>
      <c r="I1223" t="s">
        <v>19</v>
      </c>
      <c r="J1223" t="s">
        <v>20</v>
      </c>
      <c r="M1223" t="s">
        <v>3006</v>
      </c>
      <c r="N1223" t="s">
        <v>3006</v>
      </c>
      <c r="O1223" t="s">
        <v>73</v>
      </c>
      <c r="P1223" t="s">
        <v>81</v>
      </c>
      <c r="Q1223" t="s">
        <v>733</v>
      </c>
      <c r="R1223" t="s">
        <v>2912</v>
      </c>
    </row>
    <row r="1224" spans="1:18" x14ac:dyDescent="0.25">
      <c r="A1224" t="s">
        <v>19369</v>
      </c>
      <c r="B1224" t="s">
        <v>3008</v>
      </c>
      <c r="C1224" t="str">
        <f>HYPERLINK("https://nematode.unl.edu/axser11.jpg")</f>
        <v>https://nematode.unl.edu/axser11.jpg</v>
      </c>
      <c r="D1224" t="s">
        <v>43</v>
      </c>
      <c r="G1224" t="s">
        <v>51</v>
      </c>
      <c r="I1224" t="s">
        <v>137</v>
      </c>
      <c r="J1224" t="s">
        <v>20</v>
      </c>
      <c r="L1224" t="s">
        <v>141</v>
      </c>
      <c r="M1224" t="s">
        <v>3006</v>
      </c>
      <c r="N1224" t="s">
        <v>3006</v>
      </c>
      <c r="O1224" t="s">
        <v>73</v>
      </c>
      <c r="P1224" t="s">
        <v>81</v>
      </c>
      <c r="Q1224" t="s">
        <v>733</v>
      </c>
      <c r="R1224" t="s">
        <v>2912</v>
      </c>
    </row>
    <row r="1225" spans="1:18" x14ac:dyDescent="0.25">
      <c r="A1225" t="s">
        <v>19364</v>
      </c>
      <c r="B1225" t="s">
        <v>3009</v>
      </c>
      <c r="C1225" t="str">
        <f>HYPERLINK("https://nematode.unl.edu/axser12.jpg")</f>
        <v>https://nematode.unl.edu/axser12.jpg</v>
      </c>
      <c r="D1225" t="s">
        <v>16</v>
      </c>
      <c r="G1225" t="s">
        <v>28</v>
      </c>
      <c r="I1225" t="s">
        <v>19</v>
      </c>
      <c r="J1225" t="s">
        <v>20</v>
      </c>
      <c r="L1225" t="s">
        <v>141</v>
      </c>
      <c r="M1225" t="s">
        <v>3006</v>
      </c>
      <c r="N1225" t="s">
        <v>3006</v>
      </c>
      <c r="O1225" t="s">
        <v>73</v>
      </c>
      <c r="P1225" t="s">
        <v>81</v>
      </c>
      <c r="Q1225" t="s">
        <v>733</v>
      </c>
      <c r="R1225" t="s">
        <v>2912</v>
      </c>
    </row>
    <row r="1226" spans="1:18" x14ac:dyDescent="0.25">
      <c r="A1226" t="s">
        <v>19356</v>
      </c>
      <c r="B1226" t="s">
        <v>3010</v>
      </c>
      <c r="C1226" t="str">
        <f>HYPERLINK("https://nematode.unl.edu/axser13.jpg")</f>
        <v>https://nematode.unl.edu/axser13.jpg</v>
      </c>
      <c r="D1226" t="s">
        <v>16</v>
      </c>
      <c r="G1226" t="s">
        <v>34</v>
      </c>
      <c r="H1226" t="s">
        <v>18</v>
      </c>
      <c r="I1226" t="s">
        <v>19</v>
      </c>
      <c r="J1226" t="s">
        <v>20</v>
      </c>
      <c r="L1226" t="s">
        <v>141</v>
      </c>
      <c r="M1226" t="s">
        <v>3006</v>
      </c>
      <c r="N1226" t="s">
        <v>3006</v>
      </c>
      <c r="O1226" t="s">
        <v>73</v>
      </c>
      <c r="P1226" t="s">
        <v>81</v>
      </c>
      <c r="Q1226" t="s">
        <v>733</v>
      </c>
      <c r="R1226" t="s">
        <v>2912</v>
      </c>
    </row>
    <row r="1227" spans="1:18" x14ac:dyDescent="0.25">
      <c r="A1227" t="s">
        <v>19365</v>
      </c>
      <c r="B1227" t="s">
        <v>3011</v>
      </c>
      <c r="C1227" t="str">
        <f>HYPERLINK("https://nematode.unl.edu/axser14.jpg")</f>
        <v>https://nematode.unl.edu/axser14.jpg</v>
      </c>
      <c r="D1227" t="s">
        <v>43</v>
      </c>
      <c r="G1227" t="s">
        <v>28</v>
      </c>
      <c r="I1227" t="s">
        <v>137</v>
      </c>
      <c r="J1227" t="s">
        <v>20</v>
      </c>
      <c r="L1227" t="s">
        <v>141</v>
      </c>
      <c r="M1227" t="s">
        <v>3006</v>
      </c>
      <c r="N1227" t="s">
        <v>3006</v>
      </c>
      <c r="O1227" t="s">
        <v>73</v>
      </c>
      <c r="P1227" t="s">
        <v>81</v>
      </c>
      <c r="Q1227" t="s">
        <v>733</v>
      </c>
      <c r="R1227" t="s">
        <v>2912</v>
      </c>
    </row>
    <row r="1228" spans="1:18" x14ac:dyDescent="0.25">
      <c r="A1228" t="s">
        <v>19362</v>
      </c>
      <c r="B1228" t="s">
        <v>3012</v>
      </c>
      <c r="C1228" t="str">
        <f>HYPERLINK("https://nematode.unl.edu/axser15.jpg")</f>
        <v>https://nematode.unl.edu/axser15.jpg</v>
      </c>
      <c r="D1228" t="s">
        <v>43</v>
      </c>
      <c r="G1228" t="s">
        <v>1000</v>
      </c>
      <c r="I1228" t="s">
        <v>137</v>
      </c>
      <c r="J1228" t="s">
        <v>20</v>
      </c>
      <c r="L1228" t="s">
        <v>141</v>
      </c>
      <c r="M1228" t="s">
        <v>3006</v>
      </c>
      <c r="N1228" t="s">
        <v>3006</v>
      </c>
      <c r="O1228" t="s">
        <v>73</v>
      </c>
      <c r="P1228" t="s">
        <v>81</v>
      </c>
      <c r="Q1228" t="s">
        <v>733</v>
      </c>
      <c r="R1228" t="s">
        <v>2912</v>
      </c>
    </row>
    <row r="1229" spans="1:18" x14ac:dyDescent="0.25">
      <c r="A1229" t="s">
        <v>19361</v>
      </c>
      <c r="B1229" t="s">
        <v>3013</v>
      </c>
      <c r="C1229" t="str">
        <f>HYPERLINK("https://nematode.unl.edu/axser16.jpg")</f>
        <v>https://nematode.unl.edu/axser16.jpg</v>
      </c>
      <c r="D1229" t="s">
        <v>43</v>
      </c>
      <c r="G1229" t="s">
        <v>243</v>
      </c>
      <c r="I1229" t="s">
        <v>19</v>
      </c>
      <c r="J1229" t="s">
        <v>20</v>
      </c>
      <c r="M1229" t="s">
        <v>3006</v>
      </c>
      <c r="N1229" t="s">
        <v>3006</v>
      </c>
      <c r="O1229" t="s">
        <v>73</v>
      </c>
      <c r="P1229" t="s">
        <v>81</v>
      </c>
      <c r="Q1229" t="s">
        <v>733</v>
      </c>
      <c r="R1229" t="s">
        <v>2912</v>
      </c>
    </row>
    <row r="1230" spans="1:18" x14ac:dyDescent="0.25">
      <c r="A1230" t="s">
        <v>19370</v>
      </c>
      <c r="B1230" t="s">
        <v>3014</v>
      </c>
      <c r="C1230" t="str">
        <f>HYPERLINK("https://nematode.unl.edu/axser17.jpg")</f>
        <v>https://nematode.unl.edu/axser17.jpg</v>
      </c>
      <c r="D1230" t="s">
        <v>43</v>
      </c>
      <c r="G1230" t="s">
        <v>51</v>
      </c>
      <c r="I1230" t="s">
        <v>19</v>
      </c>
      <c r="J1230" t="s">
        <v>20</v>
      </c>
      <c r="M1230" t="s">
        <v>3006</v>
      </c>
      <c r="N1230" t="s">
        <v>3006</v>
      </c>
      <c r="O1230" t="s">
        <v>73</v>
      </c>
      <c r="P1230" t="s">
        <v>81</v>
      </c>
      <c r="Q1230" t="s">
        <v>733</v>
      </c>
      <c r="R1230" t="s">
        <v>2912</v>
      </c>
    </row>
    <row r="1231" spans="1:18" x14ac:dyDescent="0.25">
      <c r="A1231" t="s">
        <v>19357</v>
      </c>
      <c r="B1231" t="s">
        <v>3015</v>
      </c>
      <c r="C1231" t="str">
        <f>HYPERLINK("https://nematode.unl.edu/axser18.jpg")</f>
        <v>https://nematode.unl.edu/axser18.jpg</v>
      </c>
      <c r="D1231" t="s">
        <v>43</v>
      </c>
      <c r="G1231" t="s">
        <v>34</v>
      </c>
      <c r="H1231" t="s">
        <v>18</v>
      </c>
      <c r="I1231" t="s">
        <v>19</v>
      </c>
      <c r="J1231" t="s">
        <v>20</v>
      </c>
      <c r="L1231" t="s">
        <v>141</v>
      </c>
      <c r="M1231" t="s">
        <v>3006</v>
      </c>
      <c r="N1231" t="s">
        <v>3006</v>
      </c>
      <c r="O1231" t="s">
        <v>73</v>
      </c>
      <c r="P1231" t="s">
        <v>81</v>
      </c>
      <c r="Q1231" t="s">
        <v>733</v>
      </c>
      <c r="R1231" t="s">
        <v>2912</v>
      </c>
    </row>
    <row r="1232" spans="1:18" x14ac:dyDescent="0.25">
      <c r="A1232" t="s">
        <v>19366</v>
      </c>
      <c r="B1232" t="s">
        <v>3016</v>
      </c>
      <c r="C1232" t="str">
        <f>HYPERLINK("https://nematode.unl.edu/axser19.jpg")</f>
        <v>https://nematode.unl.edu/axser19.jpg</v>
      </c>
      <c r="D1232" t="s">
        <v>43</v>
      </c>
      <c r="G1232" t="s">
        <v>28</v>
      </c>
      <c r="I1232" t="s">
        <v>19</v>
      </c>
      <c r="J1232" t="s">
        <v>20</v>
      </c>
      <c r="L1232" t="s">
        <v>141</v>
      </c>
      <c r="M1232" t="s">
        <v>3006</v>
      </c>
      <c r="N1232" t="s">
        <v>3006</v>
      </c>
      <c r="O1232" t="s">
        <v>73</v>
      </c>
      <c r="P1232" t="s">
        <v>81</v>
      </c>
      <c r="Q1232" t="s">
        <v>733</v>
      </c>
      <c r="R1232" t="s">
        <v>2912</v>
      </c>
    </row>
    <row r="1233" spans="1:18" x14ac:dyDescent="0.25">
      <c r="A1233" t="s">
        <v>19358</v>
      </c>
      <c r="B1233" t="s">
        <v>3017</v>
      </c>
      <c r="C1233" t="str">
        <f>HYPERLINK("https://nematode.unl.edu/axser2.jpg")</f>
        <v>https://nematode.unl.edu/axser2.jpg</v>
      </c>
      <c r="D1233" t="s">
        <v>43</v>
      </c>
      <c r="G1233" t="s">
        <v>34</v>
      </c>
      <c r="H1233" t="s">
        <v>18</v>
      </c>
      <c r="I1233" t="s">
        <v>19</v>
      </c>
      <c r="J1233" t="s">
        <v>20</v>
      </c>
      <c r="L1233" t="s">
        <v>217</v>
      </c>
      <c r="M1233" t="s">
        <v>3006</v>
      </c>
      <c r="N1233" t="s">
        <v>3006</v>
      </c>
      <c r="O1233" t="s">
        <v>73</v>
      </c>
      <c r="P1233" t="s">
        <v>81</v>
      </c>
      <c r="Q1233" t="s">
        <v>733</v>
      </c>
      <c r="R1233" t="s">
        <v>2912</v>
      </c>
    </row>
    <row r="1234" spans="1:18" x14ac:dyDescent="0.25">
      <c r="A1234" t="s">
        <v>19371</v>
      </c>
      <c r="B1234" t="s">
        <v>3018</v>
      </c>
      <c r="C1234" t="str">
        <f>HYPERLINK("https://nematode.unl.edu/axser20.jpg")</f>
        <v>https://nematode.unl.edu/axser20.jpg</v>
      </c>
      <c r="D1234" t="s">
        <v>43</v>
      </c>
      <c r="G1234" t="s">
        <v>51</v>
      </c>
      <c r="I1234" t="s">
        <v>19</v>
      </c>
      <c r="J1234" t="s">
        <v>20</v>
      </c>
      <c r="L1234" t="s">
        <v>141</v>
      </c>
      <c r="M1234" t="s">
        <v>3006</v>
      </c>
      <c r="N1234" t="s">
        <v>3006</v>
      </c>
      <c r="O1234" t="s">
        <v>73</v>
      </c>
      <c r="P1234" t="s">
        <v>81</v>
      </c>
      <c r="Q1234" t="s">
        <v>733</v>
      </c>
      <c r="R1234" t="s">
        <v>2912</v>
      </c>
    </row>
    <row r="1235" spans="1:18" x14ac:dyDescent="0.25">
      <c r="A1235" t="s">
        <v>19360</v>
      </c>
      <c r="B1235" t="s">
        <v>3019</v>
      </c>
      <c r="C1235" t="str">
        <f>HYPERLINK("https://nematode.unl.edu/axser21.jpg")</f>
        <v>https://nematode.unl.edu/axser21.jpg</v>
      </c>
      <c r="D1235" t="s">
        <v>43</v>
      </c>
      <c r="G1235" t="s">
        <v>87</v>
      </c>
      <c r="I1235" t="s">
        <v>19</v>
      </c>
      <c r="J1235" t="s">
        <v>20</v>
      </c>
      <c r="L1235" t="s">
        <v>141</v>
      </c>
      <c r="M1235" t="s">
        <v>3006</v>
      </c>
      <c r="N1235" t="s">
        <v>3006</v>
      </c>
      <c r="O1235" t="s">
        <v>73</v>
      </c>
      <c r="P1235" t="s">
        <v>81</v>
      </c>
      <c r="Q1235" t="s">
        <v>733</v>
      </c>
      <c r="R1235" t="s">
        <v>2912</v>
      </c>
    </row>
    <row r="1236" spans="1:18" x14ac:dyDescent="0.25">
      <c r="A1236" t="s">
        <v>19372</v>
      </c>
      <c r="B1236" t="s">
        <v>3020</v>
      </c>
      <c r="C1236" t="str">
        <f>HYPERLINK("https://nematode.unl.edu/axser3.jpg")</f>
        <v>https://nematode.unl.edu/axser3.jpg</v>
      </c>
      <c r="D1236" t="s">
        <v>43</v>
      </c>
      <c r="G1236" t="s">
        <v>51</v>
      </c>
      <c r="I1236" t="s">
        <v>19</v>
      </c>
      <c r="J1236" t="s">
        <v>20</v>
      </c>
      <c r="L1236" t="s">
        <v>141</v>
      </c>
      <c r="M1236" t="s">
        <v>3006</v>
      </c>
      <c r="N1236" t="s">
        <v>3006</v>
      </c>
      <c r="O1236" t="s">
        <v>73</v>
      </c>
      <c r="P1236" t="s">
        <v>81</v>
      </c>
      <c r="Q1236" t="s">
        <v>733</v>
      </c>
      <c r="R1236" t="s">
        <v>2912</v>
      </c>
    </row>
    <row r="1237" spans="1:18" x14ac:dyDescent="0.25">
      <c r="A1237" t="s">
        <v>19363</v>
      </c>
      <c r="B1237" t="s">
        <v>3021</v>
      </c>
      <c r="C1237" t="str">
        <f>HYPERLINK("https://nematode.unl.edu/axser4.jpg")</f>
        <v>https://nematode.unl.edu/axser4.jpg</v>
      </c>
      <c r="D1237" t="s">
        <v>43</v>
      </c>
      <c r="G1237" t="s">
        <v>3022</v>
      </c>
      <c r="I1237" t="s">
        <v>19</v>
      </c>
      <c r="J1237" t="s">
        <v>20</v>
      </c>
      <c r="L1237" t="s">
        <v>141</v>
      </c>
      <c r="M1237" t="s">
        <v>3006</v>
      </c>
      <c r="N1237" t="s">
        <v>3006</v>
      </c>
      <c r="O1237" t="s">
        <v>73</v>
      </c>
      <c r="P1237" t="s">
        <v>81</v>
      </c>
      <c r="Q1237" t="s">
        <v>733</v>
      </c>
      <c r="R1237" t="s">
        <v>2912</v>
      </c>
    </row>
    <row r="1238" spans="1:18" x14ac:dyDescent="0.25">
      <c r="A1238" t="s">
        <v>19367</v>
      </c>
      <c r="B1238" t="s">
        <v>3023</v>
      </c>
      <c r="C1238" t="str">
        <f>HYPERLINK("https://nematode.unl.edu/axser5.jpg")</f>
        <v>https://nematode.unl.edu/axser5.jpg</v>
      </c>
      <c r="D1238" t="s">
        <v>43</v>
      </c>
      <c r="G1238" t="s">
        <v>28</v>
      </c>
      <c r="I1238" t="s">
        <v>137</v>
      </c>
      <c r="J1238" t="s">
        <v>20</v>
      </c>
      <c r="L1238" t="s">
        <v>141</v>
      </c>
      <c r="M1238" t="s">
        <v>3006</v>
      </c>
      <c r="N1238" t="s">
        <v>3006</v>
      </c>
      <c r="O1238" t="s">
        <v>73</v>
      </c>
      <c r="P1238" t="s">
        <v>81</v>
      </c>
      <c r="Q1238" t="s">
        <v>733</v>
      </c>
      <c r="R1238" t="s">
        <v>2912</v>
      </c>
    </row>
    <row r="1239" spans="1:18" x14ac:dyDescent="0.25">
      <c r="A1239" t="s">
        <v>19373</v>
      </c>
      <c r="B1239" t="s">
        <v>3024</v>
      </c>
      <c r="C1239" t="str">
        <f>HYPERLINK("https://nematode.unl.edu/axser6.jpg")</f>
        <v>https://nematode.unl.edu/axser6.jpg</v>
      </c>
      <c r="D1239" t="s">
        <v>43</v>
      </c>
      <c r="G1239" t="s">
        <v>51</v>
      </c>
      <c r="I1239" t="s">
        <v>19</v>
      </c>
      <c r="J1239" t="s">
        <v>20</v>
      </c>
      <c r="L1239" t="s">
        <v>141</v>
      </c>
      <c r="M1239" t="s">
        <v>3006</v>
      </c>
      <c r="N1239" t="s">
        <v>3006</v>
      </c>
      <c r="O1239" t="s">
        <v>73</v>
      </c>
      <c r="P1239" t="s">
        <v>81</v>
      </c>
      <c r="Q1239" t="s">
        <v>733</v>
      </c>
      <c r="R1239" t="s">
        <v>2912</v>
      </c>
    </row>
    <row r="1240" spans="1:18" x14ac:dyDescent="0.25">
      <c r="A1240" t="s">
        <v>19374</v>
      </c>
      <c r="B1240" t="s">
        <v>3025</v>
      </c>
      <c r="C1240" t="str">
        <f>HYPERLINK("https://nematode.unl.edu/axser7.jpg")</f>
        <v>https://nematode.unl.edu/axser7.jpg</v>
      </c>
      <c r="D1240" t="s">
        <v>43</v>
      </c>
      <c r="G1240" t="s">
        <v>51</v>
      </c>
      <c r="I1240" t="s">
        <v>19</v>
      </c>
      <c r="J1240" t="s">
        <v>20</v>
      </c>
      <c r="L1240" t="s">
        <v>141</v>
      </c>
      <c r="M1240" t="s">
        <v>3006</v>
      </c>
      <c r="N1240" t="s">
        <v>3006</v>
      </c>
      <c r="O1240" t="s">
        <v>73</v>
      </c>
      <c r="P1240" t="s">
        <v>81</v>
      </c>
      <c r="Q1240" t="s">
        <v>733</v>
      </c>
      <c r="R1240" t="s">
        <v>2912</v>
      </c>
    </row>
    <row r="1241" spans="1:18" x14ac:dyDescent="0.25">
      <c r="A1241" t="s">
        <v>19368</v>
      </c>
      <c r="B1241" t="s">
        <v>3026</v>
      </c>
      <c r="C1241" t="str">
        <f>HYPERLINK("https://nematode.unl.edu/axser8.jpg")</f>
        <v>https://nematode.unl.edu/axser8.jpg</v>
      </c>
      <c r="D1241" t="s">
        <v>43</v>
      </c>
      <c r="G1241" t="s">
        <v>28</v>
      </c>
      <c r="I1241" t="s">
        <v>137</v>
      </c>
      <c r="J1241" t="s">
        <v>20</v>
      </c>
      <c r="M1241" t="s">
        <v>3006</v>
      </c>
      <c r="N1241" t="s">
        <v>3006</v>
      </c>
      <c r="O1241" t="s">
        <v>73</v>
      </c>
      <c r="P1241" t="s">
        <v>81</v>
      </c>
      <c r="Q1241" t="s">
        <v>733</v>
      </c>
      <c r="R1241" t="s">
        <v>2912</v>
      </c>
    </row>
    <row r="1242" spans="1:18" x14ac:dyDescent="0.25">
      <c r="A1242" t="s">
        <v>19359</v>
      </c>
      <c r="B1242" t="s">
        <v>3027</v>
      </c>
      <c r="C1242" t="str">
        <f>HYPERLINK("https://nematode.unl.edu/axser9.jpg")</f>
        <v>https://nematode.unl.edu/axser9.jpg</v>
      </c>
      <c r="D1242" t="s">
        <v>43</v>
      </c>
      <c r="G1242" t="s">
        <v>34</v>
      </c>
      <c r="H1242" t="s">
        <v>18</v>
      </c>
      <c r="I1242" t="s">
        <v>19</v>
      </c>
      <c r="J1242" t="s">
        <v>20</v>
      </c>
      <c r="L1242" t="s">
        <v>141</v>
      </c>
      <c r="M1242" t="s">
        <v>3006</v>
      </c>
      <c r="N1242" t="s">
        <v>3006</v>
      </c>
      <c r="O1242" t="s">
        <v>73</v>
      </c>
      <c r="P1242" t="s">
        <v>81</v>
      </c>
      <c r="Q1242" t="s">
        <v>733</v>
      </c>
      <c r="R1242" t="s">
        <v>2912</v>
      </c>
    </row>
    <row r="1243" spans="1:18" x14ac:dyDescent="0.25">
      <c r="A1243" t="s">
        <v>19378</v>
      </c>
      <c r="B1243" t="s">
        <v>3028</v>
      </c>
      <c r="C1243" t="str">
        <f>HYPERLINK("https://nematode.unl.edu/axsocmp.jpg")</f>
        <v>https://nematode.unl.edu/axsocmp.jpg</v>
      </c>
      <c r="D1243" t="s">
        <v>43</v>
      </c>
      <c r="G1243" t="s">
        <v>108</v>
      </c>
      <c r="M1243" t="s">
        <v>3029</v>
      </c>
      <c r="N1243" t="s">
        <v>3029</v>
      </c>
      <c r="O1243" t="s">
        <v>73</v>
      </c>
      <c r="P1243" t="s">
        <v>81</v>
      </c>
      <c r="Q1243" t="s">
        <v>733</v>
      </c>
      <c r="R1243" t="s">
        <v>2912</v>
      </c>
    </row>
    <row r="1244" spans="1:18" x14ac:dyDescent="0.25">
      <c r="A1244" t="s">
        <v>19375</v>
      </c>
      <c r="B1244" t="s">
        <v>3030</v>
      </c>
      <c r="C1244" t="str">
        <f>HYPERLINK("https://nematode.unl.edu/axsoli1.jpg")</f>
        <v>https://nematode.unl.edu/axsoli1.jpg</v>
      </c>
      <c r="D1244" t="s">
        <v>43</v>
      </c>
      <c r="G1244" t="s">
        <v>96</v>
      </c>
      <c r="H1244" t="s">
        <v>18</v>
      </c>
      <c r="I1244" t="s">
        <v>19</v>
      </c>
      <c r="J1244" t="s">
        <v>20</v>
      </c>
      <c r="L1244" t="s">
        <v>85</v>
      </c>
      <c r="M1244" t="s">
        <v>3029</v>
      </c>
      <c r="N1244" t="s">
        <v>3029</v>
      </c>
      <c r="O1244" t="s">
        <v>73</v>
      </c>
      <c r="P1244" t="s">
        <v>81</v>
      </c>
      <c r="Q1244" t="s">
        <v>733</v>
      </c>
      <c r="R1244" t="s">
        <v>2912</v>
      </c>
    </row>
    <row r="1245" spans="1:18" x14ac:dyDescent="0.25">
      <c r="A1245" t="s">
        <v>19376</v>
      </c>
      <c r="B1245" t="s">
        <v>3031</v>
      </c>
      <c r="C1245" t="str">
        <f>HYPERLINK("https://nematode.unl.edu/axsoli2.jpg")</f>
        <v>https://nematode.unl.edu/axsoli2.jpg</v>
      </c>
      <c r="D1245" t="s">
        <v>43</v>
      </c>
      <c r="G1245" t="s">
        <v>96</v>
      </c>
      <c r="H1245" t="s">
        <v>18</v>
      </c>
      <c r="I1245" t="s">
        <v>137</v>
      </c>
      <c r="J1245" t="s">
        <v>20</v>
      </c>
      <c r="L1245" t="s">
        <v>35</v>
      </c>
      <c r="M1245" t="s">
        <v>3029</v>
      </c>
      <c r="N1245" t="s">
        <v>3029</v>
      </c>
      <c r="O1245" t="s">
        <v>73</v>
      </c>
      <c r="P1245" t="s">
        <v>81</v>
      </c>
      <c r="Q1245" t="s">
        <v>733</v>
      </c>
      <c r="R1245" t="s">
        <v>2912</v>
      </c>
    </row>
    <row r="1246" spans="1:18" x14ac:dyDescent="0.25">
      <c r="A1246" t="s">
        <v>19379</v>
      </c>
      <c r="B1246" t="s">
        <v>3032</v>
      </c>
      <c r="C1246" t="str">
        <f>HYPERLINK("https://nematode.unl.edu/axsoli3.jpg")</f>
        <v>https://nematode.unl.edu/axsoli3.jpg</v>
      </c>
      <c r="D1246" t="s">
        <v>43</v>
      </c>
      <c r="G1246" t="s">
        <v>1000</v>
      </c>
      <c r="I1246" t="s">
        <v>137</v>
      </c>
      <c r="J1246" t="s">
        <v>20</v>
      </c>
      <c r="L1246" t="s">
        <v>85</v>
      </c>
      <c r="M1246" t="s">
        <v>3029</v>
      </c>
      <c r="N1246" t="s">
        <v>3029</v>
      </c>
      <c r="O1246" t="s">
        <v>73</v>
      </c>
      <c r="P1246" t="s">
        <v>81</v>
      </c>
      <c r="Q1246" t="s">
        <v>733</v>
      </c>
      <c r="R1246" t="s">
        <v>2912</v>
      </c>
    </row>
    <row r="1247" spans="1:18" x14ac:dyDescent="0.25">
      <c r="A1247" t="s">
        <v>19383</v>
      </c>
      <c r="B1247" t="s">
        <v>3033</v>
      </c>
      <c r="C1247" t="str">
        <f>HYPERLINK("https://nematode.unl.edu/axsoli4.jpg")</f>
        <v>https://nematode.unl.edu/axsoli4.jpg</v>
      </c>
      <c r="D1247" t="s">
        <v>43</v>
      </c>
      <c r="G1247" t="s">
        <v>51</v>
      </c>
      <c r="I1247" t="s">
        <v>137</v>
      </c>
      <c r="J1247" t="s">
        <v>20</v>
      </c>
      <c r="L1247" t="s">
        <v>35</v>
      </c>
      <c r="M1247" t="s">
        <v>3029</v>
      </c>
      <c r="N1247" t="s">
        <v>3029</v>
      </c>
      <c r="O1247" t="s">
        <v>73</v>
      </c>
      <c r="P1247" t="s">
        <v>81</v>
      </c>
      <c r="Q1247" t="s">
        <v>733</v>
      </c>
      <c r="R1247" t="s">
        <v>2912</v>
      </c>
    </row>
    <row r="1248" spans="1:18" x14ac:dyDescent="0.25">
      <c r="A1248" t="s">
        <v>19381</v>
      </c>
      <c r="B1248" t="s">
        <v>3034</v>
      </c>
      <c r="C1248" t="str">
        <f>HYPERLINK("https://nematode.unl.edu/axsoli5.jpg")</f>
        <v>https://nematode.unl.edu/axsoli5.jpg</v>
      </c>
      <c r="D1248" t="s">
        <v>43</v>
      </c>
      <c r="G1248" t="s">
        <v>181</v>
      </c>
      <c r="I1248" t="s">
        <v>19</v>
      </c>
      <c r="J1248" t="s">
        <v>20</v>
      </c>
      <c r="M1248" t="s">
        <v>3029</v>
      </c>
      <c r="N1248" t="s">
        <v>3029</v>
      </c>
      <c r="O1248" t="s">
        <v>73</v>
      </c>
      <c r="P1248" t="s">
        <v>81</v>
      </c>
      <c r="Q1248" t="s">
        <v>733</v>
      </c>
      <c r="R1248" t="s">
        <v>2912</v>
      </c>
    </row>
    <row r="1249" spans="1:18" x14ac:dyDescent="0.25">
      <c r="A1249" t="s">
        <v>19377</v>
      </c>
      <c r="B1249" t="s">
        <v>3035</v>
      </c>
      <c r="C1249" t="str">
        <f>HYPERLINK("https://nematode.unl.edu/axsoli6.jpg")</f>
        <v>https://nematode.unl.edu/axsoli6.jpg</v>
      </c>
      <c r="D1249" t="s">
        <v>43</v>
      </c>
      <c r="G1249" t="s">
        <v>34</v>
      </c>
      <c r="H1249" t="s">
        <v>18</v>
      </c>
      <c r="I1249" t="s">
        <v>45</v>
      </c>
      <c r="J1249" t="s">
        <v>20</v>
      </c>
      <c r="L1249" t="s">
        <v>85</v>
      </c>
      <c r="M1249" t="s">
        <v>3029</v>
      </c>
      <c r="N1249" t="s">
        <v>3029</v>
      </c>
      <c r="O1249" t="s">
        <v>73</v>
      </c>
      <c r="P1249" t="s">
        <v>81</v>
      </c>
      <c r="Q1249" t="s">
        <v>733</v>
      </c>
      <c r="R1249" t="s">
        <v>2912</v>
      </c>
    </row>
    <row r="1250" spans="1:18" x14ac:dyDescent="0.25">
      <c r="A1250" t="s">
        <v>19380</v>
      </c>
      <c r="B1250" t="s">
        <v>3036</v>
      </c>
      <c r="C1250" t="str">
        <f>HYPERLINK("https://nematode.unl.edu/axsoli7.jpg")</f>
        <v>https://nematode.unl.edu/axsoli7.jpg</v>
      </c>
      <c r="D1250" t="s">
        <v>43</v>
      </c>
      <c r="G1250" t="s">
        <v>1000</v>
      </c>
      <c r="I1250" t="s">
        <v>45</v>
      </c>
      <c r="J1250" t="s">
        <v>20</v>
      </c>
      <c r="L1250" t="s">
        <v>35</v>
      </c>
      <c r="M1250" t="s">
        <v>3029</v>
      </c>
      <c r="N1250" t="s">
        <v>3029</v>
      </c>
      <c r="O1250" t="s">
        <v>73</v>
      </c>
      <c r="P1250" t="s">
        <v>81</v>
      </c>
      <c r="Q1250" t="s">
        <v>733</v>
      </c>
      <c r="R1250" t="s">
        <v>2912</v>
      </c>
    </row>
    <row r="1251" spans="1:18" x14ac:dyDescent="0.25">
      <c r="A1251" t="s">
        <v>19382</v>
      </c>
      <c r="B1251" t="s">
        <v>3037</v>
      </c>
      <c r="C1251" t="str">
        <f>HYPERLINK("https://nematode.unl.edu/axsoli8.jpg")</f>
        <v>https://nematode.unl.edu/axsoli8.jpg</v>
      </c>
      <c r="D1251" t="s">
        <v>43</v>
      </c>
      <c r="G1251" t="s">
        <v>28</v>
      </c>
      <c r="I1251" t="s">
        <v>45</v>
      </c>
      <c r="J1251" t="s">
        <v>20</v>
      </c>
      <c r="M1251" t="s">
        <v>3029</v>
      </c>
      <c r="N1251" t="s">
        <v>3029</v>
      </c>
      <c r="O1251" t="s">
        <v>73</v>
      </c>
      <c r="P1251" t="s">
        <v>81</v>
      </c>
      <c r="Q1251" t="s">
        <v>733</v>
      </c>
      <c r="R1251" t="s">
        <v>2912</v>
      </c>
    </row>
    <row r="1252" spans="1:18" x14ac:dyDescent="0.25">
      <c r="A1252" t="s">
        <v>19384</v>
      </c>
      <c r="B1252" t="s">
        <v>3038</v>
      </c>
      <c r="C1252" t="str">
        <f>HYPERLINK("https://nematode.unl.edu/axsospr.jpg")</f>
        <v>https://nematode.unl.edu/axsospr.jpg</v>
      </c>
      <c r="D1252" t="s">
        <v>16</v>
      </c>
      <c r="G1252" t="s">
        <v>34</v>
      </c>
      <c r="H1252" t="s">
        <v>18</v>
      </c>
      <c r="I1252" t="s">
        <v>19</v>
      </c>
      <c r="J1252" t="s">
        <v>46</v>
      </c>
      <c r="L1252" t="s">
        <v>105</v>
      </c>
      <c r="M1252" t="s">
        <v>3039</v>
      </c>
      <c r="N1252" t="s">
        <v>3039</v>
      </c>
      <c r="O1252" t="s">
        <v>73</v>
      </c>
      <c r="P1252" t="s">
        <v>81</v>
      </c>
      <c r="Q1252" t="s">
        <v>733</v>
      </c>
      <c r="R1252" t="s">
        <v>2912</v>
      </c>
    </row>
    <row r="1253" spans="1:18" x14ac:dyDescent="0.25">
      <c r="A1253" t="s">
        <v>19385</v>
      </c>
      <c r="B1253" t="s">
        <v>3040</v>
      </c>
      <c r="C1253" t="str">
        <f>HYPERLINK("https://nematode.unl.edu/axsotl.jpg")</f>
        <v>https://nematode.unl.edu/axsotl.jpg</v>
      </c>
      <c r="D1253" t="s">
        <v>16</v>
      </c>
      <c r="G1253" t="s">
        <v>28</v>
      </c>
      <c r="I1253" t="s">
        <v>19</v>
      </c>
      <c r="J1253" t="s">
        <v>46</v>
      </c>
      <c r="L1253" t="s">
        <v>105</v>
      </c>
      <c r="M1253" t="s">
        <v>3039</v>
      </c>
      <c r="N1253" t="s">
        <v>3039</v>
      </c>
      <c r="O1253" t="s">
        <v>73</v>
      </c>
      <c r="P1253" t="s">
        <v>81</v>
      </c>
      <c r="Q1253" t="s">
        <v>733</v>
      </c>
      <c r="R1253" t="s">
        <v>2912</v>
      </c>
    </row>
    <row r="1254" spans="1:18" x14ac:dyDescent="0.25">
      <c r="A1254" t="s">
        <v>17711</v>
      </c>
      <c r="B1254" t="s">
        <v>3122</v>
      </c>
      <c r="C1254" t="str">
        <f>HYPERLINK("https://nematode.unl.edu/baber1.jpg")</f>
        <v>https://nematode.unl.edu/baber1.jpg</v>
      </c>
      <c r="D1254" t="s">
        <v>77</v>
      </c>
      <c r="G1254" t="s">
        <v>44</v>
      </c>
      <c r="I1254" t="s">
        <v>45</v>
      </c>
      <c r="J1254" t="s">
        <v>46</v>
      </c>
      <c r="L1254" t="s">
        <v>727</v>
      </c>
      <c r="M1254" t="s">
        <v>3123</v>
      </c>
      <c r="N1254" t="s">
        <v>3123</v>
      </c>
      <c r="O1254" t="s">
        <v>23</v>
      </c>
      <c r="P1254" t="s">
        <v>24</v>
      </c>
      <c r="Q1254" t="s">
        <v>69</v>
      </c>
      <c r="R1254" t="s">
        <v>368</v>
      </c>
    </row>
    <row r="1255" spans="1:18" x14ac:dyDescent="0.25">
      <c r="A1255" t="s">
        <v>17708</v>
      </c>
      <c r="B1255" t="s">
        <v>3124</v>
      </c>
      <c r="C1255" t="str">
        <f>HYPERLINK("https://nematode.unl.edu/baber2.jpg")</f>
        <v>https://nematode.unl.edu/baber2.jpg</v>
      </c>
      <c r="D1255" t="s">
        <v>77</v>
      </c>
      <c r="G1255" t="s">
        <v>34</v>
      </c>
      <c r="H1255" t="s">
        <v>18</v>
      </c>
      <c r="I1255" t="s">
        <v>137</v>
      </c>
      <c r="J1255" t="s">
        <v>46</v>
      </c>
      <c r="L1255" t="s">
        <v>727</v>
      </c>
      <c r="M1255" t="s">
        <v>3123</v>
      </c>
      <c r="N1255" t="s">
        <v>3123</v>
      </c>
      <c r="O1255" t="s">
        <v>23</v>
      </c>
      <c r="P1255" t="s">
        <v>24</v>
      </c>
      <c r="Q1255" t="s">
        <v>69</v>
      </c>
      <c r="R1255" t="s">
        <v>368</v>
      </c>
    </row>
    <row r="1256" spans="1:18" x14ac:dyDescent="0.25">
      <c r="A1256" t="s">
        <v>17714</v>
      </c>
      <c r="B1256" t="s">
        <v>3125</v>
      </c>
      <c r="C1256" t="str">
        <f>HYPERLINK("https://nematode.unl.edu/baber3.jpg")</f>
        <v>https://nematode.unl.edu/baber3.jpg</v>
      </c>
      <c r="D1256" t="s">
        <v>77</v>
      </c>
      <c r="G1256" t="s">
        <v>28</v>
      </c>
      <c r="I1256" t="s">
        <v>137</v>
      </c>
      <c r="J1256" t="s">
        <v>46</v>
      </c>
      <c r="L1256" t="s">
        <v>727</v>
      </c>
      <c r="M1256" t="s">
        <v>3123</v>
      </c>
      <c r="N1256" t="s">
        <v>3123</v>
      </c>
      <c r="O1256" t="s">
        <v>23</v>
      </c>
      <c r="P1256" t="s">
        <v>24</v>
      </c>
      <c r="Q1256" t="s">
        <v>69</v>
      </c>
      <c r="R1256" t="s">
        <v>368</v>
      </c>
    </row>
    <row r="1257" spans="1:18" x14ac:dyDescent="0.25">
      <c r="A1257" t="s">
        <v>17709</v>
      </c>
      <c r="B1257" t="s">
        <v>3126</v>
      </c>
      <c r="C1257" t="str">
        <f>HYPERLINK("https://nematode.unl.edu/baber4.jpg")</f>
        <v>https://nematode.unl.edu/baber4.jpg</v>
      </c>
      <c r="D1257" t="s">
        <v>77</v>
      </c>
      <c r="G1257" t="s">
        <v>34</v>
      </c>
      <c r="H1257" t="s">
        <v>18</v>
      </c>
      <c r="I1257" t="s">
        <v>19</v>
      </c>
      <c r="J1257" t="s">
        <v>46</v>
      </c>
      <c r="L1257" t="s">
        <v>727</v>
      </c>
      <c r="M1257" t="s">
        <v>3123</v>
      </c>
      <c r="N1257" t="s">
        <v>3123</v>
      </c>
      <c r="O1257" t="s">
        <v>23</v>
      </c>
      <c r="P1257" t="s">
        <v>24</v>
      </c>
      <c r="Q1257" t="s">
        <v>69</v>
      </c>
      <c r="R1257" t="s">
        <v>368</v>
      </c>
    </row>
    <row r="1258" spans="1:18" x14ac:dyDescent="0.25">
      <c r="A1258" t="s">
        <v>17712</v>
      </c>
      <c r="B1258" t="s">
        <v>3127</v>
      </c>
      <c r="C1258" t="str">
        <f>HYPERLINK("https://nematode.unl.edu/baber5.jpg")</f>
        <v>https://nematode.unl.edu/baber5.jpg</v>
      </c>
      <c r="D1258" t="s">
        <v>77</v>
      </c>
      <c r="G1258" t="s">
        <v>112</v>
      </c>
      <c r="I1258" t="s">
        <v>19</v>
      </c>
      <c r="J1258" t="s">
        <v>46</v>
      </c>
      <c r="L1258" t="s">
        <v>727</v>
      </c>
      <c r="M1258" t="s">
        <v>3123</v>
      </c>
      <c r="N1258" t="s">
        <v>3123</v>
      </c>
      <c r="O1258" t="s">
        <v>23</v>
      </c>
      <c r="P1258" t="s">
        <v>24</v>
      </c>
      <c r="Q1258" t="s">
        <v>69</v>
      </c>
      <c r="R1258" t="s">
        <v>368</v>
      </c>
    </row>
    <row r="1259" spans="1:18" x14ac:dyDescent="0.25">
      <c r="A1259" t="s">
        <v>17710</v>
      </c>
      <c r="B1259" t="s">
        <v>3128</v>
      </c>
      <c r="C1259" t="str">
        <f>HYPERLINK("https://nematode.unl.edu/baber6.jpg")</f>
        <v>https://nematode.unl.edu/baber6.jpg</v>
      </c>
      <c r="D1259" t="s">
        <v>77</v>
      </c>
      <c r="G1259" t="s">
        <v>34</v>
      </c>
      <c r="H1259" t="s">
        <v>18</v>
      </c>
      <c r="I1259" t="s">
        <v>41</v>
      </c>
      <c r="J1259" t="s">
        <v>46</v>
      </c>
      <c r="M1259" t="s">
        <v>3123</v>
      </c>
      <c r="N1259" t="s">
        <v>3123</v>
      </c>
      <c r="O1259" t="s">
        <v>23</v>
      </c>
      <c r="P1259" t="s">
        <v>24</v>
      </c>
      <c r="Q1259" t="s">
        <v>69</v>
      </c>
      <c r="R1259" t="s">
        <v>368</v>
      </c>
    </row>
    <row r="1260" spans="1:18" x14ac:dyDescent="0.25">
      <c r="A1260" t="s">
        <v>17713</v>
      </c>
      <c r="B1260" t="s">
        <v>3129</v>
      </c>
      <c r="C1260" t="str">
        <f>HYPERLINK("https://nematode.unl.edu/baber7.jpg")</f>
        <v>https://nematode.unl.edu/baber7.jpg</v>
      </c>
      <c r="D1260" t="s">
        <v>77</v>
      </c>
      <c r="G1260" t="s">
        <v>112</v>
      </c>
      <c r="I1260" t="s">
        <v>41</v>
      </c>
      <c r="J1260" t="s">
        <v>46</v>
      </c>
      <c r="L1260" t="s">
        <v>727</v>
      </c>
      <c r="M1260" t="s">
        <v>3123</v>
      </c>
      <c r="N1260" t="s">
        <v>3123</v>
      </c>
      <c r="O1260" t="s">
        <v>23</v>
      </c>
      <c r="P1260" t="s">
        <v>24</v>
      </c>
      <c r="Q1260" t="s">
        <v>69</v>
      </c>
      <c r="R1260" t="s">
        <v>368</v>
      </c>
    </row>
    <row r="1261" spans="1:18" x14ac:dyDescent="0.25">
      <c r="A1261" t="s">
        <v>17715</v>
      </c>
      <c r="B1261" t="s">
        <v>3130</v>
      </c>
      <c r="C1261" t="str">
        <f>HYPERLINK("https://nematode.unl.edu/baber8.jpg")</f>
        <v>https://nematode.unl.edu/baber8.jpg</v>
      </c>
      <c r="D1261" t="s">
        <v>77</v>
      </c>
      <c r="G1261" t="s">
        <v>422</v>
      </c>
      <c r="I1261" t="s">
        <v>41</v>
      </c>
      <c r="J1261" t="s">
        <v>46</v>
      </c>
      <c r="L1261" t="s">
        <v>727</v>
      </c>
      <c r="M1261" t="s">
        <v>3123</v>
      </c>
      <c r="N1261" t="s">
        <v>3123</v>
      </c>
      <c r="O1261" t="s">
        <v>23</v>
      </c>
      <c r="P1261" t="s">
        <v>24</v>
      </c>
      <c r="Q1261" t="s">
        <v>69</v>
      </c>
      <c r="R1261" t="s">
        <v>368</v>
      </c>
    </row>
    <row r="1262" spans="1:18" x14ac:dyDescent="0.25">
      <c r="A1262" t="s">
        <v>17833</v>
      </c>
      <c r="B1262" t="s">
        <v>416</v>
      </c>
      <c r="C1262" t="str">
        <f>HYPERLINK("https://nematode.unl.edu/bacla1.jpg")</f>
        <v>https://nematode.unl.edu/bacla1.jpg</v>
      </c>
      <c r="D1262" t="s">
        <v>77</v>
      </c>
      <c r="G1262" t="s">
        <v>44</v>
      </c>
      <c r="I1262" t="s">
        <v>45</v>
      </c>
      <c r="J1262" t="s">
        <v>46</v>
      </c>
      <c r="L1262" t="s">
        <v>105</v>
      </c>
      <c r="M1262" t="s">
        <v>417</v>
      </c>
      <c r="N1262" t="s">
        <v>418</v>
      </c>
      <c r="O1262" t="s">
        <v>23</v>
      </c>
      <c r="P1262" t="s">
        <v>24</v>
      </c>
      <c r="Q1262" t="s">
        <v>69</v>
      </c>
      <c r="R1262" t="s">
        <v>419</v>
      </c>
    </row>
    <row r="1263" spans="1:18" x14ac:dyDescent="0.25">
      <c r="A1263" t="s">
        <v>17827</v>
      </c>
      <c r="B1263" t="s">
        <v>420</v>
      </c>
      <c r="C1263" t="str">
        <f>HYPERLINK("https://nematode.unl.edu/bacla2.jpg")</f>
        <v>https://nematode.unl.edu/bacla2.jpg</v>
      </c>
      <c r="D1263" t="s">
        <v>77</v>
      </c>
      <c r="G1263" t="s">
        <v>34</v>
      </c>
      <c r="H1263" t="s">
        <v>18</v>
      </c>
      <c r="I1263" t="s">
        <v>19</v>
      </c>
      <c r="J1263" t="s">
        <v>46</v>
      </c>
      <c r="L1263" t="s">
        <v>105</v>
      </c>
      <c r="M1263" t="s">
        <v>417</v>
      </c>
      <c r="N1263" t="s">
        <v>418</v>
      </c>
      <c r="O1263" t="s">
        <v>23</v>
      </c>
      <c r="P1263" t="s">
        <v>24</v>
      </c>
      <c r="Q1263" t="s">
        <v>69</v>
      </c>
      <c r="R1263" t="s">
        <v>419</v>
      </c>
    </row>
    <row r="1264" spans="1:18" x14ac:dyDescent="0.25">
      <c r="A1264" t="s">
        <v>17844</v>
      </c>
      <c r="B1264" t="s">
        <v>421</v>
      </c>
      <c r="C1264" t="str">
        <f>HYPERLINK("https://nematode.unl.edu/bacla3.jpg")</f>
        <v>https://nematode.unl.edu/bacla3.jpg</v>
      </c>
      <c r="D1264" t="s">
        <v>77</v>
      </c>
      <c r="G1264" t="s">
        <v>422</v>
      </c>
      <c r="I1264" t="s">
        <v>19</v>
      </c>
      <c r="L1264" t="s">
        <v>105</v>
      </c>
      <c r="M1264" t="s">
        <v>417</v>
      </c>
      <c r="N1264" t="s">
        <v>418</v>
      </c>
      <c r="O1264" t="s">
        <v>23</v>
      </c>
      <c r="P1264" t="s">
        <v>24</v>
      </c>
      <c r="Q1264" t="s">
        <v>69</v>
      </c>
      <c r="R1264" t="s">
        <v>419</v>
      </c>
    </row>
    <row r="1265" spans="1:18" x14ac:dyDescent="0.25">
      <c r="A1265" t="s">
        <v>17838</v>
      </c>
      <c r="B1265" t="s">
        <v>423</v>
      </c>
      <c r="C1265" t="str">
        <f>HYPERLINK("https://nematode.unl.edu/bacla4.jpg")</f>
        <v>https://nematode.unl.edu/bacla4.jpg</v>
      </c>
      <c r="D1265" t="s">
        <v>77</v>
      </c>
      <c r="G1265" t="s">
        <v>112</v>
      </c>
      <c r="I1265" t="s">
        <v>19</v>
      </c>
      <c r="L1265" t="s">
        <v>105</v>
      </c>
      <c r="M1265" t="s">
        <v>417</v>
      </c>
      <c r="N1265" t="s">
        <v>418</v>
      </c>
      <c r="O1265" t="s">
        <v>23</v>
      </c>
      <c r="P1265" t="s">
        <v>24</v>
      </c>
      <c r="Q1265" t="s">
        <v>69</v>
      </c>
      <c r="R1265" t="s">
        <v>419</v>
      </c>
    </row>
    <row r="1266" spans="1:18" x14ac:dyDescent="0.25">
      <c r="A1266" t="s">
        <v>17834</v>
      </c>
      <c r="B1266" t="s">
        <v>424</v>
      </c>
      <c r="C1266" t="str">
        <f>HYPERLINK("https://nematode.unl.edu/bacla5.jpg")</f>
        <v>https://nematode.unl.edu/bacla5.jpg</v>
      </c>
      <c r="D1266" t="s">
        <v>16</v>
      </c>
      <c r="G1266" t="s">
        <v>44</v>
      </c>
      <c r="I1266" t="s">
        <v>45</v>
      </c>
      <c r="L1266" t="s">
        <v>105</v>
      </c>
      <c r="M1266" t="s">
        <v>417</v>
      </c>
      <c r="N1266" t="s">
        <v>418</v>
      </c>
      <c r="O1266" t="s">
        <v>23</v>
      </c>
      <c r="P1266" t="s">
        <v>24</v>
      </c>
      <c r="Q1266" t="s">
        <v>69</v>
      </c>
      <c r="R1266" t="s">
        <v>419</v>
      </c>
    </row>
    <row r="1267" spans="1:18" x14ac:dyDescent="0.25">
      <c r="A1267" t="s">
        <v>17828</v>
      </c>
      <c r="B1267" t="s">
        <v>425</v>
      </c>
      <c r="C1267" t="str">
        <f>HYPERLINK("https://nematode.unl.edu/bacla6.jpg")</f>
        <v>https://nematode.unl.edu/bacla6.jpg</v>
      </c>
      <c r="D1267" t="s">
        <v>16</v>
      </c>
      <c r="G1267" t="s">
        <v>34</v>
      </c>
      <c r="H1267" t="s">
        <v>18</v>
      </c>
      <c r="I1267" t="s">
        <v>19</v>
      </c>
      <c r="L1267" t="s">
        <v>105</v>
      </c>
      <c r="M1267" t="s">
        <v>417</v>
      </c>
      <c r="N1267" t="s">
        <v>418</v>
      </c>
      <c r="O1267" t="s">
        <v>23</v>
      </c>
      <c r="P1267" t="s">
        <v>24</v>
      </c>
      <c r="Q1267" t="s">
        <v>69</v>
      </c>
      <c r="R1267" t="s">
        <v>419</v>
      </c>
    </row>
    <row r="1268" spans="1:18" x14ac:dyDescent="0.25">
      <c r="A1268" t="s">
        <v>17839</v>
      </c>
      <c r="B1268" t="s">
        <v>426</v>
      </c>
      <c r="C1268" t="str">
        <f>HYPERLINK("https://nematode.unl.edu/bacla7.jpg")</f>
        <v>https://nematode.unl.edu/bacla7.jpg</v>
      </c>
      <c r="D1268" t="s">
        <v>16</v>
      </c>
      <c r="G1268" t="s">
        <v>28</v>
      </c>
      <c r="I1268" t="s">
        <v>19</v>
      </c>
      <c r="L1268" t="s">
        <v>105</v>
      </c>
      <c r="M1268" t="s">
        <v>417</v>
      </c>
      <c r="N1268" t="s">
        <v>418</v>
      </c>
      <c r="O1268" t="s">
        <v>23</v>
      </c>
      <c r="P1268" t="s">
        <v>24</v>
      </c>
      <c r="Q1268" t="s">
        <v>69</v>
      </c>
      <c r="R1268" t="s">
        <v>419</v>
      </c>
    </row>
    <row r="1269" spans="1:18" x14ac:dyDescent="0.25">
      <c r="A1269" t="s">
        <v>17837</v>
      </c>
      <c r="B1269" t="s">
        <v>427</v>
      </c>
      <c r="C1269" t="str">
        <f>HYPERLINK("https://nematode.unl.edu/baclacmp.jpg")</f>
        <v>https://nematode.unl.edu/baclacmp.jpg</v>
      </c>
      <c r="D1269" t="s">
        <v>43</v>
      </c>
      <c r="G1269" t="s">
        <v>108</v>
      </c>
      <c r="M1269" t="s">
        <v>417</v>
      </c>
      <c r="N1269" t="s">
        <v>418</v>
      </c>
      <c r="O1269" t="s">
        <v>23</v>
      </c>
      <c r="P1269" t="s">
        <v>24</v>
      </c>
      <c r="Q1269" t="s">
        <v>69</v>
      </c>
      <c r="R1269" t="s">
        <v>419</v>
      </c>
    </row>
    <row r="1270" spans="1:18" x14ac:dyDescent="0.25">
      <c r="A1270" t="s">
        <v>17840</v>
      </c>
      <c r="B1270" t="s">
        <v>428</v>
      </c>
      <c r="C1270" t="str">
        <f>HYPERLINK("https://nematode.unl.edu/baclak1.jpg")</f>
        <v>https://nematode.unl.edu/baclak1.jpg</v>
      </c>
      <c r="D1270" t="s">
        <v>43</v>
      </c>
      <c r="G1270" t="s">
        <v>28</v>
      </c>
      <c r="I1270" t="s">
        <v>19</v>
      </c>
      <c r="J1270" t="s">
        <v>20</v>
      </c>
      <c r="L1270" t="s">
        <v>85</v>
      </c>
      <c r="M1270" t="s">
        <v>417</v>
      </c>
      <c r="N1270" t="s">
        <v>418</v>
      </c>
      <c r="O1270" t="s">
        <v>23</v>
      </c>
      <c r="P1270" t="s">
        <v>24</v>
      </c>
      <c r="Q1270" t="s">
        <v>69</v>
      </c>
      <c r="R1270" t="s">
        <v>419</v>
      </c>
    </row>
    <row r="1271" spans="1:18" x14ac:dyDescent="0.25">
      <c r="A1271" t="s">
        <v>17829</v>
      </c>
      <c r="B1271" t="s">
        <v>429</v>
      </c>
      <c r="C1271" t="str">
        <f>HYPERLINK("https://nematode.unl.edu/baclak10.jpg")</f>
        <v>https://nematode.unl.edu/baclak10.jpg</v>
      </c>
      <c r="D1271" t="s">
        <v>43</v>
      </c>
      <c r="G1271" t="s">
        <v>34</v>
      </c>
      <c r="H1271" t="s">
        <v>18</v>
      </c>
      <c r="I1271" t="s">
        <v>19</v>
      </c>
      <c r="J1271" t="s">
        <v>20</v>
      </c>
      <c r="M1271" t="s">
        <v>417</v>
      </c>
      <c r="N1271" t="s">
        <v>418</v>
      </c>
      <c r="O1271" t="s">
        <v>23</v>
      </c>
      <c r="P1271" t="s">
        <v>24</v>
      </c>
      <c r="Q1271" t="s">
        <v>69</v>
      </c>
      <c r="R1271" t="s">
        <v>419</v>
      </c>
    </row>
    <row r="1272" spans="1:18" x14ac:dyDescent="0.25">
      <c r="A1272" t="s">
        <v>17841</v>
      </c>
      <c r="B1272" t="s">
        <v>430</v>
      </c>
      <c r="C1272" t="str">
        <f>HYPERLINK("https://nematode.unl.edu/baclak11.jpg")</f>
        <v>https://nematode.unl.edu/baclak11.jpg</v>
      </c>
      <c r="D1272" t="s">
        <v>43</v>
      </c>
      <c r="G1272" t="s">
        <v>28</v>
      </c>
      <c r="I1272" t="s">
        <v>19</v>
      </c>
      <c r="J1272" t="s">
        <v>20</v>
      </c>
      <c r="M1272" t="s">
        <v>417</v>
      </c>
      <c r="N1272" t="s">
        <v>418</v>
      </c>
      <c r="O1272" t="s">
        <v>23</v>
      </c>
      <c r="P1272" t="s">
        <v>24</v>
      </c>
      <c r="Q1272" t="s">
        <v>69</v>
      </c>
      <c r="R1272" t="s">
        <v>419</v>
      </c>
    </row>
    <row r="1273" spans="1:18" x14ac:dyDescent="0.25">
      <c r="A1273" t="s">
        <v>17845</v>
      </c>
      <c r="B1273" t="s">
        <v>431</v>
      </c>
      <c r="C1273" t="str">
        <f>HYPERLINK("https://nematode.unl.edu/baclak2.jpg")</f>
        <v>https://nematode.unl.edu/baclak2.jpg</v>
      </c>
      <c r="D1273" t="s">
        <v>43</v>
      </c>
      <c r="G1273" t="s">
        <v>51</v>
      </c>
      <c r="I1273" t="s">
        <v>19</v>
      </c>
      <c r="J1273" t="s">
        <v>20</v>
      </c>
      <c r="M1273" t="s">
        <v>417</v>
      </c>
      <c r="N1273" t="s">
        <v>418</v>
      </c>
      <c r="O1273" t="s">
        <v>23</v>
      </c>
      <c r="P1273" t="s">
        <v>24</v>
      </c>
      <c r="Q1273" t="s">
        <v>69</v>
      </c>
      <c r="R1273" t="s">
        <v>419</v>
      </c>
    </row>
    <row r="1274" spans="1:18" x14ac:dyDescent="0.25">
      <c r="A1274" t="s">
        <v>17830</v>
      </c>
      <c r="B1274" t="s">
        <v>432</v>
      </c>
      <c r="C1274" t="str">
        <f>HYPERLINK("https://nematode.unl.edu/baclak3.jpg")</f>
        <v>https://nematode.unl.edu/baclak3.jpg</v>
      </c>
      <c r="D1274" t="s">
        <v>43</v>
      </c>
      <c r="G1274" t="s">
        <v>34</v>
      </c>
      <c r="H1274" t="s">
        <v>18</v>
      </c>
      <c r="I1274" t="s">
        <v>19</v>
      </c>
      <c r="J1274" t="s">
        <v>20</v>
      </c>
      <c r="M1274" t="s">
        <v>417</v>
      </c>
      <c r="N1274" t="s">
        <v>418</v>
      </c>
      <c r="O1274" t="s">
        <v>23</v>
      </c>
      <c r="P1274" t="s">
        <v>24</v>
      </c>
      <c r="Q1274" t="s">
        <v>69</v>
      </c>
      <c r="R1274" t="s">
        <v>419</v>
      </c>
    </row>
    <row r="1275" spans="1:18" x14ac:dyDescent="0.25">
      <c r="A1275" t="s">
        <v>17831</v>
      </c>
      <c r="B1275" t="s">
        <v>433</v>
      </c>
      <c r="C1275" t="str">
        <f>HYPERLINK("https://nematode.unl.edu/baclak4.jpg")</f>
        <v>https://nematode.unl.edu/baclak4.jpg</v>
      </c>
      <c r="D1275" t="s">
        <v>43</v>
      </c>
      <c r="G1275" t="s">
        <v>34</v>
      </c>
      <c r="H1275" t="s">
        <v>18</v>
      </c>
      <c r="I1275" t="s">
        <v>19</v>
      </c>
      <c r="J1275" t="s">
        <v>20</v>
      </c>
      <c r="M1275" t="s">
        <v>417</v>
      </c>
      <c r="N1275" t="s">
        <v>418</v>
      </c>
      <c r="O1275" t="s">
        <v>23</v>
      </c>
      <c r="P1275" t="s">
        <v>24</v>
      </c>
      <c r="Q1275" t="s">
        <v>69</v>
      </c>
      <c r="R1275" t="s">
        <v>419</v>
      </c>
    </row>
    <row r="1276" spans="1:18" x14ac:dyDescent="0.25">
      <c r="A1276" t="s">
        <v>17835</v>
      </c>
      <c r="B1276" t="s">
        <v>434</v>
      </c>
      <c r="C1276" t="str">
        <f>HYPERLINK("https://nematode.unl.edu/baclak5.jpg")</f>
        <v>https://nematode.unl.edu/baclak5.jpg</v>
      </c>
      <c r="D1276" t="s">
        <v>77</v>
      </c>
      <c r="G1276" t="s">
        <v>44</v>
      </c>
      <c r="I1276" t="s">
        <v>45</v>
      </c>
      <c r="J1276" t="s">
        <v>20</v>
      </c>
      <c r="L1276" t="s">
        <v>85</v>
      </c>
      <c r="M1276" t="s">
        <v>417</v>
      </c>
      <c r="N1276" t="s">
        <v>418</v>
      </c>
      <c r="O1276" t="s">
        <v>23</v>
      </c>
      <c r="P1276" t="s">
        <v>24</v>
      </c>
      <c r="Q1276" t="s">
        <v>69</v>
      </c>
      <c r="R1276" t="s">
        <v>419</v>
      </c>
    </row>
    <row r="1277" spans="1:18" x14ac:dyDescent="0.25">
      <c r="A1277" t="s">
        <v>17842</v>
      </c>
      <c r="B1277" t="s">
        <v>435</v>
      </c>
      <c r="C1277" t="str">
        <f>HYPERLINK("https://nematode.unl.edu/baclak6.jpg")</f>
        <v>https://nematode.unl.edu/baclak6.jpg</v>
      </c>
      <c r="D1277" t="s">
        <v>77</v>
      </c>
      <c r="G1277" t="s">
        <v>28</v>
      </c>
      <c r="I1277" t="s">
        <v>19</v>
      </c>
      <c r="J1277" t="s">
        <v>20</v>
      </c>
      <c r="M1277" t="s">
        <v>417</v>
      </c>
      <c r="N1277" t="s">
        <v>418</v>
      </c>
      <c r="O1277" t="s">
        <v>23</v>
      </c>
      <c r="P1277" t="s">
        <v>24</v>
      </c>
      <c r="Q1277" t="s">
        <v>69</v>
      </c>
      <c r="R1277" t="s">
        <v>419</v>
      </c>
    </row>
    <row r="1278" spans="1:18" x14ac:dyDescent="0.25">
      <c r="A1278" t="s">
        <v>17832</v>
      </c>
      <c r="B1278" t="s">
        <v>436</v>
      </c>
      <c r="C1278" t="str">
        <f>HYPERLINK("https://nematode.unl.edu/baclak7.jpg")</f>
        <v>https://nematode.unl.edu/baclak7.jpg</v>
      </c>
      <c r="D1278" t="s">
        <v>16</v>
      </c>
      <c r="G1278" t="s">
        <v>34</v>
      </c>
      <c r="H1278" t="s">
        <v>18</v>
      </c>
      <c r="I1278" t="s">
        <v>19</v>
      </c>
      <c r="J1278" t="s">
        <v>20</v>
      </c>
      <c r="L1278" t="s">
        <v>85</v>
      </c>
      <c r="M1278" t="s">
        <v>417</v>
      </c>
      <c r="N1278" t="s">
        <v>418</v>
      </c>
      <c r="O1278" t="s">
        <v>23</v>
      </c>
      <c r="P1278" t="s">
        <v>24</v>
      </c>
      <c r="Q1278" t="s">
        <v>69</v>
      </c>
      <c r="R1278" t="s">
        <v>419</v>
      </c>
    </row>
    <row r="1279" spans="1:18" x14ac:dyDescent="0.25">
      <c r="A1279" t="s">
        <v>17836</v>
      </c>
      <c r="B1279" t="s">
        <v>437</v>
      </c>
      <c r="C1279" t="str">
        <f>HYPERLINK("https://nematode.unl.edu/baclak8.jpg")</f>
        <v>https://nematode.unl.edu/baclak8.jpg</v>
      </c>
      <c r="D1279" t="s">
        <v>16</v>
      </c>
      <c r="G1279" t="s">
        <v>44</v>
      </c>
      <c r="I1279" t="s">
        <v>45</v>
      </c>
      <c r="J1279" t="s">
        <v>20</v>
      </c>
      <c r="M1279" t="s">
        <v>417</v>
      </c>
      <c r="N1279" t="s">
        <v>418</v>
      </c>
      <c r="O1279" t="s">
        <v>23</v>
      </c>
      <c r="P1279" t="s">
        <v>24</v>
      </c>
      <c r="Q1279" t="s">
        <v>69</v>
      </c>
      <c r="R1279" t="s">
        <v>419</v>
      </c>
    </row>
    <row r="1280" spans="1:18" x14ac:dyDescent="0.25">
      <c r="A1280" t="s">
        <v>17843</v>
      </c>
      <c r="B1280" t="s">
        <v>438</v>
      </c>
      <c r="C1280" t="str">
        <f>HYPERLINK("https://nematode.unl.edu/baclak9.jpg")</f>
        <v>https://nematode.unl.edu/baclak9.jpg</v>
      </c>
      <c r="D1280" t="s">
        <v>16</v>
      </c>
      <c r="G1280" t="s">
        <v>28</v>
      </c>
      <c r="I1280" t="s">
        <v>19</v>
      </c>
      <c r="J1280" t="s">
        <v>20</v>
      </c>
      <c r="M1280" t="s">
        <v>417</v>
      </c>
      <c r="N1280" t="s">
        <v>418</v>
      </c>
      <c r="O1280" t="s">
        <v>23</v>
      </c>
      <c r="P1280" t="s">
        <v>24</v>
      </c>
      <c r="Q1280" t="s">
        <v>69</v>
      </c>
      <c r="R1280" t="s">
        <v>419</v>
      </c>
    </row>
    <row r="1281" spans="1:18" x14ac:dyDescent="0.25">
      <c r="A1281" t="s">
        <v>17738</v>
      </c>
      <c r="B1281" t="s">
        <v>365</v>
      </c>
      <c r="C1281" t="str">
        <f>HYPERLINK("https://nematode.unl.edu/bacon1.jpg")</f>
        <v>https://nematode.unl.edu/bacon1.jpg</v>
      </c>
      <c r="D1281" t="s">
        <v>43</v>
      </c>
      <c r="G1281" t="s">
        <v>34</v>
      </c>
      <c r="H1281" t="s">
        <v>18</v>
      </c>
      <c r="I1281" t="s">
        <v>19</v>
      </c>
      <c r="J1281" t="s">
        <v>20</v>
      </c>
      <c r="L1281" t="s">
        <v>85</v>
      </c>
      <c r="M1281" t="s">
        <v>366</v>
      </c>
      <c r="N1281" t="s">
        <v>367</v>
      </c>
      <c r="O1281" t="s">
        <v>23</v>
      </c>
      <c r="P1281" t="s">
        <v>24</v>
      </c>
      <c r="Q1281" t="s">
        <v>69</v>
      </c>
      <c r="R1281" t="s">
        <v>368</v>
      </c>
    </row>
    <row r="1282" spans="1:18" x14ac:dyDescent="0.25">
      <c r="A1282" t="s">
        <v>17743</v>
      </c>
      <c r="B1282" t="s">
        <v>369</v>
      </c>
      <c r="C1282" t="str">
        <f>HYPERLINK("https://nematode.unl.edu/bacon2.jpg")</f>
        <v>https://nematode.unl.edu/bacon2.jpg</v>
      </c>
      <c r="D1282" t="s">
        <v>77</v>
      </c>
      <c r="G1282" t="s">
        <v>112</v>
      </c>
      <c r="I1282" t="s">
        <v>19</v>
      </c>
      <c r="J1282" t="s">
        <v>20</v>
      </c>
      <c r="L1282" t="s">
        <v>85</v>
      </c>
      <c r="M1282" t="s">
        <v>366</v>
      </c>
      <c r="N1282" t="s">
        <v>367</v>
      </c>
      <c r="O1282" t="s">
        <v>23</v>
      </c>
      <c r="P1282" t="s">
        <v>24</v>
      </c>
      <c r="Q1282" t="s">
        <v>69</v>
      </c>
      <c r="R1282" t="s">
        <v>368</v>
      </c>
    </row>
    <row r="1283" spans="1:18" x14ac:dyDescent="0.25">
      <c r="A1283" t="s">
        <v>17739</v>
      </c>
      <c r="B1283" t="s">
        <v>370</v>
      </c>
      <c r="C1283" t="str">
        <f>HYPERLINK("https://nematode.unl.edu/bacon3.jpg")</f>
        <v>https://nematode.unl.edu/bacon3.jpg</v>
      </c>
      <c r="D1283" t="s">
        <v>77</v>
      </c>
      <c r="G1283" t="s">
        <v>34</v>
      </c>
      <c r="H1283" t="s">
        <v>18</v>
      </c>
      <c r="I1283" t="s">
        <v>19</v>
      </c>
      <c r="J1283" t="s">
        <v>20</v>
      </c>
      <c r="L1283" t="s">
        <v>85</v>
      </c>
      <c r="M1283" t="s">
        <v>366</v>
      </c>
      <c r="N1283" t="s">
        <v>367</v>
      </c>
      <c r="O1283" t="s">
        <v>23</v>
      </c>
      <c r="P1283" t="s">
        <v>24</v>
      </c>
      <c r="Q1283" t="s">
        <v>69</v>
      </c>
      <c r="R1283" t="s">
        <v>368</v>
      </c>
    </row>
    <row r="1284" spans="1:18" x14ac:dyDescent="0.25">
      <c r="A1284" t="s">
        <v>17740</v>
      </c>
      <c r="B1284" t="s">
        <v>371</v>
      </c>
      <c r="C1284" t="str">
        <f>HYPERLINK("https://nematode.unl.edu/bacon4.jpg")</f>
        <v>https://nematode.unl.edu/bacon4.jpg</v>
      </c>
      <c r="D1284" t="s">
        <v>43</v>
      </c>
      <c r="G1284" t="s">
        <v>34</v>
      </c>
      <c r="H1284" t="s">
        <v>18</v>
      </c>
      <c r="I1284" t="s">
        <v>19</v>
      </c>
      <c r="J1284" t="s">
        <v>20</v>
      </c>
      <c r="M1284" t="s">
        <v>366</v>
      </c>
      <c r="N1284" t="s">
        <v>367</v>
      </c>
      <c r="O1284" t="s">
        <v>23</v>
      </c>
      <c r="P1284" t="s">
        <v>24</v>
      </c>
      <c r="Q1284" t="s">
        <v>69</v>
      </c>
      <c r="R1284" t="s">
        <v>368</v>
      </c>
    </row>
    <row r="1285" spans="1:18" x14ac:dyDescent="0.25">
      <c r="A1285" t="s">
        <v>17741</v>
      </c>
      <c r="B1285" t="s">
        <v>372</v>
      </c>
      <c r="C1285" t="str">
        <f>HYPERLINK("https://nematode.unl.edu/bacon5.jpg")</f>
        <v>https://nematode.unl.edu/bacon5.jpg</v>
      </c>
      <c r="D1285" t="s">
        <v>43</v>
      </c>
      <c r="G1285" t="s">
        <v>34</v>
      </c>
      <c r="H1285" t="s">
        <v>18</v>
      </c>
      <c r="I1285" t="s">
        <v>41</v>
      </c>
      <c r="J1285" t="s">
        <v>20</v>
      </c>
      <c r="M1285" t="s">
        <v>366</v>
      </c>
      <c r="N1285" t="s">
        <v>367</v>
      </c>
      <c r="O1285" t="s">
        <v>23</v>
      </c>
      <c r="P1285" t="s">
        <v>24</v>
      </c>
      <c r="Q1285" t="s">
        <v>69</v>
      </c>
      <c r="R1285" t="s">
        <v>368</v>
      </c>
    </row>
    <row r="1286" spans="1:18" x14ac:dyDescent="0.25">
      <c r="A1286" t="s">
        <v>17742</v>
      </c>
      <c r="B1286" t="s">
        <v>373</v>
      </c>
      <c r="C1286" t="str">
        <f>HYPERLINK("https://nematode.unl.edu/bacon6.jpg")</f>
        <v>https://nematode.unl.edu/bacon6.jpg</v>
      </c>
      <c r="D1286" t="s">
        <v>43</v>
      </c>
      <c r="G1286" t="s">
        <v>44</v>
      </c>
      <c r="I1286" t="s">
        <v>45</v>
      </c>
      <c r="J1286" t="s">
        <v>20</v>
      </c>
      <c r="M1286" t="s">
        <v>366</v>
      </c>
      <c r="N1286" t="s">
        <v>367</v>
      </c>
      <c r="O1286" t="s">
        <v>23</v>
      </c>
      <c r="P1286" t="s">
        <v>24</v>
      </c>
      <c r="Q1286" t="s">
        <v>69</v>
      </c>
      <c r="R1286" t="s">
        <v>368</v>
      </c>
    </row>
    <row r="1287" spans="1:18" x14ac:dyDescent="0.25">
      <c r="A1287" t="s">
        <v>17891</v>
      </c>
      <c r="B1287" t="s">
        <v>3348</v>
      </c>
      <c r="C1287" t="str">
        <f>HYPERLINK("https://nematode.unl.edu/bacu1.jpg")</f>
        <v>https://nematode.unl.edu/bacu1.jpg</v>
      </c>
      <c r="D1287" t="s">
        <v>77</v>
      </c>
      <c r="G1287" t="s">
        <v>112</v>
      </c>
      <c r="I1287" t="s">
        <v>19</v>
      </c>
      <c r="J1287" t="s">
        <v>20</v>
      </c>
      <c r="M1287" t="s">
        <v>3349</v>
      </c>
      <c r="N1287" t="s">
        <v>3349</v>
      </c>
      <c r="O1287" t="s">
        <v>23</v>
      </c>
      <c r="P1287" t="s">
        <v>24</v>
      </c>
      <c r="Q1287" t="s">
        <v>69</v>
      </c>
      <c r="R1287" t="s">
        <v>419</v>
      </c>
    </row>
    <row r="1288" spans="1:18" x14ac:dyDescent="0.25">
      <c r="A1288" t="s">
        <v>17851</v>
      </c>
      <c r="B1288" t="s">
        <v>3350</v>
      </c>
      <c r="C1288" t="str">
        <f>HYPERLINK("https://nematode.unl.edu/bacu11.jpg")</f>
        <v>https://nematode.unl.edu/bacu11.jpg</v>
      </c>
      <c r="D1288" t="s">
        <v>43</v>
      </c>
      <c r="G1288" t="s">
        <v>34</v>
      </c>
      <c r="H1288" t="s">
        <v>18</v>
      </c>
      <c r="I1288" t="s">
        <v>19</v>
      </c>
      <c r="J1288" t="s">
        <v>20</v>
      </c>
      <c r="M1288" t="s">
        <v>3349</v>
      </c>
      <c r="N1288" t="s">
        <v>3349</v>
      </c>
      <c r="O1288" t="s">
        <v>23</v>
      </c>
      <c r="P1288" t="s">
        <v>24</v>
      </c>
      <c r="Q1288" t="s">
        <v>69</v>
      </c>
      <c r="R1288" t="s">
        <v>419</v>
      </c>
    </row>
    <row r="1289" spans="1:18" x14ac:dyDescent="0.25">
      <c r="A1289" t="s">
        <v>17901</v>
      </c>
      <c r="B1289" t="s">
        <v>3351</v>
      </c>
      <c r="C1289" t="str">
        <f>HYPERLINK("https://nematode.unl.edu/bacu12.jpg")</f>
        <v>https://nematode.unl.edu/bacu12.jpg</v>
      </c>
      <c r="D1289" t="s">
        <v>43</v>
      </c>
      <c r="G1289" t="s">
        <v>422</v>
      </c>
      <c r="I1289" t="s">
        <v>19</v>
      </c>
      <c r="J1289" t="s">
        <v>20</v>
      </c>
      <c r="M1289" t="s">
        <v>3349</v>
      </c>
      <c r="N1289" t="s">
        <v>3349</v>
      </c>
      <c r="O1289" t="s">
        <v>23</v>
      </c>
      <c r="P1289" t="s">
        <v>24</v>
      </c>
      <c r="Q1289" t="s">
        <v>69</v>
      </c>
      <c r="R1289" t="s">
        <v>419</v>
      </c>
    </row>
    <row r="1290" spans="1:18" x14ac:dyDescent="0.25">
      <c r="A1290" t="s">
        <v>17904</v>
      </c>
      <c r="B1290" t="s">
        <v>3352</v>
      </c>
      <c r="C1290" t="str">
        <f>HYPERLINK("https://nematode.unl.edu/bacu13.jpg")</f>
        <v>https://nematode.unl.edu/bacu13.jpg</v>
      </c>
      <c r="D1290" t="s">
        <v>43</v>
      </c>
      <c r="G1290" t="s">
        <v>51</v>
      </c>
      <c r="I1290" t="s">
        <v>19</v>
      </c>
      <c r="J1290" t="s">
        <v>20</v>
      </c>
      <c r="M1290" t="s">
        <v>3349</v>
      </c>
      <c r="N1290" t="s">
        <v>3349</v>
      </c>
      <c r="O1290" t="s">
        <v>23</v>
      </c>
      <c r="P1290" t="s">
        <v>24</v>
      </c>
      <c r="Q1290" t="s">
        <v>69</v>
      </c>
      <c r="R1290" t="s">
        <v>419</v>
      </c>
    </row>
    <row r="1291" spans="1:18" x14ac:dyDescent="0.25">
      <c r="A1291" t="s">
        <v>17852</v>
      </c>
      <c r="B1291" t="s">
        <v>3353</v>
      </c>
      <c r="C1291" t="str">
        <f>HYPERLINK("https://nematode.unl.edu/bacu14.jpg")</f>
        <v>https://nematode.unl.edu/bacu14.jpg</v>
      </c>
      <c r="D1291" t="s">
        <v>43</v>
      </c>
      <c r="G1291" t="s">
        <v>34</v>
      </c>
      <c r="H1291" t="s">
        <v>18</v>
      </c>
      <c r="I1291" t="s">
        <v>41</v>
      </c>
      <c r="J1291" t="s">
        <v>20</v>
      </c>
      <c r="M1291" t="s">
        <v>3349</v>
      </c>
      <c r="N1291" t="s">
        <v>3349</v>
      </c>
      <c r="O1291" t="s">
        <v>23</v>
      </c>
      <c r="P1291" t="s">
        <v>24</v>
      </c>
      <c r="Q1291" t="s">
        <v>69</v>
      </c>
      <c r="R1291" t="s">
        <v>419</v>
      </c>
    </row>
    <row r="1292" spans="1:18" x14ac:dyDescent="0.25">
      <c r="A1292" t="s">
        <v>17853</v>
      </c>
      <c r="B1292" t="s">
        <v>3354</v>
      </c>
      <c r="C1292" t="str">
        <f>HYPERLINK("https://nematode.unl.edu/bacu15.jpg")</f>
        <v>https://nematode.unl.edu/bacu15.jpg</v>
      </c>
      <c r="D1292" t="s">
        <v>43</v>
      </c>
      <c r="G1292" t="s">
        <v>34</v>
      </c>
      <c r="H1292" t="s">
        <v>18</v>
      </c>
      <c r="I1292" t="s">
        <v>41</v>
      </c>
      <c r="J1292" t="s">
        <v>20</v>
      </c>
      <c r="M1292" t="s">
        <v>3349</v>
      </c>
      <c r="N1292" t="s">
        <v>3349</v>
      </c>
      <c r="O1292" t="s">
        <v>23</v>
      </c>
      <c r="P1292" t="s">
        <v>24</v>
      </c>
      <c r="Q1292" t="s">
        <v>69</v>
      </c>
      <c r="R1292" t="s">
        <v>419</v>
      </c>
    </row>
    <row r="1293" spans="1:18" x14ac:dyDescent="0.25">
      <c r="A1293" t="s">
        <v>17854</v>
      </c>
      <c r="B1293" t="s">
        <v>3355</v>
      </c>
      <c r="C1293" t="str">
        <f>HYPERLINK("https://nematode.unl.edu/bacu16.jpg")</f>
        <v>https://nematode.unl.edu/bacu16.jpg</v>
      </c>
      <c r="D1293" t="s">
        <v>16</v>
      </c>
      <c r="G1293" t="s">
        <v>34</v>
      </c>
      <c r="H1293" t="s">
        <v>18</v>
      </c>
      <c r="I1293" t="s">
        <v>19</v>
      </c>
      <c r="J1293" t="s">
        <v>20</v>
      </c>
      <c r="L1293" t="s">
        <v>64</v>
      </c>
      <c r="M1293" t="s">
        <v>3349</v>
      </c>
      <c r="N1293" t="s">
        <v>3349</v>
      </c>
      <c r="O1293" t="s">
        <v>23</v>
      </c>
      <c r="P1293" t="s">
        <v>24</v>
      </c>
      <c r="Q1293" t="s">
        <v>69</v>
      </c>
      <c r="R1293" t="s">
        <v>419</v>
      </c>
    </row>
    <row r="1294" spans="1:18" x14ac:dyDescent="0.25">
      <c r="A1294" t="s">
        <v>17875</v>
      </c>
      <c r="B1294" t="s">
        <v>3356</v>
      </c>
      <c r="C1294" t="str">
        <f>HYPERLINK("https://nematode.unl.edu/bacu17.jpg")</f>
        <v>https://nematode.unl.edu/bacu17.jpg</v>
      </c>
      <c r="D1294" t="s">
        <v>16</v>
      </c>
      <c r="G1294" t="s">
        <v>44</v>
      </c>
      <c r="I1294" t="s">
        <v>45</v>
      </c>
      <c r="J1294" t="s">
        <v>20</v>
      </c>
      <c r="L1294" t="s">
        <v>64</v>
      </c>
      <c r="M1294" t="s">
        <v>3349</v>
      </c>
      <c r="N1294" t="s">
        <v>3349</v>
      </c>
      <c r="O1294" t="s">
        <v>23</v>
      </c>
      <c r="P1294" t="s">
        <v>24</v>
      </c>
      <c r="Q1294" t="s">
        <v>69</v>
      </c>
      <c r="R1294" t="s">
        <v>419</v>
      </c>
    </row>
    <row r="1295" spans="1:18" x14ac:dyDescent="0.25">
      <c r="A1295" t="s">
        <v>17876</v>
      </c>
      <c r="B1295" t="s">
        <v>3357</v>
      </c>
      <c r="C1295" t="str">
        <f>HYPERLINK("https://nematode.unl.edu/bacu18.jpg")</f>
        <v>https://nematode.unl.edu/bacu18.jpg</v>
      </c>
      <c r="D1295" t="s">
        <v>43</v>
      </c>
      <c r="G1295" t="s">
        <v>44</v>
      </c>
      <c r="I1295" t="s">
        <v>45</v>
      </c>
      <c r="J1295" t="s">
        <v>20</v>
      </c>
      <c r="L1295" t="s">
        <v>38</v>
      </c>
      <c r="M1295" t="s">
        <v>3349</v>
      </c>
      <c r="N1295" t="s">
        <v>3349</v>
      </c>
      <c r="O1295" t="s">
        <v>23</v>
      </c>
      <c r="P1295" t="s">
        <v>24</v>
      </c>
      <c r="Q1295" t="s">
        <v>69</v>
      </c>
      <c r="R1295" t="s">
        <v>419</v>
      </c>
    </row>
    <row r="1296" spans="1:18" x14ac:dyDescent="0.25">
      <c r="A1296" t="s">
        <v>17855</v>
      </c>
      <c r="B1296" t="s">
        <v>3358</v>
      </c>
      <c r="C1296" t="str">
        <f>HYPERLINK("https://nematode.unl.edu/bacu19.jpg")</f>
        <v>https://nematode.unl.edu/bacu19.jpg</v>
      </c>
      <c r="D1296" t="s">
        <v>43</v>
      </c>
      <c r="G1296" t="s">
        <v>34</v>
      </c>
      <c r="H1296" t="s">
        <v>18</v>
      </c>
      <c r="I1296" t="s">
        <v>19</v>
      </c>
      <c r="J1296" t="s">
        <v>20</v>
      </c>
      <c r="L1296" t="s">
        <v>38</v>
      </c>
      <c r="M1296" t="s">
        <v>3349</v>
      </c>
      <c r="N1296" t="s">
        <v>3349</v>
      </c>
      <c r="O1296" t="s">
        <v>23</v>
      </c>
      <c r="P1296" t="s">
        <v>24</v>
      </c>
      <c r="Q1296" t="s">
        <v>69</v>
      </c>
      <c r="R1296" t="s">
        <v>419</v>
      </c>
    </row>
    <row r="1297" spans="1:18" x14ac:dyDescent="0.25">
      <c r="A1297" t="s">
        <v>17905</v>
      </c>
      <c r="B1297" t="s">
        <v>3359</v>
      </c>
      <c r="C1297" t="str">
        <f>HYPERLINK("https://nematode.unl.edu/bacu20.jpg")</f>
        <v>https://nematode.unl.edu/bacu20.jpg</v>
      </c>
      <c r="D1297" t="s">
        <v>43</v>
      </c>
      <c r="G1297" t="s">
        <v>51</v>
      </c>
      <c r="I1297" t="s">
        <v>19</v>
      </c>
      <c r="J1297" t="s">
        <v>20</v>
      </c>
      <c r="L1297" t="s">
        <v>38</v>
      </c>
      <c r="M1297" t="s">
        <v>3349</v>
      </c>
      <c r="N1297" t="s">
        <v>3349</v>
      </c>
      <c r="O1297" t="s">
        <v>23</v>
      </c>
      <c r="P1297" t="s">
        <v>24</v>
      </c>
      <c r="Q1297" t="s">
        <v>69</v>
      </c>
      <c r="R1297" t="s">
        <v>419</v>
      </c>
    </row>
    <row r="1298" spans="1:18" x14ac:dyDescent="0.25">
      <c r="A1298" t="s">
        <v>17894</v>
      </c>
      <c r="B1298" t="s">
        <v>3360</v>
      </c>
      <c r="C1298" t="str">
        <f>HYPERLINK("https://nematode.unl.edu/bacu21.jpg")</f>
        <v>https://nematode.unl.edu/bacu21.jpg</v>
      </c>
      <c r="D1298" t="s">
        <v>43</v>
      </c>
      <c r="G1298" t="s">
        <v>28</v>
      </c>
      <c r="I1298" t="s">
        <v>19</v>
      </c>
      <c r="J1298" t="s">
        <v>20</v>
      </c>
      <c r="L1298" t="s">
        <v>38</v>
      </c>
      <c r="M1298" t="s">
        <v>3349</v>
      </c>
      <c r="N1298" t="s">
        <v>3349</v>
      </c>
      <c r="O1298" t="s">
        <v>23</v>
      </c>
      <c r="P1298" t="s">
        <v>24</v>
      </c>
      <c r="Q1298" t="s">
        <v>69</v>
      </c>
      <c r="R1298" t="s">
        <v>419</v>
      </c>
    </row>
    <row r="1299" spans="1:18" x14ac:dyDescent="0.25">
      <c r="A1299" t="s">
        <v>17856</v>
      </c>
      <c r="B1299" t="s">
        <v>3361</v>
      </c>
      <c r="C1299" t="str">
        <f>HYPERLINK("https://nematode.unl.edu/bacu22.jpg")</f>
        <v>https://nematode.unl.edu/bacu22.jpg</v>
      </c>
      <c r="D1299" t="s">
        <v>43</v>
      </c>
      <c r="G1299" t="s">
        <v>34</v>
      </c>
      <c r="H1299" t="s">
        <v>18</v>
      </c>
      <c r="I1299" t="s">
        <v>19</v>
      </c>
      <c r="J1299" t="s">
        <v>20</v>
      </c>
      <c r="L1299" t="s">
        <v>38</v>
      </c>
      <c r="M1299" t="s">
        <v>3349</v>
      </c>
      <c r="N1299" t="s">
        <v>3349</v>
      </c>
      <c r="O1299" t="s">
        <v>23</v>
      </c>
      <c r="P1299" t="s">
        <v>24</v>
      </c>
      <c r="Q1299" t="s">
        <v>69</v>
      </c>
      <c r="R1299" t="s">
        <v>419</v>
      </c>
    </row>
    <row r="1300" spans="1:18" x14ac:dyDescent="0.25">
      <c r="A1300" t="s">
        <v>17906</v>
      </c>
      <c r="B1300" t="s">
        <v>3362</v>
      </c>
      <c r="C1300" t="str">
        <f>HYPERLINK("https://nematode.unl.edu/bacu23.jpg")</f>
        <v>https://nematode.unl.edu/bacu23.jpg</v>
      </c>
      <c r="D1300" t="s">
        <v>43</v>
      </c>
      <c r="G1300" t="s">
        <v>51</v>
      </c>
      <c r="I1300" t="s">
        <v>19</v>
      </c>
      <c r="J1300" t="s">
        <v>20</v>
      </c>
      <c r="L1300" t="s">
        <v>38</v>
      </c>
      <c r="M1300" t="s">
        <v>3349</v>
      </c>
      <c r="N1300" t="s">
        <v>3349</v>
      </c>
      <c r="O1300" t="s">
        <v>23</v>
      </c>
      <c r="P1300" t="s">
        <v>24</v>
      </c>
      <c r="Q1300" t="s">
        <v>69</v>
      </c>
      <c r="R1300" t="s">
        <v>419</v>
      </c>
    </row>
    <row r="1301" spans="1:18" x14ac:dyDescent="0.25">
      <c r="A1301" t="s">
        <v>17895</v>
      </c>
      <c r="B1301" t="s">
        <v>3363</v>
      </c>
      <c r="C1301" t="str">
        <f>HYPERLINK("https://nematode.unl.edu/bacu24.jpg")</f>
        <v>https://nematode.unl.edu/bacu24.jpg</v>
      </c>
      <c r="D1301" t="s">
        <v>43</v>
      </c>
      <c r="G1301" t="s">
        <v>28</v>
      </c>
      <c r="I1301" t="s">
        <v>19</v>
      </c>
      <c r="J1301" t="s">
        <v>20</v>
      </c>
      <c r="L1301" t="s">
        <v>38</v>
      </c>
      <c r="M1301" t="s">
        <v>3349</v>
      </c>
      <c r="N1301" t="s">
        <v>3349</v>
      </c>
      <c r="O1301" t="s">
        <v>23</v>
      </c>
      <c r="P1301" t="s">
        <v>24</v>
      </c>
      <c r="Q1301" t="s">
        <v>69</v>
      </c>
      <c r="R1301" t="s">
        <v>419</v>
      </c>
    </row>
    <row r="1302" spans="1:18" x14ac:dyDescent="0.25">
      <c r="A1302" t="s">
        <v>17877</v>
      </c>
      <c r="B1302" t="s">
        <v>3364</v>
      </c>
      <c r="C1302" t="str">
        <f>HYPERLINK("https://nematode.unl.edu/bacu25.jpg")</f>
        <v>https://nematode.unl.edu/bacu25.jpg</v>
      </c>
      <c r="D1302" t="s">
        <v>43</v>
      </c>
      <c r="G1302" t="s">
        <v>44</v>
      </c>
      <c r="I1302" t="s">
        <v>45</v>
      </c>
      <c r="J1302" t="s">
        <v>20</v>
      </c>
      <c r="M1302" t="s">
        <v>3349</v>
      </c>
      <c r="N1302" t="s">
        <v>3349</v>
      </c>
      <c r="O1302" t="s">
        <v>23</v>
      </c>
      <c r="P1302" t="s">
        <v>24</v>
      </c>
      <c r="Q1302" t="s">
        <v>69</v>
      </c>
      <c r="R1302" t="s">
        <v>419</v>
      </c>
    </row>
    <row r="1303" spans="1:18" x14ac:dyDescent="0.25">
      <c r="A1303" t="s">
        <v>17857</v>
      </c>
      <c r="B1303" t="s">
        <v>3365</v>
      </c>
      <c r="C1303" t="str">
        <f>HYPERLINK("https://nematode.unl.edu/bacu26.jpg")</f>
        <v>https://nematode.unl.edu/bacu26.jpg</v>
      </c>
      <c r="D1303" t="s">
        <v>43</v>
      </c>
      <c r="G1303" t="s">
        <v>34</v>
      </c>
      <c r="H1303" t="s">
        <v>18</v>
      </c>
      <c r="I1303" t="s">
        <v>41</v>
      </c>
      <c r="J1303" t="s">
        <v>20</v>
      </c>
      <c r="M1303" t="s">
        <v>3349</v>
      </c>
      <c r="N1303" t="s">
        <v>3349</v>
      </c>
      <c r="O1303" t="s">
        <v>23</v>
      </c>
      <c r="P1303" t="s">
        <v>24</v>
      </c>
      <c r="Q1303" t="s">
        <v>69</v>
      </c>
      <c r="R1303" t="s">
        <v>419</v>
      </c>
    </row>
    <row r="1304" spans="1:18" x14ac:dyDescent="0.25">
      <c r="A1304" t="s">
        <v>17887</v>
      </c>
      <c r="B1304" t="s">
        <v>3366</v>
      </c>
      <c r="C1304" t="str">
        <f>HYPERLINK("https://nematode.unl.edu/bacu27.jpg")</f>
        <v>https://nematode.unl.edu/bacu27.jpg</v>
      </c>
      <c r="D1304" t="s">
        <v>43</v>
      </c>
      <c r="G1304" t="s">
        <v>414</v>
      </c>
      <c r="I1304" t="s">
        <v>41</v>
      </c>
      <c r="J1304" t="s">
        <v>20</v>
      </c>
      <c r="L1304" t="s">
        <v>64</v>
      </c>
      <c r="M1304" t="s">
        <v>3349</v>
      </c>
      <c r="N1304" t="s">
        <v>3349</v>
      </c>
      <c r="O1304" t="s">
        <v>23</v>
      </c>
      <c r="P1304" t="s">
        <v>24</v>
      </c>
      <c r="Q1304" t="s">
        <v>69</v>
      </c>
      <c r="R1304" t="s">
        <v>419</v>
      </c>
    </row>
    <row r="1305" spans="1:18" x14ac:dyDescent="0.25">
      <c r="A1305" t="s">
        <v>17871</v>
      </c>
      <c r="B1305" t="s">
        <v>3367</v>
      </c>
      <c r="C1305" t="str">
        <f>HYPERLINK("https://nematode.unl.edu/bacu28.jpg")</f>
        <v>https://nematode.unl.edu/bacu28.jpg</v>
      </c>
      <c r="D1305" t="s">
        <v>43</v>
      </c>
      <c r="G1305" t="s">
        <v>384</v>
      </c>
      <c r="I1305" t="s">
        <v>41</v>
      </c>
      <c r="J1305" t="s">
        <v>20</v>
      </c>
      <c r="L1305" t="s">
        <v>64</v>
      </c>
      <c r="M1305" t="s">
        <v>3349</v>
      </c>
      <c r="N1305" t="s">
        <v>3349</v>
      </c>
      <c r="O1305" t="s">
        <v>23</v>
      </c>
      <c r="P1305" t="s">
        <v>24</v>
      </c>
      <c r="Q1305" t="s">
        <v>69</v>
      </c>
      <c r="R1305" t="s">
        <v>419</v>
      </c>
    </row>
    <row r="1306" spans="1:18" x14ac:dyDescent="0.25">
      <c r="A1306" t="s">
        <v>17907</v>
      </c>
      <c r="B1306" t="s">
        <v>3368</v>
      </c>
      <c r="C1306" t="str">
        <f>HYPERLINK("https://nematode.unl.edu/bacu29.jpg")</f>
        <v>https://nematode.unl.edu/bacu29.jpg</v>
      </c>
      <c r="D1306" t="s">
        <v>43</v>
      </c>
      <c r="G1306" t="s">
        <v>51</v>
      </c>
      <c r="I1306" t="s">
        <v>41</v>
      </c>
      <c r="J1306" t="s">
        <v>20</v>
      </c>
      <c r="L1306" t="s">
        <v>64</v>
      </c>
      <c r="M1306" t="s">
        <v>3349</v>
      </c>
      <c r="N1306" t="s">
        <v>3349</v>
      </c>
      <c r="O1306" t="s">
        <v>23</v>
      </c>
      <c r="P1306" t="s">
        <v>24</v>
      </c>
      <c r="Q1306" t="s">
        <v>69</v>
      </c>
      <c r="R1306" t="s">
        <v>419</v>
      </c>
    </row>
    <row r="1307" spans="1:18" x14ac:dyDescent="0.25">
      <c r="A1307" t="s">
        <v>17858</v>
      </c>
      <c r="B1307" t="s">
        <v>3369</v>
      </c>
      <c r="C1307" t="str">
        <f>HYPERLINK("https://nematode.unl.edu/bacu3.jpg")</f>
        <v>https://nematode.unl.edu/bacu3.jpg</v>
      </c>
      <c r="D1307" t="s">
        <v>77</v>
      </c>
      <c r="G1307" t="s">
        <v>34</v>
      </c>
      <c r="H1307" t="s">
        <v>18</v>
      </c>
      <c r="I1307" t="s">
        <v>45</v>
      </c>
      <c r="J1307" t="s">
        <v>20</v>
      </c>
      <c r="L1307" t="s">
        <v>64</v>
      </c>
      <c r="M1307" t="s">
        <v>3349</v>
      </c>
      <c r="N1307" t="s">
        <v>3349</v>
      </c>
      <c r="O1307" t="s">
        <v>23</v>
      </c>
      <c r="P1307" t="s">
        <v>24</v>
      </c>
      <c r="Q1307" t="s">
        <v>69</v>
      </c>
      <c r="R1307" t="s">
        <v>419</v>
      </c>
    </row>
    <row r="1308" spans="1:18" x14ac:dyDescent="0.25">
      <c r="A1308" t="s">
        <v>17896</v>
      </c>
      <c r="B1308" t="s">
        <v>3370</v>
      </c>
      <c r="C1308" t="str">
        <f>HYPERLINK("https://nematode.unl.edu/bacu31.jpg")</f>
        <v>https://nematode.unl.edu/bacu31.jpg</v>
      </c>
      <c r="D1308" t="s">
        <v>43</v>
      </c>
      <c r="G1308" t="s">
        <v>28</v>
      </c>
      <c r="I1308" t="s">
        <v>19</v>
      </c>
      <c r="J1308" t="s">
        <v>20</v>
      </c>
      <c r="L1308" t="s">
        <v>64</v>
      </c>
      <c r="M1308" t="s">
        <v>3349</v>
      </c>
      <c r="N1308" t="s">
        <v>3349</v>
      </c>
      <c r="O1308" t="s">
        <v>23</v>
      </c>
      <c r="P1308" t="s">
        <v>24</v>
      </c>
      <c r="Q1308" t="s">
        <v>69</v>
      </c>
      <c r="R1308" t="s">
        <v>419</v>
      </c>
    </row>
    <row r="1309" spans="1:18" x14ac:dyDescent="0.25">
      <c r="A1309" t="s">
        <v>17859</v>
      </c>
      <c r="B1309" t="s">
        <v>3371</v>
      </c>
      <c r="C1309" t="str">
        <f>HYPERLINK("https://nematode.unl.edu/bacu32.jpg")</f>
        <v>https://nematode.unl.edu/bacu32.jpg</v>
      </c>
      <c r="D1309" t="s">
        <v>43</v>
      </c>
      <c r="G1309" t="s">
        <v>34</v>
      </c>
      <c r="H1309" t="s">
        <v>18</v>
      </c>
      <c r="I1309" t="s">
        <v>19</v>
      </c>
      <c r="J1309" t="s">
        <v>20</v>
      </c>
      <c r="M1309" t="s">
        <v>3349</v>
      </c>
      <c r="N1309" t="s">
        <v>3349</v>
      </c>
      <c r="O1309" t="s">
        <v>23</v>
      </c>
      <c r="P1309" t="s">
        <v>24</v>
      </c>
      <c r="Q1309" t="s">
        <v>69</v>
      </c>
      <c r="R1309" t="s">
        <v>419</v>
      </c>
    </row>
    <row r="1310" spans="1:18" x14ac:dyDescent="0.25">
      <c r="A1310" t="s">
        <v>17886</v>
      </c>
      <c r="B1310" t="s">
        <v>3372</v>
      </c>
      <c r="C1310" t="str">
        <f>HYPERLINK("https://nematode.unl.edu/bacu33.jpg")</f>
        <v>https://nematode.unl.edu/bacu33.jpg</v>
      </c>
      <c r="D1310" t="s">
        <v>43</v>
      </c>
      <c r="G1310" t="s">
        <v>53</v>
      </c>
      <c r="I1310" t="s">
        <v>45</v>
      </c>
      <c r="J1310" t="s">
        <v>20</v>
      </c>
      <c r="M1310" t="s">
        <v>3349</v>
      </c>
      <c r="N1310" t="s">
        <v>3349</v>
      </c>
      <c r="O1310" t="s">
        <v>23</v>
      </c>
      <c r="P1310" t="s">
        <v>24</v>
      </c>
      <c r="Q1310" t="s">
        <v>69</v>
      </c>
      <c r="R1310" t="s">
        <v>419</v>
      </c>
    </row>
    <row r="1311" spans="1:18" x14ac:dyDescent="0.25">
      <c r="A1311" t="s">
        <v>17860</v>
      </c>
      <c r="B1311" t="s">
        <v>3373</v>
      </c>
      <c r="C1311" t="str">
        <f>HYPERLINK("https://nematode.unl.edu/bacu35.jpg")</f>
        <v>https://nematode.unl.edu/bacu35.jpg</v>
      </c>
      <c r="D1311" t="s">
        <v>43</v>
      </c>
      <c r="G1311" t="s">
        <v>34</v>
      </c>
      <c r="H1311" t="s">
        <v>18</v>
      </c>
      <c r="I1311" t="s">
        <v>41</v>
      </c>
      <c r="J1311" t="s">
        <v>20</v>
      </c>
      <c r="M1311" t="s">
        <v>3349</v>
      </c>
      <c r="N1311" t="s">
        <v>3349</v>
      </c>
      <c r="O1311" t="s">
        <v>23</v>
      </c>
      <c r="P1311" t="s">
        <v>24</v>
      </c>
      <c r="Q1311" t="s">
        <v>69</v>
      </c>
      <c r="R1311" t="s">
        <v>419</v>
      </c>
    </row>
    <row r="1312" spans="1:18" x14ac:dyDescent="0.25">
      <c r="A1312" t="s">
        <v>17873</v>
      </c>
      <c r="B1312" t="s">
        <v>3374</v>
      </c>
      <c r="C1312" t="str">
        <f>HYPERLINK("https://nematode.unl.edu/bacu36.jpg")</f>
        <v>https://nematode.unl.edu/bacu36.jpg</v>
      </c>
      <c r="D1312" t="s">
        <v>43</v>
      </c>
      <c r="G1312" t="s">
        <v>87</v>
      </c>
      <c r="I1312" t="s">
        <v>41</v>
      </c>
      <c r="J1312" t="s">
        <v>20</v>
      </c>
      <c r="L1312" t="s">
        <v>138</v>
      </c>
      <c r="M1312" t="s">
        <v>3349</v>
      </c>
      <c r="N1312" t="s">
        <v>3349</v>
      </c>
      <c r="O1312" t="s">
        <v>23</v>
      </c>
      <c r="P1312" t="s">
        <v>24</v>
      </c>
      <c r="Q1312" t="s">
        <v>69</v>
      </c>
      <c r="R1312" t="s">
        <v>419</v>
      </c>
    </row>
    <row r="1313" spans="1:18" x14ac:dyDescent="0.25">
      <c r="A1313" t="s">
        <v>17861</v>
      </c>
      <c r="B1313" t="s">
        <v>3375</v>
      </c>
      <c r="C1313" t="str">
        <f>HYPERLINK("https://nematode.unl.edu/bacu37.jpg")</f>
        <v>https://nematode.unl.edu/bacu37.jpg</v>
      </c>
      <c r="D1313" t="s">
        <v>43</v>
      </c>
      <c r="G1313" t="s">
        <v>34</v>
      </c>
      <c r="H1313" t="s">
        <v>18</v>
      </c>
      <c r="I1313" t="s">
        <v>41</v>
      </c>
      <c r="J1313" t="s">
        <v>20</v>
      </c>
      <c r="L1313" t="s">
        <v>141</v>
      </c>
      <c r="M1313" t="s">
        <v>3349</v>
      </c>
      <c r="N1313" t="s">
        <v>3349</v>
      </c>
      <c r="O1313" t="s">
        <v>23</v>
      </c>
      <c r="P1313" t="s">
        <v>24</v>
      </c>
      <c r="Q1313" t="s">
        <v>69</v>
      </c>
      <c r="R1313" t="s">
        <v>419</v>
      </c>
    </row>
    <row r="1314" spans="1:18" x14ac:dyDescent="0.25">
      <c r="A1314" t="s">
        <v>17862</v>
      </c>
      <c r="B1314" t="s">
        <v>3376</v>
      </c>
      <c r="C1314" t="str">
        <f>HYPERLINK("https://nematode.unl.edu/bacu38.jpg")</f>
        <v>https://nematode.unl.edu/bacu38.jpg</v>
      </c>
      <c r="D1314" t="s">
        <v>43</v>
      </c>
      <c r="G1314" t="s">
        <v>34</v>
      </c>
      <c r="H1314" t="s">
        <v>18</v>
      </c>
      <c r="I1314" t="s">
        <v>41</v>
      </c>
      <c r="J1314" t="s">
        <v>20</v>
      </c>
      <c r="L1314" t="s">
        <v>173</v>
      </c>
      <c r="M1314" t="s">
        <v>3349</v>
      </c>
      <c r="N1314" t="s">
        <v>3349</v>
      </c>
      <c r="O1314" t="s">
        <v>23</v>
      </c>
      <c r="P1314" t="s">
        <v>24</v>
      </c>
      <c r="Q1314" t="s">
        <v>69</v>
      </c>
      <c r="R1314" t="s">
        <v>419</v>
      </c>
    </row>
    <row r="1315" spans="1:18" x14ac:dyDescent="0.25">
      <c r="A1315" t="s">
        <v>17892</v>
      </c>
      <c r="B1315" t="s">
        <v>3377</v>
      </c>
      <c r="C1315" t="str">
        <f>HYPERLINK("https://nematode.unl.edu/bacu4.jpg")</f>
        <v>https://nematode.unl.edu/bacu4.jpg</v>
      </c>
      <c r="D1315" t="s">
        <v>77</v>
      </c>
      <c r="G1315" t="s">
        <v>112</v>
      </c>
      <c r="I1315" t="s">
        <v>19</v>
      </c>
      <c r="J1315" t="s">
        <v>20</v>
      </c>
      <c r="L1315" t="s">
        <v>64</v>
      </c>
      <c r="M1315" t="s">
        <v>3349</v>
      </c>
      <c r="N1315" t="s">
        <v>3349</v>
      </c>
      <c r="O1315" t="s">
        <v>23</v>
      </c>
      <c r="P1315" t="s">
        <v>24</v>
      </c>
      <c r="Q1315" t="s">
        <v>69</v>
      </c>
      <c r="R1315" t="s">
        <v>419</v>
      </c>
    </row>
    <row r="1316" spans="1:18" x14ac:dyDescent="0.25">
      <c r="A1316" t="s">
        <v>17850</v>
      </c>
      <c r="B1316" t="s">
        <v>3378</v>
      </c>
      <c r="C1316" t="str">
        <f>HYPERLINK("https://nematode.unl.edu/bacu40.jpg")</f>
        <v>https://nematode.unl.edu/bacu40.jpg</v>
      </c>
      <c r="D1316" t="s">
        <v>43</v>
      </c>
      <c r="G1316" t="s">
        <v>96</v>
      </c>
      <c r="H1316" t="s">
        <v>18</v>
      </c>
      <c r="I1316" t="s">
        <v>19</v>
      </c>
      <c r="J1316" t="s">
        <v>20</v>
      </c>
      <c r="L1316" t="s">
        <v>138</v>
      </c>
      <c r="M1316" t="s">
        <v>3349</v>
      </c>
      <c r="N1316" t="s">
        <v>3349</v>
      </c>
      <c r="O1316" t="s">
        <v>23</v>
      </c>
      <c r="P1316" t="s">
        <v>24</v>
      </c>
      <c r="Q1316" t="s">
        <v>69</v>
      </c>
      <c r="R1316" t="s">
        <v>419</v>
      </c>
    </row>
    <row r="1317" spans="1:18" x14ac:dyDescent="0.25">
      <c r="A1317" t="s">
        <v>17902</v>
      </c>
      <c r="B1317" t="s">
        <v>3379</v>
      </c>
      <c r="C1317" t="str">
        <f>HYPERLINK("https://nematode.unl.edu/bacu41.jpg")</f>
        <v>https://nematode.unl.edu/bacu41.jpg</v>
      </c>
      <c r="D1317" t="s">
        <v>43</v>
      </c>
      <c r="G1317" t="s">
        <v>422</v>
      </c>
      <c r="I1317" t="s">
        <v>19</v>
      </c>
      <c r="J1317" t="s">
        <v>20</v>
      </c>
      <c r="L1317" t="s">
        <v>173</v>
      </c>
      <c r="M1317" t="s">
        <v>3349</v>
      </c>
      <c r="N1317" t="s">
        <v>3349</v>
      </c>
      <c r="O1317" t="s">
        <v>23</v>
      </c>
      <c r="P1317" t="s">
        <v>24</v>
      </c>
      <c r="Q1317" t="s">
        <v>69</v>
      </c>
      <c r="R1317" t="s">
        <v>419</v>
      </c>
    </row>
    <row r="1318" spans="1:18" x14ac:dyDescent="0.25">
      <c r="A1318" t="s">
        <v>17863</v>
      </c>
      <c r="B1318" t="s">
        <v>3380</v>
      </c>
      <c r="C1318" t="str">
        <f>HYPERLINK("https://nematode.unl.edu/bacu42.jpg")</f>
        <v>https://nematode.unl.edu/bacu42.jpg</v>
      </c>
      <c r="D1318" t="s">
        <v>43</v>
      </c>
      <c r="G1318" t="s">
        <v>34</v>
      </c>
      <c r="H1318" t="s">
        <v>18</v>
      </c>
      <c r="I1318" t="s">
        <v>41</v>
      </c>
      <c r="J1318" t="s">
        <v>20</v>
      </c>
      <c r="L1318" t="s">
        <v>173</v>
      </c>
      <c r="M1318" t="s">
        <v>3349</v>
      </c>
      <c r="N1318" t="s">
        <v>3349</v>
      </c>
      <c r="O1318" t="s">
        <v>23</v>
      </c>
      <c r="P1318" t="s">
        <v>24</v>
      </c>
      <c r="Q1318" t="s">
        <v>69</v>
      </c>
      <c r="R1318" t="s">
        <v>419</v>
      </c>
    </row>
    <row r="1319" spans="1:18" x14ac:dyDescent="0.25">
      <c r="A1319" t="s">
        <v>17888</v>
      </c>
      <c r="B1319" t="s">
        <v>3381</v>
      </c>
      <c r="C1319" t="str">
        <f>HYPERLINK("https://nematode.unl.edu/bacu43.jpg")</f>
        <v>https://nematode.unl.edu/bacu43.jpg</v>
      </c>
      <c r="D1319" t="s">
        <v>43</v>
      </c>
      <c r="G1319" t="s">
        <v>414</v>
      </c>
      <c r="I1319" t="s">
        <v>41</v>
      </c>
      <c r="J1319" t="s">
        <v>20</v>
      </c>
      <c r="L1319" t="s">
        <v>352</v>
      </c>
      <c r="M1319" t="s">
        <v>3349</v>
      </c>
      <c r="N1319" t="s">
        <v>3349</v>
      </c>
      <c r="O1319" t="s">
        <v>23</v>
      </c>
      <c r="P1319" t="s">
        <v>24</v>
      </c>
      <c r="Q1319" t="s">
        <v>69</v>
      </c>
      <c r="R1319" t="s">
        <v>419</v>
      </c>
    </row>
    <row r="1320" spans="1:18" x14ac:dyDescent="0.25">
      <c r="A1320" t="s">
        <v>17872</v>
      </c>
      <c r="B1320" t="s">
        <v>3382</v>
      </c>
      <c r="C1320" t="str">
        <f>HYPERLINK("https://nematode.unl.edu/bacu44.jpg")</f>
        <v>https://nematode.unl.edu/bacu44.jpg</v>
      </c>
      <c r="D1320" t="s">
        <v>43</v>
      </c>
      <c r="G1320" t="s">
        <v>384</v>
      </c>
      <c r="I1320" t="s">
        <v>41</v>
      </c>
      <c r="J1320" t="s">
        <v>20</v>
      </c>
      <c r="L1320" t="s">
        <v>173</v>
      </c>
      <c r="M1320" t="s">
        <v>3349</v>
      </c>
      <c r="N1320" t="s">
        <v>3349</v>
      </c>
      <c r="O1320" t="s">
        <v>23</v>
      </c>
      <c r="P1320" t="s">
        <v>24</v>
      </c>
      <c r="Q1320" t="s">
        <v>69</v>
      </c>
      <c r="R1320" t="s">
        <v>419</v>
      </c>
    </row>
    <row r="1321" spans="1:18" x14ac:dyDescent="0.25">
      <c r="A1321" t="s">
        <v>17878</v>
      </c>
      <c r="B1321" t="s">
        <v>3383</v>
      </c>
      <c r="C1321" t="str">
        <f>HYPERLINK("https://nematode.unl.edu/bacu45.jpg")</f>
        <v>https://nematode.unl.edu/bacu45.jpg</v>
      </c>
      <c r="D1321" t="s">
        <v>43</v>
      </c>
      <c r="G1321" t="s">
        <v>44</v>
      </c>
      <c r="I1321" t="s">
        <v>45</v>
      </c>
      <c r="J1321" t="s">
        <v>20</v>
      </c>
      <c r="L1321" t="s">
        <v>138</v>
      </c>
      <c r="M1321" t="s">
        <v>3349</v>
      </c>
      <c r="N1321" t="s">
        <v>3349</v>
      </c>
      <c r="O1321" t="s">
        <v>23</v>
      </c>
      <c r="P1321" t="s">
        <v>24</v>
      </c>
      <c r="Q1321" t="s">
        <v>69</v>
      </c>
      <c r="R1321" t="s">
        <v>419</v>
      </c>
    </row>
    <row r="1322" spans="1:18" x14ac:dyDescent="0.25">
      <c r="A1322" t="s">
        <v>17879</v>
      </c>
      <c r="B1322" t="s">
        <v>3384</v>
      </c>
      <c r="C1322" t="str">
        <f>HYPERLINK("https://nematode.unl.edu/bacu46.jpg")</f>
        <v>https://nematode.unl.edu/bacu46.jpg</v>
      </c>
      <c r="D1322" t="s">
        <v>77</v>
      </c>
      <c r="G1322" t="s">
        <v>44</v>
      </c>
      <c r="I1322" t="s">
        <v>45</v>
      </c>
      <c r="J1322" t="s">
        <v>20</v>
      </c>
      <c r="L1322" t="s">
        <v>85</v>
      </c>
      <c r="M1322" t="s">
        <v>3349</v>
      </c>
      <c r="N1322" t="s">
        <v>3349</v>
      </c>
      <c r="O1322" t="s">
        <v>23</v>
      </c>
      <c r="P1322" t="s">
        <v>24</v>
      </c>
      <c r="Q1322" t="s">
        <v>69</v>
      </c>
      <c r="R1322" t="s">
        <v>419</v>
      </c>
    </row>
    <row r="1323" spans="1:18" x14ac:dyDescent="0.25">
      <c r="A1323" t="s">
        <v>17864</v>
      </c>
      <c r="B1323" t="s">
        <v>3385</v>
      </c>
      <c r="C1323" t="str">
        <f>HYPERLINK("https://nematode.unl.edu/bacu47.jpg")</f>
        <v>https://nematode.unl.edu/bacu47.jpg</v>
      </c>
      <c r="D1323" t="s">
        <v>77</v>
      </c>
      <c r="G1323" t="s">
        <v>34</v>
      </c>
      <c r="H1323" t="s">
        <v>18</v>
      </c>
      <c r="I1323" t="s">
        <v>19</v>
      </c>
      <c r="J1323" t="s">
        <v>20</v>
      </c>
      <c r="L1323" t="s">
        <v>85</v>
      </c>
      <c r="M1323" t="s">
        <v>3349</v>
      </c>
      <c r="N1323" t="s">
        <v>3349</v>
      </c>
      <c r="O1323" t="s">
        <v>23</v>
      </c>
      <c r="P1323" t="s">
        <v>24</v>
      </c>
      <c r="Q1323" t="s">
        <v>69</v>
      </c>
      <c r="R1323" t="s">
        <v>419</v>
      </c>
    </row>
    <row r="1324" spans="1:18" x14ac:dyDescent="0.25">
      <c r="A1324" t="s">
        <v>17893</v>
      </c>
      <c r="B1324" t="s">
        <v>3386</v>
      </c>
      <c r="C1324" t="str">
        <f>HYPERLINK("https://nematode.unl.edu/bacu48.jpg")</f>
        <v>https://nematode.unl.edu/bacu48.jpg</v>
      </c>
      <c r="D1324" t="s">
        <v>77</v>
      </c>
      <c r="G1324" t="s">
        <v>112</v>
      </c>
      <c r="I1324" t="s">
        <v>19</v>
      </c>
      <c r="J1324" t="s">
        <v>20</v>
      </c>
      <c r="M1324" t="s">
        <v>3349</v>
      </c>
      <c r="N1324" t="s">
        <v>3349</v>
      </c>
      <c r="O1324" t="s">
        <v>23</v>
      </c>
      <c r="P1324" t="s">
        <v>24</v>
      </c>
      <c r="Q1324" t="s">
        <v>69</v>
      </c>
      <c r="R1324" t="s">
        <v>419</v>
      </c>
    </row>
    <row r="1325" spans="1:18" x14ac:dyDescent="0.25">
      <c r="A1325" t="s">
        <v>17897</v>
      </c>
      <c r="B1325" t="s">
        <v>3387</v>
      </c>
      <c r="C1325" t="str">
        <f>HYPERLINK("https://nematode.unl.edu/bacu50.jpg")</f>
        <v>https://nematode.unl.edu/bacu50.jpg</v>
      </c>
      <c r="D1325" t="s">
        <v>77</v>
      </c>
      <c r="G1325" t="s">
        <v>28</v>
      </c>
      <c r="I1325" t="s">
        <v>19</v>
      </c>
      <c r="J1325" t="s">
        <v>20</v>
      </c>
      <c r="M1325" t="s">
        <v>3349</v>
      </c>
      <c r="N1325" t="s">
        <v>3349</v>
      </c>
      <c r="O1325" t="s">
        <v>23</v>
      </c>
      <c r="P1325" t="s">
        <v>24</v>
      </c>
      <c r="Q1325" t="s">
        <v>69</v>
      </c>
      <c r="R1325" t="s">
        <v>419</v>
      </c>
    </row>
    <row r="1326" spans="1:18" x14ac:dyDescent="0.25">
      <c r="A1326" t="s">
        <v>17880</v>
      </c>
      <c r="B1326" t="s">
        <v>3388</v>
      </c>
      <c r="C1326" t="str">
        <f>HYPERLINK("https://nematode.unl.edu/bacu6.jpg")</f>
        <v>https://nematode.unl.edu/bacu6.jpg</v>
      </c>
      <c r="D1326" t="s">
        <v>77</v>
      </c>
      <c r="G1326" t="s">
        <v>44</v>
      </c>
      <c r="I1326" t="s">
        <v>45</v>
      </c>
      <c r="J1326" t="s">
        <v>20</v>
      </c>
      <c r="L1326" t="s">
        <v>64</v>
      </c>
      <c r="M1326" t="s">
        <v>3349</v>
      </c>
      <c r="N1326" t="s">
        <v>3349</v>
      </c>
      <c r="O1326" t="s">
        <v>23</v>
      </c>
      <c r="P1326" t="s">
        <v>24</v>
      </c>
      <c r="Q1326" t="s">
        <v>69</v>
      </c>
      <c r="R1326" t="s">
        <v>419</v>
      </c>
    </row>
    <row r="1327" spans="1:18" x14ac:dyDescent="0.25">
      <c r="A1327" t="s">
        <v>17890</v>
      </c>
      <c r="B1327" t="s">
        <v>3389</v>
      </c>
      <c r="C1327" t="str">
        <f>HYPERLINK("https://nematode.unl.edu/bacu7.jpg")</f>
        <v>https://nematode.unl.edu/bacu7.jpg</v>
      </c>
      <c r="D1327" t="s">
        <v>43</v>
      </c>
      <c r="G1327" t="s">
        <v>1404</v>
      </c>
      <c r="I1327" t="s">
        <v>19</v>
      </c>
      <c r="J1327" t="s">
        <v>20</v>
      </c>
      <c r="L1327" t="s">
        <v>64</v>
      </c>
      <c r="M1327" t="s">
        <v>3349</v>
      </c>
      <c r="N1327" t="s">
        <v>3349</v>
      </c>
      <c r="O1327" t="s">
        <v>23</v>
      </c>
      <c r="P1327" t="s">
        <v>24</v>
      </c>
      <c r="Q1327" t="s">
        <v>69</v>
      </c>
      <c r="R1327" t="s">
        <v>419</v>
      </c>
    </row>
    <row r="1328" spans="1:18" x14ac:dyDescent="0.25">
      <c r="A1328" t="s">
        <v>17903</v>
      </c>
      <c r="B1328" t="s">
        <v>3390</v>
      </c>
      <c r="C1328" t="str">
        <f>HYPERLINK("https://nematode.unl.edu/bacu8.jpg")</f>
        <v>https://nematode.unl.edu/bacu8.jpg</v>
      </c>
      <c r="D1328" t="s">
        <v>43</v>
      </c>
      <c r="G1328" t="s">
        <v>422</v>
      </c>
      <c r="I1328" t="s">
        <v>19</v>
      </c>
      <c r="J1328" t="s">
        <v>20</v>
      </c>
      <c r="L1328" t="s">
        <v>64</v>
      </c>
      <c r="M1328" t="s">
        <v>3349</v>
      </c>
      <c r="N1328" t="s">
        <v>3349</v>
      </c>
      <c r="O1328" t="s">
        <v>23</v>
      </c>
      <c r="P1328" t="s">
        <v>24</v>
      </c>
      <c r="Q1328" t="s">
        <v>69</v>
      </c>
      <c r="R1328" t="s">
        <v>419</v>
      </c>
    </row>
    <row r="1329" spans="1:18" x14ac:dyDescent="0.25">
      <c r="A1329" t="s">
        <v>17908</v>
      </c>
      <c r="B1329" t="s">
        <v>3391</v>
      </c>
      <c r="C1329" t="str">
        <f>HYPERLINK("https://nematode.unl.edu/bacu9.jpg")</f>
        <v>https://nematode.unl.edu/bacu9.jpg</v>
      </c>
      <c r="D1329" t="s">
        <v>43</v>
      </c>
      <c r="G1329" t="s">
        <v>51</v>
      </c>
      <c r="I1329" t="s">
        <v>19</v>
      </c>
      <c r="J1329" t="s">
        <v>20</v>
      </c>
      <c r="L1329" t="s">
        <v>64</v>
      </c>
      <c r="M1329" t="s">
        <v>3349</v>
      </c>
      <c r="N1329" t="s">
        <v>3349</v>
      </c>
      <c r="O1329" t="s">
        <v>23</v>
      </c>
      <c r="P1329" t="s">
        <v>24</v>
      </c>
      <c r="Q1329" t="s">
        <v>69</v>
      </c>
      <c r="R1329" t="s">
        <v>419</v>
      </c>
    </row>
    <row r="1330" spans="1:18" x14ac:dyDescent="0.25">
      <c r="A1330" t="s">
        <v>17885</v>
      </c>
      <c r="B1330" t="s">
        <v>3392</v>
      </c>
      <c r="C1330" t="str">
        <f>HYPERLINK("https://nematode.unl.edu/bacucmp.jpg")</f>
        <v>https://nematode.unl.edu/bacucmp.jpg</v>
      </c>
      <c r="G1330" t="s">
        <v>108</v>
      </c>
      <c r="M1330" t="s">
        <v>3349</v>
      </c>
      <c r="N1330" t="s">
        <v>3349</v>
      </c>
      <c r="O1330" t="s">
        <v>23</v>
      </c>
      <c r="P1330" t="s">
        <v>24</v>
      </c>
      <c r="Q1330" t="s">
        <v>69</v>
      </c>
      <c r="R1330" t="s">
        <v>419</v>
      </c>
    </row>
    <row r="1331" spans="1:18" x14ac:dyDescent="0.25">
      <c r="A1331" t="s">
        <v>17898</v>
      </c>
      <c r="B1331" t="s">
        <v>3393</v>
      </c>
      <c r="C1331" t="str">
        <f>HYPERLINK("https://nematode.unl.edu/bacut1.jpg")</f>
        <v>https://nematode.unl.edu/bacut1.jpg</v>
      </c>
      <c r="D1331" t="s">
        <v>16</v>
      </c>
      <c r="G1331" t="s">
        <v>28</v>
      </c>
      <c r="I1331" t="s">
        <v>19</v>
      </c>
      <c r="J1331" t="s">
        <v>46</v>
      </c>
      <c r="L1331" t="s">
        <v>105</v>
      </c>
      <c r="M1331" t="s">
        <v>3349</v>
      </c>
      <c r="N1331" t="s">
        <v>3349</v>
      </c>
      <c r="O1331" t="s">
        <v>23</v>
      </c>
      <c r="P1331" t="s">
        <v>24</v>
      </c>
      <c r="Q1331" t="s">
        <v>69</v>
      </c>
      <c r="R1331" t="s">
        <v>419</v>
      </c>
    </row>
    <row r="1332" spans="1:18" x14ac:dyDescent="0.25">
      <c r="A1332" t="s">
        <v>17899</v>
      </c>
      <c r="B1332" t="s">
        <v>3394</v>
      </c>
      <c r="C1332" t="str">
        <f>HYPERLINK("https://nematode.unl.edu/bacut10.jpg")</f>
        <v>https://nematode.unl.edu/bacut10.jpg</v>
      </c>
      <c r="D1332" t="s">
        <v>43</v>
      </c>
      <c r="G1332" t="s">
        <v>28</v>
      </c>
      <c r="I1332" t="s">
        <v>19</v>
      </c>
      <c r="J1332" t="s">
        <v>46</v>
      </c>
      <c r="L1332" t="s">
        <v>727</v>
      </c>
      <c r="M1332" t="s">
        <v>3349</v>
      </c>
      <c r="N1332" t="s">
        <v>3349</v>
      </c>
      <c r="O1332" t="s">
        <v>23</v>
      </c>
      <c r="P1332" t="s">
        <v>24</v>
      </c>
      <c r="Q1332" t="s">
        <v>69</v>
      </c>
      <c r="R1332" t="s">
        <v>419</v>
      </c>
    </row>
    <row r="1333" spans="1:18" x14ac:dyDescent="0.25">
      <c r="A1333" t="s">
        <v>17865</v>
      </c>
      <c r="B1333" t="s">
        <v>3395</v>
      </c>
      <c r="C1333" t="str">
        <f>HYPERLINK("https://nematode.unl.edu/bacut2.jpg")</f>
        <v>https://nematode.unl.edu/bacut2.jpg</v>
      </c>
      <c r="D1333" t="s">
        <v>16</v>
      </c>
      <c r="G1333" t="s">
        <v>34</v>
      </c>
      <c r="H1333" t="s">
        <v>18</v>
      </c>
      <c r="I1333" t="s">
        <v>19</v>
      </c>
      <c r="J1333" t="s">
        <v>46</v>
      </c>
      <c r="L1333" t="s">
        <v>105</v>
      </c>
      <c r="M1333" t="s">
        <v>3349</v>
      </c>
      <c r="N1333" t="s">
        <v>3349</v>
      </c>
      <c r="O1333" t="s">
        <v>23</v>
      </c>
      <c r="P1333" t="s">
        <v>24</v>
      </c>
      <c r="Q1333" t="s">
        <v>69</v>
      </c>
      <c r="R1333" t="s">
        <v>419</v>
      </c>
    </row>
    <row r="1334" spans="1:18" x14ac:dyDescent="0.25">
      <c r="A1334" t="s">
        <v>17881</v>
      </c>
      <c r="B1334" t="s">
        <v>3396</v>
      </c>
      <c r="C1334" t="str">
        <f>HYPERLINK("https://nematode.unl.edu/bacut3.jpg")</f>
        <v>https://nematode.unl.edu/bacut3.jpg</v>
      </c>
      <c r="D1334" t="s">
        <v>16</v>
      </c>
      <c r="G1334" t="s">
        <v>44</v>
      </c>
      <c r="I1334" t="s">
        <v>45</v>
      </c>
      <c r="J1334" t="s">
        <v>46</v>
      </c>
      <c r="L1334" t="s">
        <v>105</v>
      </c>
      <c r="M1334" t="s">
        <v>3349</v>
      </c>
      <c r="N1334" t="s">
        <v>3349</v>
      </c>
      <c r="O1334" t="s">
        <v>23</v>
      </c>
      <c r="P1334" t="s">
        <v>24</v>
      </c>
      <c r="Q1334" t="s">
        <v>69</v>
      </c>
      <c r="R1334" t="s">
        <v>419</v>
      </c>
    </row>
    <row r="1335" spans="1:18" x14ac:dyDescent="0.25">
      <c r="A1335" t="s">
        <v>17866</v>
      </c>
      <c r="B1335" t="s">
        <v>3397</v>
      </c>
      <c r="C1335" t="str">
        <f>HYPERLINK("https://nematode.unl.edu/bacut4.jpg")</f>
        <v>https://nematode.unl.edu/bacut4.jpg</v>
      </c>
      <c r="D1335" t="s">
        <v>43</v>
      </c>
      <c r="G1335" t="s">
        <v>34</v>
      </c>
      <c r="H1335" t="s">
        <v>18</v>
      </c>
      <c r="I1335" t="s">
        <v>19</v>
      </c>
      <c r="J1335" t="s">
        <v>46</v>
      </c>
      <c r="L1335" t="s">
        <v>727</v>
      </c>
      <c r="M1335" t="s">
        <v>3349</v>
      </c>
      <c r="N1335" t="s">
        <v>3349</v>
      </c>
      <c r="O1335" t="s">
        <v>23</v>
      </c>
      <c r="P1335" t="s">
        <v>24</v>
      </c>
      <c r="Q1335" t="s">
        <v>69</v>
      </c>
      <c r="R1335" t="s">
        <v>419</v>
      </c>
    </row>
    <row r="1336" spans="1:18" x14ac:dyDescent="0.25">
      <c r="A1336" t="s">
        <v>17909</v>
      </c>
      <c r="B1336" t="s">
        <v>3398</v>
      </c>
      <c r="C1336" t="str">
        <f>HYPERLINK("https://nematode.unl.edu/bacut5.jpg")</f>
        <v>https://nematode.unl.edu/bacut5.jpg</v>
      </c>
      <c r="D1336" t="s">
        <v>43</v>
      </c>
      <c r="G1336" t="s">
        <v>51</v>
      </c>
      <c r="I1336" t="s">
        <v>19</v>
      </c>
      <c r="J1336" t="s">
        <v>46</v>
      </c>
      <c r="L1336" t="s">
        <v>105</v>
      </c>
      <c r="M1336" t="s">
        <v>3349</v>
      </c>
      <c r="N1336" t="s">
        <v>3349</v>
      </c>
      <c r="O1336" t="s">
        <v>23</v>
      </c>
      <c r="P1336" t="s">
        <v>24</v>
      </c>
      <c r="Q1336" t="s">
        <v>69</v>
      </c>
      <c r="R1336" t="s">
        <v>419</v>
      </c>
    </row>
    <row r="1337" spans="1:18" x14ac:dyDescent="0.25">
      <c r="A1337" t="s">
        <v>17882</v>
      </c>
      <c r="B1337" t="s">
        <v>3399</v>
      </c>
      <c r="C1337" t="str">
        <f>HYPERLINK("https://nematode.unl.edu/bacut6.jpg")</f>
        <v>https://nematode.unl.edu/bacut6.jpg</v>
      </c>
      <c r="D1337" t="s">
        <v>43</v>
      </c>
      <c r="G1337" t="s">
        <v>44</v>
      </c>
      <c r="I1337" t="s">
        <v>45</v>
      </c>
      <c r="J1337" t="s">
        <v>46</v>
      </c>
      <c r="L1337" t="s">
        <v>105</v>
      </c>
      <c r="M1337" t="s">
        <v>3349</v>
      </c>
      <c r="N1337" t="s">
        <v>3349</v>
      </c>
      <c r="O1337" t="s">
        <v>23</v>
      </c>
      <c r="P1337" t="s">
        <v>24</v>
      </c>
      <c r="Q1337" t="s">
        <v>69</v>
      </c>
      <c r="R1337" t="s">
        <v>419</v>
      </c>
    </row>
    <row r="1338" spans="1:18" x14ac:dyDescent="0.25">
      <c r="A1338" t="s">
        <v>17910</v>
      </c>
      <c r="B1338" t="s">
        <v>3400</v>
      </c>
      <c r="C1338" t="str">
        <f>HYPERLINK("https://nematode.unl.edu/bacut7.jpg")</f>
        <v>https://nematode.unl.edu/bacut7.jpg</v>
      </c>
      <c r="D1338" t="s">
        <v>43</v>
      </c>
      <c r="G1338" t="s">
        <v>51</v>
      </c>
      <c r="I1338" t="s">
        <v>19</v>
      </c>
      <c r="J1338" t="s">
        <v>46</v>
      </c>
      <c r="L1338" t="s">
        <v>727</v>
      </c>
      <c r="M1338" t="s">
        <v>3349</v>
      </c>
      <c r="N1338" t="s">
        <v>3349</v>
      </c>
      <c r="O1338" t="s">
        <v>23</v>
      </c>
      <c r="P1338" t="s">
        <v>24</v>
      </c>
      <c r="Q1338" t="s">
        <v>69</v>
      </c>
      <c r="R1338" t="s">
        <v>419</v>
      </c>
    </row>
    <row r="1339" spans="1:18" x14ac:dyDescent="0.25">
      <c r="A1339" t="s">
        <v>17911</v>
      </c>
      <c r="B1339" t="s">
        <v>3401</v>
      </c>
      <c r="C1339" t="str">
        <f>HYPERLINK("https://nematode.unl.edu/bacut8.jpg")</f>
        <v>https://nematode.unl.edu/bacut8.jpg</v>
      </c>
      <c r="D1339" t="s">
        <v>43</v>
      </c>
      <c r="G1339" t="s">
        <v>51</v>
      </c>
      <c r="I1339" t="s">
        <v>19</v>
      </c>
      <c r="J1339" t="s">
        <v>46</v>
      </c>
      <c r="L1339" t="s">
        <v>105</v>
      </c>
      <c r="M1339" t="s">
        <v>3349</v>
      </c>
      <c r="N1339" t="s">
        <v>3349</v>
      </c>
      <c r="O1339" t="s">
        <v>23</v>
      </c>
      <c r="P1339" t="s">
        <v>24</v>
      </c>
      <c r="Q1339" t="s">
        <v>69</v>
      </c>
      <c r="R1339" t="s">
        <v>419</v>
      </c>
    </row>
    <row r="1340" spans="1:18" x14ac:dyDescent="0.25">
      <c r="A1340" t="s">
        <v>17867</v>
      </c>
      <c r="B1340" t="s">
        <v>3402</v>
      </c>
      <c r="C1340" t="str">
        <f>HYPERLINK("https://nematode.unl.edu/bacut9.jpg")</f>
        <v>https://nematode.unl.edu/bacut9.jpg</v>
      </c>
      <c r="D1340" t="s">
        <v>43</v>
      </c>
      <c r="G1340" t="s">
        <v>34</v>
      </c>
      <c r="H1340" t="s">
        <v>18</v>
      </c>
      <c r="I1340" t="s">
        <v>19</v>
      </c>
      <c r="J1340" t="s">
        <v>46</v>
      </c>
      <c r="L1340" t="s">
        <v>105</v>
      </c>
      <c r="M1340" t="s">
        <v>3349</v>
      </c>
      <c r="N1340" t="s">
        <v>3349</v>
      </c>
      <c r="O1340" t="s">
        <v>23</v>
      </c>
      <c r="P1340" t="s">
        <v>24</v>
      </c>
      <c r="Q1340" t="s">
        <v>69</v>
      </c>
      <c r="R1340" t="s">
        <v>419</v>
      </c>
    </row>
    <row r="1341" spans="1:18" x14ac:dyDescent="0.25">
      <c r="A1341" t="s">
        <v>17727</v>
      </c>
      <c r="B1341" t="s">
        <v>3131</v>
      </c>
      <c r="C1341" t="str">
        <f>HYPERLINK("https://nematode.unl.edu/baffi1.jpg")</f>
        <v>https://nematode.unl.edu/baffi1.jpg</v>
      </c>
      <c r="D1341" t="s">
        <v>16</v>
      </c>
      <c r="G1341" t="s">
        <v>44</v>
      </c>
      <c r="I1341" t="s">
        <v>45</v>
      </c>
      <c r="J1341" t="s">
        <v>20</v>
      </c>
      <c r="M1341" t="s">
        <v>3132</v>
      </c>
      <c r="N1341" t="s">
        <v>3132</v>
      </c>
      <c r="O1341" t="s">
        <v>23</v>
      </c>
      <c r="P1341" t="s">
        <v>24</v>
      </c>
      <c r="Q1341" t="s">
        <v>69</v>
      </c>
      <c r="R1341" t="s">
        <v>368</v>
      </c>
    </row>
    <row r="1342" spans="1:18" x14ac:dyDescent="0.25">
      <c r="A1342" t="s">
        <v>17732</v>
      </c>
      <c r="B1342" t="s">
        <v>3133</v>
      </c>
      <c r="C1342" t="str">
        <f>HYPERLINK("https://nematode.unl.edu/baffi10.jpg")</f>
        <v>https://nematode.unl.edu/baffi10.jpg</v>
      </c>
      <c r="D1342" t="s">
        <v>77</v>
      </c>
      <c r="G1342" t="s">
        <v>112</v>
      </c>
      <c r="I1342" t="s">
        <v>41</v>
      </c>
      <c r="J1342" t="s">
        <v>20</v>
      </c>
      <c r="M1342" t="s">
        <v>3132</v>
      </c>
      <c r="N1342" t="s">
        <v>3132</v>
      </c>
      <c r="O1342" t="s">
        <v>23</v>
      </c>
      <c r="P1342" t="s">
        <v>24</v>
      </c>
      <c r="Q1342" t="s">
        <v>69</v>
      </c>
      <c r="R1342" t="s">
        <v>368</v>
      </c>
    </row>
    <row r="1343" spans="1:18" x14ac:dyDescent="0.25">
      <c r="A1343" t="s">
        <v>17716</v>
      </c>
      <c r="B1343" t="s">
        <v>3134</v>
      </c>
      <c r="C1343" t="str">
        <f>HYPERLINK("https://nematode.unl.edu/baffi11.jpg")</f>
        <v>https://nematode.unl.edu/baffi11.jpg</v>
      </c>
      <c r="D1343" t="s">
        <v>77</v>
      </c>
      <c r="G1343" t="s">
        <v>34</v>
      </c>
      <c r="H1343" t="s">
        <v>18</v>
      </c>
      <c r="I1343" t="s">
        <v>41</v>
      </c>
      <c r="J1343" t="s">
        <v>20</v>
      </c>
      <c r="L1343" t="s">
        <v>29</v>
      </c>
      <c r="M1343" t="s">
        <v>3132</v>
      </c>
      <c r="N1343" t="s">
        <v>3132</v>
      </c>
      <c r="O1343" t="s">
        <v>23</v>
      </c>
      <c r="P1343" t="s">
        <v>24</v>
      </c>
      <c r="Q1343" t="s">
        <v>69</v>
      </c>
      <c r="R1343" t="s">
        <v>368</v>
      </c>
    </row>
    <row r="1344" spans="1:18" x14ac:dyDescent="0.25">
      <c r="A1344" t="s">
        <v>17728</v>
      </c>
      <c r="B1344" t="s">
        <v>3135</v>
      </c>
      <c r="C1344" t="str">
        <f>HYPERLINK("https://nematode.unl.edu/baffi12.jpg")</f>
        <v>https://nematode.unl.edu/baffi12.jpg</v>
      </c>
      <c r="D1344" t="s">
        <v>77</v>
      </c>
      <c r="G1344" t="s">
        <v>44</v>
      </c>
      <c r="I1344" t="s">
        <v>45</v>
      </c>
      <c r="J1344" t="s">
        <v>20</v>
      </c>
      <c r="M1344" t="s">
        <v>3132</v>
      </c>
      <c r="N1344" t="s">
        <v>3132</v>
      </c>
      <c r="O1344" t="s">
        <v>23</v>
      </c>
      <c r="P1344" t="s">
        <v>24</v>
      </c>
      <c r="Q1344" t="s">
        <v>69</v>
      </c>
      <c r="R1344" t="s">
        <v>368</v>
      </c>
    </row>
    <row r="1345" spans="1:18" x14ac:dyDescent="0.25">
      <c r="A1345" t="s">
        <v>17729</v>
      </c>
      <c r="B1345" t="s">
        <v>3136</v>
      </c>
      <c r="C1345" t="str">
        <f>HYPERLINK("https://nematode.unl.edu/baffi13.jpg")</f>
        <v>https://nematode.unl.edu/baffi13.jpg</v>
      </c>
      <c r="D1345" t="s">
        <v>16</v>
      </c>
      <c r="G1345" t="s">
        <v>44</v>
      </c>
      <c r="I1345" t="s">
        <v>45</v>
      </c>
      <c r="J1345" t="s">
        <v>20</v>
      </c>
      <c r="L1345" t="s">
        <v>64</v>
      </c>
      <c r="M1345" t="s">
        <v>3132</v>
      </c>
      <c r="N1345" t="s">
        <v>3132</v>
      </c>
      <c r="O1345" t="s">
        <v>23</v>
      </c>
      <c r="P1345" t="s">
        <v>24</v>
      </c>
      <c r="Q1345" t="s">
        <v>69</v>
      </c>
      <c r="R1345" t="s">
        <v>368</v>
      </c>
    </row>
    <row r="1346" spans="1:18" x14ac:dyDescent="0.25">
      <c r="A1346" t="s">
        <v>17717</v>
      </c>
      <c r="B1346" t="s">
        <v>3137</v>
      </c>
      <c r="C1346" t="str">
        <f>HYPERLINK("https://nematode.unl.edu/baffi14.jpg")</f>
        <v>https://nematode.unl.edu/baffi14.jpg</v>
      </c>
      <c r="D1346" t="s">
        <v>16</v>
      </c>
      <c r="G1346" t="s">
        <v>34</v>
      </c>
      <c r="H1346" t="s">
        <v>18</v>
      </c>
      <c r="I1346" t="s">
        <v>19</v>
      </c>
      <c r="J1346" t="s">
        <v>20</v>
      </c>
      <c r="L1346" t="s">
        <v>64</v>
      </c>
      <c r="M1346" t="s">
        <v>3132</v>
      </c>
      <c r="N1346" t="s">
        <v>3132</v>
      </c>
      <c r="O1346" t="s">
        <v>23</v>
      </c>
      <c r="P1346" t="s">
        <v>24</v>
      </c>
      <c r="Q1346" t="s">
        <v>69</v>
      </c>
      <c r="R1346" t="s">
        <v>368</v>
      </c>
    </row>
    <row r="1347" spans="1:18" x14ac:dyDescent="0.25">
      <c r="A1347" t="s">
        <v>17718</v>
      </c>
      <c r="B1347" t="s">
        <v>3138</v>
      </c>
      <c r="C1347" t="str">
        <f>HYPERLINK("https://nematode.unl.edu/baffi15.jpg")</f>
        <v>https://nematode.unl.edu/baffi15.jpg</v>
      </c>
      <c r="D1347" t="s">
        <v>16</v>
      </c>
      <c r="G1347" t="s">
        <v>34</v>
      </c>
      <c r="H1347" t="s">
        <v>18</v>
      </c>
      <c r="I1347" t="s">
        <v>19</v>
      </c>
      <c r="J1347" t="s">
        <v>20</v>
      </c>
      <c r="L1347" t="s">
        <v>141</v>
      </c>
      <c r="M1347" t="s">
        <v>3132</v>
      </c>
      <c r="N1347" t="s">
        <v>3132</v>
      </c>
      <c r="O1347" t="s">
        <v>23</v>
      </c>
      <c r="P1347" t="s">
        <v>24</v>
      </c>
      <c r="Q1347" t="s">
        <v>69</v>
      </c>
      <c r="R1347" t="s">
        <v>368</v>
      </c>
    </row>
    <row r="1348" spans="1:18" x14ac:dyDescent="0.25">
      <c r="A1348" t="s">
        <v>17719</v>
      </c>
      <c r="B1348" t="s">
        <v>3139</v>
      </c>
      <c r="C1348" t="str">
        <f>HYPERLINK("https://nematode.unl.edu/baffi16.jpg")</f>
        <v>https://nematode.unl.edu/baffi16.jpg</v>
      </c>
      <c r="D1348" t="s">
        <v>16</v>
      </c>
      <c r="G1348" t="s">
        <v>34</v>
      </c>
      <c r="H1348" t="s">
        <v>18</v>
      </c>
      <c r="I1348" t="s">
        <v>41</v>
      </c>
      <c r="J1348" t="s">
        <v>20</v>
      </c>
      <c r="L1348" t="s">
        <v>141</v>
      </c>
      <c r="M1348" t="s">
        <v>3132</v>
      </c>
      <c r="N1348" t="s">
        <v>3132</v>
      </c>
      <c r="O1348" t="s">
        <v>23</v>
      </c>
      <c r="P1348" t="s">
        <v>24</v>
      </c>
      <c r="Q1348" t="s">
        <v>69</v>
      </c>
      <c r="R1348" t="s">
        <v>368</v>
      </c>
    </row>
    <row r="1349" spans="1:18" x14ac:dyDescent="0.25">
      <c r="A1349" t="s">
        <v>17720</v>
      </c>
      <c r="B1349" t="s">
        <v>3140</v>
      </c>
      <c r="C1349" t="str">
        <f>HYPERLINK("https://nematode.unl.edu/baffi17.jpg")</f>
        <v>https://nematode.unl.edu/baffi17.jpg</v>
      </c>
      <c r="D1349" t="s">
        <v>16</v>
      </c>
      <c r="G1349" t="s">
        <v>34</v>
      </c>
      <c r="H1349" t="s">
        <v>18</v>
      </c>
      <c r="I1349" t="s">
        <v>41</v>
      </c>
      <c r="J1349" t="s">
        <v>20</v>
      </c>
      <c r="L1349" t="s">
        <v>64</v>
      </c>
      <c r="M1349" t="s">
        <v>3132</v>
      </c>
      <c r="N1349" t="s">
        <v>3132</v>
      </c>
      <c r="O1349" t="s">
        <v>23</v>
      </c>
      <c r="P1349" t="s">
        <v>24</v>
      </c>
      <c r="Q1349" t="s">
        <v>69</v>
      </c>
      <c r="R1349" t="s">
        <v>368</v>
      </c>
    </row>
    <row r="1350" spans="1:18" x14ac:dyDescent="0.25">
      <c r="A1350" t="s">
        <v>17730</v>
      </c>
      <c r="B1350" t="s">
        <v>3141</v>
      </c>
      <c r="C1350" t="str">
        <f>HYPERLINK("https://nematode.unl.edu/baffi18.jpg")</f>
        <v>https://nematode.unl.edu/baffi18.jpg</v>
      </c>
      <c r="D1350" t="s">
        <v>43</v>
      </c>
      <c r="G1350" t="s">
        <v>44</v>
      </c>
      <c r="I1350" t="s">
        <v>45</v>
      </c>
      <c r="J1350" t="s">
        <v>20</v>
      </c>
      <c r="L1350" t="s">
        <v>217</v>
      </c>
      <c r="M1350" t="s">
        <v>3132</v>
      </c>
      <c r="N1350" t="s">
        <v>3132</v>
      </c>
      <c r="O1350" t="s">
        <v>23</v>
      </c>
      <c r="P1350" t="s">
        <v>24</v>
      </c>
      <c r="Q1350" t="s">
        <v>69</v>
      </c>
      <c r="R1350" t="s">
        <v>368</v>
      </c>
    </row>
    <row r="1351" spans="1:18" x14ac:dyDescent="0.25">
      <c r="A1351" t="s">
        <v>17721</v>
      </c>
      <c r="B1351" t="s">
        <v>3142</v>
      </c>
      <c r="C1351" t="str">
        <f>HYPERLINK("https://nematode.unl.edu/baffi19.jpg")</f>
        <v>https://nematode.unl.edu/baffi19.jpg</v>
      </c>
      <c r="D1351" t="s">
        <v>43</v>
      </c>
      <c r="G1351" t="s">
        <v>34</v>
      </c>
      <c r="H1351" t="s">
        <v>18</v>
      </c>
      <c r="I1351" t="s">
        <v>19</v>
      </c>
      <c r="J1351" t="s">
        <v>20</v>
      </c>
      <c r="L1351" t="s">
        <v>141</v>
      </c>
      <c r="M1351" t="s">
        <v>3132</v>
      </c>
      <c r="N1351" t="s">
        <v>3132</v>
      </c>
      <c r="O1351" t="s">
        <v>23</v>
      </c>
      <c r="P1351" t="s">
        <v>24</v>
      </c>
      <c r="Q1351" t="s">
        <v>69</v>
      </c>
      <c r="R1351" t="s">
        <v>368</v>
      </c>
    </row>
    <row r="1352" spans="1:18" x14ac:dyDescent="0.25">
      <c r="A1352" t="s">
        <v>17722</v>
      </c>
      <c r="B1352" t="s">
        <v>3143</v>
      </c>
      <c r="C1352" t="str">
        <f>HYPERLINK("https://nematode.unl.edu/baffi2.jpg")</f>
        <v>https://nematode.unl.edu/baffi2.jpg</v>
      </c>
      <c r="D1352" t="s">
        <v>16</v>
      </c>
      <c r="G1352" t="s">
        <v>34</v>
      </c>
      <c r="H1352" t="s">
        <v>18</v>
      </c>
      <c r="I1352" t="s">
        <v>19</v>
      </c>
      <c r="J1352" t="s">
        <v>20</v>
      </c>
      <c r="M1352" t="s">
        <v>3132</v>
      </c>
      <c r="N1352" t="s">
        <v>3132</v>
      </c>
      <c r="O1352" t="s">
        <v>23</v>
      </c>
      <c r="P1352" t="s">
        <v>24</v>
      </c>
      <c r="Q1352" t="s">
        <v>69</v>
      </c>
      <c r="R1352" t="s">
        <v>368</v>
      </c>
    </row>
    <row r="1353" spans="1:18" x14ac:dyDescent="0.25">
      <c r="A1353" t="s">
        <v>17736</v>
      </c>
      <c r="B1353" t="s">
        <v>3144</v>
      </c>
      <c r="C1353" t="str">
        <f>HYPERLINK("https://nematode.unl.edu/baffi20.jpg")</f>
        <v>https://nematode.unl.edu/baffi20.jpg</v>
      </c>
      <c r="D1353" t="s">
        <v>43</v>
      </c>
      <c r="G1353" t="s">
        <v>51</v>
      </c>
      <c r="I1353" t="s">
        <v>19</v>
      </c>
      <c r="J1353" t="s">
        <v>20</v>
      </c>
      <c r="L1353" t="s">
        <v>141</v>
      </c>
      <c r="M1353" t="s">
        <v>3132</v>
      </c>
      <c r="N1353" t="s">
        <v>3132</v>
      </c>
      <c r="O1353" t="s">
        <v>23</v>
      </c>
      <c r="P1353" t="s">
        <v>24</v>
      </c>
      <c r="Q1353" t="s">
        <v>69</v>
      </c>
      <c r="R1353" t="s">
        <v>368</v>
      </c>
    </row>
    <row r="1354" spans="1:18" x14ac:dyDescent="0.25">
      <c r="A1354" t="s">
        <v>17723</v>
      </c>
      <c r="B1354" t="s">
        <v>3145</v>
      </c>
      <c r="C1354" t="str">
        <f>HYPERLINK("https://nematode.unl.edu/baffi21.jpg")</f>
        <v>https://nematode.unl.edu/baffi21.jpg</v>
      </c>
      <c r="D1354" t="s">
        <v>43</v>
      </c>
      <c r="G1354" t="s">
        <v>34</v>
      </c>
      <c r="H1354" t="s">
        <v>18</v>
      </c>
      <c r="I1354" t="s">
        <v>41</v>
      </c>
      <c r="J1354" t="s">
        <v>20</v>
      </c>
      <c r="L1354" t="s">
        <v>141</v>
      </c>
      <c r="M1354" t="s">
        <v>3132</v>
      </c>
      <c r="N1354" t="s">
        <v>3132</v>
      </c>
      <c r="O1354" t="s">
        <v>23</v>
      </c>
      <c r="P1354" t="s">
        <v>24</v>
      </c>
      <c r="Q1354" t="s">
        <v>69</v>
      </c>
      <c r="R1354" t="s">
        <v>368</v>
      </c>
    </row>
    <row r="1355" spans="1:18" x14ac:dyDescent="0.25">
      <c r="A1355" t="s">
        <v>17724</v>
      </c>
      <c r="B1355" t="s">
        <v>3146</v>
      </c>
      <c r="C1355" t="str">
        <f>HYPERLINK("https://nematode.unl.edu/baffi3.jpg")</f>
        <v>https://nematode.unl.edu/baffi3.jpg</v>
      </c>
      <c r="D1355" t="s">
        <v>43</v>
      </c>
      <c r="G1355" t="s">
        <v>34</v>
      </c>
      <c r="H1355" t="s">
        <v>18</v>
      </c>
      <c r="I1355" t="s">
        <v>41</v>
      </c>
      <c r="J1355" t="s">
        <v>20</v>
      </c>
      <c r="L1355" t="s">
        <v>141</v>
      </c>
      <c r="M1355" t="s">
        <v>3132</v>
      </c>
      <c r="N1355" t="s">
        <v>3132</v>
      </c>
      <c r="O1355" t="s">
        <v>23</v>
      </c>
      <c r="P1355" t="s">
        <v>24</v>
      </c>
      <c r="Q1355" t="s">
        <v>69</v>
      </c>
      <c r="R1355" t="s">
        <v>368</v>
      </c>
    </row>
    <row r="1356" spans="1:18" x14ac:dyDescent="0.25">
      <c r="A1356" t="s">
        <v>17737</v>
      </c>
      <c r="B1356" t="s">
        <v>3147</v>
      </c>
      <c r="C1356" t="str">
        <f>HYPERLINK("https://nematode.unl.edu/baffi4.jpg")</f>
        <v>https://nematode.unl.edu/baffi4.jpg</v>
      </c>
      <c r="D1356" t="s">
        <v>43</v>
      </c>
      <c r="G1356" t="s">
        <v>51</v>
      </c>
      <c r="I1356" t="s">
        <v>19</v>
      </c>
      <c r="J1356" t="s">
        <v>20</v>
      </c>
      <c r="L1356" t="s">
        <v>141</v>
      </c>
      <c r="M1356" t="s">
        <v>3132</v>
      </c>
      <c r="N1356" t="s">
        <v>3132</v>
      </c>
      <c r="O1356" t="s">
        <v>23</v>
      </c>
      <c r="P1356" t="s">
        <v>24</v>
      </c>
      <c r="Q1356" t="s">
        <v>69</v>
      </c>
      <c r="R1356" t="s">
        <v>368</v>
      </c>
    </row>
    <row r="1357" spans="1:18" x14ac:dyDescent="0.25">
      <c r="A1357" t="s">
        <v>17734</v>
      </c>
      <c r="B1357" t="s">
        <v>3148</v>
      </c>
      <c r="C1357" t="str">
        <f>HYPERLINK("https://nematode.unl.edu/baffi5.jpg")</f>
        <v>https://nematode.unl.edu/baffi5.jpg</v>
      </c>
      <c r="D1357" t="s">
        <v>43</v>
      </c>
      <c r="G1357" t="s">
        <v>28</v>
      </c>
      <c r="I1357" t="s">
        <v>19</v>
      </c>
      <c r="J1357" t="s">
        <v>20</v>
      </c>
      <c r="L1357" t="s">
        <v>141</v>
      </c>
      <c r="M1357" t="s">
        <v>3132</v>
      </c>
      <c r="N1357" t="s">
        <v>3132</v>
      </c>
      <c r="O1357" t="s">
        <v>23</v>
      </c>
      <c r="P1357" t="s">
        <v>24</v>
      </c>
      <c r="Q1357" t="s">
        <v>69</v>
      </c>
      <c r="R1357" t="s">
        <v>368</v>
      </c>
    </row>
    <row r="1358" spans="1:18" x14ac:dyDescent="0.25">
      <c r="A1358" t="s">
        <v>17725</v>
      </c>
      <c r="B1358" t="s">
        <v>3149</v>
      </c>
      <c r="C1358" t="str">
        <f>HYPERLINK("https://nematode.unl.edu/baffi6.jpg")</f>
        <v>https://nematode.unl.edu/baffi6.jpg</v>
      </c>
      <c r="D1358" t="s">
        <v>43</v>
      </c>
      <c r="G1358" t="s">
        <v>34</v>
      </c>
      <c r="H1358" t="s">
        <v>18</v>
      </c>
      <c r="I1358" t="s">
        <v>41</v>
      </c>
      <c r="J1358" t="s">
        <v>20</v>
      </c>
      <c r="L1358" t="s">
        <v>141</v>
      </c>
      <c r="M1358" t="s">
        <v>3132</v>
      </c>
      <c r="N1358" t="s">
        <v>3132</v>
      </c>
      <c r="O1358" t="s">
        <v>23</v>
      </c>
      <c r="P1358" t="s">
        <v>24</v>
      </c>
      <c r="Q1358" t="s">
        <v>69</v>
      </c>
      <c r="R1358" t="s">
        <v>368</v>
      </c>
    </row>
    <row r="1359" spans="1:18" x14ac:dyDescent="0.25">
      <c r="A1359" t="s">
        <v>17735</v>
      </c>
      <c r="B1359" t="s">
        <v>3150</v>
      </c>
      <c r="C1359" t="str">
        <f>HYPERLINK("https://nematode.unl.edu/baffi7.jpg")</f>
        <v>https://nematode.unl.edu/baffi7.jpg</v>
      </c>
      <c r="D1359" t="s">
        <v>77</v>
      </c>
      <c r="G1359" t="s">
        <v>28</v>
      </c>
      <c r="I1359" t="s">
        <v>19</v>
      </c>
      <c r="J1359" t="s">
        <v>20</v>
      </c>
      <c r="M1359" t="s">
        <v>3132</v>
      </c>
      <c r="N1359" t="s">
        <v>3132</v>
      </c>
      <c r="O1359" t="s">
        <v>23</v>
      </c>
      <c r="P1359" t="s">
        <v>24</v>
      </c>
      <c r="Q1359" t="s">
        <v>69</v>
      </c>
      <c r="R1359" t="s">
        <v>368</v>
      </c>
    </row>
    <row r="1360" spans="1:18" x14ac:dyDescent="0.25">
      <c r="A1360" t="s">
        <v>17733</v>
      </c>
      <c r="B1360" t="s">
        <v>3151</v>
      </c>
      <c r="C1360" t="str">
        <f>HYPERLINK("https://nematode.unl.edu/baffi8.jpg")</f>
        <v>https://nematode.unl.edu/baffi8.jpg</v>
      </c>
      <c r="D1360" t="s">
        <v>77</v>
      </c>
      <c r="G1360" t="s">
        <v>112</v>
      </c>
      <c r="I1360" t="s">
        <v>19</v>
      </c>
      <c r="J1360" t="s">
        <v>20</v>
      </c>
      <c r="M1360" t="s">
        <v>3132</v>
      </c>
      <c r="N1360" t="s">
        <v>3132</v>
      </c>
      <c r="O1360" t="s">
        <v>23</v>
      </c>
      <c r="P1360" t="s">
        <v>24</v>
      </c>
      <c r="Q1360" t="s">
        <v>69</v>
      </c>
      <c r="R1360" t="s">
        <v>368</v>
      </c>
    </row>
    <row r="1361" spans="1:18" x14ac:dyDescent="0.25">
      <c r="A1361" t="s">
        <v>17726</v>
      </c>
      <c r="B1361" t="s">
        <v>3152</v>
      </c>
      <c r="C1361" t="str">
        <f>HYPERLINK("https://nematode.unl.edu/baffi9.jpg")</f>
        <v>https://nematode.unl.edu/baffi9.jpg</v>
      </c>
      <c r="D1361" t="s">
        <v>77</v>
      </c>
      <c r="G1361" t="s">
        <v>34</v>
      </c>
      <c r="H1361" t="s">
        <v>18</v>
      </c>
      <c r="I1361" t="s">
        <v>19</v>
      </c>
      <c r="J1361" t="s">
        <v>20</v>
      </c>
      <c r="M1361" t="s">
        <v>3132</v>
      </c>
      <c r="N1361" t="s">
        <v>3132</v>
      </c>
      <c r="O1361" t="s">
        <v>23</v>
      </c>
      <c r="P1361" t="s">
        <v>24</v>
      </c>
      <c r="Q1361" t="s">
        <v>69</v>
      </c>
      <c r="R1361" t="s">
        <v>368</v>
      </c>
    </row>
    <row r="1362" spans="1:18" x14ac:dyDescent="0.25">
      <c r="A1362" t="s">
        <v>17731</v>
      </c>
      <c r="B1362" t="s">
        <v>3153</v>
      </c>
      <c r="C1362" t="str">
        <f>HYPERLINK("https://nematode.unl.edu/bafficmp.jpg")</f>
        <v>https://nematode.unl.edu/bafficmp.jpg</v>
      </c>
      <c r="D1362" t="s">
        <v>43</v>
      </c>
      <c r="G1362" t="s">
        <v>108</v>
      </c>
      <c r="J1362" t="s">
        <v>20</v>
      </c>
      <c r="M1362" t="s">
        <v>3132</v>
      </c>
      <c r="N1362" t="s">
        <v>3132</v>
      </c>
      <c r="O1362" t="s">
        <v>23</v>
      </c>
      <c r="P1362" t="s">
        <v>24</v>
      </c>
      <c r="Q1362" t="s">
        <v>69</v>
      </c>
      <c r="R1362" t="s">
        <v>368</v>
      </c>
    </row>
    <row r="1363" spans="1:18" x14ac:dyDescent="0.25">
      <c r="A1363" t="s">
        <v>17746</v>
      </c>
      <c r="B1363" t="s">
        <v>3154</v>
      </c>
      <c r="C1363" t="str">
        <f>HYPERLINK("https://nematode.unl.edu/bagra1.jpg")</f>
        <v>https://nematode.unl.edu/bagra1.jpg</v>
      </c>
      <c r="D1363" t="s">
        <v>43</v>
      </c>
      <c r="G1363" t="s">
        <v>34</v>
      </c>
      <c r="H1363" t="s">
        <v>18</v>
      </c>
      <c r="I1363" t="s">
        <v>41</v>
      </c>
      <c r="J1363" t="s">
        <v>20</v>
      </c>
      <c r="L1363" t="s">
        <v>141</v>
      </c>
      <c r="M1363" t="s">
        <v>3155</v>
      </c>
      <c r="N1363" t="s">
        <v>3155</v>
      </c>
      <c r="O1363" t="s">
        <v>23</v>
      </c>
      <c r="P1363" t="s">
        <v>24</v>
      </c>
      <c r="Q1363" t="s">
        <v>69</v>
      </c>
      <c r="R1363" t="s">
        <v>368</v>
      </c>
    </row>
    <row r="1364" spans="1:18" x14ac:dyDescent="0.25">
      <c r="A1364" t="s">
        <v>17744</v>
      </c>
      <c r="B1364" t="s">
        <v>3156</v>
      </c>
      <c r="C1364" t="str">
        <f>HYPERLINK("https://nematode.unl.edu/bagra10.jpg")</f>
        <v>https://nematode.unl.edu/bagra10.jpg</v>
      </c>
      <c r="D1364" t="s">
        <v>43</v>
      </c>
      <c r="G1364" t="s">
        <v>386</v>
      </c>
      <c r="H1364" t="s">
        <v>18</v>
      </c>
      <c r="I1364" t="s">
        <v>41</v>
      </c>
      <c r="J1364" t="s">
        <v>20</v>
      </c>
      <c r="L1364" t="s">
        <v>141</v>
      </c>
      <c r="M1364" t="s">
        <v>3155</v>
      </c>
      <c r="N1364" t="s">
        <v>3155</v>
      </c>
      <c r="O1364" t="s">
        <v>23</v>
      </c>
      <c r="P1364" t="s">
        <v>24</v>
      </c>
      <c r="Q1364" t="s">
        <v>69</v>
      </c>
      <c r="R1364" t="s">
        <v>368</v>
      </c>
    </row>
    <row r="1365" spans="1:18" x14ac:dyDescent="0.25">
      <c r="A1365" t="s">
        <v>17745</v>
      </c>
      <c r="B1365" t="s">
        <v>3157</v>
      </c>
      <c r="C1365" t="str">
        <f>HYPERLINK("https://nematode.unl.edu/bagra2.jpg")</f>
        <v>https://nematode.unl.edu/bagra2.jpg</v>
      </c>
      <c r="D1365" t="s">
        <v>43</v>
      </c>
      <c r="G1365" t="s">
        <v>3158</v>
      </c>
      <c r="H1365" t="s">
        <v>18</v>
      </c>
      <c r="I1365" t="s">
        <v>41</v>
      </c>
      <c r="J1365" t="s">
        <v>20</v>
      </c>
      <c r="L1365" t="s">
        <v>141</v>
      </c>
      <c r="M1365" t="s">
        <v>3155</v>
      </c>
      <c r="N1365" t="s">
        <v>3155</v>
      </c>
      <c r="O1365" t="s">
        <v>23</v>
      </c>
      <c r="P1365" t="s">
        <v>24</v>
      </c>
      <c r="Q1365" t="s">
        <v>69</v>
      </c>
      <c r="R1365" t="s">
        <v>368</v>
      </c>
    </row>
    <row r="1366" spans="1:18" x14ac:dyDescent="0.25">
      <c r="A1366" t="s">
        <v>17753</v>
      </c>
      <c r="B1366" t="s">
        <v>3159</v>
      </c>
      <c r="C1366" t="str">
        <f>HYPERLINK("https://nematode.unl.edu/bagra3.jpg")</f>
        <v>https://nematode.unl.edu/bagra3.jpg</v>
      </c>
      <c r="D1366" t="s">
        <v>43</v>
      </c>
      <c r="G1366" t="s">
        <v>422</v>
      </c>
      <c r="I1366" t="s">
        <v>19</v>
      </c>
      <c r="J1366" t="s">
        <v>20</v>
      </c>
      <c r="L1366" t="s">
        <v>141</v>
      </c>
      <c r="M1366" t="s">
        <v>3155</v>
      </c>
      <c r="N1366" t="s">
        <v>3155</v>
      </c>
      <c r="O1366" t="s">
        <v>23</v>
      </c>
      <c r="P1366" t="s">
        <v>24</v>
      </c>
      <c r="Q1366" t="s">
        <v>69</v>
      </c>
      <c r="R1366" t="s">
        <v>368</v>
      </c>
    </row>
    <row r="1367" spans="1:18" x14ac:dyDescent="0.25">
      <c r="A1367" t="s">
        <v>17747</v>
      </c>
      <c r="B1367" t="s">
        <v>3160</v>
      </c>
      <c r="C1367" t="str">
        <f>HYPERLINK("https://nematode.unl.edu/bagra4.jpg")</f>
        <v>https://nematode.unl.edu/bagra4.jpg</v>
      </c>
      <c r="D1367" t="s">
        <v>43</v>
      </c>
      <c r="G1367" t="s">
        <v>34</v>
      </c>
      <c r="H1367" t="s">
        <v>18</v>
      </c>
      <c r="I1367" t="s">
        <v>19</v>
      </c>
      <c r="J1367" t="s">
        <v>20</v>
      </c>
      <c r="L1367" t="s">
        <v>141</v>
      </c>
      <c r="M1367" t="s">
        <v>3155</v>
      </c>
      <c r="N1367" t="s">
        <v>3155</v>
      </c>
      <c r="O1367" t="s">
        <v>23</v>
      </c>
      <c r="P1367" t="s">
        <v>24</v>
      </c>
      <c r="Q1367" t="s">
        <v>69</v>
      </c>
      <c r="R1367" t="s">
        <v>368</v>
      </c>
    </row>
    <row r="1368" spans="1:18" x14ac:dyDescent="0.25">
      <c r="A1368" t="s">
        <v>17750</v>
      </c>
      <c r="B1368" t="s">
        <v>3161</v>
      </c>
      <c r="C1368" t="str">
        <f>HYPERLINK("https://nematode.unl.edu/bagra5.jpg")</f>
        <v>https://nematode.unl.edu/bagra5.jpg</v>
      </c>
      <c r="D1368" t="s">
        <v>43</v>
      </c>
      <c r="G1368" t="s">
        <v>44</v>
      </c>
      <c r="I1368" t="s">
        <v>45</v>
      </c>
      <c r="J1368" t="s">
        <v>20</v>
      </c>
      <c r="L1368" t="s">
        <v>141</v>
      </c>
      <c r="M1368" t="s">
        <v>3155</v>
      </c>
      <c r="N1368" t="s">
        <v>3155</v>
      </c>
      <c r="O1368" t="s">
        <v>23</v>
      </c>
      <c r="P1368" t="s">
        <v>24</v>
      </c>
      <c r="Q1368" t="s">
        <v>69</v>
      </c>
      <c r="R1368" t="s">
        <v>368</v>
      </c>
    </row>
    <row r="1369" spans="1:18" x14ac:dyDescent="0.25">
      <c r="A1369" t="s">
        <v>17748</v>
      </c>
      <c r="B1369" t="s">
        <v>3162</v>
      </c>
      <c r="C1369" t="str">
        <f>HYPERLINK("https://nematode.unl.edu/bagra6.jpg")</f>
        <v>https://nematode.unl.edu/bagra6.jpg</v>
      </c>
      <c r="D1369" t="s">
        <v>43</v>
      </c>
      <c r="G1369" t="s">
        <v>34</v>
      </c>
      <c r="H1369" t="s">
        <v>18</v>
      </c>
      <c r="I1369" t="s">
        <v>19</v>
      </c>
      <c r="J1369" t="s">
        <v>20</v>
      </c>
      <c r="L1369" t="s">
        <v>141</v>
      </c>
      <c r="M1369" t="s">
        <v>3155</v>
      </c>
      <c r="N1369" t="s">
        <v>3155</v>
      </c>
      <c r="O1369" t="s">
        <v>23</v>
      </c>
      <c r="P1369" t="s">
        <v>24</v>
      </c>
      <c r="Q1369" t="s">
        <v>69</v>
      </c>
      <c r="R1369" t="s">
        <v>368</v>
      </c>
    </row>
    <row r="1370" spans="1:18" x14ac:dyDescent="0.25">
      <c r="A1370" t="s">
        <v>17754</v>
      </c>
      <c r="B1370" t="s">
        <v>3163</v>
      </c>
      <c r="C1370" t="str">
        <f>HYPERLINK("https://nematode.unl.edu/bagra7.jpg")</f>
        <v>https://nematode.unl.edu/bagra7.jpg</v>
      </c>
      <c r="D1370" t="s">
        <v>43</v>
      </c>
      <c r="G1370" t="s">
        <v>51</v>
      </c>
      <c r="I1370" t="s">
        <v>19</v>
      </c>
      <c r="J1370" t="s">
        <v>20</v>
      </c>
      <c r="M1370" t="s">
        <v>3155</v>
      </c>
      <c r="N1370" t="s">
        <v>3155</v>
      </c>
      <c r="O1370" t="s">
        <v>23</v>
      </c>
      <c r="P1370" t="s">
        <v>24</v>
      </c>
      <c r="Q1370" t="s">
        <v>69</v>
      </c>
      <c r="R1370" t="s">
        <v>368</v>
      </c>
    </row>
    <row r="1371" spans="1:18" x14ac:dyDescent="0.25">
      <c r="A1371" t="s">
        <v>17752</v>
      </c>
      <c r="B1371" t="s">
        <v>3164</v>
      </c>
      <c r="C1371" t="str">
        <f>HYPERLINK("https://nematode.unl.edu/bagra8.jpg")</f>
        <v>https://nematode.unl.edu/bagra8.jpg</v>
      </c>
      <c r="D1371" t="s">
        <v>43</v>
      </c>
      <c r="G1371" t="s">
        <v>28</v>
      </c>
      <c r="I1371" t="s">
        <v>19</v>
      </c>
      <c r="J1371" t="s">
        <v>20</v>
      </c>
      <c r="L1371" t="s">
        <v>141</v>
      </c>
      <c r="M1371" t="s">
        <v>3155</v>
      </c>
      <c r="N1371" t="s">
        <v>3155</v>
      </c>
      <c r="O1371" t="s">
        <v>23</v>
      </c>
      <c r="P1371" t="s">
        <v>24</v>
      </c>
      <c r="Q1371" t="s">
        <v>69</v>
      </c>
      <c r="R1371" t="s">
        <v>368</v>
      </c>
    </row>
    <row r="1372" spans="1:18" x14ac:dyDescent="0.25">
      <c r="A1372" t="s">
        <v>17749</v>
      </c>
      <c r="B1372" t="s">
        <v>3165</v>
      </c>
      <c r="C1372" t="str">
        <f>HYPERLINK("https://nematode.unl.edu/bagra9.jpg")</f>
        <v>https://nematode.unl.edu/bagra9.jpg</v>
      </c>
      <c r="D1372" t="s">
        <v>43</v>
      </c>
      <c r="G1372" t="s">
        <v>34</v>
      </c>
      <c r="H1372" t="s">
        <v>18</v>
      </c>
      <c r="I1372" t="s">
        <v>41</v>
      </c>
      <c r="J1372" t="s">
        <v>20</v>
      </c>
      <c r="L1372" t="s">
        <v>141</v>
      </c>
      <c r="M1372" t="s">
        <v>3155</v>
      </c>
      <c r="N1372" t="s">
        <v>3155</v>
      </c>
      <c r="O1372" t="s">
        <v>23</v>
      </c>
      <c r="P1372" t="s">
        <v>24</v>
      </c>
      <c r="Q1372" t="s">
        <v>69</v>
      </c>
      <c r="R1372" t="s">
        <v>368</v>
      </c>
    </row>
    <row r="1373" spans="1:18" x14ac:dyDescent="0.25">
      <c r="A1373" t="s">
        <v>17751</v>
      </c>
      <c r="B1373" t="s">
        <v>3166</v>
      </c>
      <c r="C1373" t="str">
        <f>HYPERLINK("https://nematode.unl.edu/bagracmp.jpg")</f>
        <v>https://nematode.unl.edu/bagracmp.jpg</v>
      </c>
      <c r="G1373" t="s">
        <v>108</v>
      </c>
      <c r="J1373" t="s">
        <v>20</v>
      </c>
      <c r="M1373" t="s">
        <v>3155</v>
      </c>
      <c r="N1373" t="s">
        <v>3155</v>
      </c>
      <c r="O1373" t="s">
        <v>23</v>
      </c>
      <c r="P1373" t="s">
        <v>24</v>
      </c>
      <c r="Q1373" t="s">
        <v>69</v>
      </c>
      <c r="R1373" t="s">
        <v>368</v>
      </c>
    </row>
    <row r="1374" spans="1:18" x14ac:dyDescent="0.25">
      <c r="A1374" t="s">
        <v>15459</v>
      </c>
      <c r="B1374" t="s">
        <v>9413</v>
      </c>
      <c r="C1374" t="str">
        <f>HYPERLINK("https://nematode.unl.edu/bakers1.jpg")</f>
        <v>https://nematode.unl.edu/bakers1.jpg</v>
      </c>
      <c r="D1374" t="s">
        <v>43</v>
      </c>
      <c r="G1374" t="s">
        <v>44</v>
      </c>
      <c r="I1374" t="s">
        <v>19</v>
      </c>
      <c r="J1374" t="s">
        <v>9414</v>
      </c>
      <c r="M1374" t="s">
        <v>1417</v>
      </c>
      <c r="N1374" t="s">
        <v>1417</v>
      </c>
      <c r="O1374" t="s">
        <v>23</v>
      </c>
      <c r="P1374" t="s">
        <v>24</v>
      </c>
      <c r="Q1374" t="s">
        <v>642</v>
      </c>
      <c r="R1374" t="s">
        <v>1417</v>
      </c>
    </row>
    <row r="1375" spans="1:18" x14ac:dyDescent="0.25">
      <c r="A1375" t="s">
        <v>15493</v>
      </c>
      <c r="B1375" t="s">
        <v>9415</v>
      </c>
      <c r="C1375" t="str">
        <f>HYPERLINK("https://nematode.unl.edu/bakers2.jpg")</f>
        <v>https://nematode.unl.edu/bakers2.jpg</v>
      </c>
      <c r="D1375" t="s">
        <v>43</v>
      </c>
      <c r="G1375" t="s">
        <v>9416</v>
      </c>
      <c r="I1375" t="s">
        <v>41</v>
      </c>
      <c r="J1375" t="s">
        <v>9414</v>
      </c>
      <c r="M1375" t="s">
        <v>1417</v>
      </c>
      <c r="N1375" t="s">
        <v>1417</v>
      </c>
      <c r="O1375" t="s">
        <v>23</v>
      </c>
      <c r="P1375" t="s">
        <v>24</v>
      </c>
      <c r="Q1375" t="s">
        <v>642</v>
      </c>
      <c r="R1375" t="s">
        <v>1417</v>
      </c>
    </row>
    <row r="1376" spans="1:18" x14ac:dyDescent="0.25">
      <c r="A1376" t="s">
        <v>15499</v>
      </c>
      <c r="B1376" t="s">
        <v>9417</v>
      </c>
      <c r="C1376" t="str">
        <f>HYPERLINK("https://nematode.unl.edu/bakers3.jpg")</f>
        <v>https://nematode.unl.edu/bakers3.jpg</v>
      </c>
      <c r="D1376" t="s">
        <v>43</v>
      </c>
      <c r="G1376" t="s">
        <v>28</v>
      </c>
      <c r="I1376" t="s">
        <v>41</v>
      </c>
      <c r="J1376" t="s">
        <v>9414</v>
      </c>
      <c r="M1376" t="s">
        <v>1417</v>
      </c>
      <c r="N1376" t="s">
        <v>1417</v>
      </c>
      <c r="O1376" t="s">
        <v>23</v>
      </c>
      <c r="P1376" t="s">
        <v>24</v>
      </c>
      <c r="Q1376" t="s">
        <v>642</v>
      </c>
      <c r="R1376" t="s">
        <v>1417</v>
      </c>
    </row>
    <row r="1377" spans="1:18" x14ac:dyDescent="0.25">
      <c r="A1377" t="s">
        <v>15494</v>
      </c>
      <c r="B1377" t="s">
        <v>9418</v>
      </c>
      <c r="C1377" t="str">
        <f>HYPERLINK("https://nematode.unl.edu/bakers4.jpg")</f>
        <v>https://nematode.unl.edu/bakers4.jpg</v>
      </c>
      <c r="D1377" t="s">
        <v>43</v>
      </c>
      <c r="G1377" t="s">
        <v>178</v>
      </c>
      <c r="I1377" t="s">
        <v>41</v>
      </c>
      <c r="J1377" t="s">
        <v>9414</v>
      </c>
      <c r="M1377" t="s">
        <v>1417</v>
      </c>
      <c r="N1377" t="s">
        <v>1417</v>
      </c>
      <c r="O1377" t="s">
        <v>23</v>
      </c>
      <c r="P1377" t="s">
        <v>24</v>
      </c>
      <c r="Q1377" t="s">
        <v>642</v>
      </c>
      <c r="R1377" t="s">
        <v>1417</v>
      </c>
    </row>
    <row r="1378" spans="1:18" x14ac:dyDescent="0.25">
      <c r="A1378" t="s">
        <v>15458</v>
      </c>
      <c r="B1378" t="s">
        <v>9419</v>
      </c>
      <c r="C1378" t="str">
        <f>HYPERLINK("https://nematode.unl.edu/bakers5.jpg")</f>
        <v>https://nematode.unl.edu/bakers5.jpg</v>
      </c>
      <c r="D1378" t="s">
        <v>43</v>
      </c>
      <c r="G1378" t="s">
        <v>9420</v>
      </c>
      <c r="I1378" t="s">
        <v>41</v>
      </c>
      <c r="J1378" t="s">
        <v>9414</v>
      </c>
      <c r="M1378" t="s">
        <v>1417</v>
      </c>
      <c r="N1378" t="s">
        <v>1417</v>
      </c>
      <c r="O1378" t="s">
        <v>23</v>
      </c>
      <c r="P1378" t="s">
        <v>24</v>
      </c>
      <c r="Q1378" t="s">
        <v>642</v>
      </c>
      <c r="R1378" t="s">
        <v>1417</v>
      </c>
    </row>
    <row r="1379" spans="1:18" x14ac:dyDescent="0.25">
      <c r="A1379" t="s">
        <v>13606</v>
      </c>
      <c r="B1379" t="s">
        <v>3060</v>
      </c>
      <c r="C1379" t="str">
        <f>HYPERLINK("https://nematode.unl.edu/bakin1.jpg")</f>
        <v>https://nematode.unl.edu/bakin1.jpg</v>
      </c>
      <c r="D1379" t="s">
        <v>43</v>
      </c>
      <c r="G1379" t="s">
        <v>44</v>
      </c>
      <c r="I1379" t="s">
        <v>19</v>
      </c>
      <c r="J1379" t="s">
        <v>3061</v>
      </c>
      <c r="M1379" t="s">
        <v>3062</v>
      </c>
      <c r="N1379" t="s">
        <v>3062</v>
      </c>
      <c r="O1379" t="s">
        <v>23</v>
      </c>
      <c r="P1379" t="s">
        <v>24</v>
      </c>
      <c r="Q1379" t="s">
        <v>642</v>
      </c>
      <c r="R1379" t="s">
        <v>3063</v>
      </c>
    </row>
    <row r="1380" spans="1:18" x14ac:dyDescent="0.25">
      <c r="A1380" t="s">
        <v>13607</v>
      </c>
      <c r="B1380" t="s">
        <v>3064</v>
      </c>
      <c r="C1380" t="str">
        <f>HYPERLINK("https://nematode.unl.edu/bakin10.jpg")</f>
        <v>https://nematode.unl.edu/bakin10.jpg</v>
      </c>
      <c r="D1380" t="s">
        <v>43</v>
      </c>
      <c r="G1380" t="s">
        <v>44</v>
      </c>
      <c r="I1380" t="s">
        <v>19</v>
      </c>
      <c r="J1380" t="s">
        <v>3061</v>
      </c>
      <c r="M1380" t="s">
        <v>3062</v>
      </c>
      <c r="N1380" t="s">
        <v>3062</v>
      </c>
      <c r="O1380" t="s">
        <v>23</v>
      </c>
      <c r="P1380" t="s">
        <v>24</v>
      </c>
      <c r="Q1380" t="s">
        <v>642</v>
      </c>
      <c r="R1380" t="s">
        <v>3063</v>
      </c>
    </row>
    <row r="1381" spans="1:18" x14ac:dyDescent="0.25">
      <c r="A1381" t="s">
        <v>13596</v>
      </c>
      <c r="B1381" t="s">
        <v>3065</v>
      </c>
      <c r="C1381" t="str">
        <f>HYPERLINK("https://nematode.unl.edu/bakin11.jpg")</f>
        <v>https://nematode.unl.edu/bakin11.jpg</v>
      </c>
      <c r="D1381" t="s">
        <v>43</v>
      </c>
      <c r="G1381" t="s">
        <v>34</v>
      </c>
      <c r="H1381" t="s">
        <v>18</v>
      </c>
      <c r="I1381" t="s">
        <v>41</v>
      </c>
      <c r="J1381" t="s">
        <v>3061</v>
      </c>
      <c r="M1381" t="s">
        <v>3062</v>
      </c>
      <c r="N1381" t="s">
        <v>3062</v>
      </c>
      <c r="O1381" t="s">
        <v>23</v>
      </c>
      <c r="P1381" t="s">
        <v>24</v>
      </c>
      <c r="Q1381" t="s">
        <v>642</v>
      </c>
      <c r="R1381" t="s">
        <v>3063</v>
      </c>
    </row>
    <row r="1382" spans="1:18" x14ac:dyDescent="0.25">
      <c r="A1382" t="s">
        <v>13619</v>
      </c>
      <c r="B1382" t="s">
        <v>3066</v>
      </c>
      <c r="C1382" t="str">
        <f>HYPERLINK("https://nematode.unl.edu/bakin12.jpg")</f>
        <v>https://nematode.unl.edu/bakin12.jpg</v>
      </c>
      <c r="D1382" t="s">
        <v>43</v>
      </c>
      <c r="G1382" t="s">
        <v>3067</v>
      </c>
      <c r="I1382" t="s">
        <v>41</v>
      </c>
      <c r="J1382" t="s">
        <v>3061</v>
      </c>
      <c r="M1382" t="s">
        <v>3062</v>
      </c>
      <c r="N1382" t="s">
        <v>3062</v>
      </c>
      <c r="O1382" t="s">
        <v>23</v>
      </c>
      <c r="P1382" t="s">
        <v>24</v>
      </c>
      <c r="Q1382" t="s">
        <v>642</v>
      </c>
      <c r="R1382" t="s">
        <v>3063</v>
      </c>
    </row>
    <row r="1383" spans="1:18" x14ac:dyDescent="0.25">
      <c r="A1383" t="s">
        <v>13620</v>
      </c>
      <c r="B1383" t="s">
        <v>3068</v>
      </c>
      <c r="C1383" t="str">
        <f>HYPERLINK("https://nematode.unl.edu/bakin13.jpg")</f>
        <v>https://nematode.unl.edu/bakin13.jpg</v>
      </c>
      <c r="D1383" t="s">
        <v>43</v>
      </c>
      <c r="G1383" t="s">
        <v>3069</v>
      </c>
      <c r="I1383" t="s">
        <v>41</v>
      </c>
      <c r="J1383" t="s">
        <v>3061</v>
      </c>
      <c r="M1383" t="s">
        <v>3062</v>
      </c>
      <c r="N1383" t="s">
        <v>3062</v>
      </c>
      <c r="O1383" t="s">
        <v>23</v>
      </c>
      <c r="P1383" t="s">
        <v>24</v>
      </c>
      <c r="Q1383" t="s">
        <v>642</v>
      </c>
      <c r="R1383" t="s">
        <v>3063</v>
      </c>
    </row>
    <row r="1384" spans="1:18" x14ac:dyDescent="0.25">
      <c r="A1384" t="s">
        <v>13608</v>
      </c>
      <c r="B1384" t="s">
        <v>3070</v>
      </c>
      <c r="C1384" t="str">
        <f>HYPERLINK("https://nematode.unl.edu/bakin14.jpg")</f>
        <v>https://nematode.unl.edu/bakin14.jpg</v>
      </c>
      <c r="D1384" t="s">
        <v>43</v>
      </c>
      <c r="G1384" t="s">
        <v>44</v>
      </c>
      <c r="I1384" t="s">
        <v>19</v>
      </c>
      <c r="J1384" t="s">
        <v>3061</v>
      </c>
      <c r="M1384" t="s">
        <v>3062</v>
      </c>
      <c r="N1384" t="s">
        <v>3062</v>
      </c>
      <c r="O1384" t="s">
        <v>23</v>
      </c>
      <c r="P1384" t="s">
        <v>24</v>
      </c>
      <c r="Q1384" t="s">
        <v>642</v>
      </c>
      <c r="R1384" t="s">
        <v>3063</v>
      </c>
    </row>
    <row r="1385" spans="1:18" x14ac:dyDescent="0.25">
      <c r="A1385" t="s">
        <v>13597</v>
      </c>
      <c r="B1385" t="s">
        <v>3071</v>
      </c>
      <c r="C1385" t="str">
        <f>HYPERLINK("https://nematode.unl.edu/bakin15.jpg")</f>
        <v>https://nematode.unl.edu/bakin15.jpg</v>
      </c>
      <c r="D1385" t="s">
        <v>43</v>
      </c>
      <c r="G1385" t="s">
        <v>34</v>
      </c>
      <c r="H1385" t="s">
        <v>18</v>
      </c>
      <c r="I1385" t="s">
        <v>41</v>
      </c>
      <c r="J1385" t="s">
        <v>3061</v>
      </c>
      <c r="M1385" t="s">
        <v>3062</v>
      </c>
      <c r="N1385" t="s">
        <v>3062</v>
      </c>
      <c r="O1385" t="s">
        <v>23</v>
      </c>
      <c r="P1385" t="s">
        <v>24</v>
      </c>
      <c r="Q1385" t="s">
        <v>642</v>
      </c>
      <c r="R1385" t="s">
        <v>3063</v>
      </c>
    </row>
    <row r="1386" spans="1:18" x14ac:dyDescent="0.25">
      <c r="A1386" t="s">
        <v>13629</v>
      </c>
      <c r="B1386" t="s">
        <v>3072</v>
      </c>
      <c r="C1386" t="str">
        <f>HYPERLINK("https://nematode.unl.edu/bakin16.jpg")</f>
        <v>https://nematode.unl.edu/bakin16.jpg</v>
      </c>
      <c r="D1386" t="s">
        <v>43</v>
      </c>
      <c r="G1386" t="s">
        <v>28</v>
      </c>
      <c r="I1386" t="s">
        <v>41</v>
      </c>
      <c r="J1386" t="s">
        <v>3061</v>
      </c>
      <c r="M1386" t="s">
        <v>3062</v>
      </c>
      <c r="N1386" t="s">
        <v>3062</v>
      </c>
      <c r="O1386" t="s">
        <v>23</v>
      </c>
      <c r="P1386" t="s">
        <v>24</v>
      </c>
      <c r="Q1386" t="s">
        <v>642</v>
      </c>
      <c r="R1386" t="s">
        <v>3063</v>
      </c>
    </row>
    <row r="1387" spans="1:18" x14ac:dyDescent="0.25">
      <c r="A1387" t="s">
        <v>13603</v>
      </c>
      <c r="B1387" t="s">
        <v>3073</v>
      </c>
      <c r="C1387" t="str">
        <f>HYPERLINK("https://nematode.unl.edu/bakin17.jpg")</f>
        <v>https://nematode.unl.edu/bakin17.jpg</v>
      </c>
      <c r="D1387" t="s">
        <v>43</v>
      </c>
      <c r="G1387" t="s">
        <v>3074</v>
      </c>
      <c r="H1387" t="s">
        <v>18</v>
      </c>
      <c r="I1387" t="s">
        <v>41</v>
      </c>
      <c r="J1387" t="s">
        <v>3061</v>
      </c>
      <c r="M1387" t="s">
        <v>3062</v>
      </c>
      <c r="N1387" t="s">
        <v>3062</v>
      </c>
      <c r="O1387" t="s">
        <v>23</v>
      </c>
      <c r="P1387" t="s">
        <v>24</v>
      </c>
      <c r="Q1387" t="s">
        <v>642</v>
      </c>
      <c r="R1387" t="s">
        <v>3063</v>
      </c>
    </row>
    <row r="1388" spans="1:18" x14ac:dyDescent="0.25">
      <c r="A1388" t="s">
        <v>13634</v>
      </c>
      <c r="B1388" t="s">
        <v>3075</v>
      </c>
      <c r="C1388" t="str">
        <f>HYPERLINK("https://nematode.unl.edu/bakin18.jpg")</f>
        <v>https://nematode.unl.edu/bakin18.jpg</v>
      </c>
      <c r="D1388" t="s">
        <v>43</v>
      </c>
      <c r="G1388" t="s">
        <v>3076</v>
      </c>
      <c r="I1388" t="s">
        <v>41</v>
      </c>
      <c r="J1388" t="s">
        <v>3061</v>
      </c>
      <c r="M1388" t="s">
        <v>3062</v>
      </c>
      <c r="N1388" t="s">
        <v>3062</v>
      </c>
      <c r="O1388" t="s">
        <v>23</v>
      </c>
      <c r="P1388" t="s">
        <v>24</v>
      </c>
      <c r="Q1388" t="s">
        <v>642</v>
      </c>
      <c r="R1388" t="s">
        <v>3063</v>
      </c>
    </row>
    <row r="1389" spans="1:18" x14ac:dyDescent="0.25">
      <c r="A1389" t="s">
        <v>13624</v>
      </c>
      <c r="B1389" t="s">
        <v>3077</v>
      </c>
      <c r="C1389" t="str">
        <f>HYPERLINK("https://nematode.unl.edu/bakin19.jpg")</f>
        <v>https://nematode.unl.edu/bakin19.jpg</v>
      </c>
      <c r="D1389" t="s">
        <v>43</v>
      </c>
      <c r="G1389" t="s">
        <v>1469</v>
      </c>
      <c r="I1389" t="s">
        <v>41</v>
      </c>
      <c r="J1389" t="s">
        <v>3061</v>
      </c>
      <c r="M1389" t="s">
        <v>3062</v>
      </c>
      <c r="N1389" t="s">
        <v>3062</v>
      </c>
      <c r="O1389" t="s">
        <v>23</v>
      </c>
      <c r="P1389" t="s">
        <v>24</v>
      </c>
      <c r="Q1389" t="s">
        <v>642</v>
      </c>
      <c r="R1389" t="s">
        <v>3063</v>
      </c>
    </row>
    <row r="1390" spans="1:18" x14ac:dyDescent="0.25">
      <c r="A1390" t="s">
        <v>13598</v>
      </c>
      <c r="B1390" t="s">
        <v>3078</v>
      </c>
      <c r="C1390" t="str">
        <f>HYPERLINK("https://nematode.unl.edu/bakin2.jpg")</f>
        <v>https://nematode.unl.edu/bakin2.jpg</v>
      </c>
      <c r="D1390" t="s">
        <v>43</v>
      </c>
      <c r="G1390" t="s">
        <v>34</v>
      </c>
      <c r="H1390" t="s">
        <v>18</v>
      </c>
      <c r="I1390" t="s">
        <v>19</v>
      </c>
      <c r="J1390" t="s">
        <v>3061</v>
      </c>
      <c r="M1390" t="s">
        <v>3062</v>
      </c>
      <c r="N1390" t="s">
        <v>3062</v>
      </c>
      <c r="O1390" t="s">
        <v>23</v>
      </c>
      <c r="P1390" t="s">
        <v>24</v>
      </c>
      <c r="Q1390" t="s">
        <v>642</v>
      </c>
      <c r="R1390" t="s">
        <v>3063</v>
      </c>
    </row>
    <row r="1391" spans="1:18" x14ac:dyDescent="0.25">
      <c r="A1391" t="s">
        <v>13625</v>
      </c>
      <c r="B1391" t="s">
        <v>3079</v>
      </c>
      <c r="C1391" t="str">
        <f>HYPERLINK("https://nematode.unl.edu/bakin20.jpg")</f>
        <v>https://nematode.unl.edu/bakin20.jpg</v>
      </c>
      <c r="D1391" t="s">
        <v>43</v>
      </c>
      <c r="G1391" t="s">
        <v>1469</v>
      </c>
      <c r="I1391" t="s">
        <v>41</v>
      </c>
      <c r="J1391" t="s">
        <v>3061</v>
      </c>
      <c r="M1391" t="s">
        <v>3062</v>
      </c>
      <c r="N1391" t="s">
        <v>3062</v>
      </c>
      <c r="O1391" t="s">
        <v>23</v>
      </c>
      <c r="P1391" t="s">
        <v>24</v>
      </c>
      <c r="Q1391" t="s">
        <v>642</v>
      </c>
      <c r="R1391" t="s">
        <v>3063</v>
      </c>
    </row>
    <row r="1392" spans="1:18" x14ac:dyDescent="0.25">
      <c r="A1392" t="s">
        <v>13626</v>
      </c>
      <c r="B1392" t="s">
        <v>3080</v>
      </c>
      <c r="C1392" t="str">
        <f>HYPERLINK("https://nematode.unl.edu/bakin21.jpg")</f>
        <v>https://nematode.unl.edu/bakin21.jpg</v>
      </c>
      <c r="D1392" t="s">
        <v>43</v>
      </c>
      <c r="G1392" t="s">
        <v>1469</v>
      </c>
      <c r="I1392" t="s">
        <v>41</v>
      </c>
      <c r="J1392" t="s">
        <v>3061</v>
      </c>
      <c r="M1392" t="s">
        <v>3062</v>
      </c>
      <c r="N1392" t="s">
        <v>3062</v>
      </c>
      <c r="O1392" t="s">
        <v>23</v>
      </c>
      <c r="P1392" t="s">
        <v>24</v>
      </c>
      <c r="Q1392" t="s">
        <v>642</v>
      </c>
      <c r="R1392" t="s">
        <v>3063</v>
      </c>
    </row>
    <row r="1393" spans="1:18" x14ac:dyDescent="0.25">
      <c r="A1393" t="s">
        <v>13609</v>
      </c>
      <c r="B1393" t="s">
        <v>3081</v>
      </c>
      <c r="C1393" t="str">
        <f>HYPERLINK("https://nematode.unl.edu/bakin22.jpg")</f>
        <v>https://nematode.unl.edu/bakin22.jpg</v>
      </c>
      <c r="D1393" t="s">
        <v>43</v>
      </c>
      <c r="G1393" t="s">
        <v>44</v>
      </c>
      <c r="I1393" t="s">
        <v>19</v>
      </c>
      <c r="J1393" t="s">
        <v>3061</v>
      </c>
      <c r="M1393" t="s">
        <v>3062</v>
      </c>
      <c r="N1393" t="s">
        <v>3062</v>
      </c>
      <c r="O1393" t="s">
        <v>23</v>
      </c>
      <c r="P1393" t="s">
        <v>24</v>
      </c>
      <c r="Q1393" t="s">
        <v>642</v>
      </c>
      <c r="R1393" t="s">
        <v>3063</v>
      </c>
    </row>
    <row r="1394" spans="1:18" x14ac:dyDescent="0.25">
      <c r="A1394" t="s">
        <v>13599</v>
      </c>
      <c r="B1394" t="s">
        <v>3082</v>
      </c>
      <c r="C1394" t="str">
        <f>HYPERLINK("https://nematode.unl.edu/bakin23.jpg")</f>
        <v>https://nematode.unl.edu/bakin23.jpg</v>
      </c>
      <c r="D1394" t="s">
        <v>43</v>
      </c>
      <c r="G1394" t="s">
        <v>34</v>
      </c>
      <c r="H1394" t="s">
        <v>18</v>
      </c>
      <c r="I1394" t="s">
        <v>41</v>
      </c>
      <c r="J1394" t="s">
        <v>3061</v>
      </c>
      <c r="M1394" t="s">
        <v>3062</v>
      </c>
      <c r="N1394" t="s">
        <v>3062</v>
      </c>
      <c r="O1394" t="s">
        <v>23</v>
      </c>
      <c r="P1394" t="s">
        <v>24</v>
      </c>
      <c r="Q1394" t="s">
        <v>642</v>
      </c>
      <c r="R1394" t="s">
        <v>3063</v>
      </c>
    </row>
    <row r="1395" spans="1:18" x14ac:dyDescent="0.25">
      <c r="A1395" t="s">
        <v>13635</v>
      </c>
      <c r="B1395" t="s">
        <v>3083</v>
      </c>
      <c r="C1395" t="str">
        <f>HYPERLINK("https://nematode.unl.edu/bakin24.jpg")</f>
        <v>https://nematode.unl.edu/bakin24.jpg</v>
      </c>
      <c r="D1395" t="s">
        <v>43</v>
      </c>
      <c r="G1395" t="s">
        <v>3084</v>
      </c>
      <c r="I1395" t="s">
        <v>41</v>
      </c>
      <c r="J1395" t="s">
        <v>3061</v>
      </c>
      <c r="M1395" t="s">
        <v>3062</v>
      </c>
      <c r="N1395" t="s">
        <v>3062</v>
      </c>
      <c r="O1395" t="s">
        <v>23</v>
      </c>
      <c r="P1395" t="s">
        <v>24</v>
      </c>
      <c r="Q1395" t="s">
        <v>642</v>
      </c>
      <c r="R1395" t="s">
        <v>3063</v>
      </c>
    </row>
    <row r="1396" spans="1:18" x14ac:dyDescent="0.25">
      <c r="A1396" t="s">
        <v>13636</v>
      </c>
      <c r="B1396" t="s">
        <v>3085</v>
      </c>
      <c r="C1396" t="str">
        <f>HYPERLINK("https://nematode.unl.edu/bakin25.jpg")</f>
        <v>https://nematode.unl.edu/bakin25.jpg</v>
      </c>
      <c r="D1396" t="s">
        <v>43</v>
      </c>
      <c r="G1396" t="s">
        <v>3086</v>
      </c>
      <c r="I1396" t="s">
        <v>41</v>
      </c>
      <c r="J1396" t="s">
        <v>3061</v>
      </c>
      <c r="M1396" t="s">
        <v>3062</v>
      </c>
      <c r="N1396" t="s">
        <v>3062</v>
      </c>
      <c r="O1396" t="s">
        <v>23</v>
      </c>
      <c r="P1396" t="s">
        <v>24</v>
      </c>
      <c r="Q1396" t="s">
        <v>642</v>
      </c>
      <c r="R1396" t="s">
        <v>3063</v>
      </c>
    </row>
    <row r="1397" spans="1:18" x14ac:dyDescent="0.25">
      <c r="A1397" t="s">
        <v>13618</v>
      </c>
      <c r="B1397" t="s">
        <v>3087</v>
      </c>
      <c r="C1397" t="str">
        <f>HYPERLINK("https://nematode.unl.edu/bakin26.jpg")</f>
        <v>https://nematode.unl.edu/bakin26.jpg</v>
      </c>
      <c r="D1397" t="s">
        <v>43</v>
      </c>
      <c r="G1397" t="s">
        <v>224</v>
      </c>
      <c r="I1397" t="s">
        <v>41</v>
      </c>
      <c r="J1397" t="s">
        <v>3061</v>
      </c>
      <c r="M1397" t="s">
        <v>3062</v>
      </c>
      <c r="N1397" t="s">
        <v>3062</v>
      </c>
      <c r="O1397" t="s">
        <v>23</v>
      </c>
      <c r="P1397" t="s">
        <v>24</v>
      </c>
      <c r="Q1397" t="s">
        <v>642</v>
      </c>
      <c r="R1397" t="s">
        <v>3063</v>
      </c>
    </row>
    <row r="1398" spans="1:18" x14ac:dyDescent="0.25">
      <c r="A1398" t="s">
        <v>13637</v>
      </c>
      <c r="B1398" t="s">
        <v>3088</v>
      </c>
      <c r="C1398" t="str">
        <f>HYPERLINK("https://nematode.unl.edu/bakin3.jpg")</f>
        <v>https://nematode.unl.edu/bakin3.jpg</v>
      </c>
      <c r="D1398" t="s">
        <v>43</v>
      </c>
      <c r="G1398" t="s">
        <v>51</v>
      </c>
      <c r="I1398" t="s">
        <v>19</v>
      </c>
      <c r="J1398" t="s">
        <v>3061</v>
      </c>
      <c r="M1398" t="s">
        <v>3062</v>
      </c>
      <c r="N1398" t="s">
        <v>3062</v>
      </c>
      <c r="O1398" t="s">
        <v>23</v>
      </c>
      <c r="P1398" t="s">
        <v>24</v>
      </c>
      <c r="Q1398" t="s">
        <v>642</v>
      </c>
      <c r="R1398" t="s">
        <v>3063</v>
      </c>
    </row>
    <row r="1399" spans="1:18" x14ac:dyDescent="0.25">
      <c r="A1399" t="s">
        <v>13638</v>
      </c>
      <c r="B1399" t="s">
        <v>3089</v>
      </c>
      <c r="C1399" t="str">
        <f>HYPERLINK("https://nematode.unl.edu/bakin4.jpg")</f>
        <v>https://nematode.unl.edu/bakin4.jpg</v>
      </c>
      <c r="D1399" t="s">
        <v>43</v>
      </c>
      <c r="G1399" t="s">
        <v>51</v>
      </c>
      <c r="I1399" t="s">
        <v>19</v>
      </c>
      <c r="J1399" t="s">
        <v>3061</v>
      </c>
      <c r="M1399" t="s">
        <v>3062</v>
      </c>
      <c r="N1399" t="s">
        <v>3062</v>
      </c>
      <c r="O1399" t="s">
        <v>23</v>
      </c>
      <c r="P1399" t="s">
        <v>24</v>
      </c>
      <c r="Q1399" t="s">
        <v>642</v>
      </c>
      <c r="R1399" t="s">
        <v>3063</v>
      </c>
    </row>
    <row r="1400" spans="1:18" x14ac:dyDescent="0.25">
      <c r="A1400" t="s">
        <v>13639</v>
      </c>
      <c r="B1400" t="s">
        <v>3090</v>
      </c>
      <c r="C1400" t="str">
        <f>HYPERLINK("https://nematode.unl.edu/bakin5.jpg")</f>
        <v>https://nematode.unl.edu/bakin5.jpg</v>
      </c>
      <c r="D1400" t="s">
        <v>43</v>
      </c>
      <c r="G1400" t="s">
        <v>51</v>
      </c>
      <c r="I1400" t="s">
        <v>19</v>
      </c>
      <c r="J1400" t="s">
        <v>3061</v>
      </c>
      <c r="M1400" t="s">
        <v>3062</v>
      </c>
      <c r="N1400" t="s">
        <v>3062</v>
      </c>
      <c r="O1400" t="s">
        <v>23</v>
      </c>
      <c r="P1400" t="s">
        <v>24</v>
      </c>
      <c r="Q1400" t="s">
        <v>642</v>
      </c>
      <c r="R1400" t="s">
        <v>3063</v>
      </c>
    </row>
    <row r="1401" spans="1:18" x14ac:dyDescent="0.25">
      <c r="A1401" t="s">
        <v>13605</v>
      </c>
      <c r="B1401" t="s">
        <v>3091</v>
      </c>
      <c r="C1401" t="str">
        <f>HYPERLINK("https://nematode.unl.edu/bakin6.jpg")</f>
        <v>https://nematode.unl.edu/bakin6.jpg</v>
      </c>
      <c r="D1401" t="s">
        <v>43</v>
      </c>
      <c r="G1401" t="s">
        <v>3092</v>
      </c>
      <c r="I1401" t="s">
        <v>19</v>
      </c>
      <c r="J1401" t="s">
        <v>3061</v>
      </c>
      <c r="M1401" t="s">
        <v>3062</v>
      </c>
      <c r="N1401" t="s">
        <v>3062</v>
      </c>
      <c r="O1401" t="s">
        <v>23</v>
      </c>
      <c r="P1401" t="s">
        <v>24</v>
      </c>
      <c r="Q1401" t="s">
        <v>642</v>
      </c>
      <c r="R1401" t="s">
        <v>3063</v>
      </c>
    </row>
    <row r="1402" spans="1:18" x14ac:dyDescent="0.25">
      <c r="A1402" t="s">
        <v>13610</v>
      </c>
      <c r="B1402" t="s">
        <v>3093</v>
      </c>
      <c r="C1402" t="str">
        <f>HYPERLINK("https://nematode.unl.edu/bakin7.jpg")</f>
        <v>https://nematode.unl.edu/bakin7.jpg</v>
      </c>
      <c r="D1402" t="s">
        <v>43</v>
      </c>
      <c r="G1402" t="s">
        <v>44</v>
      </c>
      <c r="I1402" t="s">
        <v>19</v>
      </c>
      <c r="J1402" t="s">
        <v>3061</v>
      </c>
      <c r="M1402" t="s">
        <v>3062</v>
      </c>
      <c r="N1402" t="s">
        <v>3062</v>
      </c>
      <c r="O1402" t="s">
        <v>23</v>
      </c>
      <c r="P1402" t="s">
        <v>24</v>
      </c>
      <c r="Q1402" t="s">
        <v>642</v>
      </c>
      <c r="R1402" t="s">
        <v>3063</v>
      </c>
    </row>
    <row r="1403" spans="1:18" x14ac:dyDescent="0.25">
      <c r="A1403" t="s">
        <v>13600</v>
      </c>
      <c r="B1403" t="s">
        <v>3094</v>
      </c>
      <c r="C1403" t="str">
        <f>HYPERLINK("https://nematode.unl.edu/bakin8.jpg")</f>
        <v>https://nematode.unl.edu/bakin8.jpg</v>
      </c>
      <c r="D1403" t="s">
        <v>43</v>
      </c>
      <c r="G1403" t="s">
        <v>34</v>
      </c>
      <c r="H1403" t="s">
        <v>18</v>
      </c>
      <c r="I1403" t="s">
        <v>41</v>
      </c>
      <c r="J1403" t="s">
        <v>3061</v>
      </c>
      <c r="M1403" t="s">
        <v>3062</v>
      </c>
      <c r="N1403" t="s">
        <v>3062</v>
      </c>
      <c r="O1403" t="s">
        <v>23</v>
      </c>
      <c r="P1403" t="s">
        <v>24</v>
      </c>
      <c r="Q1403" t="s">
        <v>642</v>
      </c>
      <c r="R1403" t="s">
        <v>3063</v>
      </c>
    </row>
    <row r="1404" spans="1:18" x14ac:dyDescent="0.25">
      <c r="A1404" t="s">
        <v>13630</v>
      </c>
      <c r="B1404" t="s">
        <v>3095</v>
      </c>
      <c r="C1404" t="str">
        <f>HYPERLINK("https://nematode.unl.edu/bakin9.jpg")</f>
        <v>https://nematode.unl.edu/bakin9.jpg</v>
      </c>
      <c r="D1404" t="s">
        <v>16</v>
      </c>
      <c r="G1404" t="s">
        <v>28</v>
      </c>
      <c r="I1404" t="s">
        <v>41</v>
      </c>
      <c r="J1404" t="s">
        <v>3061</v>
      </c>
      <c r="M1404" t="s">
        <v>3062</v>
      </c>
      <c r="N1404" t="s">
        <v>3062</v>
      </c>
      <c r="O1404" t="s">
        <v>23</v>
      </c>
      <c r="P1404" t="s">
        <v>24</v>
      </c>
      <c r="Q1404" t="s">
        <v>642</v>
      </c>
      <c r="R1404" t="s">
        <v>3063</v>
      </c>
    </row>
    <row r="1405" spans="1:18" x14ac:dyDescent="0.25">
      <c r="A1405" t="s">
        <v>17807</v>
      </c>
      <c r="B1405" t="s">
        <v>3167</v>
      </c>
      <c r="C1405" t="str">
        <f>HYPERLINK("https://nematode.unl.edu/basim1.jpg")</f>
        <v>https://nematode.unl.edu/basim1.jpg</v>
      </c>
      <c r="D1405" t="s">
        <v>77</v>
      </c>
      <c r="G1405" t="s">
        <v>44</v>
      </c>
      <c r="I1405" t="s">
        <v>45</v>
      </c>
      <c r="J1405" t="s">
        <v>20</v>
      </c>
      <c r="M1405" t="s">
        <v>3168</v>
      </c>
      <c r="N1405" t="s">
        <v>3168</v>
      </c>
      <c r="O1405" t="s">
        <v>23</v>
      </c>
      <c r="P1405" t="s">
        <v>24</v>
      </c>
      <c r="Q1405" t="s">
        <v>69</v>
      </c>
      <c r="R1405" t="s">
        <v>368</v>
      </c>
    </row>
    <row r="1406" spans="1:18" x14ac:dyDescent="0.25">
      <c r="A1406" t="s">
        <v>17816</v>
      </c>
      <c r="B1406" t="s">
        <v>3169</v>
      </c>
      <c r="C1406" t="str">
        <f>HYPERLINK("https://nematode.unl.edu/basim10.jpg")</f>
        <v>https://nematode.unl.edu/basim10.jpg</v>
      </c>
      <c r="D1406" t="s">
        <v>43</v>
      </c>
      <c r="G1406" t="s">
        <v>28</v>
      </c>
      <c r="I1406" t="s">
        <v>41</v>
      </c>
      <c r="J1406" t="s">
        <v>20</v>
      </c>
      <c r="L1406" t="s">
        <v>35</v>
      </c>
      <c r="M1406" t="s">
        <v>3168</v>
      </c>
      <c r="N1406" t="s">
        <v>3168</v>
      </c>
      <c r="O1406" t="s">
        <v>23</v>
      </c>
      <c r="P1406" t="s">
        <v>24</v>
      </c>
      <c r="Q1406" t="s">
        <v>69</v>
      </c>
      <c r="R1406" t="s">
        <v>368</v>
      </c>
    </row>
    <row r="1407" spans="1:18" x14ac:dyDescent="0.25">
      <c r="A1407" t="s">
        <v>17794</v>
      </c>
      <c r="B1407" t="s">
        <v>3170</v>
      </c>
      <c r="C1407" t="str">
        <f>HYPERLINK("https://nematode.unl.edu/basim11.jpg")</f>
        <v>https://nematode.unl.edu/basim11.jpg</v>
      </c>
      <c r="D1407" t="s">
        <v>43</v>
      </c>
      <c r="G1407" t="s">
        <v>34</v>
      </c>
      <c r="H1407" t="s">
        <v>18</v>
      </c>
      <c r="I1407" t="s">
        <v>19</v>
      </c>
      <c r="J1407" t="s">
        <v>20</v>
      </c>
      <c r="M1407" t="s">
        <v>3168</v>
      </c>
      <c r="N1407" t="s">
        <v>3168</v>
      </c>
      <c r="O1407" t="s">
        <v>23</v>
      </c>
      <c r="P1407" t="s">
        <v>24</v>
      </c>
      <c r="Q1407" t="s">
        <v>69</v>
      </c>
      <c r="R1407" t="s">
        <v>368</v>
      </c>
    </row>
    <row r="1408" spans="1:18" x14ac:dyDescent="0.25">
      <c r="A1408" t="s">
        <v>17823</v>
      </c>
      <c r="B1408" t="s">
        <v>3171</v>
      </c>
      <c r="C1408" t="str">
        <f>HYPERLINK("https://nematode.unl.edu/basim12.jpg")</f>
        <v>https://nematode.unl.edu/basim12.jpg</v>
      </c>
      <c r="D1408" t="s">
        <v>43</v>
      </c>
      <c r="G1408" t="s">
        <v>51</v>
      </c>
      <c r="I1408" t="s">
        <v>19</v>
      </c>
      <c r="J1408" t="s">
        <v>20</v>
      </c>
      <c r="L1408" t="s">
        <v>85</v>
      </c>
      <c r="M1408" t="s">
        <v>3168</v>
      </c>
      <c r="N1408" t="s">
        <v>3168</v>
      </c>
      <c r="O1408" t="s">
        <v>23</v>
      </c>
      <c r="P1408" t="s">
        <v>24</v>
      </c>
      <c r="Q1408" t="s">
        <v>69</v>
      </c>
      <c r="R1408" t="s">
        <v>368</v>
      </c>
    </row>
    <row r="1409" spans="1:18" x14ac:dyDescent="0.25">
      <c r="A1409" t="s">
        <v>17817</v>
      </c>
      <c r="B1409" t="s">
        <v>3172</v>
      </c>
      <c r="C1409" t="str">
        <f>HYPERLINK("https://nematode.unl.edu/basim13.jpg")</f>
        <v>https://nematode.unl.edu/basim13.jpg</v>
      </c>
      <c r="D1409" t="s">
        <v>43</v>
      </c>
      <c r="G1409" t="s">
        <v>28</v>
      </c>
      <c r="I1409" t="s">
        <v>19</v>
      </c>
      <c r="J1409" t="s">
        <v>20</v>
      </c>
      <c r="L1409" t="s">
        <v>35</v>
      </c>
      <c r="M1409" t="s">
        <v>3168</v>
      </c>
      <c r="N1409" t="s">
        <v>3168</v>
      </c>
      <c r="O1409" t="s">
        <v>23</v>
      </c>
      <c r="P1409" t="s">
        <v>24</v>
      </c>
      <c r="Q1409" t="s">
        <v>69</v>
      </c>
      <c r="R1409" t="s">
        <v>368</v>
      </c>
    </row>
    <row r="1410" spans="1:18" x14ac:dyDescent="0.25">
      <c r="A1410" t="s">
        <v>17813</v>
      </c>
      <c r="B1410" t="s">
        <v>3173</v>
      </c>
      <c r="C1410" t="str">
        <f>HYPERLINK("https://nematode.unl.edu/basim14.jpg")</f>
        <v>https://nematode.unl.edu/basim14.jpg</v>
      </c>
      <c r="D1410" t="s">
        <v>43</v>
      </c>
      <c r="G1410" t="s">
        <v>53</v>
      </c>
      <c r="I1410" t="s">
        <v>41</v>
      </c>
      <c r="J1410" t="s">
        <v>20</v>
      </c>
      <c r="L1410" t="s">
        <v>85</v>
      </c>
      <c r="M1410" t="s">
        <v>3168</v>
      </c>
      <c r="N1410" t="s">
        <v>3168</v>
      </c>
      <c r="O1410" t="s">
        <v>23</v>
      </c>
      <c r="P1410" t="s">
        <v>24</v>
      </c>
      <c r="Q1410" t="s">
        <v>69</v>
      </c>
      <c r="R1410" t="s">
        <v>368</v>
      </c>
    </row>
    <row r="1411" spans="1:18" x14ac:dyDescent="0.25">
      <c r="A1411" t="s">
        <v>17792</v>
      </c>
      <c r="B1411" t="s">
        <v>3174</v>
      </c>
      <c r="C1411" t="str">
        <f>HYPERLINK("https://nematode.unl.edu/basim15.jpg")</f>
        <v>https://nematode.unl.edu/basim15.jpg</v>
      </c>
      <c r="D1411" t="s">
        <v>43</v>
      </c>
      <c r="G1411" t="s">
        <v>96</v>
      </c>
      <c r="H1411" t="s">
        <v>18</v>
      </c>
      <c r="I1411" t="s">
        <v>19</v>
      </c>
      <c r="J1411" t="s">
        <v>20</v>
      </c>
      <c r="L1411" t="s">
        <v>752</v>
      </c>
      <c r="M1411" t="s">
        <v>3168</v>
      </c>
      <c r="N1411" t="s">
        <v>3168</v>
      </c>
      <c r="O1411" t="s">
        <v>23</v>
      </c>
      <c r="P1411" t="s">
        <v>24</v>
      </c>
      <c r="Q1411" t="s">
        <v>69</v>
      </c>
      <c r="R1411" t="s">
        <v>368</v>
      </c>
    </row>
    <row r="1412" spans="1:18" x14ac:dyDescent="0.25">
      <c r="A1412" t="s">
        <v>17824</v>
      </c>
      <c r="B1412" t="s">
        <v>3175</v>
      </c>
      <c r="C1412" t="str">
        <f>HYPERLINK("https://nematode.unl.edu/basim16.jpg")</f>
        <v>https://nematode.unl.edu/basim16.jpg</v>
      </c>
      <c r="D1412" t="s">
        <v>43</v>
      </c>
      <c r="G1412" t="s">
        <v>51</v>
      </c>
      <c r="I1412" t="s">
        <v>19</v>
      </c>
      <c r="J1412" t="s">
        <v>20</v>
      </c>
      <c r="L1412" t="s">
        <v>752</v>
      </c>
      <c r="M1412" t="s">
        <v>3168</v>
      </c>
      <c r="N1412" t="s">
        <v>3168</v>
      </c>
      <c r="O1412" t="s">
        <v>23</v>
      </c>
      <c r="P1412" t="s">
        <v>24</v>
      </c>
      <c r="Q1412" t="s">
        <v>69</v>
      </c>
      <c r="R1412" t="s">
        <v>368</v>
      </c>
    </row>
    <row r="1413" spans="1:18" x14ac:dyDescent="0.25">
      <c r="A1413" t="s">
        <v>17818</v>
      </c>
      <c r="B1413" t="s">
        <v>3176</v>
      </c>
      <c r="C1413" t="str">
        <f>HYPERLINK("https://nematode.unl.edu/basim17.jpg")</f>
        <v>https://nematode.unl.edu/basim17.jpg</v>
      </c>
      <c r="D1413" t="s">
        <v>43</v>
      </c>
      <c r="G1413" t="s">
        <v>28</v>
      </c>
      <c r="I1413" t="s">
        <v>19</v>
      </c>
      <c r="J1413" t="s">
        <v>20</v>
      </c>
      <c r="L1413" t="s">
        <v>752</v>
      </c>
      <c r="M1413" t="s">
        <v>3168</v>
      </c>
      <c r="N1413" t="s">
        <v>3168</v>
      </c>
      <c r="O1413" t="s">
        <v>23</v>
      </c>
      <c r="P1413" t="s">
        <v>24</v>
      </c>
      <c r="Q1413" t="s">
        <v>69</v>
      </c>
      <c r="R1413" t="s">
        <v>368</v>
      </c>
    </row>
    <row r="1414" spans="1:18" x14ac:dyDescent="0.25">
      <c r="A1414" t="s">
        <v>17791</v>
      </c>
      <c r="B1414" t="s">
        <v>3177</v>
      </c>
      <c r="C1414" t="str">
        <f>HYPERLINK("https://nematode.unl.edu/basim18.jpg")</f>
        <v>https://nematode.unl.edu/basim18.jpg</v>
      </c>
      <c r="D1414" t="s">
        <v>43</v>
      </c>
      <c r="G1414" t="s">
        <v>386</v>
      </c>
      <c r="H1414" t="s">
        <v>18</v>
      </c>
      <c r="I1414" t="s">
        <v>41</v>
      </c>
      <c r="J1414" t="s">
        <v>20</v>
      </c>
      <c r="L1414" t="s">
        <v>752</v>
      </c>
      <c r="M1414" t="s">
        <v>3168</v>
      </c>
      <c r="N1414" t="s">
        <v>3168</v>
      </c>
      <c r="O1414" t="s">
        <v>23</v>
      </c>
      <c r="P1414" t="s">
        <v>24</v>
      </c>
      <c r="Q1414" t="s">
        <v>69</v>
      </c>
      <c r="R1414" t="s">
        <v>368</v>
      </c>
    </row>
    <row r="1415" spans="1:18" x14ac:dyDescent="0.25">
      <c r="A1415" t="s">
        <v>17795</v>
      </c>
      <c r="B1415" t="s">
        <v>3178</v>
      </c>
      <c r="C1415" t="str">
        <f>HYPERLINK("https://nematode.unl.edu/basim19.jpg")</f>
        <v>https://nematode.unl.edu/basim19.jpg</v>
      </c>
      <c r="D1415" t="s">
        <v>43</v>
      </c>
      <c r="G1415" t="s">
        <v>34</v>
      </c>
      <c r="H1415" t="s">
        <v>18</v>
      </c>
      <c r="I1415" t="s">
        <v>41</v>
      </c>
      <c r="J1415" t="s">
        <v>20</v>
      </c>
      <c r="L1415" t="s">
        <v>752</v>
      </c>
      <c r="M1415" t="s">
        <v>3168</v>
      </c>
      <c r="N1415" t="s">
        <v>3168</v>
      </c>
      <c r="O1415" t="s">
        <v>23</v>
      </c>
      <c r="P1415" t="s">
        <v>24</v>
      </c>
      <c r="Q1415" t="s">
        <v>69</v>
      </c>
      <c r="R1415" t="s">
        <v>368</v>
      </c>
    </row>
    <row r="1416" spans="1:18" x14ac:dyDescent="0.25">
      <c r="A1416" t="s">
        <v>17796</v>
      </c>
      <c r="B1416" t="s">
        <v>3179</v>
      </c>
      <c r="C1416" t="str">
        <f>HYPERLINK("https://nematode.unl.edu/basim2.jpg")</f>
        <v>https://nematode.unl.edu/basim2.jpg</v>
      </c>
      <c r="D1416" t="s">
        <v>77</v>
      </c>
      <c r="G1416" t="s">
        <v>34</v>
      </c>
      <c r="H1416" t="s">
        <v>18</v>
      </c>
      <c r="I1416" t="s">
        <v>19</v>
      </c>
      <c r="J1416" t="s">
        <v>20</v>
      </c>
      <c r="L1416" t="s">
        <v>141</v>
      </c>
      <c r="M1416" t="s">
        <v>3168</v>
      </c>
      <c r="N1416" t="s">
        <v>3168</v>
      </c>
      <c r="O1416" t="s">
        <v>23</v>
      </c>
      <c r="P1416" t="s">
        <v>24</v>
      </c>
      <c r="Q1416" t="s">
        <v>69</v>
      </c>
      <c r="R1416" t="s">
        <v>368</v>
      </c>
    </row>
    <row r="1417" spans="1:18" x14ac:dyDescent="0.25">
      <c r="A1417" t="s">
        <v>17808</v>
      </c>
      <c r="B1417" t="s">
        <v>3180</v>
      </c>
      <c r="C1417" t="str">
        <f>HYPERLINK("https://nematode.unl.edu/basim20.jpg")</f>
        <v>https://nematode.unl.edu/basim20.jpg</v>
      </c>
      <c r="D1417" t="s">
        <v>43</v>
      </c>
      <c r="G1417" t="s">
        <v>44</v>
      </c>
      <c r="I1417" t="s">
        <v>45</v>
      </c>
      <c r="J1417" t="s">
        <v>20</v>
      </c>
      <c r="L1417" t="s">
        <v>35</v>
      </c>
      <c r="M1417" t="s">
        <v>3168</v>
      </c>
      <c r="N1417" t="s">
        <v>3168</v>
      </c>
      <c r="O1417" t="s">
        <v>23</v>
      </c>
      <c r="P1417" t="s">
        <v>24</v>
      </c>
      <c r="Q1417" t="s">
        <v>69</v>
      </c>
      <c r="R1417" t="s">
        <v>368</v>
      </c>
    </row>
    <row r="1418" spans="1:18" x14ac:dyDescent="0.25">
      <c r="A1418" t="s">
        <v>17825</v>
      </c>
      <c r="B1418" t="s">
        <v>3181</v>
      </c>
      <c r="C1418" t="str">
        <f>HYPERLINK("https://nematode.unl.edu/basim21.jpg")</f>
        <v>https://nematode.unl.edu/basim21.jpg</v>
      </c>
      <c r="D1418" t="s">
        <v>43</v>
      </c>
      <c r="G1418" t="s">
        <v>51</v>
      </c>
      <c r="I1418" t="s">
        <v>19</v>
      </c>
      <c r="J1418" t="s">
        <v>20</v>
      </c>
      <c r="M1418" t="s">
        <v>3168</v>
      </c>
      <c r="N1418" t="s">
        <v>3168</v>
      </c>
      <c r="O1418" t="s">
        <v>23</v>
      </c>
      <c r="P1418" t="s">
        <v>24</v>
      </c>
      <c r="Q1418" t="s">
        <v>69</v>
      </c>
      <c r="R1418" t="s">
        <v>368</v>
      </c>
    </row>
    <row r="1419" spans="1:18" x14ac:dyDescent="0.25">
      <c r="A1419" t="s">
        <v>17819</v>
      </c>
      <c r="B1419" t="s">
        <v>3182</v>
      </c>
      <c r="C1419" t="str">
        <f>HYPERLINK("https://nematode.unl.edu/basim22.jpg")</f>
        <v>https://nematode.unl.edu/basim22.jpg</v>
      </c>
      <c r="D1419" t="s">
        <v>43</v>
      </c>
      <c r="G1419" t="s">
        <v>28</v>
      </c>
      <c r="I1419" t="s">
        <v>19</v>
      </c>
      <c r="J1419" t="s">
        <v>20</v>
      </c>
      <c r="L1419" t="s">
        <v>35</v>
      </c>
      <c r="M1419" t="s">
        <v>3168</v>
      </c>
      <c r="N1419" t="s">
        <v>3168</v>
      </c>
      <c r="O1419" t="s">
        <v>23</v>
      </c>
      <c r="P1419" t="s">
        <v>24</v>
      </c>
      <c r="Q1419" t="s">
        <v>69</v>
      </c>
      <c r="R1419" t="s">
        <v>368</v>
      </c>
    </row>
    <row r="1420" spans="1:18" x14ac:dyDescent="0.25">
      <c r="A1420" t="s">
        <v>17820</v>
      </c>
      <c r="B1420" t="s">
        <v>3183</v>
      </c>
      <c r="C1420" t="str">
        <f>HYPERLINK("https://nematode.unl.edu/basim3.jpg")</f>
        <v>https://nematode.unl.edu/basim3.jpg</v>
      </c>
      <c r="D1420" t="s">
        <v>77</v>
      </c>
      <c r="G1420" t="s">
        <v>28</v>
      </c>
      <c r="I1420" t="s">
        <v>19</v>
      </c>
      <c r="J1420" t="s">
        <v>20</v>
      </c>
      <c r="L1420" t="s">
        <v>141</v>
      </c>
      <c r="M1420" t="s">
        <v>3168</v>
      </c>
      <c r="N1420" t="s">
        <v>3168</v>
      </c>
      <c r="O1420" t="s">
        <v>23</v>
      </c>
      <c r="P1420" t="s">
        <v>24</v>
      </c>
      <c r="Q1420" t="s">
        <v>69</v>
      </c>
      <c r="R1420" t="s">
        <v>368</v>
      </c>
    </row>
    <row r="1421" spans="1:18" x14ac:dyDescent="0.25">
      <c r="A1421" t="s">
        <v>17797</v>
      </c>
      <c r="B1421" t="s">
        <v>3184</v>
      </c>
      <c r="C1421" t="str">
        <f>HYPERLINK("https://nematode.unl.edu/basim4.jpg")</f>
        <v>https://nematode.unl.edu/basim4.jpg</v>
      </c>
      <c r="D1421" t="s">
        <v>77</v>
      </c>
      <c r="G1421" t="s">
        <v>34</v>
      </c>
      <c r="H1421" t="s">
        <v>18</v>
      </c>
      <c r="I1421" t="s">
        <v>41</v>
      </c>
      <c r="J1421" t="s">
        <v>20</v>
      </c>
      <c r="L1421" t="s">
        <v>141</v>
      </c>
      <c r="M1421" t="s">
        <v>3168</v>
      </c>
      <c r="N1421" t="s">
        <v>3168</v>
      </c>
      <c r="O1421" t="s">
        <v>23</v>
      </c>
      <c r="P1421" t="s">
        <v>24</v>
      </c>
      <c r="Q1421" t="s">
        <v>69</v>
      </c>
      <c r="R1421" t="s">
        <v>368</v>
      </c>
    </row>
    <row r="1422" spans="1:18" x14ac:dyDescent="0.25">
      <c r="A1422" t="s">
        <v>17798</v>
      </c>
      <c r="B1422" t="s">
        <v>3185</v>
      </c>
      <c r="C1422" t="str">
        <f>HYPERLINK("https://nematode.unl.edu/basim5.jpg")</f>
        <v>https://nematode.unl.edu/basim5.jpg</v>
      </c>
      <c r="D1422" t="s">
        <v>16</v>
      </c>
      <c r="G1422" t="s">
        <v>34</v>
      </c>
      <c r="H1422" t="s">
        <v>18</v>
      </c>
      <c r="I1422" t="s">
        <v>19</v>
      </c>
      <c r="J1422" t="s">
        <v>20</v>
      </c>
      <c r="L1422" t="s">
        <v>85</v>
      </c>
      <c r="M1422" t="s">
        <v>3168</v>
      </c>
      <c r="N1422" t="s">
        <v>3168</v>
      </c>
      <c r="O1422" t="s">
        <v>23</v>
      </c>
      <c r="P1422" t="s">
        <v>24</v>
      </c>
      <c r="Q1422" t="s">
        <v>69</v>
      </c>
      <c r="R1422" t="s">
        <v>368</v>
      </c>
    </row>
    <row r="1423" spans="1:18" x14ac:dyDescent="0.25">
      <c r="A1423" t="s">
        <v>17799</v>
      </c>
      <c r="B1423" t="s">
        <v>3186</v>
      </c>
      <c r="C1423" t="str">
        <f>HYPERLINK("https://nematode.unl.edu/basim6.jpg")</f>
        <v>https://nematode.unl.edu/basim6.jpg</v>
      </c>
      <c r="D1423" t="s">
        <v>16</v>
      </c>
      <c r="G1423" t="s">
        <v>34</v>
      </c>
      <c r="H1423" t="s">
        <v>18</v>
      </c>
      <c r="I1423" t="s">
        <v>19</v>
      </c>
      <c r="J1423" t="s">
        <v>20</v>
      </c>
      <c r="M1423" t="s">
        <v>3168</v>
      </c>
      <c r="N1423" t="s">
        <v>3168</v>
      </c>
      <c r="O1423" t="s">
        <v>23</v>
      </c>
      <c r="P1423" t="s">
        <v>24</v>
      </c>
      <c r="Q1423" t="s">
        <v>69</v>
      </c>
      <c r="R1423" t="s">
        <v>368</v>
      </c>
    </row>
    <row r="1424" spans="1:18" x14ac:dyDescent="0.25">
      <c r="A1424" t="s">
        <v>17800</v>
      </c>
      <c r="B1424" t="s">
        <v>3187</v>
      </c>
      <c r="C1424" t="str">
        <f>HYPERLINK("https://nematode.unl.edu/basim7.jpg")</f>
        <v>https://nematode.unl.edu/basim7.jpg</v>
      </c>
      <c r="D1424" t="s">
        <v>16</v>
      </c>
      <c r="G1424" t="s">
        <v>34</v>
      </c>
      <c r="H1424" t="s">
        <v>18</v>
      </c>
      <c r="I1424" t="s">
        <v>41</v>
      </c>
      <c r="J1424" t="s">
        <v>20</v>
      </c>
      <c r="M1424" t="s">
        <v>3168</v>
      </c>
      <c r="N1424" t="s">
        <v>3168</v>
      </c>
      <c r="O1424" t="s">
        <v>23</v>
      </c>
      <c r="P1424" t="s">
        <v>24</v>
      </c>
      <c r="Q1424" t="s">
        <v>69</v>
      </c>
      <c r="R1424" t="s">
        <v>368</v>
      </c>
    </row>
    <row r="1425" spans="1:18" x14ac:dyDescent="0.25">
      <c r="A1425" t="s">
        <v>17801</v>
      </c>
      <c r="B1425" t="s">
        <v>3188</v>
      </c>
      <c r="C1425" t="str">
        <f>HYPERLINK("https://nematode.unl.edu/basim8.jpg")</f>
        <v>https://nematode.unl.edu/basim8.jpg</v>
      </c>
      <c r="D1425" t="s">
        <v>43</v>
      </c>
      <c r="G1425" t="s">
        <v>34</v>
      </c>
      <c r="H1425" t="s">
        <v>18</v>
      </c>
      <c r="I1425" t="s">
        <v>19</v>
      </c>
      <c r="J1425" t="s">
        <v>20</v>
      </c>
      <c r="L1425" t="s">
        <v>35</v>
      </c>
      <c r="M1425" t="s">
        <v>3168</v>
      </c>
      <c r="N1425" t="s">
        <v>3168</v>
      </c>
      <c r="O1425" t="s">
        <v>23</v>
      </c>
      <c r="P1425" t="s">
        <v>24</v>
      </c>
      <c r="Q1425" t="s">
        <v>69</v>
      </c>
      <c r="R1425" t="s">
        <v>368</v>
      </c>
    </row>
    <row r="1426" spans="1:18" x14ac:dyDescent="0.25">
      <c r="A1426" t="s">
        <v>17802</v>
      </c>
      <c r="B1426" t="s">
        <v>3189</v>
      </c>
      <c r="C1426" t="str">
        <f>HYPERLINK("https://nematode.unl.edu/basim9.jpg")</f>
        <v>https://nematode.unl.edu/basim9.jpg</v>
      </c>
      <c r="D1426" t="s">
        <v>43</v>
      </c>
      <c r="G1426" t="s">
        <v>34</v>
      </c>
      <c r="H1426" t="s">
        <v>18</v>
      </c>
      <c r="I1426" t="s">
        <v>41</v>
      </c>
      <c r="J1426" t="s">
        <v>20</v>
      </c>
      <c r="M1426" t="s">
        <v>3168</v>
      </c>
      <c r="N1426" t="s">
        <v>3168</v>
      </c>
      <c r="O1426" t="s">
        <v>23</v>
      </c>
      <c r="P1426" t="s">
        <v>24</v>
      </c>
      <c r="Q1426" t="s">
        <v>69</v>
      </c>
      <c r="R1426" t="s">
        <v>368</v>
      </c>
    </row>
    <row r="1427" spans="1:18" x14ac:dyDescent="0.25">
      <c r="A1427" t="s">
        <v>17803</v>
      </c>
      <c r="B1427" t="s">
        <v>3190</v>
      </c>
      <c r="C1427" t="str">
        <f>HYPERLINK("https://nematode.unl.edu/basimil1.jpg")</f>
        <v>https://nematode.unl.edu/basimil1.jpg</v>
      </c>
      <c r="D1427" t="s">
        <v>77</v>
      </c>
      <c r="G1427" t="s">
        <v>34</v>
      </c>
      <c r="H1427" t="s">
        <v>18</v>
      </c>
      <c r="I1427" t="s">
        <v>19</v>
      </c>
      <c r="J1427" t="s">
        <v>116</v>
      </c>
      <c r="L1427" t="s">
        <v>85</v>
      </c>
      <c r="M1427" t="s">
        <v>3168</v>
      </c>
      <c r="N1427" t="s">
        <v>3168</v>
      </c>
      <c r="O1427" t="s">
        <v>23</v>
      </c>
      <c r="P1427" t="s">
        <v>24</v>
      </c>
      <c r="Q1427" t="s">
        <v>69</v>
      </c>
      <c r="R1427" t="s">
        <v>368</v>
      </c>
    </row>
    <row r="1428" spans="1:18" x14ac:dyDescent="0.25">
      <c r="A1428" t="s">
        <v>17814</v>
      </c>
      <c r="B1428" t="s">
        <v>3191</v>
      </c>
      <c r="C1428" t="str">
        <f>HYPERLINK("https://nematode.unl.edu/basimil2.jpg")</f>
        <v>https://nematode.unl.edu/basimil2.jpg</v>
      </c>
      <c r="D1428" t="s">
        <v>77</v>
      </c>
      <c r="G1428" t="s">
        <v>112</v>
      </c>
      <c r="I1428" t="s">
        <v>19</v>
      </c>
      <c r="J1428" t="s">
        <v>116</v>
      </c>
      <c r="L1428" t="s">
        <v>85</v>
      </c>
      <c r="M1428" t="s">
        <v>3168</v>
      </c>
      <c r="N1428" t="s">
        <v>3168</v>
      </c>
      <c r="O1428" t="s">
        <v>23</v>
      </c>
      <c r="P1428" t="s">
        <v>24</v>
      </c>
      <c r="Q1428" t="s">
        <v>69</v>
      </c>
      <c r="R1428" t="s">
        <v>368</v>
      </c>
    </row>
    <row r="1429" spans="1:18" x14ac:dyDescent="0.25">
      <c r="A1429" t="s">
        <v>17804</v>
      </c>
      <c r="B1429" t="s">
        <v>3192</v>
      </c>
      <c r="C1429" t="str">
        <f>HYPERLINK("https://nematode.unl.edu/basimil3.jpg")</f>
        <v>https://nematode.unl.edu/basimil3.jpg</v>
      </c>
      <c r="D1429" t="s">
        <v>77</v>
      </c>
      <c r="G1429" t="s">
        <v>34</v>
      </c>
      <c r="H1429" t="s">
        <v>18</v>
      </c>
      <c r="I1429" t="s">
        <v>41</v>
      </c>
      <c r="J1429" t="s">
        <v>116</v>
      </c>
      <c r="L1429" t="s">
        <v>85</v>
      </c>
      <c r="M1429" t="s">
        <v>3168</v>
      </c>
      <c r="N1429" t="s">
        <v>3168</v>
      </c>
      <c r="O1429" t="s">
        <v>23</v>
      </c>
      <c r="P1429" t="s">
        <v>24</v>
      </c>
      <c r="Q1429" t="s">
        <v>69</v>
      </c>
      <c r="R1429" t="s">
        <v>368</v>
      </c>
    </row>
    <row r="1430" spans="1:18" x14ac:dyDescent="0.25">
      <c r="A1430" t="s">
        <v>17761</v>
      </c>
      <c r="B1430" t="s">
        <v>380</v>
      </c>
      <c r="C1430" t="str">
        <f>HYPERLINK("https://nematode.unl.edu/basob1.jpg")</f>
        <v>https://nematode.unl.edu/basob1.jpg</v>
      </c>
      <c r="D1430" t="s">
        <v>43</v>
      </c>
      <c r="G1430" t="s">
        <v>34</v>
      </c>
      <c r="H1430" t="s">
        <v>18</v>
      </c>
      <c r="I1430" t="s">
        <v>19</v>
      </c>
      <c r="J1430" t="s">
        <v>20</v>
      </c>
      <c r="L1430" t="s">
        <v>85</v>
      </c>
      <c r="M1430" t="s">
        <v>381</v>
      </c>
      <c r="N1430" t="s">
        <v>367</v>
      </c>
      <c r="O1430" t="s">
        <v>23</v>
      </c>
      <c r="P1430" t="s">
        <v>24</v>
      </c>
      <c r="Q1430" t="s">
        <v>69</v>
      </c>
      <c r="R1430" t="s">
        <v>368</v>
      </c>
    </row>
    <row r="1431" spans="1:18" x14ac:dyDescent="0.25">
      <c r="A1431" t="s">
        <v>17788</v>
      </c>
      <c r="B1431" t="s">
        <v>382</v>
      </c>
      <c r="C1431" t="str">
        <f>HYPERLINK("https://nematode.unl.edu/basob10.jpg")</f>
        <v>https://nematode.unl.edu/basob10.jpg</v>
      </c>
      <c r="D1431" t="s">
        <v>43</v>
      </c>
      <c r="G1431" t="s">
        <v>51</v>
      </c>
      <c r="I1431" t="s">
        <v>19</v>
      </c>
      <c r="J1431" t="s">
        <v>20</v>
      </c>
      <c r="L1431" t="s">
        <v>352</v>
      </c>
      <c r="M1431" t="s">
        <v>381</v>
      </c>
      <c r="N1431" t="s">
        <v>367</v>
      </c>
      <c r="O1431" t="s">
        <v>23</v>
      </c>
      <c r="P1431" t="s">
        <v>24</v>
      </c>
      <c r="Q1431" t="s">
        <v>69</v>
      </c>
      <c r="R1431" t="s">
        <v>368</v>
      </c>
    </row>
    <row r="1432" spans="1:18" x14ac:dyDescent="0.25">
      <c r="A1432" t="s">
        <v>17773</v>
      </c>
      <c r="B1432" t="s">
        <v>383</v>
      </c>
      <c r="C1432" t="str">
        <f>HYPERLINK("https://nematode.unl.edu/basob11.jpg")</f>
        <v>https://nematode.unl.edu/basob11.jpg</v>
      </c>
      <c r="D1432" t="s">
        <v>43</v>
      </c>
      <c r="G1432" t="s">
        <v>384</v>
      </c>
      <c r="I1432" t="s">
        <v>41</v>
      </c>
      <c r="J1432" t="s">
        <v>20</v>
      </c>
      <c r="L1432" t="s">
        <v>141</v>
      </c>
      <c r="M1432" t="s">
        <v>381</v>
      </c>
      <c r="N1432" t="s">
        <v>367</v>
      </c>
      <c r="O1432" t="s">
        <v>23</v>
      </c>
      <c r="P1432" t="s">
        <v>24</v>
      </c>
      <c r="Q1432" t="s">
        <v>69</v>
      </c>
      <c r="R1432" t="s">
        <v>368</v>
      </c>
    </row>
    <row r="1433" spans="1:18" x14ac:dyDescent="0.25">
      <c r="A1433" t="s">
        <v>17760</v>
      </c>
      <c r="B1433" t="s">
        <v>385</v>
      </c>
      <c r="C1433" t="str">
        <f>HYPERLINK("https://nematode.unl.edu/basob12.jpg")</f>
        <v>https://nematode.unl.edu/basob12.jpg</v>
      </c>
      <c r="D1433" t="s">
        <v>43</v>
      </c>
      <c r="G1433" t="s">
        <v>386</v>
      </c>
      <c r="H1433" t="s">
        <v>18</v>
      </c>
      <c r="I1433" t="s">
        <v>41</v>
      </c>
      <c r="J1433" t="s">
        <v>20</v>
      </c>
      <c r="L1433" t="s">
        <v>141</v>
      </c>
      <c r="M1433" t="s">
        <v>381</v>
      </c>
      <c r="N1433" t="s">
        <v>367</v>
      </c>
      <c r="O1433" t="s">
        <v>23</v>
      </c>
      <c r="P1433" t="s">
        <v>24</v>
      </c>
      <c r="Q1433" t="s">
        <v>69</v>
      </c>
      <c r="R1433" t="s">
        <v>368</v>
      </c>
    </row>
    <row r="1434" spans="1:18" x14ac:dyDescent="0.25">
      <c r="A1434" t="s">
        <v>17779</v>
      </c>
      <c r="B1434" t="s">
        <v>387</v>
      </c>
      <c r="C1434" t="str">
        <f>HYPERLINK("https://nematode.unl.edu/basob13.jpg")</f>
        <v>https://nematode.unl.edu/basob13.jpg</v>
      </c>
      <c r="D1434" t="s">
        <v>43</v>
      </c>
      <c r="G1434" t="s">
        <v>53</v>
      </c>
      <c r="I1434" t="s">
        <v>41</v>
      </c>
      <c r="J1434" t="s">
        <v>20</v>
      </c>
      <c r="M1434" t="s">
        <v>381</v>
      </c>
      <c r="N1434" t="s">
        <v>367</v>
      </c>
      <c r="O1434" t="s">
        <v>23</v>
      </c>
      <c r="P1434" t="s">
        <v>24</v>
      </c>
      <c r="Q1434" t="s">
        <v>69</v>
      </c>
      <c r="R1434" t="s">
        <v>368</v>
      </c>
    </row>
    <row r="1435" spans="1:18" x14ac:dyDescent="0.25">
      <c r="A1435" t="s">
        <v>17775</v>
      </c>
      <c r="B1435" t="s">
        <v>388</v>
      </c>
      <c r="C1435" t="str">
        <f>HYPERLINK("https://nematode.unl.edu/basob14.jpg")</f>
        <v>https://nematode.unl.edu/basob14.jpg</v>
      </c>
      <c r="D1435" t="s">
        <v>43</v>
      </c>
      <c r="G1435" t="s">
        <v>44</v>
      </c>
      <c r="I1435" t="s">
        <v>45</v>
      </c>
      <c r="J1435" t="s">
        <v>20</v>
      </c>
      <c r="L1435" t="s">
        <v>64</v>
      </c>
      <c r="M1435" t="s">
        <v>381</v>
      </c>
      <c r="N1435" t="s">
        <v>367</v>
      </c>
      <c r="O1435" t="s">
        <v>23</v>
      </c>
      <c r="P1435" t="s">
        <v>24</v>
      </c>
      <c r="Q1435" t="s">
        <v>69</v>
      </c>
      <c r="R1435" t="s">
        <v>368</v>
      </c>
    </row>
    <row r="1436" spans="1:18" x14ac:dyDescent="0.25">
      <c r="A1436" t="s">
        <v>17776</v>
      </c>
      <c r="B1436" t="s">
        <v>389</v>
      </c>
      <c r="C1436" t="str">
        <f>HYPERLINK("https://nematode.unl.edu/basob15.jpg")</f>
        <v>https://nematode.unl.edu/basob15.jpg</v>
      </c>
      <c r="D1436" t="s">
        <v>77</v>
      </c>
      <c r="G1436" t="s">
        <v>44</v>
      </c>
      <c r="I1436" t="s">
        <v>45</v>
      </c>
      <c r="J1436" t="s">
        <v>20</v>
      </c>
      <c r="L1436" t="s">
        <v>64</v>
      </c>
      <c r="M1436" t="s">
        <v>381</v>
      </c>
      <c r="N1436" t="s">
        <v>367</v>
      </c>
      <c r="O1436" t="s">
        <v>23</v>
      </c>
      <c r="P1436" t="s">
        <v>24</v>
      </c>
      <c r="Q1436" t="s">
        <v>69</v>
      </c>
      <c r="R1436" t="s">
        <v>368</v>
      </c>
    </row>
    <row r="1437" spans="1:18" x14ac:dyDescent="0.25">
      <c r="A1437" t="s">
        <v>17762</v>
      </c>
      <c r="B1437" t="s">
        <v>390</v>
      </c>
      <c r="C1437" t="str">
        <f>HYPERLINK("https://nematode.unl.edu/basob16.jpg")</f>
        <v>https://nematode.unl.edu/basob16.jpg</v>
      </c>
      <c r="D1437" t="s">
        <v>77</v>
      </c>
      <c r="G1437" t="s">
        <v>34</v>
      </c>
      <c r="H1437" t="s">
        <v>18</v>
      </c>
      <c r="I1437" t="s">
        <v>19</v>
      </c>
      <c r="J1437" t="s">
        <v>20</v>
      </c>
      <c r="L1437" t="s">
        <v>64</v>
      </c>
      <c r="M1437" t="s">
        <v>381</v>
      </c>
      <c r="N1437" t="s">
        <v>367</v>
      </c>
      <c r="O1437" t="s">
        <v>23</v>
      </c>
      <c r="P1437" t="s">
        <v>24</v>
      </c>
      <c r="Q1437" t="s">
        <v>69</v>
      </c>
      <c r="R1437" t="s">
        <v>368</v>
      </c>
    </row>
    <row r="1438" spans="1:18" x14ac:dyDescent="0.25">
      <c r="A1438" t="s">
        <v>17781</v>
      </c>
      <c r="B1438" t="s">
        <v>391</v>
      </c>
      <c r="C1438" t="str">
        <f>HYPERLINK("https://nematode.unl.edu/basob17.jpg")</f>
        <v>https://nematode.unl.edu/basob17.jpg</v>
      </c>
      <c r="D1438" t="s">
        <v>77</v>
      </c>
      <c r="G1438" t="s">
        <v>112</v>
      </c>
      <c r="I1438" t="s">
        <v>19</v>
      </c>
      <c r="J1438" t="s">
        <v>20</v>
      </c>
      <c r="L1438" t="s">
        <v>64</v>
      </c>
      <c r="M1438" t="s">
        <v>381</v>
      </c>
      <c r="N1438" t="s">
        <v>367</v>
      </c>
      <c r="O1438" t="s">
        <v>23</v>
      </c>
      <c r="P1438" t="s">
        <v>24</v>
      </c>
      <c r="Q1438" t="s">
        <v>69</v>
      </c>
      <c r="R1438" t="s">
        <v>368</v>
      </c>
    </row>
    <row r="1439" spans="1:18" x14ac:dyDescent="0.25">
      <c r="A1439" t="s">
        <v>17763</v>
      </c>
      <c r="B1439" t="s">
        <v>392</v>
      </c>
      <c r="C1439" t="str">
        <f>HYPERLINK("https://nematode.unl.edu/basob18.jpg")</f>
        <v>https://nematode.unl.edu/basob18.jpg</v>
      </c>
      <c r="D1439" t="s">
        <v>77</v>
      </c>
      <c r="G1439" t="s">
        <v>34</v>
      </c>
      <c r="H1439" t="s">
        <v>18</v>
      </c>
      <c r="I1439" t="s">
        <v>19</v>
      </c>
      <c r="J1439" t="s">
        <v>20</v>
      </c>
      <c r="L1439" t="s">
        <v>141</v>
      </c>
      <c r="M1439" t="s">
        <v>381</v>
      </c>
      <c r="N1439" t="s">
        <v>367</v>
      </c>
      <c r="O1439" t="s">
        <v>23</v>
      </c>
      <c r="P1439" t="s">
        <v>24</v>
      </c>
      <c r="Q1439" t="s">
        <v>69</v>
      </c>
      <c r="R1439" t="s">
        <v>368</v>
      </c>
    </row>
    <row r="1440" spans="1:18" x14ac:dyDescent="0.25">
      <c r="A1440" t="s">
        <v>17782</v>
      </c>
      <c r="B1440" t="s">
        <v>393</v>
      </c>
      <c r="C1440" t="str">
        <f>HYPERLINK("https://nematode.unl.edu/basob19.jpg")</f>
        <v>https://nematode.unl.edu/basob19.jpg</v>
      </c>
      <c r="D1440" t="s">
        <v>77</v>
      </c>
      <c r="G1440" t="s">
        <v>112</v>
      </c>
      <c r="I1440" t="s">
        <v>19</v>
      </c>
      <c r="J1440" t="s">
        <v>20</v>
      </c>
      <c r="L1440" t="s">
        <v>352</v>
      </c>
      <c r="M1440" t="s">
        <v>381</v>
      </c>
      <c r="N1440" t="s">
        <v>367</v>
      </c>
      <c r="O1440" t="s">
        <v>23</v>
      </c>
      <c r="P1440" t="s">
        <v>24</v>
      </c>
      <c r="Q1440" t="s">
        <v>69</v>
      </c>
      <c r="R1440" t="s">
        <v>368</v>
      </c>
    </row>
    <row r="1441" spans="1:18" x14ac:dyDescent="0.25">
      <c r="A1441" t="s">
        <v>17789</v>
      </c>
      <c r="B1441" t="s">
        <v>394</v>
      </c>
      <c r="C1441" t="str">
        <f>HYPERLINK("https://nematode.unl.edu/basob2.jpg")</f>
        <v>https://nematode.unl.edu/basob2.jpg</v>
      </c>
      <c r="D1441" t="s">
        <v>43</v>
      </c>
      <c r="G1441" t="s">
        <v>51</v>
      </c>
      <c r="I1441" t="s">
        <v>19</v>
      </c>
      <c r="J1441" t="s">
        <v>20</v>
      </c>
      <c r="M1441" t="s">
        <v>381</v>
      </c>
      <c r="N1441" t="s">
        <v>367</v>
      </c>
      <c r="O1441" t="s">
        <v>23</v>
      </c>
      <c r="P1441" t="s">
        <v>24</v>
      </c>
      <c r="Q1441" t="s">
        <v>69</v>
      </c>
      <c r="R1441" t="s">
        <v>368</v>
      </c>
    </row>
    <row r="1442" spans="1:18" x14ac:dyDescent="0.25">
      <c r="A1442" t="s">
        <v>17783</v>
      </c>
      <c r="B1442" t="s">
        <v>395</v>
      </c>
      <c r="C1442" t="str">
        <f>HYPERLINK("https://nematode.unl.edu/basob20.jpg")</f>
        <v>https://nematode.unl.edu/basob20.jpg</v>
      </c>
      <c r="D1442" t="s">
        <v>77</v>
      </c>
      <c r="G1442" t="s">
        <v>112</v>
      </c>
      <c r="I1442" t="s">
        <v>41</v>
      </c>
      <c r="J1442" t="s">
        <v>20</v>
      </c>
      <c r="L1442" t="s">
        <v>352</v>
      </c>
      <c r="M1442" t="s">
        <v>381</v>
      </c>
      <c r="N1442" t="s">
        <v>367</v>
      </c>
      <c r="O1442" t="s">
        <v>23</v>
      </c>
      <c r="P1442" t="s">
        <v>24</v>
      </c>
      <c r="Q1442" t="s">
        <v>69</v>
      </c>
      <c r="R1442" t="s">
        <v>368</v>
      </c>
    </row>
    <row r="1443" spans="1:18" x14ac:dyDescent="0.25">
      <c r="A1443" t="s">
        <v>17777</v>
      </c>
      <c r="B1443" t="s">
        <v>396</v>
      </c>
      <c r="C1443" t="str">
        <f>HYPERLINK("https://nematode.unl.edu/basob21.jpg")</f>
        <v>https://nematode.unl.edu/basob21.jpg</v>
      </c>
      <c r="D1443" t="s">
        <v>77</v>
      </c>
      <c r="G1443" t="s">
        <v>44</v>
      </c>
      <c r="I1443" t="s">
        <v>45</v>
      </c>
      <c r="J1443" t="s">
        <v>20</v>
      </c>
      <c r="M1443" t="s">
        <v>381</v>
      </c>
      <c r="N1443" t="s">
        <v>367</v>
      </c>
      <c r="O1443" t="s">
        <v>23</v>
      </c>
      <c r="P1443" t="s">
        <v>24</v>
      </c>
      <c r="Q1443" t="s">
        <v>69</v>
      </c>
      <c r="R1443" t="s">
        <v>368</v>
      </c>
    </row>
    <row r="1444" spans="1:18" x14ac:dyDescent="0.25">
      <c r="A1444" t="s">
        <v>17764</v>
      </c>
      <c r="B1444" t="s">
        <v>397</v>
      </c>
      <c r="C1444" t="str">
        <f>HYPERLINK("https://nematode.unl.edu/basob22.jpg")</f>
        <v>https://nematode.unl.edu/basob22.jpg</v>
      </c>
      <c r="D1444" t="s">
        <v>77</v>
      </c>
      <c r="G1444" t="s">
        <v>34</v>
      </c>
      <c r="H1444" t="s">
        <v>18</v>
      </c>
      <c r="I1444" t="s">
        <v>41</v>
      </c>
      <c r="J1444" t="s">
        <v>20</v>
      </c>
      <c r="L1444" t="s">
        <v>141</v>
      </c>
      <c r="M1444" t="s">
        <v>381</v>
      </c>
      <c r="N1444" t="s">
        <v>367</v>
      </c>
      <c r="O1444" t="s">
        <v>23</v>
      </c>
      <c r="P1444" t="s">
        <v>24</v>
      </c>
      <c r="Q1444" t="s">
        <v>69</v>
      </c>
      <c r="R1444" t="s">
        <v>368</v>
      </c>
    </row>
    <row r="1445" spans="1:18" x14ac:dyDescent="0.25">
      <c r="A1445" t="s">
        <v>17765</v>
      </c>
      <c r="B1445" t="s">
        <v>398</v>
      </c>
      <c r="C1445" t="str">
        <f>HYPERLINK("https://nematode.unl.edu/basob23.jpg")</f>
        <v>https://nematode.unl.edu/basob23.jpg</v>
      </c>
      <c r="D1445" t="s">
        <v>77</v>
      </c>
      <c r="G1445" t="s">
        <v>34</v>
      </c>
      <c r="H1445" t="s">
        <v>18</v>
      </c>
      <c r="I1445" t="s">
        <v>41</v>
      </c>
      <c r="J1445" t="s">
        <v>20</v>
      </c>
      <c r="M1445" t="s">
        <v>381</v>
      </c>
      <c r="N1445" t="s">
        <v>367</v>
      </c>
      <c r="O1445" t="s">
        <v>23</v>
      </c>
      <c r="P1445" t="s">
        <v>24</v>
      </c>
      <c r="Q1445" t="s">
        <v>69</v>
      </c>
      <c r="R1445" t="s">
        <v>368</v>
      </c>
    </row>
    <row r="1446" spans="1:18" x14ac:dyDescent="0.25">
      <c r="A1446" t="s">
        <v>17784</v>
      </c>
      <c r="B1446" t="s">
        <v>399</v>
      </c>
      <c r="C1446" t="str">
        <f>HYPERLINK("https://nematode.unl.edu/basob24.jpg")</f>
        <v>https://nematode.unl.edu/basob24.jpg</v>
      </c>
      <c r="D1446" t="s">
        <v>77</v>
      </c>
      <c r="G1446" t="s">
        <v>28</v>
      </c>
      <c r="I1446" t="s">
        <v>19</v>
      </c>
      <c r="J1446" t="s">
        <v>20</v>
      </c>
      <c r="L1446" t="s">
        <v>29</v>
      </c>
      <c r="M1446" t="s">
        <v>381</v>
      </c>
      <c r="N1446" t="s">
        <v>367</v>
      </c>
      <c r="O1446" t="s">
        <v>23</v>
      </c>
      <c r="P1446" t="s">
        <v>24</v>
      </c>
      <c r="Q1446" t="s">
        <v>69</v>
      </c>
      <c r="R1446" t="s">
        <v>368</v>
      </c>
    </row>
    <row r="1447" spans="1:18" x14ac:dyDescent="0.25">
      <c r="A1447" t="s">
        <v>17766</v>
      </c>
      <c r="B1447" t="s">
        <v>400</v>
      </c>
      <c r="C1447" t="str">
        <f>HYPERLINK("https://nematode.unl.edu/basob25.jpg")</f>
        <v>https://nematode.unl.edu/basob25.jpg</v>
      </c>
      <c r="D1447" t="s">
        <v>77</v>
      </c>
      <c r="G1447" t="s">
        <v>34</v>
      </c>
      <c r="H1447" t="s">
        <v>18</v>
      </c>
      <c r="I1447" t="s">
        <v>19</v>
      </c>
      <c r="J1447" t="s">
        <v>20</v>
      </c>
      <c r="L1447" t="s">
        <v>29</v>
      </c>
      <c r="M1447" t="s">
        <v>381</v>
      </c>
      <c r="N1447" t="s">
        <v>367</v>
      </c>
      <c r="O1447" t="s">
        <v>23</v>
      </c>
      <c r="P1447" t="s">
        <v>24</v>
      </c>
      <c r="Q1447" t="s">
        <v>69</v>
      </c>
      <c r="R1447" t="s">
        <v>368</v>
      </c>
    </row>
    <row r="1448" spans="1:18" x14ac:dyDescent="0.25">
      <c r="A1448" t="s">
        <v>17767</v>
      </c>
      <c r="B1448" t="s">
        <v>401</v>
      </c>
      <c r="C1448" t="str">
        <f>HYPERLINK("https://nematode.unl.edu/basob26.jpg")</f>
        <v>https://nematode.unl.edu/basob26.jpg</v>
      </c>
      <c r="D1448" t="s">
        <v>16</v>
      </c>
      <c r="G1448" t="s">
        <v>34</v>
      </c>
      <c r="H1448" t="s">
        <v>18</v>
      </c>
      <c r="I1448" t="s">
        <v>41</v>
      </c>
      <c r="J1448" t="s">
        <v>20</v>
      </c>
      <c r="M1448" t="s">
        <v>381</v>
      </c>
      <c r="N1448" t="s">
        <v>367</v>
      </c>
      <c r="O1448" t="s">
        <v>23</v>
      </c>
      <c r="P1448" t="s">
        <v>24</v>
      </c>
      <c r="Q1448" t="s">
        <v>69</v>
      </c>
      <c r="R1448" t="s">
        <v>368</v>
      </c>
    </row>
    <row r="1449" spans="1:18" x14ac:dyDescent="0.25">
      <c r="A1449" t="s">
        <v>17778</v>
      </c>
      <c r="B1449" t="s">
        <v>402</v>
      </c>
      <c r="C1449" t="str">
        <f>HYPERLINK("https://nematode.unl.edu/basob27.jpg")</f>
        <v>https://nematode.unl.edu/basob27.jpg</v>
      </c>
      <c r="D1449" t="s">
        <v>43</v>
      </c>
      <c r="G1449" t="s">
        <v>44</v>
      </c>
      <c r="I1449" t="s">
        <v>91</v>
      </c>
      <c r="J1449" t="s">
        <v>20</v>
      </c>
      <c r="M1449" t="s">
        <v>381</v>
      </c>
      <c r="N1449" t="s">
        <v>367</v>
      </c>
      <c r="O1449" t="s">
        <v>23</v>
      </c>
      <c r="P1449" t="s">
        <v>24</v>
      </c>
      <c r="Q1449" t="s">
        <v>69</v>
      </c>
      <c r="R1449" t="s">
        <v>368</v>
      </c>
    </row>
    <row r="1450" spans="1:18" x14ac:dyDescent="0.25">
      <c r="A1450" t="s">
        <v>17768</v>
      </c>
      <c r="B1450" t="s">
        <v>403</v>
      </c>
      <c r="C1450" t="str">
        <f>HYPERLINK("https://nematode.unl.edu/basob28.jpg")</f>
        <v>https://nematode.unl.edu/basob28.jpg</v>
      </c>
      <c r="D1450" t="s">
        <v>43</v>
      </c>
      <c r="G1450" t="s">
        <v>34</v>
      </c>
      <c r="H1450" t="s">
        <v>18</v>
      </c>
      <c r="I1450" t="s">
        <v>19</v>
      </c>
      <c r="J1450" t="s">
        <v>20</v>
      </c>
      <c r="L1450" t="s">
        <v>206</v>
      </c>
      <c r="M1450" t="s">
        <v>381</v>
      </c>
      <c r="N1450" t="s">
        <v>367</v>
      </c>
      <c r="O1450" t="s">
        <v>23</v>
      </c>
      <c r="P1450" t="s">
        <v>24</v>
      </c>
      <c r="Q1450" t="s">
        <v>69</v>
      </c>
      <c r="R1450" t="s">
        <v>368</v>
      </c>
    </row>
    <row r="1451" spans="1:18" x14ac:dyDescent="0.25">
      <c r="A1451" t="s">
        <v>17785</v>
      </c>
      <c r="B1451" t="s">
        <v>404</v>
      </c>
      <c r="C1451" t="str">
        <f>HYPERLINK("https://nematode.unl.edu/basob29.jpg")</f>
        <v>https://nematode.unl.edu/basob29.jpg</v>
      </c>
      <c r="D1451" t="s">
        <v>43</v>
      </c>
      <c r="G1451" t="s">
        <v>28</v>
      </c>
      <c r="I1451" t="s">
        <v>19</v>
      </c>
      <c r="J1451" t="s">
        <v>20</v>
      </c>
      <c r="M1451" t="s">
        <v>381</v>
      </c>
      <c r="N1451" t="s">
        <v>367</v>
      </c>
      <c r="O1451" t="s">
        <v>23</v>
      </c>
      <c r="P1451" t="s">
        <v>24</v>
      </c>
      <c r="Q1451" t="s">
        <v>69</v>
      </c>
      <c r="R1451" t="s">
        <v>368</v>
      </c>
    </row>
    <row r="1452" spans="1:18" x14ac:dyDescent="0.25">
      <c r="A1452" t="s">
        <v>17786</v>
      </c>
      <c r="B1452" t="s">
        <v>405</v>
      </c>
      <c r="C1452" t="str">
        <f>HYPERLINK("https://nematode.unl.edu/basob3.jpg")</f>
        <v>https://nematode.unl.edu/basob3.jpg</v>
      </c>
      <c r="D1452" t="s">
        <v>43</v>
      </c>
      <c r="G1452" t="s">
        <v>28</v>
      </c>
      <c r="I1452" t="s">
        <v>19</v>
      </c>
      <c r="J1452" t="s">
        <v>20</v>
      </c>
      <c r="M1452" t="s">
        <v>381</v>
      </c>
      <c r="N1452" t="s">
        <v>367</v>
      </c>
      <c r="O1452" t="s">
        <v>23</v>
      </c>
      <c r="P1452" t="s">
        <v>24</v>
      </c>
      <c r="Q1452" t="s">
        <v>69</v>
      </c>
      <c r="R1452" t="s">
        <v>368</v>
      </c>
    </row>
    <row r="1453" spans="1:18" x14ac:dyDescent="0.25">
      <c r="A1453" t="s">
        <v>17769</v>
      </c>
      <c r="B1453" t="s">
        <v>406</v>
      </c>
      <c r="C1453" t="str">
        <f>HYPERLINK("https://nematode.unl.edu/basob30.jpg")</f>
        <v>https://nematode.unl.edu/basob30.jpg</v>
      </c>
      <c r="D1453" t="s">
        <v>43</v>
      </c>
      <c r="G1453" t="s">
        <v>34</v>
      </c>
      <c r="H1453" t="s">
        <v>18</v>
      </c>
      <c r="I1453" t="s">
        <v>19</v>
      </c>
      <c r="J1453" t="s">
        <v>20</v>
      </c>
      <c r="L1453" t="s">
        <v>407</v>
      </c>
      <c r="M1453" t="s">
        <v>381</v>
      </c>
      <c r="N1453" t="s">
        <v>367</v>
      </c>
      <c r="O1453" t="s">
        <v>23</v>
      </c>
      <c r="P1453" t="s">
        <v>24</v>
      </c>
      <c r="Q1453" t="s">
        <v>69</v>
      </c>
      <c r="R1453" t="s">
        <v>368</v>
      </c>
    </row>
    <row r="1454" spans="1:18" x14ac:dyDescent="0.25">
      <c r="A1454" t="s">
        <v>17770</v>
      </c>
      <c r="B1454" t="s">
        <v>408</v>
      </c>
      <c r="C1454" t="str">
        <f>HYPERLINK("https://nematode.unl.edu/basob31.jpg")</f>
        <v>https://nematode.unl.edu/basob31.jpg</v>
      </c>
      <c r="D1454" t="s">
        <v>43</v>
      </c>
      <c r="G1454" t="s">
        <v>34</v>
      </c>
      <c r="H1454" t="s">
        <v>18</v>
      </c>
      <c r="I1454" t="s">
        <v>41</v>
      </c>
      <c r="J1454" t="s">
        <v>20</v>
      </c>
      <c r="L1454" t="s">
        <v>141</v>
      </c>
      <c r="M1454" t="s">
        <v>381</v>
      </c>
      <c r="N1454" t="s">
        <v>367</v>
      </c>
      <c r="O1454" t="s">
        <v>23</v>
      </c>
      <c r="P1454" t="s">
        <v>24</v>
      </c>
      <c r="Q1454" t="s">
        <v>69</v>
      </c>
      <c r="R1454" t="s">
        <v>368</v>
      </c>
    </row>
    <row r="1455" spans="1:18" x14ac:dyDescent="0.25">
      <c r="A1455" t="s">
        <v>17771</v>
      </c>
      <c r="B1455" t="s">
        <v>409</v>
      </c>
      <c r="C1455" t="str">
        <f>HYPERLINK("https://nematode.unl.edu/basob4.jpg")</f>
        <v>https://nematode.unl.edu/basob4.jpg</v>
      </c>
      <c r="D1455" t="s">
        <v>43</v>
      </c>
      <c r="G1455" t="s">
        <v>34</v>
      </c>
      <c r="H1455" t="s">
        <v>18</v>
      </c>
      <c r="I1455" t="s">
        <v>41</v>
      </c>
      <c r="J1455" t="s">
        <v>20</v>
      </c>
      <c r="L1455" t="s">
        <v>85</v>
      </c>
      <c r="M1455" t="s">
        <v>381</v>
      </c>
      <c r="N1455" t="s">
        <v>367</v>
      </c>
      <c r="O1455" t="s">
        <v>23</v>
      </c>
      <c r="P1455" t="s">
        <v>24</v>
      </c>
      <c r="Q1455" t="s">
        <v>69</v>
      </c>
      <c r="R1455" t="s">
        <v>368</v>
      </c>
    </row>
    <row r="1456" spans="1:18" x14ac:dyDescent="0.25">
      <c r="A1456" t="s">
        <v>17772</v>
      </c>
      <c r="B1456" t="s">
        <v>410</v>
      </c>
      <c r="C1456" t="str">
        <f>HYPERLINK("https://nematode.unl.edu/basob5.jpg")</f>
        <v>https://nematode.unl.edu/basob5.jpg</v>
      </c>
      <c r="D1456" t="s">
        <v>43</v>
      </c>
      <c r="G1456" t="s">
        <v>34</v>
      </c>
      <c r="H1456" t="s">
        <v>18</v>
      </c>
      <c r="I1456" t="s">
        <v>19</v>
      </c>
      <c r="J1456" t="s">
        <v>20</v>
      </c>
      <c r="M1456" t="s">
        <v>381</v>
      </c>
      <c r="N1456" t="s">
        <v>367</v>
      </c>
      <c r="O1456" t="s">
        <v>23</v>
      </c>
      <c r="P1456" t="s">
        <v>24</v>
      </c>
      <c r="Q1456" t="s">
        <v>69</v>
      </c>
      <c r="R1456" t="s">
        <v>368</v>
      </c>
    </row>
    <row r="1457" spans="1:18" x14ac:dyDescent="0.25">
      <c r="A1457" t="s">
        <v>17790</v>
      </c>
      <c r="B1457" t="s">
        <v>411</v>
      </c>
      <c r="C1457" t="str">
        <f>HYPERLINK("https://nematode.unl.edu/basob6.jpg")</f>
        <v>https://nematode.unl.edu/basob6.jpg</v>
      </c>
      <c r="D1457" t="s">
        <v>43</v>
      </c>
      <c r="G1457" t="s">
        <v>51</v>
      </c>
      <c r="I1457" t="s">
        <v>19</v>
      </c>
      <c r="J1457" t="s">
        <v>20</v>
      </c>
      <c r="L1457" t="s">
        <v>85</v>
      </c>
      <c r="M1457" t="s">
        <v>381</v>
      </c>
      <c r="N1457" t="s">
        <v>367</v>
      </c>
      <c r="O1457" t="s">
        <v>23</v>
      </c>
      <c r="P1457" t="s">
        <v>24</v>
      </c>
      <c r="Q1457" t="s">
        <v>69</v>
      </c>
      <c r="R1457" t="s">
        <v>368</v>
      </c>
    </row>
    <row r="1458" spans="1:18" x14ac:dyDescent="0.25">
      <c r="A1458" t="s">
        <v>17787</v>
      </c>
      <c r="B1458" t="s">
        <v>412</v>
      </c>
      <c r="C1458" t="str">
        <f>HYPERLINK("https://nematode.unl.edu/basob7.jpg")</f>
        <v>https://nematode.unl.edu/basob7.jpg</v>
      </c>
      <c r="D1458" t="s">
        <v>43</v>
      </c>
      <c r="G1458" t="s">
        <v>28</v>
      </c>
      <c r="I1458" t="s">
        <v>19</v>
      </c>
      <c r="J1458" t="s">
        <v>20</v>
      </c>
      <c r="L1458" t="s">
        <v>85</v>
      </c>
      <c r="M1458" t="s">
        <v>381</v>
      </c>
      <c r="N1458" t="s">
        <v>367</v>
      </c>
      <c r="O1458" t="s">
        <v>23</v>
      </c>
      <c r="P1458" t="s">
        <v>24</v>
      </c>
      <c r="Q1458" t="s">
        <v>69</v>
      </c>
      <c r="R1458" t="s">
        <v>368</v>
      </c>
    </row>
    <row r="1459" spans="1:18" x14ac:dyDescent="0.25">
      <c r="A1459" t="s">
        <v>17780</v>
      </c>
      <c r="B1459" t="s">
        <v>413</v>
      </c>
      <c r="C1459" t="str">
        <f>HYPERLINK("https://nematode.unl.edu/basob8.jpg")</f>
        <v>https://nematode.unl.edu/basob8.jpg</v>
      </c>
      <c r="D1459" t="s">
        <v>43</v>
      </c>
      <c r="G1459" t="s">
        <v>414</v>
      </c>
      <c r="I1459" t="s">
        <v>41</v>
      </c>
      <c r="J1459" t="s">
        <v>20</v>
      </c>
      <c r="M1459" t="s">
        <v>381</v>
      </c>
      <c r="N1459" t="s">
        <v>367</v>
      </c>
      <c r="O1459" t="s">
        <v>23</v>
      </c>
      <c r="P1459" t="s">
        <v>24</v>
      </c>
      <c r="Q1459" t="s">
        <v>69</v>
      </c>
      <c r="R1459" t="s">
        <v>368</v>
      </c>
    </row>
    <row r="1460" spans="1:18" x14ac:dyDescent="0.25">
      <c r="A1460" t="s">
        <v>17774</v>
      </c>
      <c r="B1460" t="s">
        <v>415</v>
      </c>
      <c r="C1460" t="str">
        <f>HYPERLINK("https://nematode.unl.edu/basob9.jpg")</f>
        <v>https://nematode.unl.edu/basob9.jpg</v>
      </c>
      <c r="D1460" t="s">
        <v>43</v>
      </c>
      <c r="G1460" t="s">
        <v>87</v>
      </c>
      <c r="I1460" t="s">
        <v>41</v>
      </c>
      <c r="J1460" t="s">
        <v>20</v>
      </c>
      <c r="M1460" t="s">
        <v>381</v>
      </c>
      <c r="N1460" t="s">
        <v>367</v>
      </c>
      <c r="O1460" t="s">
        <v>23</v>
      </c>
      <c r="P1460" t="s">
        <v>24</v>
      </c>
      <c r="Q1460" t="s">
        <v>69</v>
      </c>
      <c r="R1460" t="s">
        <v>368</v>
      </c>
    </row>
    <row r="1461" spans="1:18" x14ac:dyDescent="0.25">
      <c r="A1461" t="s">
        <v>17809</v>
      </c>
      <c r="B1461" t="s">
        <v>3193</v>
      </c>
      <c r="C1461" t="str">
        <f>HYPERLINK("https://nematode.unl.edu/bassi1.jpg")</f>
        <v>https://nematode.unl.edu/bassi1.jpg</v>
      </c>
      <c r="D1461" t="s">
        <v>43</v>
      </c>
      <c r="G1461" t="s">
        <v>44</v>
      </c>
      <c r="I1461" t="s">
        <v>45</v>
      </c>
      <c r="J1461" t="s">
        <v>46</v>
      </c>
      <c r="L1461" t="s">
        <v>727</v>
      </c>
      <c r="M1461" t="s">
        <v>3168</v>
      </c>
      <c r="N1461" t="s">
        <v>3168</v>
      </c>
      <c r="O1461" t="s">
        <v>23</v>
      </c>
      <c r="P1461" t="s">
        <v>24</v>
      </c>
      <c r="Q1461" t="s">
        <v>69</v>
      </c>
      <c r="R1461" t="s">
        <v>368</v>
      </c>
    </row>
    <row r="1462" spans="1:18" x14ac:dyDescent="0.25">
      <c r="A1462" t="s">
        <v>17815</v>
      </c>
      <c r="B1462" t="s">
        <v>3194</v>
      </c>
      <c r="C1462" t="str">
        <f>HYPERLINK("https://nematode.unl.edu/bassi10.jpg")</f>
        <v>https://nematode.unl.edu/bassi10.jpg</v>
      </c>
      <c r="D1462" t="s">
        <v>77</v>
      </c>
      <c r="G1462" t="s">
        <v>112</v>
      </c>
      <c r="I1462" t="s">
        <v>19</v>
      </c>
      <c r="J1462" t="s">
        <v>46</v>
      </c>
      <c r="L1462" t="s">
        <v>105</v>
      </c>
      <c r="M1462" t="s">
        <v>3168</v>
      </c>
      <c r="N1462" t="s">
        <v>3168</v>
      </c>
      <c r="O1462" t="s">
        <v>23</v>
      </c>
      <c r="P1462" t="s">
        <v>24</v>
      </c>
      <c r="Q1462" t="s">
        <v>69</v>
      </c>
      <c r="R1462" t="s">
        <v>368</v>
      </c>
    </row>
    <row r="1463" spans="1:18" x14ac:dyDescent="0.25">
      <c r="A1463" t="s">
        <v>17805</v>
      </c>
      <c r="B1463" t="s">
        <v>3195</v>
      </c>
      <c r="C1463" t="str">
        <f>HYPERLINK("https://nematode.unl.edu/bassi2.jpg")</f>
        <v>https://nematode.unl.edu/bassi2.jpg</v>
      </c>
      <c r="D1463" t="s">
        <v>43</v>
      </c>
      <c r="G1463" t="s">
        <v>34</v>
      </c>
      <c r="H1463" t="s">
        <v>18</v>
      </c>
      <c r="I1463" t="s">
        <v>19</v>
      </c>
      <c r="J1463" t="s">
        <v>46</v>
      </c>
      <c r="M1463" t="s">
        <v>3168</v>
      </c>
      <c r="N1463" t="s">
        <v>3168</v>
      </c>
      <c r="O1463" t="s">
        <v>23</v>
      </c>
      <c r="P1463" t="s">
        <v>24</v>
      </c>
      <c r="Q1463" t="s">
        <v>69</v>
      </c>
      <c r="R1463" t="s">
        <v>368</v>
      </c>
    </row>
    <row r="1464" spans="1:18" x14ac:dyDescent="0.25">
      <c r="A1464" t="s">
        <v>17826</v>
      </c>
      <c r="B1464" t="s">
        <v>3196</v>
      </c>
      <c r="C1464" t="str">
        <f>HYPERLINK("https://nematode.unl.edu/bassi3.jpg")</f>
        <v>https://nematode.unl.edu/bassi3.jpg</v>
      </c>
      <c r="D1464" t="s">
        <v>43</v>
      </c>
      <c r="G1464" t="s">
        <v>51</v>
      </c>
      <c r="I1464" t="s">
        <v>19</v>
      </c>
      <c r="J1464" t="s">
        <v>46</v>
      </c>
      <c r="L1464" t="s">
        <v>727</v>
      </c>
      <c r="M1464" t="s">
        <v>3168</v>
      </c>
      <c r="N1464" t="s">
        <v>3168</v>
      </c>
      <c r="O1464" t="s">
        <v>23</v>
      </c>
      <c r="P1464" t="s">
        <v>24</v>
      </c>
      <c r="Q1464" t="s">
        <v>69</v>
      </c>
      <c r="R1464" t="s">
        <v>368</v>
      </c>
    </row>
    <row r="1465" spans="1:18" x14ac:dyDescent="0.25">
      <c r="A1465" t="s">
        <v>17821</v>
      </c>
      <c r="B1465" t="s">
        <v>3197</v>
      </c>
      <c r="C1465" t="str">
        <f>HYPERLINK("https://nematode.unl.edu/bassi4.jpg")</f>
        <v>https://nematode.unl.edu/bassi4.jpg</v>
      </c>
      <c r="D1465" t="s">
        <v>43</v>
      </c>
      <c r="G1465" t="s">
        <v>28</v>
      </c>
      <c r="I1465" t="s">
        <v>19</v>
      </c>
      <c r="J1465" t="s">
        <v>46</v>
      </c>
      <c r="L1465" t="s">
        <v>727</v>
      </c>
      <c r="M1465" t="s">
        <v>3168</v>
      </c>
      <c r="N1465" t="s">
        <v>3168</v>
      </c>
      <c r="O1465" t="s">
        <v>23</v>
      </c>
      <c r="P1465" t="s">
        <v>24</v>
      </c>
      <c r="Q1465" t="s">
        <v>69</v>
      </c>
      <c r="R1465" t="s">
        <v>368</v>
      </c>
    </row>
    <row r="1466" spans="1:18" x14ac:dyDescent="0.25">
      <c r="A1466" t="s">
        <v>17810</v>
      </c>
      <c r="B1466" t="s">
        <v>3198</v>
      </c>
      <c r="C1466" t="str">
        <f>HYPERLINK("https://nematode.unl.edu/bassi5.jpg")</f>
        <v>https://nematode.unl.edu/bassi5.jpg</v>
      </c>
      <c r="D1466" t="s">
        <v>16</v>
      </c>
      <c r="G1466" t="s">
        <v>44</v>
      </c>
      <c r="I1466" t="s">
        <v>45</v>
      </c>
      <c r="J1466" t="s">
        <v>46</v>
      </c>
      <c r="L1466" t="s">
        <v>727</v>
      </c>
      <c r="M1466" t="s">
        <v>3168</v>
      </c>
      <c r="N1466" t="s">
        <v>3168</v>
      </c>
      <c r="O1466" t="s">
        <v>23</v>
      </c>
      <c r="P1466" t="s">
        <v>24</v>
      </c>
      <c r="Q1466" t="s">
        <v>69</v>
      </c>
      <c r="R1466" t="s">
        <v>368</v>
      </c>
    </row>
    <row r="1467" spans="1:18" x14ac:dyDescent="0.25">
      <c r="A1467" t="s">
        <v>17822</v>
      </c>
      <c r="B1467" t="s">
        <v>3199</v>
      </c>
      <c r="C1467" t="str">
        <f>HYPERLINK("https://nematode.unl.edu/bassi6.jpg")</f>
        <v>https://nematode.unl.edu/bassi6.jpg</v>
      </c>
      <c r="D1467" t="s">
        <v>16</v>
      </c>
      <c r="G1467" t="s">
        <v>28</v>
      </c>
      <c r="I1467" t="s">
        <v>19</v>
      </c>
      <c r="J1467" t="s">
        <v>46</v>
      </c>
      <c r="L1467" t="s">
        <v>727</v>
      </c>
      <c r="M1467" t="s">
        <v>3168</v>
      </c>
      <c r="N1467" t="s">
        <v>3168</v>
      </c>
      <c r="O1467" t="s">
        <v>23</v>
      </c>
      <c r="P1467" t="s">
        <v>24</v>
      </c>
      <c r="Q1467" t="s">
        <v>69</v>
      </c>
      <c r="R1467" t="s">
        <v>368</v>
      </c>
    </row>
    <row r="1468" spans="1:18" x14ac:dyDescent="0.25">
      <c r="A1468" t="s">
        <v>17806</v>
      </c>
      <c r="B1468" t="s">
        <v>3200</v>
      </c>
      <c r="C1468" t="str">
        <f>HYPERLINK("https://nematode.unl.edu/bassi7.jpg")</f>
        <v>https://nematode.unl.edu/bassi7.jpg</v>
      </c>
      <c r="D1468" t="s">
        <v>16</v>
      </c>
      <c r="G1468" t="s">
        <v>34</v>
      </c>
      <c r="H1468" t="s">
        <v>18</v>
      </c>
      <c r="I1468" t="s">
        <v>19</v>
      </c>
      <c r="J1468" t="s">
        <v>46</v>
      </c>
      <c r="L1468" t="s">
        <v>727</v>
      </c>
      <c r="M1468" t="s">
        <v>3168</v>
      </c>
      <c r="N1468" t="s">
        <v>3168</v>
      </c>
      <c r="O1468" t="s">
        <v>23</v>
      </c>
      <c r="P1468" t="s">
        <v>24</v>
      </c>
      <c r="Q1468" t="s">
        <v>69</v>
      </c>
      <c r="R1468" t="s">
        <v>368</v>
      </c>
    </row>
    <row r="1469" spans="1:18" x14ac:dyDescent="0.25">
      <c r="A1469" t="s">
        <v>17811</v>
      </c>
      <c r="B1469" t="s">
        <v>3201</v>
      </c>
      <c r="C1469" t="str">
        <f>HYPERLINK("https://nematode.unl.edu/bassi8.jpg")</f>
        <v>https://nematode.unl.edu/bassi8.jpg</v>
      </c>
      <c r="D1469" t="s">
        <v>77</v>
      </c>
      <c r="G1469" t="s">
        <v>44</v>
      </c>
      <c r="I1469" t="s">
        <v>45</v>
      </c>
      <c r="J1469" t="s">
        <v>46</v>
      </c>
      <c r="L1469" t="s">
        <v>105</v>
      </c>
      <c r="M1469" t="s">
        <v>3168</v>
      </c>
      <c r="N1469" t="s">
        <v>3168</v>
      </c>
      <c r="O1469" t="s">
        <v>23</v>
      </c>
      <c r="P1469" t="s">
        <v>24</v>
      </c>
      <c r="Q1469" t="s">
        <v>69</v>
      </c>
      <c r="R1469" t="s">
        <v>368</v>
      </c>
    </row>
    <row r="1470" spans="1:18" x14ac:dyDescent="0.25">
      <c r="A1470" t="s">
        <v>17793</v>
      </c>
      <c r="B1470" t="s">
        <v>3202</v>
      </c>
      <c r="C1470" t="str">
        <f>HYPERLINK("https://nematode.unl.edu/bassi9.jpg")</f>
        <v>https://nematode.unl.edu/bassi9.jpg</v>
      </c>
      <c r="D1470" t="s">
        <v>77</v>
      </c>
      <c r="G1470" t="s">
        <v>17</v>
      </c>
      <c r="H1470" t="s">
        <v>18</v>
      </c>
      <c r="I1470" t="s">
        <v>19</v>
      </c>
      <c r="J1470" t="s">
        <v>46</v>
      </c>
      <c r="M1470" t="s">
        <v>3168</v>
      </c>
      <c r="N1470" t="s">
        <v>3168</v>
      </c>
      <c r="O1470" t="s">
        <v>23</v>
      </c>
      <c r="P1470" t="s">
        <v>24</v>
      </c>
      <c r="Q1470" t="s">
        <v>69</v>
      </c>
      <c r="R1470" t="s">
        <v>368</v>
      </c>
    </row>
    <row r="1471" spans="1:18" x14ac:dyDescent="0.25">
      <c r="A1471" t="s">
        <v>17812</v>
      </c>
      <c r="B1471" t="s">
        <v>3203</v>
      </c>
      <c r="C1471" t="str">
        <f>HYPERLINK("https://nematode.unl.edu/bassicmp.jpg")</f>
        <v>https://nematode.unl.edu/bassicmp.jpg</v>
      </c>
      <c r="G1471" t="s">
        <v>108</v>
      </c>
      <c r="M1471" t="s">
        <v>3168</v>
      </c>
      <c r="N1471" t="s">
        <v>3168</v>
      </c>
      <c r="O1471" t="s">
        <v>23</v>
      </c>
      <c r="P1471" t="s">
        <v>24</v>
      </c>
      <c r="Q1471" t="s">
        <v>69</v>
      </c>
      <c r="R1471" t="s">
        <v>368</v>
      </c>
    </row>
    <row r="1472" spans="1:18" x14ac:dyDescent="0.25">
      <c r="A1472" t="s">
        <v>22637</v>
      </c>
      <c r="B1472" t="s">
        <v>3204</v>
      </c>
      <c r="C1472" t="str">
        <f>HYPERLINK("https://nematode.unl.edu/basti1.jpg")</f>
        <v>https://nematode.unl.edu/basti1.jpg</v>
      </c>
      <c r="D1472" t="s">
        <v>43</v>
      </c>
      <c r="G1472" t="s">
        <v>44</v>
      </c>
      <c r="I1472" t="s">
        <v>91</v>
      </c>
      <c r="J1472" t="s">
        <v>20</v>
      </c>
      <c r="L1472" t="s">
        <v>141</v>
      </c>
      <c r="M1472" t="s">
        <v>3205</v>
      </c>
      <c r="N1472" t="s">
        <v>3205</v>
      </c>
      <c r="O1472" t="s">
        <v>73</v>
      </c>
      <c r="P1472" t="s">
        <v>1806</v>
      </c>
      <c r="Q1472" t="s">
        <v>3206</v>
      </c>
      <c r="R1472" t="s">
        <v>3205</v>
      </c>
    </row>
    <row r="1473" spans="1:18" x14ac:dyDescent="0.25">
      <c r="A1473" t="s">
        <v>22641</v>
      </c>
      <c r="B1473" t="s">
        <v>3207</v>
      </c>
      <c r="C1473" t="str">
        <f>HYPERLINK("https://nematode.unl.edu/basti10.jpg")</f>
        <v>https://nematode.unl.edu/basti10.jpg</v>
      </c>
      <c r="D1473" t="s">
        <v>43</v>
      </c>
      <c r="G1473" t="s">
        <v>51</v>
      </c>
      <c r="I1473" t="s">
        <v>19</v>
      </c>
      <c r="J1473" t="s">
        <v>20</v>
      </c>
      <c r="M1473" t="s">
        <v>3205</v>
      </c>
      <c r="N1473" t="s">
        <v>3205</v>
      </c>
      <c r="O1473" t="s">
        <v>73</v>
      </c>
      <c r="P1473" t="s">
        <v>1806</v>
      </c>
      <c r="Q1473" t="s">
        <v>3206</v>
      </c>
      <c r="R1473" t="s">
        <v>3205</v>
      </c>
    </row>
    <row r="1474" spans="1:18" x14ac:dyDescent="0.25">
      <c r="A1474" t="s">
        <v>22627</v>
      </c>
      <c r="B1474" t="s">
        <v>3208</v>
      </c>
      <c r="C1474" t="str">
        <f>HYPERLINK("https://nematode.unl.edu/basti11.jpg")</f>
        <v>https://nematode.unl.edu/basti11.jpg</v>
      </c>
      <c r="D1474" t="s">
        <v>43</v>
      </c>
      <c r="G1474" t="s">
        <v>386</v>
      </c>
      <c r="H1474" t="s">
        <v>18</v>
      </c>
      <c r="I1474" t="s">
        <v>41</v>
      </c>
      <c r="J1474" t="s">
        <v>20</v>
      </c>
      <c r="L1474" t="s">
        <v>29</v>
      </c>
      <c r="M1474" t="s">
        <v>3205</v>
      </c>
      <c r="N1474" t="s">
        <v>3205</v>
      </c>
      <c r="O1474" t="s">
        <v>73</v>
      </c>
      <c r="P1474" t="s">
        <v>1806</v>
      </c>
      <c r="Q1474" t="s">
        <v>3206</v>
      </c>
      <c r="R1474" t="s">
        <v>3205</v>
      </c>
    </row>
    <row r="1475" spans="1:18" x14ac:dyDescent="0.25">
      <c r="A1475" t="s">
        <v>22629</v>
      </c>
      <c r="B1475" t="s">
        <v>3209</v>
      </c>
      <c r="C1475" t="str">
        <f>HYPERLINK("https://nematode.unl.edu/basti12.jpg")</f>
        <v>https://nematode.unl.edu/basti12.jpg</v>
      </c>
      <c r="D1475" t="s">
        <v>43</v>
      </c>
      <c r="G1475" t="s">
        <v>34</v>
      </c>
      <c r="H1475" t="s">
        <v>18</v>
      </c>
      <c r="I1475" t="s">
        <v>41</v>
      </c>
      <c r="J1475" t="s">
        <v>20</v>
      </c>
      <c r="L1475" t="s">
        <v>29</v>
      </c>
      <c r="M1475" t="s">
        <v>3205</v>
      </c>
      <c r="N1475" t="s">
        <v>3205</v>
      </c>
      <c r="O1475" t="s">
        <v>73</v>
      </c>
      <c r="P1475" t="s">
        <v>1806</v>
      </c>
      <c r="Q1475" t="s">
        <v>3206</v>
      </c>
      <c r="R1475" t="s">
        <v>3205</v>
      </c>
    </row>
    <row r="1476" spans="1:18" x14ac:dyDescent="0.25">
      <c r="A1476" t="s">
        <v>22638</v>
      </c>
      <c r="B1476" t="s">
        <v>3210</v>
      </c>
      <c r="C1476" t="str">
        <f>HYPERLINK("https://nematode.unl.edu/basti13.jpg")</f>
        <v>https://nematode.unl.edu/basti13.jpg</v>
      </c>
      <c r="D1476" t="s">
        <v>43</v>
      </c>
      <c r="G1476" t="s">
        <v>44</v>
      </c>
      <c r="I1476" t="s">
        <v>91</v>
      </c>
      <c r="J1476" t="s">
        <v>20</v>
      </c>
      <c r="L1476" t="s">
        <v>29</v>
      </c>
      <c r="M1476" t="s">
        <v>3205</v>
      </c>
      <c r="N1476" t="s">
        <v>3205</v>
      </c>
      <c r="O1476" t="s">
        <v>73</v>
      </c>
      <c r="P1476" t="s">
        <v>1806</v>
      </c>
      <c r="Q1476" t="s">
        <v>3206</v>
      </c>
      <c r="R1476" t="s">
        <v>3205</v>
      </c>
    </row>
    <row r="1477" spans="1:18" x14ac:dyDescent="0.25">
      <c r="A1477" t="s">
        <v>22630</v>
      </c>
      <c r="B1477" t="s">
        <v>3211</v>
      </c>
      <c r="C1477" t="str">
        <f>HYPERLINK("https://nematode.unl.edu/basti14.jpg")</f>
        <v>https://nematode.unl.edu/basti14.jpg</v>
      </c>
      <c r="D1477" t="s">
        <v>43</v>
      </c>
      <c r="G1477" t="s">
        <v>34</v>
      </c>
      <c r="H1477" t="s">
        <v>18</v>
      </c>
      <c r="I1477" t="s">
        <v>19</v>
      </c>
      <c r="J1477" t="s">
        <v>20</v>
      </c>
      <c r="L1477" t="s">
        <v>29</v>
      </c>
      <c r="M1477" t="s">
        <v>3205</v>
      </c>
      <c r="N1477" t="s">
        <v>3205</v>
      </c>
      <c r="O1477" t="s">
        <v>73</v>
      </c>
      <c r="P1477" t="s">
        <v>1806</v>
      </c>
      <c r="Q1477" t="s">
        <v>3206</v>
      </c>
      <c r="R1477" t="s">
        <v>3205</v>
      </c>
    </row>
    <row r="1478" spans="1:18" x14ac:dyDescent="0.25">
      <c r="A1478" t="s">
        <v>22642</v>
      </c>
      <c r="B1478" t="s">
        <v>3212</v>
      </c>
      <c r="C1478" t="str">
        <f>HYPERLINK("https://nematode.unl.edu/basti15.jpg")</f>
        <v>https://nematode.unl.edu/basti15.jpg</v>
      </c>
      <c r="D1478" t="s">
        <v>43</v>
      </c>
      <c r="G1478" t="s">
        <v>51</v>
      </c>
      <c r="I1478" t="s">
        <v>19</v>
      </c>
      <c r="J1478" t="s">
        <v>20</v>
      </c>
      <c r="M1478" t="s">
        <v>3205</v>
      </c>
      <c r="N1478" t="s">
        <v>3205</v>
      </c>
      <c r="O1478" t="s">
        <v>73</v>
      </c>
      <c r="P1478" t="s">
        <v>1806</v>
      </c>
      <c r="Q1478" t="s">
        <v>3206</v>
      </c>
      <c r="R1478" t="s">
        <v>3205</v>
      </c>
    </row>
    <row r="1479" spans="1:18" x14ac:dyDescent="0.25">
      <c r="A1479" t="s">
        <v>22640</v>
      </c>
      <c r="B1479" t="s">
        <v>3213</v>
      </c>
      <c r="C1479" t="str">
        <f>HYPERLINK("https://nematode.unl.edu/basti16.jpg")</f>
        <v>https://nematode.unl.edu/basti16.jpg</v>
      </c>
      <c r="D1479" t="s">
        <v>43</v>
      </c>
      <c r="G1479" t="s">
        <v>28</v>
      </c>
      <c r="I1479" t="s">
        <v>19</v>
      </c>
      <c r="J1479" t="s">
        <v>20</v>
      </c>
      <c r="L1479" t="s">
        <v>29</v>
      </c>
      <c r="M1479" t="s">
        <v>3205</v>
      </c>
      <c r="N1479" t="s">
        <v>3205</v>
      </c>
      <c r="O1479" t="s">
        <v>73</v>
      </c>
      <c r="P1479" t="s">
        <v>1806</v>
      </c>
      <c r="Q1479" t="s">
        <v>3206</v>
      </c>
      <c r="R1479" t="s">
        <v>3205</v>
      </c>
    </row>
    <row r="1480" spans="1:18" x14ac:dyDescent="0.25">
      <c r="A1480" t="s">
        <v>22631</v>
      </c>
      <c r="B1480" t="s">
        <v>3214</v>
      </c>
      <c r="C1480" t="str">
        <f>HYPERLINK("https://nematode.unl.edu/basti17.jpg")</f>
        <v>https://nematode.unl.edu/basti17.jpg</v>
      </c>
      <c r="D1480" t="s">
        <v>43</v>
      </c>
      <c r="G1480" t="s">
        <v>34</v>
      </c>
      <c r="H1480" t="s">
        <v>18</v>
      </c>
      <c r="I1480" t="s">
        <v>41</v>
      </c>
      <c r="J1480" t="s">
        <v>20</v>
      </c>
      <c r="L1480" t="s">
        <v>29</v>
      </c>
      <c r="M1480" t="s">
        <v>3205</v>
      </c>
      <c r="N1480" t="s">
        <v>3205</v>
      </c>
      <c r="O1480" t="s">
        <v>73</v>
      </c>
      <c r="P1480" t="s">
        <v>1806</v>
      </c>
      <c r="Q1480" t="s">
        <v>3206</v>
      </c>
      <c r="R1480" t="s">
        <v>3205</v>
      </c>
    </row>
    <row r="1481" spans="1:18" x14ac:dyDescent="0.25">
      <c r="A1481" t="s">
        <v>22632</v>
      </c>
      <c r="B1481" t="s">
        <v>3215</v>
      </c>
      <c r="C1481" t="str">
        <f>HYPERLINK("https://nematode.unl.edu/basti2.jpg")</f>
        <v>https://nematode.unl.edu/basti2.jpg</v>
      </c>
      <c r="D1481" t="s">
        <v>43</v>
      </c>
      <c r="G1481" t="s">
        <v>34</v>
      </c>
      <c r="H1481" t="s">
        <v>18</v>
      </c>
      <c r="I1481" t="s">
        <v>19</v>
      </c>
      <c r="J1481" t="s">
        <v>20</v>
      </c>
      <c r="L1481" t="s">
        <v>64</v>
      </c>
      <c r="M1481" t="s">
        <v>3205</v>
      </c>
      <c r="N1481" t="s">
        <v>3205</v>
      </c>
      <c r="O1481" t="s">
        <v>73</v>
      </c>
      <c r="P1481" t="s">
        <v>1806</v>
      </c>
      <c r="Q1481" t="s">
        <v>3206</v>
      </c>
      <c r="R1481" t="s">
        <v>3205</v>
      </c>
    </row>
    <row r="1482" spans="1:18" x14ac:dyDescent="0.25">
      <c r="A1482" t="s">
        <v>22643</v>
      </c>
      <c r="B1482" t="s">
        <v>3216</v>
      </c>
      <c r="C1482" t="str">
        <f>HYPERLINK("https://nematode.unl.edu/basti3.jpg")</f>
        <v>https://nematode.unl.edu/basti3.jpg</v>
      </c>
      <c r="D1482" t="s">
        <v>43</v>
      </c>
      <c r="G1482" t="s">
        <v>51</v>
      </c>
      <c r="I1482" t="s">
        <v>19</v>
      </c>
      <c r="J1482" t="s">
        <v>20</v>
      </c>
      <c r="L1482" t="s">
        <v>141</v>
      </c>
      <c r="M1482" t="s">
        <v>3205</v>
      </c>
      <c r="N1482" t="s">
        <v>3205</v>
      </c>
      <c r="O1482" t="s">
        <v>73</v>
      </c>
      <c r="P1482" t="s">
        <v>1806</v>
      </c>
      <c r="Q1482" t="s">
        <v>3206</v>
      </c>
      <c r="R1482" t="s">
        <v>3205</v>
      </c>
    </row>
    <row r="1483" spans="1:18" x14ac:dyDescent="0.25">
      <c r="A1483" t="s">
        <v>22633</v>
      </c>
      <c r="B1483" t="s">
        <v>3217</v>
      </c>
      <c r="C1483" t="str">
        <f>HYPERLINK("https://nematode.unl.edu/basti4.jpg")</f>
        <v>https://nematode.unl.edu/basti4.jpg</v>
      </c>
      <c r="D1483" t="s">
        <v>43</v>
      </c>
      <c r="G1483" t="s">
        <v>34</v>
      </c>
      <c r="H1483" t="s">
        <v>18</v>
      </c>
      <c r="I1483" t="s">
        <v>19</v>
      </c>
      <c r="J1483" t="s">
        <v>20</v>
      </c>
      <c r="L1483" t="s">
        <v>64</v>
      </c>
      <c r="M1483" t="s">
        <v>3205</v>
      </c>
      <c r="N1483" t="s">
        <v>3205</v>
      </c>
      <c r="O1483" t="s">
        <v>73</v>
      </c>
      <c r="P1483" t="s">
        <v>1806</v>
      </c>
      <c r="Q1483" t="s">
        <v>3206</v>
      </c>
      <c r="R1483" t="s">
        <v>3205</v>
      </c>
    </row>
    <row r="1484" spans="1:18" x14ac:dyDescent="0.25">
      <c r="A1484" t="s">
        <v>22634</v>
      </c>
      <c r="B1484" t="s">
        <v>3218</v>
      </c>
      <c r="C1484" t="str">
        <f>HYPERLINK("https://nematode.unl.edu/basti5.jpg")</f>
        <v>https://nematode.unl.edu/basti5.jpg</v>
      </c>
      <c r="D1484" t="s">
        <v>43</v>
      </c>
      <c r="G1484" t="s">
        <v>34</v>
      </c>
      <c r="H1484" t="s">
        <v>18</v>
      </c>
      <c r="I1484" t="s">
        <v>41</v>
      </c>
      <c r="J1484" t="s">
        <v>20</v>
      </c>
      <c r="L1484" t="s">
        <v>141</v>
      </c>
      <c r="M1484" t="s">
        <v>3205</v>
      </c>
      <c r="N1484" t="s">
        <v>3205</v>
      </c>
      <c r="O1484" t="s">
        <v>73</v>
      </c>
      <c r="P1484" t="s">
        <v>1806</v>
      </c>
      <c r="Q1484" t="s">
        <v>3206</v>
      </c>
      <c r="R1484" t="s">
        <v>3205</v>
      </c>
    </row>
    <row r="1485" spans="1:18" x14ac:dyDescent="0.25">
      <c r="A1485" t="s">
        <v>22636</v>
      </c>
      <c r="B1485" t="s">
        <v>3219</v>
      </c>
      <c r="C1485" t="str">
        <f>HYPERLINK("https://nematode.unl.edu/basti6.jpg")</f>
        <v>https://nematode.unl.edu/basti6.jpg</v>
      </c>
      <c r="D1485" t="s">
        <v>43</v>
      </c>
      <c r="G1485" t="s">
        <v>87</v>
      </c>
      <c r="I1485" t="s">
        <v>41</v>
      </c>
      <c r="J1485" t="s">
        <v>20</v>
      </c>
      <c r="L1485" t="s">
        <v>64</v>
      </c>
      <c r="M1485" t="s">
        <v>3205</v>
      </c>
      <c r="N1485" t="s">
        <v>3205</v>
      </c>
      <c r="O1485" t="s">
        <v>73</v>
      </c>
      <c r="P1485" t="s">
        <v>1806</v>
      </c>
      <c r="Q1485" t="s">
        <v>3206</v>
      </c>
      <c r="R1485" t="s">
        <v>3205</v>
      </c>
    </row>
    <row r="1486" spans="1:18" x14ac:dyDescent="0.25">
      <c r="A1486" t="s">
        <v>22628</v>
      </c>
      <c r="B1486" t="s">
        <v>3220</v>
      </c>
      <c r="C1486" t="str">
        <f>HYPERLINK("https://nematode.unl.edu/basti7.jpg")</f>
        <v>https://nematode.unl.edu/basti7.jpg</v>
      </c>
      <c r="D1486" t="s">
        <v>43</v>
      </c>
      <c r="G1486" t="s">
        <v>386</v>
      </c>
      <c r="H1486" t="s">
        <v>18</v>
      </c>
      <c r="I1486" t="s">
        <v>41</v>
      </c>
      <c r="J1486" t="s">
        <v>20</v>
      </c>
      <c r="L1486" t="s">
        <v>64</v>
      </c>
      <c r="M1486" t="s">
        <v>3205</v>
      </c>
      <c r="N1486" t="s">
        <v>3205</v>
      </c>
      <c r="O1486" t="s">
        <v>73</v>
      </c>
      <c r="P1486" t="s">
        <v>1806</v>
      </c>
      <c r="Q1486" t="s">
        <v>3206</v>
      </c>
      <c r="R1486" t="s">
        <v>3205</v>
      </c>
    </row>
    <row r="1487" spans="1:18" x14ac:dyDescent="0.25">
      <c r="A1487" t="s">
        <v>22639</v>
      </c>
      <c r="B1487" t="s">
        <v>3221</v>
      </c>
      <c r="C1487" t="str">
        <f>HYPERLINK("https://nematode.unl.edu/basti8.jpg")</f>
        <v>https://nematode.unl.edu/basti8.jpg</v>
      </c>
      <c r="D1487" t="s">
        <v>43</v>
      </c>
      <c r="G1487" t="s">
        <v>44</v>
      </c>
      <c r="I1487" t="s">
        <v>91</v>
      </c>
      <c r="J1487" t="s">
        <v>20</v>
      </c>
      <c r="M1487" t="s">
        <v>3205</v>
      </c>
      <c r="N1487" t="s">
        <v>3205</v>
      </c>
      <c r="O1487" t="s">
        <v>73</v>
      </c>
      <c r="P1487" t="s">
        <v>1806</v>
      </c>
      <c r="Q1487" t="s">
        <v>3206</v>
      </c>
      <c r="R1487" t="s">
        <v>3205</v>
      </c>
    </row>
    <row r="1488" spans="1:18" x14ac:dyDescent="0.25">
      <c r="A1488" t="s">
        <v>22635</v>
      </c>
      <c r="B1488" t="s">
        <v>3222</v>
      </c>
      <c r="C1488" t="str">
        <f>HYPERLINK("https://nematode.unl.edu/basti9.jpg")</f>
        <v>https://nematode.unl.edu/basti9.jpg</v>
      </c>
      <c r="D1488" t="s">
        <v>43</v>
      </c>
      <c r="G1488" t="s">
        <v>34</v>
      </c>
      <c r="H1488" t="s">
        <v>18</v>
      </c>
      <c r="I1488" t="s">
        <v>19</v>
      </c>
      <c r="J1488" t="s">
        <v>20</v>
      </c>
      <c r="L1488" t="s">
        <v>29</v>
      </c>
      <c r="M1488" t="s">
        <v>3205</v>
      </c>
      <c r="N1488" t="s">
        <v>3205</v>
      </c>
      <c r="O1488" t="s">
        <v>73</v>
      </c>
      <c r="P1488" t="s">
        <v>1806</v>
      </c>
      <c r="Q1488" t="s">
        <v>3206</v>
      </c>
      <c r="R1488" t="s">
        <v>3205</v>
      </c>
    </row>
    <row r="1489" spans="1:18" x14ac:dyDescent="0.25">
      <c r="A1489" t="s">
        <v>22379</v>
      </c>
      <c r="B1489" t="s">
        <v>3223</v>
      </c>
      <c r="C1489" t="str">
        <f>HYPERLINK("https://nematode.unl.edu/bathyoc1.jpg")</f>
        <v>https://nematode.unl.edu/bathyoc1.jpg</v>
      </c>
      <c r="D1489" t="s">
        <v>43</v>
      </c>
      <c r="G1489" t="s">
        <v>44</v>
      </c>
      <c r="I1489" t="s">
        <v>137</v>
      </c>
      <c r="J1489" t="s">
        <v>3224</v>
      </c>
      <c r="M1489" t="s">
        <v>3225</v>
      </c>
      <c r="N1489" t="s">
        <v>3225</v>
      </c>
      <c r="O1489" t="s">
        <v>73</v>
      </c>
      <c r="P1489" t="s">
        <v>1268</v>
      </c>
      <c r="Q1489" t="s">
        <v>3226</v>
      </c>
      <c r="R1489" t="s">
        <v>3227</v>
      </c>
    </row>
    <row r="1490" spans="1:18" x14ac:dyDescent="0.25">
      <c r="A1490" t="s">
        <v>22373</v>
      </c>
      <c r="B1490" t="s">
        <v>3228</v>
      </c>
      <c r="C1490" t="str">
        <f>HYPERLINK("https://nematode.unl.edu/bathyoc10.jpg")</f>
        <v>https://nematode.unl.edu/bathyoc10.jpg</v>
      </c>
      <c r="D1490" t="s">
        <v>43</v>
      </c>
      <c r="G1490" t="s">
        <v>386</v>
      </c>
      <c r="H1490" t="s">
        <v>18</v>
      </c>
      <c r="I1490" t="s">
        <v>41</v>
      </c>
      <c r="J1490" t="s">
        <v>3224</v>
      </c>
      <c r="M1490" t="s">
        <v>3225</v>
      </c>
      <c r="N1490" t="s">
        <v>3225</v>
      </c>
      <c r="O1490" t="s">
        <v>73</v>
      </c>
      <c r="P1490" t="s">
        <v>1268</v>
      </c>
      <c r="Q1490" t="s">
        <v>3226</v>
      </c>
      <c r="R1490" t="s">
        <v>3227</v>
      </c>
    </row>
    <row r="1491" spans="1:18" x14ac:dyDescent="0.25">
      <c r="A1491" t="s">
        <v>22380</v>
      </c>
      <c r="B1491" t="s">
        <v>3229</v>
      </c>
      <c r="C1491" t="str">
        <f>HYPERLINK("https://nematode.unl.edu/bathyoc11.jpg")</f>
        <v>https://nematode.unl.edu/bathyoc11.jpg</v>
      </c>
      <c r="D1491" t="s">
        <v>43</v>
      </c>
      <c r="G1491" t="s">
        <v>243</v>
      </c>
      <c r="I1491" t="s">
        <v>41</v>
      </c>
      <c r="J1491" t="s">
        <v>3224</v>
      </c>
      <c r="M1491" t="s">
        <v>3225</v>
      </c>
      <c r="N1491" t="s">
        <v>3225</v>
      </c>
      <c r="O1491" t="s">
        <v>73</v>
      </c>
      <c r="P1491" t="s">
        <v>1268</v>
      </c>
      <c r="Q1491" t="s">
        <v>3226</v>
      </c>
      <c r="R1491" t="s">
        <v>3227</v>
      </c>
    </row>
    <row r="1492" spans="1:18" x14ac:dyDescent="0.25">
      <c r="A1492" t="s">
        <v>22383</v>
      </c>
      <c r="B1492" t="s">
        <v>3230</v>
      </c>
      <c r="C1492" t="str">
        <f>HYPERLINK("https://nematode.unl.edu/bathyoc12.jpg")</f>
        <v>https://nematode.unl.edu/bathyoc12.jpg</v>
      </c>
      <c r="D1492" t="s">
        <v>43</v>
      </c>
      <c r="G1492" t="s">
        <v>51</v>
      </c>
      <c r="I1492" t="s">
        <v>41</v>
      </c>
      <c r="J1492" t="s">
        <v>3224</v>
      </c>
      <c r="M1492" t="s">
        <v>3225</v>
      </c>
      <c r="N1492" t="s">
        <v>3225</v>
      </c>
      <c r="O1492" t="s">
        <v>73</v>
      </c>
      <c r="P1492" t="s">
        <v>1268</v>
      </c>
      <c r="Q1492" t="s">
        <v>3226</v>
      </c>
      <c r="R1492" t="s">
        <v>3227</v>
      </c>
    </row>
    <row r="1493" spans="1:18" x14ac:dyDescent="0.25">
      <c r="A1493" t="s">
        <v>22381</v>
      </c>
      <c r="B1493" t="s">
        <v>3231</v>
      </c>
      <c r="C1493" t="str">
        <f>HYPERLINK("https://nematode.unl.edu/bathyoc13.jpg")</f>
        <v>https://nematode.unl.edu/bathyoc13.jpg</v>
      </c>
      <c r="D1493" t="s">
        <v>43</v>
      </c>
      <c r="G1493" t="s">
        <v>28</v>
      </c>
      <c r="I1493" t="s">
        <v>41</v>
      </c>
      <c r="J1493" t="s">
        <v>3224</v>
      </c>
      <c r="M1493" t="s">
        <v>3225</v>
      </c>
      <c r="N1493" t="s">
        <v>3225</v>
      </c>
      <c r="O1493" t="s">
        <v>73</v>
      </c>
      <c r="P1493" t="s">
        <v>1268</v>
      </c>
      <c r="Q1493" t="s">
        <v>3226</v>
      </c>
      <c r="R1493" t="s">
        <v>3227</v>
      </c>
    </row>
    <row r="1494" spans="1:18" x14ac:dyDescent="0.25">
      <c r="A1494" t="s">
        <v>22375</v>
      </c>
      <c r="B1494" t="s">
        <v>3232</v>
      </c>
      <c r="C1494" t="str">
        <f>HYPERLINK("https://nematode.unl.edu/bathyoc2.jpg")</f>
        <v>https://nematode.unl.edu/bathyoc2.jpg</v>
      </c>
      <c r="D1494" t="s">
        <v>43</v>
      </c>
      <c r="G1494" t="s">
        <v>96</v>
      </c>
      <c r="H1494" t="s">
        <v>18</v>
      </c>
      <c r="I1494" t="s">
        <v>19</v>
      </c>
      <c r="J1494" t="s">
        <v>3224</v>
      </c>
      <c r="M1494" t="s">
        <v>3225</v>
      </c>
      <c r="N1494" t="s">
        <v>3225</v>
      </c>
      <c r="O1494" t="s">
        <v>73</v>
      </c>
      <c r="P1494" t="s">
        <v>1268</v>
      </c>
      <c r="Q1494" t="s">
        <v>3226</v>
      </c>
      <c r="R1494" t="s">
        <v>3227</v>
      </c>
    </row>
    <row r="1495" spans="1:18" x14ac:dyDescent="0.25">
      <c r="A1495" t="s">
        <v>22384</v>
      </c>
      <c r="B1495" t="s">
        <v>3233</v>
      </c>
      <c r="C1495" t="str">
        <f>HYPERLINK("https://nematode.unl.edu/bathyoc3.jpg")</f>
        <v>https://nematode.unl.edu/bathyoc3.jpg</v>
      </c>
      <c r="D1495" t="s">
        <v>43</v>
      </c>
      <c r="G1495" t="s">
        <v>51</v>
      </c>
      <c r="I1495" t="s">
        <v>19</v>
      </c>
      <c r="J1495" t="s">
        <v>3224</v>
      </c>
      <c r="M1495" t="s">
        <v>3225</v>
      </c>
      <c r="N1495" t="s">
        <v>3225</v>
      </c>
      <c r="O1495" t="s">
        <v>73</v>
      </c>
      <c r="P1495" t="s">
        <v>1268</v>
      </c>
      <c r="Q1495" t="s">
        <v>3226</v>
      </c>
      <c r="R1495" t="s">
        <v>3227</v>
      </c>
    </row>
    <row r="1496" spans="1:18" x14ac:dyDescent="0.25">
      <c r="A1496" t="s">
        <v>22382</v>
      </c>
      <c r="B1496" t="s">
        <v>3234</v>
      </c>
      <c r="C1496" t="str">
        <f>HYPERLINK("https://nematode.unl.edu/bathyoc4.jpg")</f>
        <v>https://nematode.unl.edu/bathyoc4.jpg</v>
      </c>
      <c r="D1496" t="s">
        <v>43</v>
      </c>
      <c r="G1496" t="s">
        <v>28</v>
      </c>
      <c r="I1496" t="s">
        <v>19</v>
      </c>
      <c r="J1496" t="s">
        <v>3224</v>
      </c>
      <c r="M1496" t="s">
        <v>3225</v>
      </c>
      <c r="N1496" t="s">
        <v>3225</v>
      </c>
      <c r="O1496" t="s">
        <v>73</v>
      </c>
      <c r="P1496" t="s">
        <v>1268</v>
      </c>
      <c r="Q1496" t="s">
        <v>3226</v>
      </c>
      <c r="R1496" t="s">
        <v>3227</v>
      </c>
    </row>
    <row r="1497" spans="1:18" x14ac:dyDescent="0.25">
      <c r="A1497" t="s">
        <v>22385</v>
      </c>
      <c r="B1497" t="s">
        <v>3235</v>
      </c>
      <c r="C1497" t="str">
        <f>HYPERLINK("https://nematode.unl.edu/bathyoc5.jpg")</f>
        <v>https://nematode.unl.edu/bathyoc5.jpg</v>
      </c>
      <c r="D1497" t="s">
        <v>43</v>
      </c>
      <c r="G1497" t="s">
        <v>51</v>
      </c>
      <c r="I1497" t="s">
        <v>19</v>
      </c>
      <c r="J1497" t="s">
        <v>3224</v>
      </c>
      <c r="M1497" t="s">
        <v>3225</v>
      </c>
      <c r="N1497" t="s">
        <v>3225</v>
      </c>
      <c r="O1497" t="s">
        <v>73</v>
      </c>
      <c r="P1497" t="s">
        <v>1268</v>
      </c>
      <c r="Q1497" t="s">
        <v>3226</v>
      </c>
      <c r="R1497" t="s">
        <v>3227</v>
      </c>
    </row>
    <row r="1498" spans="1:18" x14ac:dyDescent="0.25">
      <c r="A1498" t="s">
        <v>22376</v>
      </c>
      <c r="B1498" t="s">
        <v>3236</v>
      </c>
      <c r="C1498" t="str">
        <f>HYPERLINK("https://nematode.unl.edu/bathyoc6.jpg")</f>
        <v>https://nematode.unl.edu/bathyoc6.jpg</v>
      </c>
      <c r="D1498" t="s">
        <v>43</v>
      </c>
      <c r="G1498" t="s">
        <v>34</v>
      </c>
      <c r="H1498" t="s">
        <v>18</v>
      </c>
      <c r="I1498" t="s">
        <v>19</v>
      </c>
      <c r="J1498" t="s">
        <v>3224</v>
      </c>
      <c r="M1498" t="s">
        <v>3225</v>
      </c>
      <c r="N1498" t="s">
        <v>3225</v>
      </c>
      <c r="O1498" t="s">
        <v>73</v>
      </c>
      <c r="P1498" t="s">
        <v>1268</v>
      </c>
      <c r="Q1498" t="s">
        <v>3226</v>
      </c>
      <c r="R1498" t="s">
        <v>3227</v>
      </c>
    </row>
    <row r="1499" spans="1:18" x14ac:dyDescent="0.25">
      <c r="A1499" t="s">
        <v>22378</v>
      </c>
      <c r="B1499" t="s">
        <v>3237</v>
      </c>
      <c r="C1499" t="str">
        <f>HYPERLINK("https://nematode.unl.edu/bathyoc7.jpg")</f>
        <v>https://nematode.unl.edu/bathyoc7.jpg</v>
      </c>
      <c r="D1499" t="s">
        <v>43</v>
      </c>
      <c r="G1499" t="s">
        <v>3238</v>
      </c>
      <c r="H1499" t="s">
        <v>18</v>
      </c>
      <c r="I1499" t="s">
        <v>41</v>
      </c>
      <c r="J1499" t="s">
        <v>3224</v>
      </c>
      <c r="M1499" t="s">
        <v>3225</v>
      </c>
      <c r="N1499" t="s">
        <v>3225</v>
      </c>
      <c r="O1499" t="s">
        <v>73</v>
      </c>
      <c r="P1499" t="s">
        <v>1268</v>
      </c>
      <c r="Q1499" t="s">
        <v>3226</v>
      </c>
      <c r="R1499" t="s">
        <v>3227</v>
      </c>
    </row>
    <row r="1500" spans="1:18" x14ac:dyDescent="0.25">
      <c r="A1500" t="s">
        <v>22374</v>
      </c>
      <c r="B1500" t="s">
        <v>3239</v>
      </c>
      <c r="C1500" t="str">
        <f>HYPERLINK("https://nematode.unl.edu/bathyoc8.jpg")</f>
        <v>https://nematode.unl.edu/bathyoc8.jpg</v>
      </c>
      <c r="D1500" t="s">
        <v>43</v>
      </c>
      <c r="G1500" t="s">
        <v>386</v>
      </c>
      <c r="H1500" t="s">
        <v>18</v>
      </c>
      <c r="I1500" t="s">
        <v>41</v>
      </c>
      <c r="J1500" t="s">
        <v>3224</v>
      </c>
      <c r="M1500" t="s">
        <v>3225</v>
      </c>
      <c r="N1500" t="s">
        <v>3225</v>
      </c>
      <c r="O1500" t="s">
        <v>73</v>
      </c>
      <c r="P1500" t="s">
        <v>1268</v>
      </c>
      <c r="Q1500" t="s">
        <v>3226</v>
      </c>
      <c r="R1500" t="s">
        <v>3227</v>
      </c>
    </row>
    <row r="1501" spans="1:18" x14ac:dyDescent="0.25">
      <c r="A1501" t="s">
        <v>22377</v>
      </c>
      <c r="B1501" t="s">
        <v>3240</v>
      </c>
      <c r="C1501" t="str">
        <f>HYPERLINK("https://nematode.unl.edu/bathyoc9.jpg")</f>
        <v>https://nematode.unl.edu/bathyoc9.jpg</v>
      </c>
      <c r="D1501" t="s">
        <v>43</v>
      </c>
      <c r="G1501" t="s">
        <v>34</v>
      </c>
      <c r="H1501" t="s">
        <v>18</v>
      </c>
      <c r="I1501" t="s">
        <v>41</v>
      </c>
      <c r="J1501" t="s">
        <v>3224</v>
      </c>
      <c r="M1501" t="s">
        <v>3225</v>
      </c>
      <c r="N1501" t="s">
        <v>3225</v>
      </c>
      <c r="O1501" t="s">
        <v>73</v>
      </c>
      <c r="P1501" t="s">
        <v>1268</v>
      </c>
      <c r="Q1501" t="s">
        <v>3226</v>
      </c>
      <c r="R1501" t="s">
        <v>3227</v>
      </c>
    </row>
    <row r="1502" spans="1:18" x14ac:dyDescent="0.25">
      <c r="A1502" t="s">
        <v>19421</v>
      </c>
      <c r="B1502" t="s">
        <v>3241</v>
      </c>
      <c r="C1502" t="str">
        <f>HYPERLINK("https://nematode.unl.edu/beapit1.jpg")</f>
        <v>https://nematode.unl.edu/beapit1.jpg</v>
      </c>
      <c r="D1502" t="s">
        <v>43</v>
      </c>
      <c r="G1502" t="s">
        <v>44</v>
      </c>
      <c r="I1502" t="s">
        <v>91</v>
      </c>
      <c r="J1502" t="s">
        <v>116</v>
      </c>
      <c r="L1502" t="s">
        <v>85</v>
      </c>
      <c r="M1502" t="s">
        <v>3242</v>
      </c>
      <c r="N1502" t="s">
        <v>3242</v>
      </c>
      <c r="O1502" t="s">
        <v>73</v>
      </c>
      <c r="P1502" t="s">
        <v>81</v>
      </c>
      <c r="Q1502" t="s">
        <v>733</v>
      </c>
      <c r="R1502" t="s">
        <v>3243</v>
      </c>
    </row>
    <row r="1503" spans="1:18" x14ac:dyDescent="0.25">
      <c r="A1503" t="s">
        <v>19424</v>
      </c>
      <c r="B1503" t="s">
        <v>3244</v>
      </c>
      <c r="C1503" t="str">
        <f>HYPERLINK("https://nematode.unl.edu/beapit10.jpg")</f>
        <v>https://nematode.unl.edu/beapit10.jpg</v>
      </c>
      <c r="D1503" t="s">
        <v>43</v>
      </c>
      <c r="G1503" t="s">
        <v>243</v>
      </c>
      <c r="I1503" t="s">
        <v>19</v>
      </c>
      <c r="J1503" t="s">
        <v>116</v>
      </c>
      <c r="M1503" t="s">
        <v>3242</v>
      </c>
      <c r="N1503" t="s">
        <v>3242</v>
      </c>
      <c r="O1503" t="s">
        <v>73</v>
      </c>
      <c r="P1503" t="s">
        <v>81</v>
      </c>
      <c r="Q1503" t="s">
        <v>733</v>
      </c>
      <c r="R1503" t="s">
        <v>3243</v>
      </c>
    </row>
    <row r="1504" spans="1:18" x14ac:dyDescent="0.25">
      <c r="A1504" t="s">
        <v>19443</v>
      </c>
      <c r="B1504" t="s">
        <v>3245</v>
      </c>
      <c r="C1504" t="str">
        <f>HYPERLINK("https://nematode.unl.edu/beapit11.jpg")</f>
        <v>https://nematode.unl.edu/beapit11.jpg</v>
      </c>
      <c r="D1504" t="s">
        <v>43</v>
      </c>
      <c r="G1504" t="s">
        <v>51</v>
      </c>
      <c r="I1504" t="s">
        <v>19</v>
      </c>
      <c r="J1504" t="s">
        <v>116</v>
      </c>
      <c r="L1504" t="s">
        <v>85</v>
      </c>
      <c r="M1504" t="s">
        <v>3242</v>
      </c>
      <c r="N1504" t="s">
        <v>3242</v>
      </c>
      <c r="O1504" t="s">
        <v>73</v>
      </c>
      <c r="P1504" t="s">
        <v>81</v>
      </c>
      <c r="Q1504" t="s">
        <v>733</v>
      </c>
      <c r="R1504" t="s">
        <v>3243</v>
      </c>
    </row>
    <row r="1505" spans="1:18" x14ac:dyDescent="0.25">
      <c r="A1505" t="s">
        <v>19436</v>
      </c>
      <c r="B1505" t="s">
        <v>3246</v>
      </c>
      <c r="C1505" t="str">
        <f>HYPERLINK("https://nematode.unl.edu/beapit12.jpg")</f>
        <v>https://nematode.unl.edu/beapit12.jpg</v>
      </c>
      <c r="D1505" t="s">
        <v>43</v>
      </c>
      <c r="G1505" t="s">
        <v>28</v>
      </c>
      <c r="I1505" t="s">
        <v>19</v>
      </c>
      <c r="J1505" t="s">
        <v>116</v>
      </c>
      <c r="L1505" t="s">
        <v>85</v>
      </c>
      <c r="M1505" t="s">
        <v>3242</v>
      </c>
      <c r="N1505" t="s">
        <v>3242</v>
      </c>
      <c r="O1505" t="s">
        <v>73</v>
      </c>
      <c r="P1505" t="s">
        <v>81</v>
      </c>
      <c r="Q1505" t="s">
        <v>733</v>
      </c>
      <c r="R1505" t="s">
        <v>3243</v>
      </c>
    </row>
    <row r="1506" spans="1:18" x14ac:dyDescent="0.25">
      <c r="A1506" t="s">
        <v>19403</v>
      </c>
      <c r="B1506" t="s">
        <v>3247</v>
      </c>
      <c r="C1506" t="str">
        <f>HYPERLINK("https://nematode.unl.edu/beapit13.jpg")</f>
        <v>https://nematode.unl.edu/beapit13.jpg</v>
      </c>
      <c r="D1506" t="s">
        <v>77</v>
      </c>
      <c r="G1506" t="s">
        <v>34</v>
      </c>
      <c r="H1506" t="s">
        <v>18</v>
      </c>
      <c r="I1506" t="s">
        <v>19</v>
      </c>
      <c r="J1506" t="s">
        <v>116</v>
      </c>
      <c r="L1506" t="s">
        <v>85</v>
      </c>
      <c r="M1506" t="s">
        <v>3242</v>
      </c>
      <c r="N1506" t="s">
        <v>3242</v>
      </c>
      <c r="O1506" t="s">
        <v>73</v>
      </c>
      <c r="P1506" t="s">
        <v>81</v>
      </c>
      <c r="Q1506" t="s">
        <v>733</v>
      </c>
      <c r="R1506" t="s">
        <v>3243</v>
      </c>
    </row>
    <row r="1507" spans="1:18" x14ac:dyDescent="0.25">
      <c r="A1507" t="s">
        <v>19416</v>
      </c>
      <c r="B1507" t="s">
        <v>3248</v>
      </c>
      <c r="C1507" t="str">
        <f>HYPERLINK("https://nematode.unl.edu/beapit14.jpg")</f>
        <v>https://nematode.unl.edu/beapit14.jpg</v>
      </c>
      <c r="D1507" t="s">
        <v>77</v>
      </c>
      <c r="G1507" t="s">
        <v>87</v>
      </c>
      <c r="I1507" t="s">
        <v>19</v>
      </c>
      <c r="J1507" t="s">
        <v>116</v>
      </c>
      <c r="L1507" t="s">
        <v>85</v>
      </c>
      <c r="M1507" t="s">
        <v>3242</v>
      </c>
      <c r="N1507" t="s">
        <v>3242</v>
      </c>
      <c r="O1507" t="s">
        <v>73</v>
      </c>
      <c r="P1507" t="s">
        <v>81</v>
      </c>
      <c r="Q1507" t="s">
        <v>733</v>
      </c>
      <c r="R1507" t="s">
        <v>3243</v>
      </c>
    </row>
    <row r="1508" spans="1:18" x14ac:dyDescent="0.25">
      <c r="A1508" t="s">
        <v>19442</v>
      </c>
      <c r="B1508" t="s">
        <v>3249</v>
      </c>
      <c r="C1508" t="str">
        <f>HYPERLINK("https://nematode.unl.edu/beapit15.jpg")</f>
        <v>https://nematode.unl.edu/beapit15.jpg</v>
      </c>
      <c r="D1508" t="s">
        <v>77</v>
      </c>
      <c r="G1508" t="s">
        <v>2113</v>
      </c>
      <c r="I1508" t="s">
        <v>137</v>
      </c>
      <c r="J1508" t="s">
        <v>116</v>
      </c>
      <c r="L1508" t="s">
        <v>85</v>
      </c>
      <c r="M1508" t="s">
        <v>3242</v>
      </c>
      <c r="N1508" t="s">
        <v>3242</v>
      </c>
      <c r="O1508" t="s">
        <v>73</v>
      </c>
      <c r="P1508" t="s">
        <v>81</v>
      </c>
      <c r="Q1508" t="s">
        <v>733</v>
      </c>
      <c r="R1508" t="s">
        <v>3243</v>
      </c>
    </row>
    <row r="1509" spans="1:18" x14ac:dyDescent="0.25">
      <c r="A1509" t="s">
        <v>19431</v>
      </c>
      <c r="B1509" t="s">
        <v>3250</v>
      </c>
      <c r="C1509" t="str">
        <f>HYPERLINK("https://nematode.unl.edu/beapit16.jpg")</f>
        <v>https://nematode.unl.edu/beapit16.jpg</v>
      </c>
      <c r="D1509" t="s">
        <v>77</v>
      </c>
      <c r="G1509" t="s">
        <v>112</v>
      </c>
      <c r="I1509" t="s">
        <v>19</v>
      </c>
      <c r="J1509" t="s">
        <v>116</v>
      </c>
      <c r="M1509" t="s">
        <v>3242</v>
      </c>
      <c r="N1509" t="s">
        <v>3242</v>
      </c>
      <c r="O1509" t="s">
        <v>73</v>
      </c>
      <c r="P1509" t="s">
        <v>81</v>
      </c>
      <c r="Q1509" t="s">
        <v>733</v>
      </c>
      <c r="R1509" t="s">
        <v>3243</v>
      </c>
    </row>
    <row r="1510" spans="1:18" x14ac:dyDescent="0.25">
      <c r="A1510" t="s">
        <v>19401</v>
      </c>
      <c r="B1510" t="s">
        <v>3251</v>
      </c>
      <c r="C1510" t="str">
        <f>HYPERLINK("https://nematode.unl.edu/beapit2.jpg")</f>
        <v>https://nematode.unl.edu/beapit2.jpg</v>
      </c>
      <c r="D1510" t="s">
        <v>43</v>
      </c>
      <c r="G1510" t="s">
        <v>96</v>
      </c>
      <c r="H1510" t="s">
        <v>18</v>
      </c>
      <c r="I1510" t="s">
        <v>45</v>
      </c>
      <c r="J1510" t="s">
        <v>116</v>
      </c>
      <c r="M1510" t="s">
        <v>3242</v>
      </c>
      <c r="N1510" t="s">
        <v>3242</v>
      </c>
      <c r="O1510" t="s">
        <v>73</v>
      </c>
      <c r="P1510" t="s">
        <v>81</v>
      </c>
      <c r="Q1510" t="s">
        <v>733</v>
      </c>
      <c r="R1510" t="s">
        <v>3243</v>
      </c>
    </row>
    <row r="1511" spans="1:18" x14ac:dyDescent="0.25">
      <c r="A1511" t="s">
        <v>19404</v>
      </c>
      <c r="B1511" t="s">
        <v>3252</v>
      </c>
      <c r="C1511" t="str">
        <f>HYPERLINK("https://nematode.unl.edu/beapit3.jpg")</f>
        <v>https://nematode.unl.edu/beapit3.jpg</v>
      </c>
      <c r="D1511" t="s">
        <v>43</v>
      </c>
      <c r="G1511" t="s">
        <v>34</v>
      </c>
      <c r="H1511" t="s">
        <v>18</v>
      </c>
      <c r="I1511" t="s">
        <v>19</v>
      </c>
      <c r="J1511" t="s">
        <v>116</v>
      </c>
      <c r="L1511" t="s">
        <v>85</v>
      </c>
      <c r="M1511" t="s">
        <v>3242</v>
      </c>
      <c r="N1511" t="s">
        <v>3242</v>
      </c>
      <c r="O1511" t="s">
        <v>73</v>
      </c>
      <c r="P1511" t="s">
        <v>81</v>
      </c>
      <c r="Q1511" t="s">
        <v>733</v>
      </c>
      <c r="R1511" t="s">
        <v>3243</v>
      </c>
    </row>
    <row r="1512" spans="1:18" x14ac:dyDescent="0.25">
      <c r="A1512" t="s">
        <v>19417</v>
      </c>
      <c r="B1512" t="s">
        <v>3253</v>
      </c>
      <c r="C1512" t="str">
        <f>HYPERLINK("https://nematode.unl.edu/beapit4.jpg")</f>
        <v>https://nematode.unl.edu/beapit4.jpg</v>
      </c>
      <c r="D1512" t="s">
        <v>43</v>
      </c>
      <c r="G1512" t="s">
        <v>87</v>
      </c>
      <c r="I1512" t="s">
        <v>19</v>
      </c>
      <c r="J1512" t="s">
        <v>116</v>
      </c>
      <c r="M1512" t="s">
        <v>3242</v>
      </c>
      <c r="N1512" t="s">
        <v>3242</v>
      </c>
      <c r="O1512" t="s">
        <v>73</v>
      </c>
      <c r="P1512" t="s">
        <v>81</v>
      </c>
      <c r="Q1512" t="s">
        <v>733</v>
      </c>
      <c r="R1512" t="s">
        <v>3243</v>
      </c>
    </row>
    <row r="1513" spans="1:18" x14ac:dyDescent="0.25">
      <c r="A1513" t="s">
        <v>19444</v>
      </c>
      <c r="B1513" t="s">
        <v>3254</v>
      </c>
      <c r="C1513" t="str">
        <f>HYPERLINK("https://nematode.unl.edu/beapit5.jpg")</f>
        <v>https://nematode.unl.edu/beapit5.jpg</v>
      </c>
      <c r="D1513" t="s">
        <v>43</v>
      </c>
      <c r="G1513" t="s">
        <v>51</v>
      </c>
      <c r="I1513" t="s">
        <v>19</v>
      </c>
      <c r="J1513" t="s">
        <v>116</v>
      </c>
      <c r="L1513" t="s">
        <v>85</v>
      </c>
      <c r="M1513" t="s">
        <v>3242</v>
      </c>
      <c r="N1513" t="s">
        <v>3242</v>
      </c>
      <c r="O1513" t="s">
        <v>73</v>
      </c>
      <c r="P1513" t="s">
        <v>81</v>
      </c>
      <c r="Q1513" t="s">
        <v>733</v>
      </c>
      <c r="R1513" t="s">
        <v>3243</v>
      </c>
    </row>
    <row r="1514" spans="1:18" x14ac:dyDescent="0.25">
      <c r="A1514" t="s">
        <v>19437</v>
      </c>
      <c r="B1514" t="s">
        <v>3255</v>
      </c>
      <c r="C1514" t="str">
        <f>HYPERLINK("https://nematode.unl.edu/beapit6.jpg")</f>
        <v>https://nematode.unl.edu/beapit6.jpg</v>
      </c>
      <c r="D1514" t="s">
        <v>43</v>
      </c>
      <c r="G1514" t="s">
        <v>28</v>
      </c>
      <c r="I1514" t="s">
        <v>19</v>
      </c>
      <c r="J1514" t="s">
        <v>116</v>
      </c>
      <c r="L1514" t="s">
        <v>85</v>
      </c>
      <c r="M1514" t="s">
        <v>3242</v>
      </c>
      <c r="N1514" t="s">
        <v>3242</v>
      </c>
      <c r="O1514" t="s">
        <v>73</v>
      </c>
      <c r="P1514" t="s">
        <v>81</v>
      </c>
      <c r="Q1514" t="s">
        <v>733</v>
      </c>
      <c r="R1514" t="s">
        <v>3243</v>
      </c>
    </row>
    <row r="1515" spans="1:18" x14ac:dyDescent="0.25">
      <c r="A1515" t="s">
        <v>19428</v>
      </c>
      <c r="B1515" t="s">
        <v>3256</v>
      </c>
      <c r="C1515" t="str">
        <f>HYPERLINK("https://nematode.unl.edu/beapit7.jpg")</f>
        <v>https://nematode.unl.edu/beapit7.jpg</v>
      </c>
      <c r="D1515" t="s">
        <v>43</v>
      </c>
      <c r="G1515" t="s">
        <v>1000</v>
      </c>
      <c r="I1515" t="s">
        <v>45</v>
      </c>
      <c r="J1515" t="s">
        <v>116</v>
      </c>
      <c r="L1515" t="s">
        <v>85</v>
      </c>
      <c r="M1515" t="s">
        <v>3242</v>
      </c>
      <c r="N1515" t="s">
        <v>3242</v>
      </c>
      <c r="O1515" t="s">
        <v>73</v>
      </c>
      <c r="P1515" t="s">
        <v>81</v>
      </c>
      <c r="Q1515" t="s">
        <v>733</v>
      </c>
      <c r="R1515" t="s">
        <v>3243</v>
      </c>
    </row>
    <row r="1516" spans="1:18" x14ac:dyDescent="0.25">
      <c r="A1516" t="s">
        <v>19445</v>
      </c>
      <c r="B1516" t="s">
        <v>3257</v>
      </c>
      <c r="C1516" t="str">
        <f>HYPERLINK("https://nematode.unl.edu/beapit8.jpg")</f>
        <v>https://nematode.unl.edu/beapit8.jpg</v>
      </c>
      <c r="D1516" t="s">
        <v>43</v>
      </c>
      <c r="G1516" t="s">
        <v>51</v>
      </c>
      <c r="I1516" t="s">
        <v>137</v>
      </c>
      <c r="J1516" t="s">
        <v>116</v>
      </c>
      <c r="M1516" t="s">
        <v>3242</v>
      </c>
      <c r="N1516" t="s">
        <v>3242</v>
      </c>
      <c r="O1516" t="s">
        <v>73</v>
      </c>
      <c r="P1516" t="s">
        <v>81</v>
      </c>
      <c r="Q1516" t="s">
        <v>733</v>
      </c>
      <c r="R1516" t="s">
        <v>3243</v>
      </c>
    </row>
    <row r="1517" spans="1:18" x14ac:dyDescent="0.25">
      <c r="A1517" t="s">
        <v>19405</v>
      </c>
      <c r="B1517" t="s">
        <v>3258</v>
      </c>
      <c r="C1517" t="str">
        <f>HYPERLINK("https://nematode.unl.edu/beapit9.jpg")</f>
        <v>https://nematode.unl.edu/beapit9.jpg</v>
      </c>
      <c r="D1517" t="s">
        <v>43</v>
      </c>
      <c r="G1517" t="s">
        <v>34</v>
      </c>
      <c r="H1517" t="s">
        <v>18</v>
      </c>
      <c r="I1517" t="s">
        <v>19</v>
      </c>
      <c r="J1517" t="s">
        <v>116</v>
      </c>
      <c r="L1517" t="s">
        <v>85</v>
      </c>
      <c r="M1517" t="s">
        <v>3242</v>
      </c>
      <c r="N1517" t="s">
        <v>3242</v>
      </c>
      <c r="O1517" t="s">
        <v>73</v>
      </c>
      <c r="P1517" t="s">
        <v>81</v>
      </c>
      <c r="Q1517" t="s">
        <v>733</v>
      </c>
      <c r="R1517" t="s">
        <v>3243</v>
      </c>
    </row>
    <row r="1518" spans="1:18" x14ac:dyDescent="0.25">
      <c r="A1518" t="s">
        <v>19452</v>
      </c>
      <c r="B1518" t="s">
        <v>3293</v>
      </c>
      <c r="C1518" t="str">
        <f>HYPERLINK("https://nematode.unl.edu/becla1.jpg")</f>
        <v>https://nematode.unl.edu/becla1.jpg</v>
      </c>
      <c r="D1518" t="s">
        <v>43</v>
      </c>
      <c r="G1518" t="s">
        <v>44</v>
      </c>
      <c r="I1518" t="s">
        <v>45</v>
      </c>
      <c r="J1518" t="s">
        <v>20</v>
      </c>
      <c r="L1518" t="s">
        <v>35</v>
      </c>
      <c r="M1518" t="s">
        <v>3294</v>
      </c>
      <c r="N1518" t="s">
        <v>3294</v>
      </c>
      <c r="O1518" t="s">
        <v>73</v>
      </c>
      <c r="P1518" t="s">
        <v>81</v>
      </c>
      <c r="Q1518" t="s">
        <v>733</v>
      </c>
      <c r="R1518" t="s">
        <v>3243</v>
      </c>
    </row>
    <row r="1519" spans="1:18" x14ac:dyDescent="0.25">
      <c r="A1519" t="s">
        <v>19454</v>
      </c>
      <c r="B1519" t="s">
        <v>3295</v>
      </c>
      <c r="C1519" t="str">
        <f>HYPERLINK("https://nematode.unl.edu/becla10.jpg")</f>
        <v>https://nematode.unl.edu/becla10.jpg</v>
      </c>
      <c r="D1519" t="s">
        <v>16</v>
      </c>
      <c r="G1519" t="s">
        <v>28</v>
      </c>
      <c r="I1519" t="s">
        <v>19</v>
      </c>
      <c r="J1519" t="s">
        <v>20</v>
      </c>
      <c r="L1519" t="s">
        <v>35</v>
      </c>
      <c r="M1519" t="s">
        <v>3294</v>
      </c>
      <c r="N1519" t="s">
        <v>3294</v>
      </c>
      <c r="O1519" t="s">
        <v>73</v>
      </c>
      <c r="P1519" t="s">
        <v>81</v>
      </c>
      <c r="Q1519" t="s">
        <v>733</v>
      </c>
      <c r="R1519" t="s">
        <v>3243</v>
      </c>
    </row>
    <row r="1520" spans="1:18" x14ac:dyDescent="0.25">
      <c r="A1520" t="s">
        <v>19456</v>
      </c>
      <c r="B1520" t="s">
        <v>3296</v>
      </c>
      <c r="C1520" t="str">
        <f>HYPERLINK("https://nematode.unl.edu/becla2.jpg")</f>
        <v>https://nematode.unl.edu/becla2.jpg</v>
      </c>
      <c r="D1520" t="s">
        <v>43</v>
      </c>
      <c r="G1520" t="s">
        <v>51</v>
      </c>
      <c r="I1520" t="s">
        <v>19</v>
      </c>
      <c r="J1520" t="s">
        <v>20</v>
      </c>
      <c r="L1520" t="s">
        <v>64</v>
      </c>
      <c r="M1520" t="s">
        <v>3294</v>
      </c>
      <c r="N1520" t="s">
        <v>3294</v>
      </c>
      <c r="O1520" t="s">
        <v>73</v>
      </c>
      <c r="P1520" t="s">
        <v>81</v>
      </c>
      <c r="Q1520" t="s">
        <v>733</v>
      </c>
      <c r="R1520" t="s">
        <v>3243</v>
      </c>
    </row>
    <row r="1521" spans="1:18" x14ac:dyDescent="0.25">
      <c r="A1521" t="s">
        <v>19455</v>
      </c>
      <c r="B1521" t="s">
        <v>3297</v>
      </c>
      <c r="C1521" t="str">
        <f>HYPERLINK("https://nematode.unl.edu/becla3.jpg")</f>
        <v>https://nematode.unl.edu/becla3.jpg</v>
      </c>
      <c r="D1521" t="s">
        <v>43</v>
      </c>
      <c r="G1521" t="s">
        <v>28</v>
      </c>
      <c r="I1521" t="s">
        <v>19</v>
      </c>
      <c r="J1521" t="s">
        <v>20</v>
      </c>
      <c r="L1521" t="s">
        <v>85</v>
      </c>
      <c r="M1521" t="s">
        <v>3294</v>
      </c>
      <c r="N1521" t="s">
        <v>3294</v>
      </c>
      <c r="O1521" t="s">
        <v>73</v>
      </c>
      <c r="P1521" t="s">
        <v>81</v>
      </c>
      <c r="Q1521" t="s">
        <v>733</v>
      </c>
      <c r="R1521" t="s">
        <v>3243</v>
      </c>
    </row>
    <row r="1522" spans="1:18" x14ac:dyDescent="0.25">
      <c r="A1522" t="s">
        <v>19448</v>
      </c>
      <c r="B1522" t="s">
        <v>3298</v>
      </c>
      <c r="C1522" t="str">
        <f>HYPERLINK("https://nematode.unl.edu/becla4.jpg")</f>
        <v>https://nematode.unl.edu/becla4.jpg</v>
      </c>
      <c r="D1522" t="s">
        <v>43</v>
      </c>
      <c r="G1522" t="s">
        <v>96</v>
      </c>
      <c r="H1522" t="s">
        <v>18</v>
      </c>
      <c r="I1522" t="s">
        <v>19</v>
      </c>
      <c r="J1522" t="s">
        <v>20</v>
      </c>
      <c r="L1522" t="s">
        <v>35</v>
      </c>
      <c r="M1522" t="s">
        <v>3294</v>
      </c>
      <c r="N1522" t="s">
        <v>3294</v>
      </c>
      <c r="O1522" t="s">
        <v>73</v>
      </c>
      <c r="P1522" t="s">
        <v>81</v>
      </c>
      <c r="Q1522" t="s">
        <v>733</v>
      </c>
      <c r="R1522" t="s">
        <v>3243</v>
      </c>
    </row>
    <row r="1523" spans="1:18" x14ac:dyDescent="0.25">
      <c r="A1523" t="s">
        <v>19457</v>
      </c>
      <c r="B1523" t="s">
        <v>3299</v>
      </c>
      <c r="C1523" t="str">
        <f>HYPERLINK("https://nematode.unl.edu/becla5.jpg")</f>
        <v>https://nematode.unl.edu/becla5.jpg</v>
      </c>
      <c r="D1523" t="s">
        <v>43</v>
      </c>
      <c r="G1523" t="s">
        <v>51</v>
      </c>
      <c r="I1523" t="s">
        <v>41</v>
      </c>
      <c r="J1523" t="s">
        <v>20</v>
      </c>
      <c r="L1523" t="s">
        <v>35</v>
      </c>
      <c r="M1523" t="s">
        <v>3294</v>
      </c>
      <c r="N1523" t="s">
        <v>3294</v>
      </c>
      <c r="O1523" t="s">
        <v>73</v>
      </c>
      <c r="P1523" t="s">
        <v>81</v>
      </c>
      <c r="Q1523" t="s">
        <v>733</v>
      </c>
      <c r="R1523" t="s">
        <v>3243</v>
      </c>
    </row>
    <row r="1524" spans="1:18" x14ac:dyDescent="0.25">
      <c r="A1524" t="s">
        <v>19449</v>
      </c>
      <c r="B1524" t="s">
        <v>3300</v>
      </c>
      <c r="C1524" t="str">
        <f>HYPERLINK("https://nematode.unl.edu/becla6.jpg")</f>
        <v>https://nematode.unl.edu/becla6.jpg</v>
      </c>
      <c r="D1524" t="s">
        <v>43</v>
      </c>
      <c r="G1524" t="s">
        <v>34</v>
      </c>
      <c r="H1524" t="s">
        <v>18</v>
      </c>
      <c r="I1524" t="s">
        <v>41</v>
      </c>
      <c r="J1524" t="s">
        <v>20</v>
      </c>
      <c r="L1524" t="s">
        <v>35</v>
      </c>
      <c r="M1524" t="s">
        <v>3294</v>
      </c>
      <c r="N1524" t="s">
        <v>3294</v>
      </c>
      <c r="O1524" t="s">
        <v>73</v>
      </c>
      <c r="P1524" t="s">
        <v>81</v>
      </c>
      <c r="Q1524" t="s">
        <v>733</v>
      </c>
      <c r="R1524" t="s">
        <v>3243</v>
      </c>
    </row>
    <row r="1525" spans="1:18" x14ac:dyDescent="0.25">
      <c r="A1525" t="s">
        <v>19451</v>
      </c>
      <c r="B1525" t="s">
        <v>3301</v>
      </c>
      <c r="C1525" t="str">
        <f>HYPERLINK("https://nematode.unl.edu/becla7.jpg")</f>
        <v>https://nematode.unl.edu/becla7.jpg</v>
      </c>
      <c r="D1525" t="s">
        <v>43</v>
      </c>
      <c r="G1525" t="s">
        <v>2974</v>
      </c>
      <c r="I1525" t="s">
        <v>41</v>
      </c>
      <c r="J1525" t="s">
        <v>20</v>
      </c>
      <c r="L1525" t="s">
        <v>85</v>
      </c>
      <c r="M1525" t="s">
        <v>3294</v>
      </c>
      <c r="N1525" t="s">
        <v>3294</v>
      </c>
      <c r="O1525" t="s">
        <v>73</v>
      </c>
      <c r="P1525" t="s">
        <v>81</v>
      </c>
      <c r="Q1525" t="s">
        <v>733</v>
      </c>
      <c r="R1525" t="s">
        <v>3243</v>
      </c>
    </row>
    <row r="1526" spans="1:18" x14ac:dyDescent="0.25">
      <c r="A1526" t="s">
        <v>19453</v>
      </c>
      <c r="B1526" t="s">
        <v>3302</v>
      </c>
      <c r="C1526" t="str">
        <f>HYPERLINK("https://nematode.unl.edu/becla8.jpg")</f>
        <v>https://nematode.unl.edu/becla8.jpg</v>
      </c>
      <c r="D1526" t="s">
        <v>43</v>
      </c>
      <c r="G1526" t="s">
        <v>3303</v>
      </c>
      <c r="I1526" t="s">
        <v>41</v>
      </c>
      <c r="J1526" t="s">
        <v>20</v>
      </c>
      <c r="M1526" t="s">
        <v>3294</v>
      </c>
      <c r="N1526" t="s">
        <v>3294</v>
      </c>
      <c r="O1526" t="s">
        <v>73</v>
      </c>
      <c r="P1526" t="s">
        <v>81</v>
      </c>
      <c r="Q1526" t="s">
        <v>733</v>
      </c>
      <c r="R1526" t="s">
        <v>3243</v>
      </c>
    </row>
    <row r="1527" spans="1:18" x14ac:dyDescent="0.25">
      <c r="A1527" t="s">
        <v>19450</v>
      </c>
      <c r="B1527" t="s">
        <v>3304</v>
      </c>
      <c r="C1527" t="str">
        <f>HYPERLINK("https://nematode.unl.edu/becla9.jpg")</f>
        <v>https://nematode.unl.edu/becla9.jpg</v>
      </c>
      <c r="D1527" t="s">
        <v>16</v>
      </c>
      <c r="G1527" t="s">
        <v>34</v>
      </c>
      <c r="H1527" t="s">
        <v>18</v>
      </c>
      <c r="I1527" t="s">
        <v>19</v>
      </c>
      <c r="J1527" t="s">
        <v>20</v>
      </c>
      <c r="L1527" t="s">
        <v>85</v>
      </c>
      <c r="M1527" t="s">
        <v>3294</v>
      </c>
      <c r="N1527" t="s">
        <v>3294</v>
      </c>
      <c r="O1527" t="s">
        <v>73</v>
      </c>
      <c r="P1527" t="s">
        <v>81</v>
      </c>
      <c r="Q1527" t="s">
        <v>733</v>
      </c>
      <c r="R1527" t="s">
        <v>3243</v>
      </c>
    </row>
    <row r="1528" spans="1:18" x14ac:dyDescent="0.25">
      <c r="A1528" t="s">
        <v>19422</v>
      </c>
      <c r="B1528" t="s">
        <v>3259</v>
      </c>
      <c r="C1528" t="str">
        <f>HYPERLINK("https://nematode.unl.edu/belap1.jpg")</f>
        <v>https://nematode.unl.edu/belap1.jpg</v>
      </c>
      <c r="D1528" t="s">
        <v>77</v>
      </c>
      <c r="G1528" t="s">
        <v>44</v>
      </c>
      <c r="I1528" t="s">
        <v>45</v>
      </c>
      <c r="J1528" t="s">
        <v>20</v>
      </c>
      <c r="L1528" t="s">
        <v>35</v>
      </c>
      <c r="M1528" t="s">
        <v>3242</v>
      </c>
      <c r="N1528" t="s">
        <v>3242</v>
      </c>
      <c r="O1528" t="s">
        <v>73</v>
      </c>
      <c r="P1528" t="s">
        <v>81</v>
      </c>
      <c r="Q1528" t="s">
        <v>733</v>
      </c>
      <c r="R1528" t="s">
        <v>3243</v>
      </c>
    </row>
    <row r="1529" spans="1:18" x14ac:dyDescent="0.25">
      <c r="A1529" t="s">
        <v>19418</v>
      </c>
      <c r="B1529" t="s">
        <v>3260</v>
      </c>
      <c r="C1529" t="str">
        <f>HYPERLINK("https://nematode.unl.edu/belap10.jpg")</f>
        <v>https://nematode.unl.edu/belap10.jpg</v>
      </c>
      <c r="D1529" t="s">
        <v>43</v>
      </c>
      <c r="G1529" t="s">
        <v>87</v>
      </c>
      <c r="I1529" t="s">
        <v>19</v>
      </c>
      <c r="J1529" t="s">
        <v>20</v>
      </c>
      <c r="L1529" t="s">
        <v>141</v>
      </c>
      <c r="M1529" t="s">
        <v>3242</v>
      </c>
      <c r="N1529" t="s">
        <v>3242</v>
      </c>
      <c r="O1529" t="s">
        <v>73</v>
      </c>
      <c r="P1529" t="s">
        <v>81</v>
      </c>
      <c r="Q1529" t="s">
        <v>733</v>
      </c>
      <c r="R1529" t="s">
        <v>3243</v>
      </c>
    </row>
    <row r="1530" spans="1:18" x14ac:dyDescent="0.25">
      <c r="A1530" t="s">
        <v>19446</v>
      </c>
      <c r="B1530" t="s">
        <v>3261</v>
      </c>
      <c r="C1530" t="str">
        <f>HYPERLINK("https://nematode.unl.edu/belap11.jpg")</f>
        <v>https://nematode.unl.edu/belap11.jpg</v>
      </c>
      <c r="D1530" t="s">
        <v>43</v>
      </c>
      <c r="G1530" t="s">
        <v>51</v>
      </c>
      <c r="I1530" t="s">
        <v>19</v>
      </c>
      <c r="J1530" t="s">
        <v>20</v>
      </c>
      <c r="L1530" t="s">
        <v>141</v>
      </c>
      <c r="M1530" t="s">
        <v>3242</v>
      </c>
      <c r="N1530" t="s">
        <v>3242</v>
      </c>
      <c r="O1530" t="s">
        <v>73</v>
      </c>
      <c r="P1530" t="s">
        <v>81</v>
      </c>
      <c r="Q1530" t="s">
        <v>733</v>
      </c>
      <c r="R1530" t="s">
        <v>3243</v>
      </c>
    </row>
    <row r="1531" spans="1:18" x14ac:dyDescent="0.25">
      <c r="A1531" t="s">
        <v>19429</v>
      </c>
      <c r="B1531" t="s">
        <v>3262</v>
      </c>
      <c r="C1531" t="str">
        <f>HYPERLINK("https://nematode.unl.edu/belap12.jpg")</f>
        <v>https://nematode.unl.edu/belap12.jpg</v>
      </c>
      <c r="D1531" t="s">
        <v>43</v>
      </c>
      <c r="G1531" t="s">
        <v>1000</v>
      </c>
      <c r="I1531" t="s">
        <v>19</v>
      </c>
      <c r="J1531" t="s">
        <v>20</v>
      </c>
      <c r="L1531" t="s">
        <v>352</v>
      </c>
      <c r="M1531" t="s">
        <v>3242</v>
      </c>
      <c r="N1531" t="s">
        <v>3242</v>
      </c>
      <c r="O1531" t="s">
        <v>73</v>
      </c>
      <c r="P1531" t="s">
        <v>81</v>
      </c>
      <c r="Q1531" t="s">
        <v>733</v>
      </c>
      <c r="R1531" t="s">
        <v>3243</v>
      </c>
    </row>
    <row r="1532" spans="1:18" x14ac:dyDescent="0.25">
      <c r="A1532" t="s">
        <v>19426</v>
      </c>
      <c r="B1532" t="s">
        <v>3263</v>
      </c>
      <c r="C1532" t="str">
        <f>HYPERLINK("https://nematode.unl.edu/belap13.jpg")</f>
        <v>https://nematode.unl.edu/belap13.jpg</v>
      </c>
      <c r="D1532" t="s">
        <v>43</v>
      </c>
      <c r="G1532" t="s">
        <v>3264</v>
      </c>
      <c r="I1532" t="s">
        <v>19</v>
      </c>
      <c r="J1532" t="s">
        <v>20</v>
      </c>
      <c r="L1532" t="s">
        <v>141</v>
      </c>
      <c r="M1532" t="s">
        <v>3242</v>
      </c>
      <c r="N1532" t="s">
        <v>3242</v>
      </c>
      <c r="O1532" t="s">
        <v>73</v>
      </c>
      <c r="P1532" t="s">
        <v>81</v>
      </c>
      <c r="Q1532" t="s">
        <v>733</v>
      </c>
      <c r="R1532" t="s">
        <v>3243</v>
      </c>
    </row>
    <row r="1533" spans="1:18" x14ac:dyDescent="0.25">
      <c r="A1533" t="s">
        <v>19438</v>
      </c>
      <c r="B1533" t="s">
        <v>3265</v>
      </c>
      <c r="C1533" t="str">
        <f>HYPERLINK("https://nematode.unl.edu/belap14.jpg")</f>
        <v>https://nematode.unl.edu/belap14.jpg</v>
      </c>
      <c r="D1533" t="s">
        <v>43</v>
      </c>
      <c r="G1533" t="s">
        <v>28</v>
      </c>
      <c r="I1533" t="s">
        <v>19</v>
      </c>
      <c r="J1533" t="s">
        <v>20</v>
      </c>
      <c r="M1533" t="s">
        <v>3242</v>
      </c>
      <c r="N1533" t="s">
        <v>3242</v>
      </c>
      <c r="O1533" t="s">
        <v>73</v>
      </c>
      <c r="P1533" t="s">
        <v>81</v>
      </c>
      <c r="Q1533" t="s">
        <v>733</v>
      </c>
      <c r="R1533" t="s">
        <v>3243</v>
      </c>
    </row>
    <row r="1534" spans="1:18" x14ac:dyDescent="0.25">
      <c r="A1534" t="s">
        <v>19406</v>
      </c>
      <c r="B1534" t="s">
        <v>3266</v>
      </c>
      <c r="C1534" t="str">
        <f>HYPERLINK("https://nematode.unl.edu/belap15.jpg")</f>
        <v>https://nematode.unl.edu/belap15.jpg</v>
      </c>
      <c r="D1534" t="s">
        <v>43</v>
      </c>
      <c r="G1534" t="s">
        <v>34</v>
      </c>
      <c r="H1534" t="s">
        <v>18</v>
      </c>
      <c r="I1534" t="s">
        <v>19</v>
      </c>
      <c r="J1534" t="s">
        <v>20</v>
      </c>
      <c r="L1534" t="s">
        <v>193</v>
      </c>
      <c r="M1534" t="s">
        <v>3242</v>
      </c>
      <c r="N1534" t="s">
        <v>3242</v>
      </c>
      <c r="O1534" t="s">
        <v>73</v>
      </c>
      <c r="P1534" t="s">
        <v>81</v>
      </c>
      <c r="Q1534" t="s">
        <v>733</v>
      </c>
      <c r="R1534" t="s">
        <v>3243</v>
      </c>
    </row>
    <row r="1535" spans="1:18" x14ac:dyDescent="0.25">
      <c r="A1535" t="s">
        <v>19419</v>
      </c>
      <c r="B1535" t="s">
        <v>3267</v>
      </c>
      <c r="C1535" t="str">
        <f>HYPERLINK("https://nematode.unl.edu/belap16.jpg")</f>
        <v>https://nematode.unl.edu/belap16.jpg</v>
      </c>
      <c r="D1535" t="s">
        <v>43</v>
      </c>
      <c r="G1535" t="s">
        <v>87</v>
      </c>
      <c r="I1535" t="s">
        <v>19</v>
      </c>
      <c r="J1535" t="s">
        <v>20</v>
      </c>
      <c r="M1535" t="s">
        <v>3242</v>
      </c>
      <c r="N1535" t="s">
        <v>3242</v>
      </c>
      <c r="O1535" t="s">
        <v>73</v>
      </c>
      <c r="P1535" t="s">
        <v>81</v>
      </c>
      <c r="Q1535" t="s">
        <v>733</v>
      </c>
      <c r="R1535" t="s">
        <v>3243</v>
      </c>
    </row>
    <row r="1536" spans="1:18" x14ac:dyDescent="0.25">
      <c r="A1536" t="s">
        <v>19447</v>
      </c>
      <c r="B1536" t="s">
        <v>3268</v>
      </c>
      <c r="C1536" t="str">
        <f>HYPERLINK("https://nematode.unl.edu/belap17.jpg")</f>
        <v>https://nematode.unl.edu/belap17.jpg</v>
      </c>
      <c r="D1536" t="s">
        <v>43</v>
      </c>
      <c r="G1536" t="s">
        <v>51</v>
      </c>
      <c r="I1536" t="s">
        <v>19</v>
      </c>
      <c r="J1536" t="s">
        <v>20</v>
      </c>
      <c r="L1536" t="s">
        <v>193</v>
      </c>
      <c r="M1536" t="s">
        <v>3242</v>
      </c>
      <c r="N1536" t="s">
        <v>3242</v>
      </c>
      <c r="O1536" t="s">
        <v>73</v>
      </c>
      <c r="P1536" t="s">
        <v>81</v>
      </c>
      <c r="Q1536" t="s">
        <v>733</v>
      </c>
      <c r="R1536" t="s">
        <v>3243</v>
      </c>
    </row>
    <row r="1537" spans="1:18" x14ac:dyDescent="0.25">
      <c r="A1537" t="s">
        <v>19439</v>
      </c>
      <c r="B1537" t="s">
        <v>3269</v>
      </c>
      <c r="C1537" t="str">
        <f>HYPERLINK("https://nematode.unl.edu/belap18.jpg")</f>
        <v>https://nematode.unl.edu/belap18.jpg</v>
      </c>
      <c r="D1537" t="s">
        <v>43</v>
      </c>
      <c r="G1537" t="s">
        <v>28</v>
      </c>
      <c r="I1537" t="s">
        <v>19</v>
      </c>
      <c r="J1537" t="s">
        <v>20</v>
      </c>
      <c r="L1537" t="s">
        <v>193</v>
      </c>
      <c r="M1537" t="s">
        <v>3242</v>
      </c>
      <c r="N1537" t="s">
        <v>3242</v>
      </c>
      <c r="O1537" t="s">
        <v>73</v>
      </c>
      <c r="P1537" t="s">
        <v>81</v>
      </c>
      <c r="Q1537" t="s">
        <v>733</v>
      </c>
      <c r="R1537" t="s">
        <v>3243</v>
      </c>
    </row>
    <row r="1538" spans="1:18" x14ac:dyDescent="0.25">
      <c r="A1538" t="s">
        <v>19407</v>
      </c>
      <c r="B1538" t="s">
        <v>3270</v>
      </c>
      <c r="C1538" t="str">
        <f>HYPERLINK("https://nematode.unl.edu/belap19.jpg")</f>
        <v>https://nematode.unl.edu/belap19.jpg</v>
      </c>
      <c r="D1538" t="s">
        <v>77</v>
      </c>
      <c r="G1538" t="s">
        <v>34</v>
      </c>
      <c r="H1538" t="s">
        <v>18</v>
      </c>
      <c r="I1538" t="s">
        <v>45</v>
      </c>
      <c r="J1538" t="s">
        <v>20</v>
      </c>
      <c r="L1538" t="s">
        <v>85</v>
      </c>
      <c r="M1538" t="s">
        <v>3242</v>
      </c>
      <c r="N1538" t="s">
        <v>3242</v>
      </c>
      <c r="O1538" t="s">
        <v>73</v>
      </c>
      <c r="P1538" t="s">
        <v>81</v>
      </c>
      <c r="Q1538" t="s">
        <v>733</v>
      </c>
      <c r="R1538" t="s">
        <v>3243</v>
      </c>
    </row>
    <row r="1539" spans="1:18" x14ac:dyDescent="0.25">
      <c r="A1539" t="s">
        <v>19432</v>
      </c>
      <c r="B1539" t="s">
        <v>3271</v>
      </c>
      <c r="C1539" t="str">
        <f>HYPERLINK("https://nematode.unl.edu/belap2.jpg")</f>
        <v>https://nematode.unl.edu/belap2.jpg</v>
      </c>
      <c r="D1539" t="s">
        <v>77</v>
      </c>
      <c r="G1539" t="s">
        <v>112</v>
      </c>
      <c r="I1539" t="s">
        <v>19</v>
      </c>
      <c r="J1539" t="s">
        <v>20</v>
      </c>
      <c r="L1539" t="s">
        <v>35</v>
      </c>
      <c r="M1539" t="s">
        <v>3242</v>
      </c>
      <c r="N1539" t="s">
        <v>3242</v>
      </c>
      <c r="O1539" t="s">
        <v>73</v>
      </c>
      <c r="P1539" t="s">
        <v>81</v>
      </c>
      <c r="Q1539" t="s">
        <v>733</v>
      </c>
      <c r="R1539" t="s">
        <v>3243</v>
      </c>
    </row>
    <row r="1540" spans="1:18" x14ac:dyDescent="0.25">
      <c r="A1540" t="s">
        <v>19408</v>
      </c>
      <c r="B1540" t="s">
        <v>3272</v>
      </c>
      <c r="C1540" t="str">
        <f>HYPERLINK("https://nematode.unl.edu/belap20.jpg")</f>
        <v>https://nematode.unl.edu/belap20.jpg</v>
      </c>
      <c r="D1540" t="s">
        <v>16</v>
      </c>
      <c r="G1540" t="s">
        <v>34</v>
      </c>
      <c r="H1540" t="s">
        <v>18</v>
      </c>
      <c r="I1540" t="s">
        <v>19</v>
      </c>
      <c r="J1540" t="s">
        <v>20</v>
      </c>
      <c r="L1540" t="s">
        <v>64</v>
      </c>
      <c r="M1540" t="s">
        <v>3242</v>
      </c>
      <c r="N1540" t="s">
        <v>3242</v>
      </c>
      <c r="O1540" t="s">
        <v>73</v>
      </c>
      <c r="P1540" t="s">
        <v>81</v>
      </c>
      <c r="Q1540" t="s">
        <v>733</v>
      </c>
      <c r="R1540" t="s">
        <v>3243</v>
      </c>
    </row>
    <row r="1541" spans="1:18" x14ac:dyDescent="0.25">
      <c r="A1541" t="s">
        <v>19440</v>
      </c>
      <c r="B1541" t="s">
        <v>3273</v>
      </c>
      <c r="C1541" t="str">
        <f>HYPERLINK("https://nematode.unl.edu/belap21.jpg")</f>
        <v>https://nematode.unl.edu/belap21.jpg</v>
      </c>
      <c r="D1541" t="s">
        <v>77</v>
      </c>
      <c r="G1541" t="s">
        <v>28</v>
      </c>
      <c r="I1541" t="s">
        <v>19</v>
      </c>
      <c r="J1541" t="s">
        <v>20</v>
      </c>
      <c r="L1541" t="s">
        <v>35</v>
      </c>
      <c r="M1541" t="s">
        <v>3242</v>
      </c>
      <c r="N1541" t="s">
        <v>3242</v>
      </c>
      <c r="O1541" t="s">
        <v>73</v>
      </c>
      <c r="P1541" t="s">
        <v>81</v>
      </c>
      <c r="Q1541" t="s">
        <v>733</v>
      </c>
      <c r="R1541" t="s">
        <v>3243</v>
      </c>
    </row>
    <row r="1542" spans="1:18" x14ac:dyDescent="0.25">
      <c r="A1542" t="s">
        <v>19409</v>
      </c>
      <c r="B1542" t="s">
        <v>3274</v>
      </c>
      <c r="C1542" t="str">
        <f>HYPERLINK("https://nematode.unl.edu/belap22.jpg")</f>
        <v>https://nematode.unl.edu/belap22.jpg</v>
      </c>
      <c r="D1542" t="s">
        <v>16</v>
      </c>
      <c r="G1542" t="s">
        <v>34</v>
      </c>
      <c r="H1542" t="s">
        <v>18</v>
      </c>
      <c r="I1542" t="s">
        <v>19</v>
      </c>
      <c r="J1542" t="s">
        <v>20</v>
      </c>
      <c r="L1542" t="s">
        <v>35</v>
      </c>
      <c r="M1542" t="s">
        <v>3242</v>
      </c>
      <c r="N1542" t="s">
        <v>3242</v>
      </c>
      <c r="O1542" t="s">
        <v>73</v>
      </c>
      <c r="P1542" t="s">
        <v>81</v>
      </c>
      <c r="Q1542" t="s">
        <v>733</v>
      </c>
      <c r="R1542" t="s">
        <v>3243</v>
      </c>
    </row>
    <row r="1543" spans="1:18" x14ac:dyDescent="0.25">
      <c r="A1543" t="s">
        <v>19427</v>
      </c>
      <c r="B1543" t="s">
        <v>3275</v>
      </c>
      <c r="C1543" t="str">
        <f>HYPERLINK("https://nematode.unl.edu/belap23.jpg")</f>
        <v>https://nematode.unl.edu/belap23.jpg</v>
      </c>
      <c r="D1543" t="s">
        <v>16</v>
      </c>
      <c r="G1543" t="s">
        <v>178</v>
      </c>
      <c r="I1543" t="s">
        <v>19</v>
      </c>
      <c r="J1543" t="s">
        <v>20</v>
      </c>
      <c r="L1543" t="s">
        <v>35</v>
      </c>
      <c r="M1543" t="s">
        <v>3242</v>
      </c>
      <c r="N1543" t="s">
        <v>3242</v>
      </c>
      <c r="O1543" t="s">
        <v>73</v>
      </c>
      <c r="P1543" t="s">
        <v>81</v>
      </c>
      <c r="Q1543" t="s">
        <v>733</v>
      </c>
      <c r="R1543" t="s">
        <v>3243</v>
      </c>
    </row>
    <row r="1544" spans="1:18" x14ac:dyDescent="0.25">
      <c r="A1544" t="s">
        <v>19441</v>
      </c>
      <c r="B1544" t="s">
        <v>3276</v>
      </c>
      <c r="C1544" t="str">
        <f>HYPERLINK("https://nematode.unl.edu/belap24.jpg")</f>
        <v>https://nematode.unl.edu/belap24.jpg</v>
      </c>
      <c r="D1544" t="s">
        <v>16</v>
      </c>
      <c r="G1544" t="s">
        <v>28</v>
      </c>
      <c r="I1544" t="s">
        <v>19</v>
      </c>
      <c r="J1544" t="s">
        <v>20</v>
      </c>
      <c r="L1544" t="s">
        <v>85</v>
      </c>
      <c r="M1544" t="s">
        <v>3242</v>
      </c>
      <c r="N1544" t="s">
        <v>3242</v>
      </c>
      <c r="O1544" t="s">
        <v>73</v>
      </c>
      <c r="P1544" t="s">
        <v>81</v>
      </c>
      <c r="Q1544" t="s">
        <v>733</v>
      </c>
      <c r="R1544" t="s">
        <v>3243</v>
      </c>
    </row>
    <row r="1545" spans="1:18" x14ac:dyDescent="0.25">
      <c r="A1545" t="s">
        <v>19423</v>
      </c>
      <c r="B1545" t="s">
        <v>3277</v>
      </c>
      <c r="C1545" t="str">
        <f>HYPERLINK("https://nematode.unl.edu/belap25.jpg")</f>
        <v>https://nematode.unl.edu/belap25.jpg</v>
      </c>
      <c r="D1545" t="s">
        <v>16</v>
      </c>
      <c r="G1545" t="s">
        <v>44</v>
      </c>
      <c r="I1545" t="s">
        <v>45</v>
      </c>
      <c r="J1545" t="s">
        <v>20</v>
      </c>
      <c r="L1545" t="s">
        <v>35</v>
      </c>
      <c r="M1545" t="s">
        <v>3242</v>
      </c>
      <c r="N1545" t="s">
        <v>3242</v>
      </c>
      <c r="O1545" t="s">
        <v>73</v>
      </c>
      <c r="P1545" t="s">
        <v>81</v>
      </c>
      <c r="Q1545" t="s">
        <v>733</v>
      </c>
      <c r="R1545" t="s">
        <v>3243</v>
      </c>
    </row>
    <row r="1546" spans="1:18" x14ac:dyDescent="0.25">
      <c r="A1546" t="s">
        <v>19402</v>
      </c>
      <c r="B1546" t="s">
        <v>3278</v>
      </c>
      <c r="C1546" t="str">
        <f>HYPERLINK("https://nematode.unl.edu/belap26.jpg")</f>
        <v>https://nematode.unl.edu/belap26.jpg</v>
      </c>
      <c r="D1546" t="s">
        <v>43</v>
      </c>
      <c r="G1546" t="s">
        <v>96</v>
      </c>
      <c r="H1546" t="s">
        <v>18</v>
      </c>
      <c r="I1546" t="s">
        <v>137</v>
      </c>
      <c r="J1546" t="s">
        <v>20</v>
      </c>
      <c r="L1546" t="s">
        <v>217</v>
      </c>
      <c r="M1546" t="s">
        <v>3242</v>
      </c>
      <c r="N1546" t="s">
        <v>3242</v>
      </c>
      <c r="O1546" t="s">
        <v>73</v>
      </c>
      <c r="P1546" t="s">
        <v>81</v>
      </c>
      <c r="Q1546" t="s">
        <v>733</v>
      </c>
      <c r="R1546" t="s">
        <v>3243</v>
      </c>
    </row>
    <row r="1547" spans="1:18" x14ac:dyDescent="0.25">
      <c r="A1547" t="s">
        <v>19410</v>
      </c>
      <c r="B1547" t="s">
        <v>3279</v>
      </c>
      <c r="C1547" t="str">
        <f>HYPERLINK("https://nematode.unl.edu/belap27.jpg")</f>
        <v>https://nematode.unl.edu/belap27.jpg</v>
      </c>
      <c r="D1547" t="s">
        <v>77</v>
      </c>
      <c r="G1547" t="s">
        <v>34</v>
      </c>
      <c r="H1547" t="s">
        <v>18</v>
      </c>
      <c r="I1547" t="s">
        <v>19</v>
      </c>
      <c r="J1547" t="s">
        <v>20</v>
      </c>
      <c r="L1547" t="s">
        <v>35</v>
      </c>
      <c r="M1547" t="s">
        <v>3242</v>
      </c>
      <c r="N1547" t="s">
        <v>3242</v>
      </c>
      <c r="O1547" t="s">
        <v>73</v>
      </c>
      <c r="P1547" t="s">
        <v>81</v>
      </c>
      <c r="Q1547" t="s">
        <v>733</v>
      </c>
      <c r="R1547" t="s">
        <v>3243</v>
      </c>
    </row>
    <row r="1548" spans="1:18" x14ac:dyDescent="0.25">
      <c r="A1548" t="s">
        <v>19411</v>
      </c>
      <c r="B1548" t="s">
        <v>3280</v>
      </c>
      <c r="C1548" t="str">
        <f>HYPERLINK("https://nematode.unl.edu/belap28.jpg")</f>
        <v>https://nematode.unl.edu/belap28.jpg</v>
      </c>
      <c r="D1548" t="s">
        <v>77</v>
      </c>
      <c r="G1548" t="s">
        <v>34</v>
      </c>
      <c r="H1548" t="s">
        <v>18</v>
      </c>
      <c r="I1548" t="s">
        <v>19</v>
      </c>
      <c r="J1548" t="s">
        <v>20</v>
      </c>
      <c r="L1548" t="s">
        <v>85</v>
      </c>
      <c r="M1548" t="s">
        <v>3242</v>
      </c>
      <c r="N1548" t="s">
        <v>3242</v>
      </c>
      <c r="O1548" t="s">
        <v>73</v>
      </c>
      <c r="P1548" t="s">
        <v>81</v>
      </c>
      <c r="Q1548" t="s">
        <v>733</v>
      </c>
      <c r="R1548" t="s">
        <v>3243</v>
      </c>
    </row>
    <row r="1549" spans="1:18" x14ac:dyDescent="0.25">
      <c r="A1549" t="s">
        <v>19433</v>
      </c>
      <c r="B1549" t="s">
        <v>3281</v>
      </c>
      <c r="C1549" t="str">
        <f>HYPERLINK("https://nematode.unl.edu/belap29.jpg")</f>
        <v>https://nematode.unl.edu/belap29.jpg</v>
      </c>
      <c r="D1549" t="s">
        <v>77</v>
      </c>
      <c r="G1549" t="s">
        <v>112</v>
      </c>
      <c r="I1549" t="s">
        <v>19</v>
      </c>
      <c r="J1549" t="s">
        <v>20</v>
      </c>
      <c r="L1549" t="s">
        <v>85</v>
      </c>
      <c r="M1549" t="s">
        <v>3242</v>
      </c>
      <c r="N1549" t="s">
        <v>3242</v>
      </c>
      <c r="O1549" t="s">
        <v>73</v>
      </c>
      <c r="P1549" t="s">
        <v>81</v>
      </c>
      <c r="Q1549" t="s">
        <v>733</v>
      </c>
      <c r="R1549" t="s">
        <v>3243</v>
      </c>
    </row>
    <row r="1550" spans="1:18" x14ac:dyDescent="0.25">
      <c r="A1550" t="s">
        <v>19430</v>
      </c>
      <c r="B1550" t="s">
        <v>3282</v>
      </c>
      <c r="C1550" t="str">
        <f>HYPERLINK("https://nematode.unl.edu/belap3.jpg")</f>
        <v>https://nematode.unl.edu/belap3.jpg</v>
      </c>
      <c r="D1550" t="s">
        <v>77</v>
      </c>
      <c r="G1550" t="s">
        <v>3283</v>
      </c>
      <c r="I1550" t="s">
        <v>19</v>
      </c>
      <c r="J1550" t="s">
        <v>20</v>
      </c>
      <c r="L1550" t="s">
        <v>35</v>
      </c>
      <c r="M1550" t="s">
        <v>3242</v>
      </c>
      <c r="N1550" t="s">
        <v>3242</v>
      </c>
      <c r="O1550" t="s">
        <v>73</v>
      </c>
      <c r="P1550" t="s">
        <v>81</v>
      </c>
      <c r="Q1550" t="s">
        <v>733</v>
      </c>
      <c r="R1550" t="s">
        <v>3243</v>
      </c>
    </row>
    <row r="1551" spans="1:18" x14ac:dyDescent="0.25">
      <c r="A1551" t="s">
        <v>19435</v>
      </c>
      <c r="B1551" t="s">
        <v>3284</v>
      </c>
      <c r="C1551" t="str">
        <f>HYPERLINK("https://nematode.unl.edu/belap30.jpg")</f>
        <v>https://nematode.unl.edu/belap30.jpg</v>
      </c>
      <c r="D1551" t="s">
        <v>77</v>
      </c>
      <c r="G1551" t="s">
        <v>230</v>
      </c>
      <c r="I1551" t="s">
        <v>19</v>
      </c>
      <c r="J1551" t="s">
        <v>20</v>
      </c>
      <c r="L1551" t="s">
        <v>85</v>
      </c>
      <c r="M1551" t="s">
        <v>3242</v>
      </c>
      <c r="N1551" t="s">
        <v>3242</v>
      </c>
      <c r="O1551" t="s">
        <v>73</v>
      </c>
      <c r="P1551" t="s">
        <v>81</v>
      </c>
      <c r="Q1551" t="s">
        <v>733</v>
      </c>
      <c r="R1551" t="s">
        <v>3243</v>
      </c>
    </row>
    <row r="1552" spans="1:18" x14ac:dyDescent="0.25">
      <c r="A1552" t="s">
        <v>19415</v>
      </c>
      <c r="B1552" t="s">
        <v>3285</v>
      </c>
      <c r="C1552" t="str">
        <f>HYPERLINK("https://nematode.unl.edu/belap4.jpg")</f>
        <v>https://nematode.unl.edu/belap4.jpg</v>
      </c>
      <c r="D1552" t="s">
        <v>77</v>
      </c>
      <c r="G1552" t="s">
        <v>3286</v>
      </c>
      <c r="I1552" t="s">
        <v>19</v>
      </c>
      <c r="J1552" t="s">
        <v>20</v>
      </c>
      <c r="L1552" t="s">
        <v>35</v>
      </c>
      <c r="M1552" t="s">
        <v>3242</v>
      </c>
      <c r="N1552" t="s">
        <v>3242</v>
      </c>
      <c r="O1552" t="s">
        <v>73</v>
      </c>
      <c r="P1552" t="s">
        <v>81</v>
      </c>
      <c r="Q1552" t="s">
        <v>733</v>
      </c>
      <c r="R1552" t="s">
        <v>3243</v>
      </c>
    </row>
    <row r="1553" spans="1:18" x14ac:dyDescent="0.25">
      <c r="A1553" t="s">
        <v>19412</v>
      </c>
      <c r="B1553" t="s">
        <v>3287</v>
      </c>
      <c r="C1553" t="str">
        <f>HYPERLINK("https://nematode.unl.edu/belap5.jpg")</f>
        <v>https://nematode.unl.edu/belap5.jpg</v>
      </c>
      <c r="D1553" t="s">
        <v>77</v>
      </c>
      <c r="G1553" t="s">
        <v>34</v>
      </c>
      <c r="H1553" t="s">
        <v>18</v>
      </c>
      <c r="I1553" t="s">
        <v>19</v>
      </c>
      <c r="J1553" t="s">
        <v>20</v>
      </c>
      <c r="L1553" t="s">
        <v>35</v>
      </c>
      <c r="M1553" t="s">
        <v>3242</v>
      </c>
      <c r="N1553" t="s">
        <v>3242</v>
      </c>
      <c r="O1553" t="s">
        <v>73</v>
      </c>
      <c r="P1553" t="s">
        <v>81</v>
      </c>
      <c r="Q1553" t="s">
        <v>733</v>
      </c>
      <c r="R1553" t="s">
        <v>3243</v>
      </c>
    </row>
    <row r="1554" spans="1:18" x14ac:dyDescent="0.25">
      <c r="A1554" t="s">
        <v>19413</v>
      </c>
      <c r="B1554" t="s">
        <v>3288</v>
      </c>
      <c r="C1554" t="str">
        <f>HYPERLINK("https://nematode.unl.edu/belap6.jpg")</f>
        <v>https://nematode.unl.edu/belap6.jpg</v>
      </c>
      <c r="D1554" t="s">
        <v>77</v>
      </c>
      <c r="G1554" t="s">
        <v>34</v>
      </c>
      <c r="H1554" t="s">
        <v>18</v>
      </c>
      <c r="I1554" t="s">
        <v>41</v>
      </c>
      <c r="J1554" t="s">
        <v>20</v>
      </c>
      <c r="L1554" t="s">
        <v>35</v>
      </c>
      <c r="M1554" t="s">
        <v>3242</v>
      </c>
      <c r="N1554" t="s">
        <v>3242</v>
      </c>
      <c r="O1554" t="s">
        <v>73</v>
      </c>
      <c r="P1554" t="s">
        <v>81</v>
      </c>
      <c r="Q1554" t="s">
        <v>733</v>
      </c>
      <c r="R1554" t="s">
        <v>3243</v>
      </c>
    </row>
    <row r="1555" spans="1:18" x14ac:dyDescent="0.25">
      <c r="A1555" t="s">
        <v>19420</v>
      </c>
      <c r="B1555" t="s">
        <v>3289</v>
      </c>
      <c r="C1555" t="str">
        <f>HYPERLINK("https://nematode.unl.edu/belap7.jpg")</f>
        <v>https://nematode.unl.edu/belap7.jpg</v>
      </c>
      <c r="D1555" t="s">
        <v>77</v>
      </c>
      <c r="G1555" t="s">
        <v>87</v>
      </c>
      <c r="I1555" t="s">
        <v>41</v>
      </c>
      <c r="J1555" t="s">
        <v>20</v>
      </c>
      <c r="M1555" t="s">
        <v>3242</v>
      </c>
      <c r="N1555" t="s">
        <v>3242</v>
      </c>
      <c r="O1555" t="s">
        <v>73</v>
      </c>
      <c r="P1555" t="s">
        <v>81</v>
      </c>
      <c r="Q1555" t="s">
        <v>733</v>
      </c>
      <c r="R1555" t="s">
        <v>3243</v>
      </c>
    </row>
    <row r="1556" spans="1:18" x14ac:dyDescent="0.25">
      <c r="A1556" t="s">
        <v>19434</v>
      </c>
      <c r="B1556" t="s">
        <v>3290</v>
      </c>
      <c r="C1556" t="str">
        <f>HYPERLINK("https://nematode.unl.edu/belap8.jpg")</f>
        <v>https://nematode.unl.edu/belap8.jpg</v>
      </c>
      <c r="D1556" t="s">
        <v>77</v>
      </c>
      <c r="G1556" t="s">
        <v>112</v>
      </c>
      <c r="I1556" t="s">
        <v>41</v>
      </c>
      <c r="J1556" t="s">
        <v>20</v>
      </c>
      <c r="L1556" t="s">
        <v>35</v>
      </c>
      <c r="M1556" t="s">
        <v>3242</v>
      </c>
      <c r="N1556" t="s">
        <v>3242</v>
      </c>
      <c r="O1556" t="s">
        <v>73</v>
      </c>
      <c r="P1556" t="s">
        <v>81</v>
      </c>
      <c r="Q1556" t="s">
        <v>733</v>
      </c>
      <c r="R1556" t="s">
        <v>3243</v>
      </c>
    </row>
    <row r="1557" spans="1:18" x14ac:dyDescent="0.25">
      <c r="A1557" t="s">
        <v>19414</v>
      </c>
      <c r="B1557" t="s">
        <v>3291</v>
      </c>
      <c r="C1557" t="str">
        <f>HYPERLINK("https://nematode.unl.edu/belap9.jpg")</f>
        <v>https://nematode.unl.edu/belap9.jpg</v>
      </c>
      <c r="D1557" t="s">
        <v>43</v>
      </c>
      <c r="G1557" t="s">
        <v>34</v>
      </c>
      <c r="H1557" t="s">
        <v>18</v>
      </c>
      <c r="I1557" t="s">
        <v>19</v>
      </c>
      <c r="J1557" t="s">
        <v>20</v>
      </c>
      <c r="L1557" t="s">
        <v>407</v>
      </c>
      <c r="M1557" t="s">
        <v>3242</v>
      </c>
      <c r="N1557" t="s">
        <v>3242</v>
      </c>
      <c r="O1557" t="s">
        <v>73</v>
      </c>
      <c r="P1557" t="s">
        <v>81</v>
      </c>
      <c r="Q1557" t="s">
        <v>733</v>
      </c>
      <c r="R1557" t="s">
        <v>3243</v>
      </c>
    </row>
    <row r="1558" spans="1:18" x14ac:dyDescent="0.25">
      <c r="A1558" t="s">
        <v>19425</v>
      </c>
      <c r="B1558" t="s">
        <v>3292</v>
      </c>
      <c r="C1558" t="str">
        <f>HYPERLINK("https://nematode.unl.edu/belapcmp.jpg")</f>
        <v>https://nematode.unl.edu/belapcmp.jpg</v>
      </c>
      <c r="G1558" t="s">
        <v>108</v>
      </c>
      <c r="M1558" t="s">
        <v>3242</v>
      </c>
      <c r="N1558" t="s">
        <v>3242</v>
      </c>
      <c r="O1558" t="s">
        <v>73</v>
      </c>
      <c r="P1558" t="s">
        <v>81</v>
      </c>
      <c r="Q1558" t="s">
        <v>733</v>
      </c>
      <c r="R1558" t="s">
        <v>3243</v>
      </c>
    </row>
    <row r="1559" spans="1:18" x14ac:dyDescent="0.25">
      <c r="A1559" t="s">
        <v>15853</v>
      </c>
      <c r="B1559" t="s">
        <v>3337</v>
      </c>
      <c r="C1559" t="str">
        <f>HYPERLINK("https://nematode.unl.edu/belons1.jpg")</f>
        <v>https://nematode.unl.edu/belons1.jpg</v>
      </c>
      <c r="D1559" t="s">
        <v>16</v>
      </c>
      <c r="G1559" t="s">
        <v>17</v>
      </c>
      <c r="H1559" t="s">
        <v>18</v>
      </c>
      <c r="I1559" t="s">
        <v>19</v>
      </c>
      <c r="J1559" t="s">
        <v>3338</v>
      </c>
      <c r="M1559" t="s">
        <v>3339</v>
      </c>
      <c r="N1559" t="s">
        <v>3339</v>
      </c>
      <c r="O1559" t="s">
        <v>23</v>
      </c>
      <c r="P1559" t="s">
        <v>24</v>
      </c>
      <c r="Q1559" t="s">
        <v>1071</v>
      </c>
      <c r="R1559" t="s">
        <v>3340</v>
      </c>
    </row>
    <row r="1560" spans="1:18" x14ac:dyDescent="0.25">
      <c r="A1560" t="s">
        <v>15855</v>
      </c>
      <c r="B1560" t="s">
        <v>3341</v>
      </c>
      <c r="C1560" t="str">
        <f>HYPERLINK("https://nematode.unl.edu/belons2.jpg")</f>
        <v>https://nematode.unl.edu/belons2.jpg</v>
      </c>
      <c r="D1560" t="s">
        <v>16</v>
      </c>
      <c r="G1560" t="s">
        <v>44</v>
      </c>
      <c r="I1560" t="s">
        <v>91</v>
      </c>
      <c r="J1560" t="s">
        <v>3338</v>
      </c>
      <c r="M1560" t="s">
        <v>3339</v>
      </c>
      <c r="N1560" t="s">
        <v>3339</v>
      </c>
      <c r="O1560" t="s">
        <v>23</v>
      </c>
      <c r="P1560" t="s">
        <v>24</v>
      </c>
      <c r="Q1560" t="s">
        <v>1071</v>
      </c>
      <c r="R1560" t="s">
        <v>3340</v>
      </c>
    </row>
    <row r="1561" spans="1:18" x14ac:dyDescent="0.25">
      <c r="A1561" t="s">
        <v>19462</v>
      </c>
      <c r="B1561" t="s">
        <v>3305</v>
      </c>
      <c r="C1561" t="str">
        <f>HYPERLINK("https://nematode.unl.edu/bepar1.jpg")</f>
        <v>https://nematode.unl.edu/bepar1.jpg</v>
      </c>
      <c r="D1561" t="s">
        <v>43</v>
      </c>
      <c r="G1561" t="s">
        <v>34</v>
      </c>
      <c r="H1561" t="s">
        <v>18</v>
      </c>
      <c r="I1561" t="s">
        <v>19</v>
      </c>
      <c r="J1561" t="s">
        <v>20</v>
      </c>
      <c r="M1561" t="s">
        <v>3306</v>
      </c>
      <c r="N1561" t="s">
        <v>3306</v>
      </c>
      <c r="O1561" t="s">
        <v>73</v>
      </c>
      <c r="P1561" t="s">
        <v>81</v>
      </c>
      <c r="Q1561" t="s">
        <v>733</v>
      </c>
      <c r="R1561" t="s">
        <v>3243</v>
      </c>
    </row>
    <row r="1562" spans="1:18" x14ac:dyDescent="0.25">
      <c r="A1562" t="s">
        <v>19475</v>
      </c>
      <c r="B1562" t="s">
        <v>3307</v>
      </c>
      <c r="C1562" t="str">
        <f>HYPERLINK("https://nematode.unl.edu/bepar10.jpg")</f>
        <v>https://nematode.unl.edu/bepar10.jpg</v>
      </c>
      <c r="D1562" t="s">
        <v>43</v>
      </c>
      <c r="G1562" t="s">
        <v>28</v>
      </c>
      <c r="I1562" t="s">
        <v>19</v>
      </c>
      <c r="J1562" t="s">
        <v>20</v>
      </c>
      <c r="M1562" t="s">
        <v>3306</v>
      </c>
      <c r="N1562" t="s">
        <v>3306</v>
      </c>
      <c r="O1562" t="s">
        <v>73</v>
      </c>
      <c r="P1562" t="s">
        <v>81</v>
      </c>
      <c r="Q1562" t="s">
        <v>733</v>
      </c>
      <c r="R1562" t="s">
        <v>3243</v>
      </c>
    </row>
    <row r="1563" spans="1:18" x14ac:dyDescent="0.25">
      <c r="A1563" t="s">
        <v>19471</v>
      </c>
      <c r="B1563" t="s">
        <v>3308</v>
      </c>
      <c r="C1563" t="str">
        <f>HYPERLINK("https://nematode.unl.edu/bepar11.jpg")</f>
        <v>https://nematode.unl.edu/bepar11.jpg</v>
      </c>
      <c r="D1563" t="s">
        <v>43</v>
      </c>
      <c r="G1563" t="s">
        <v>87</v>
      </c>
      <c r="I1563" t="s">
        <v>41</v>
      </c>
      <c r="J1563" t="s">
        <v>20</v>
      </c>
      <c r="M1563" t="s">
        <v>3306</v>
      </c>
      <c r="N1563" t="s">
        <v>3306</v>
      </c>
      <c r="O1563" t="s">
        <v>73</v>
      </c>
      <c r="P1563" t="s">
        <v>81</v>
      </c>
      <c r="Q1563" t="s">
        <v>733</v>
      </c>
      <c r="R1563" t="s">
        <v>3243</v>
      </c>
    </row>
    <row r="1564" spans="1:18" x14ac:dyDescent="0.25">
      <c r="A1564" t="s">
        <v>19483</v>
      </c>
      <c r="B1564" t="s">
        <v>3309</v>
      </c>
      <c r="C1564" t="str">
        <f>HYPERLINK("https://nematode.unl.edu/bepar12.jpg")</f>
        <v>https://nematode.unl.edu/bepar12.jpg</v>
      </c>
      <c r="D1564" t="s">
        <v>43</v>
      </c>
      <c r="G1564" t="s">
        <v>51</v>
      </c>
      <c r="I1564" t="s">
        <v>41</v>
      </c>
      <c r="J1564" t="s">
        <v>20</v>
      </c>
      <c r="M1564" t="s">
        <v>3306</v>
      </c>
      <c r="N1564" t="s">
        <v>3306</v>
      </c>
      <c r="O1564" t="s">
        <v>73</v>
      </c>
      <c r="P1564" t="s">
        <v>81</v>
      </c>
      <c r="Q1564" t="s">
        <v>733</v>
      </c>
      <c r="R1564" t="s">
        <v>3243</v>
      </c>
    </row>
    <row r="1565" spans="1:18" x14ac:dyDescent="0.25">
      <c r="A1565" t="s">
        <v>19476</v>
      </c>
      <c r="B1565" t="s">
        <v>3310</v>
      </c>
      <c r="C1565" t="str">
        <f>HYPERLINK("https://nematode.unl.edu/bepar13.jpg")</f>
        <v>https://nematode.unl.edu/bepar13.jpg</v>
      </c>
      <c r="D1565" t="s">
        <v>43</v>
      </c>
      <c r="G1565" t="s">
        <v>28</v>
      </c>
      <c r="I1565" t="s">
        <v>41</v>
      </c>
      <c r="J1565" t="s">
        <v>20</v>
      </c>
      <c r="M1565" t="s">
        <v>3306</v>
      </c>
      <c r="N1565" t="s">
        <v>3306</v>
      </c>
      <c r="O1565" t="s">
        <v>73</v>
      </c>
      <c r="P1565" t="s">
        <v>81</v>
      </c>
      <c r="Q1565" t="s">
        <v>733</v>
      </c>
      <c r="R1565" t="s">
        <v>3243</v>
      </c>
    </row>
    <row r="1566" spans="1:18" x14ac:dyDescent="0.25">
      <c r="A1566" t="s">
        <v>19458</v>
      </c>
      <c r="B1566" t="s">
        <v>3311</v>
      </c>
      <c r="C1566" t="str">
        <f>HYPERLINK("https://nematode.unl.edu/bepar14.jpg")</f>
        <v>https://nematode.unl.edu/bepar14.jpg</v>
      </c>
      <c r="D1566" t="s">
        <v>43</v>
      </c>
      <c r="G1566" t="s">
        <v>96</v>
      </c>
      <c r="H1566" t="s">
        <v>18</v>
      </c>
      <c r="I1566" t="s">
        <v>19</v>
      </c>
      <c r="J1566" t="s">
        <v>20</v>
      </c>
      <c r="L1566" t="s">
        <v>752</v>
      </c>
      <c r="M1566" t="s">
        <v>3306</v>
      </c>
      <c r="N1566" t="s">
        <v>3306</v>
      </c>
      <c r="O1566" t="s">
        <v>73</v>
      </c>
      <c r="P1566" t="s">
        <v>81</v>
      </c>
      <c r="Q1566" t="s">
        <v>733</v>
      </c>
      <c r="R1566" t="s">
        <v>3243</v>
      </c>
    </row>
    <row r="1567" spans="1:18" x14ac:dyDescent="0.25">
      <c r="A1567" t="s">
        <v>19484</v>
      </c>
      <c r="B1567" t="s">
        <v>3312</v>
      </c>
      <c r="C1567" t="str">
        <f>HYPERLINK("https://nematode.unl.edu/bepar15.jpg")</f>
        <v>https://nematode.unl.edu/bepar15.jpg</v>
      </c>
      <c r="D1567" t="s">
        <v>43</v>
      </c>
      <c r="G1567" t="s">
        <v>51</v>
      </c>
      <c r="I1567" t="s">
        <v>19</v>
      </c>
      <c r="J1567" t="s">
        <v>20</v>
      </c>
      <c r="L1567" t="s">
        <v>752</v>
      </c>
      <c r="M1567" t="s">
        <v>3306</v>
      </c>
      <c r="N1567" t="s">
        <v>3306</v>
      </c>
      <c r="O1567" t="s">
        <v>73</v>
      </c>
      <c r="P1567" t="s">
        <v>81</v>
      </c>
      <c r="Q1567" t="s">
        <v>733</v>
      </c>
      <c r="R1567" t="s">
        <v>3243</v>
      </c>
    </row>
    <row r="1568" spans="1:18" x14ac:dyDescent="0.25">
      <c r="A1568" t="s">
        <v>19477</v>
      </c>
      <c r="B1568" t="s">
        <v>3313</v>
      </c>
      <c r="C1568" t="str">
        <f>HYPERLINK("https://nematode.unl.edu/bepar16.jpg")</f>
        <v>https://nematode.unl.edu/bepar16.jpg</v>
      </c>
      <c r="D1568" t="s">
        <v>43</v>
      </c>
      <c r="G1568" t="s">
        <v>28</v>
      </c>
      <c r="I1568" t="s">
        <v>19</v>
      </c>
      <c r="J1568" t="s">
        <v>20</v>
      </c>
      <c r="L1568" t="s">
        <v>752</v>
      </c>
      <c r="M1568" t="s">
        <v>3306</v>
      </c>
      <c r="N1568" t="s">
        <v>3306</v>
      </c>
      <c r="O1568" t="s">
        <v>73</v>
      </c>
      <c r="P1568" t="s">
        <v>81</v>
      </c>
      <c r="Q1568" t="s">
        <v>733</v>
      </c>
      <c r="R1568" t="s">
        <v>3243</v>
      </c>
    </row>
    <row r="1569" spans="1:18" x14ac:dyDescent="0.25">
      <c r="A1569" t="s">
        <v>19459</v>
      </c>
      <c r="B1569" t="s">
        <v>3314</v>
      </c>
      <c r="C1569" t="str">
        <f>HYPERLINK("https://nematode.unl.edu/bepar17.jpg")</f>
        <v>https://nematode.unl.edu/bepar17.jpg</v>
      </c>
      <c r="D1569" t="s">
        <v>43</v>
      </c>
      <c r="G1569" t="s">
        <v>96</v>
      </c>
      <c r="H1569" t="s">
        <v>18</v>
      </c>
      <c r="I1569" t="s">
        <v>19</v>
      </c>
      <c r="J1569" t="s">
        <v>20</v>
      </c>
      <c r="L1569" t="s">
        <v>752</v>
      </c>
      <c r="M1569" t="s">
        <v>3306</v>
      </c>
      <c r="N1569" t="s">
        <v>3306</v>
      </c>
      <c r="O1569" t="s">
        <v>73</v>
      </c>
      <c r="P1569" t="s">
        <v>81</v>
      </c>
      <c r="Q1569" t="s">
        <v>733</v>
      </c>
      <c r="R1569" t="s">
        <v>3243</v>
      </c>
    </row>
    <row r="1570" spans="1:18" x14ac:dyDescent="0.25">
      <c r="A1570" t="s">
        <v>19485</v>
      </c>
      <c r="B1570" t="s">
        <v>3315</v>
      </c>
      <c r="C1570" t="str">
        <f>HYPERLINK("https://nematode.unl.edu/bepar18.jpg")</f>
        <v>https://nematode.unl.edu/bepar18.jpg</v>
      </c>
      <c r="D1570" t="s">
        <v>43</v>
      </c>
      <c r="G1570" t="s">
        <v>51</v>
      </c>
      <c r="I1570" t="s">
        <v>41</v>
      </c>
      <c r="J1570" t="s">
        <v>20</v>
      </c>
      <c r="M1570" t="s">
        <v>3306</v>
      </c>
      <c r="N1570" t="s">
        <v>3306</v>
      </c>
      <c r="O1570" t="s">
        <v>73</v>
      </c>
      <c r="P1570" t="s">
        <v>81</v>
      </c>
      <c r="Q1570" t="s">
        <v>733</v>
      </c>
      <c r="R1570" t="s">
        <v>3243</v>
      </c>
    </row>
    <row r="1571" spans="1:18" x14ac:dyDescent="0.25">
      <c r="A1571" t="s">
        <v>19463</v>
      </c>
      <c r="B1571" t="s">
        <v>3316</v>
      </c>
      <c r="C1571" t="str">
        <f>HYPERLINK("https://nematode.unl.edu/bepar19.jpg")</f>
        <v>https://nematode.unl.edu/bepar19.jpg</v>
      </c>
      <c r="D1571" t="s">
        <v>43</v>
      </c>
      <c r="G1571" t="s">
        <v>34</v>
      </c>
      <c r="H1571" t="s">
        <v>18</v>
      </c>
      <c r="I1571" t="s">
        <v>41</v>
      </c>
      <c r="J1571" t="s">
        <v>20</v>
      </c>
      <c r="M1571" t="s">
        <v>3306</v>
      </c>
      <c r="N1571" t="s">
        <v>3306</v>
      </c>
      <c r="O1571" t="s">
        <v>73</v>
      </c>
      <c r="P1571" t="s">
        <v>81</v>
      </c>
      <c r="Q1571" t="s">
        <v>733</v>
      </c>
      <c r="R1571" t="s">
        <v>3243</v>
      </c>
    </row>
    <row r="1572" spans="1:18" x14ac:dyDescent="0.25">
      <c r="A1572" t="s">
        <v>19478</v>
      </c>
      <c r="B1572" t="s">
        <v>3317</v>
      </c>
      <c r="C1572" t="str">
        <f>HYPERLINK("https://nematode.unl.edu/bepar2.jpg")</f>
        <v>https://nematode.unl.edu/bepar2.jpg</v>
      </c>
      <c r="D1572" t="s">
        <v>43</v>
      </c>
      <c r="G1572" t="s">
        <v>28</v>
      </c>
      <c r="I1572" t="s">
        <v>19</v>
      </c>
      <c r="J1572" t="s">
        <v>20</v>
      </c>
      <c r="M1572" t="s">
        <v>3306</v>
      </c>
      <c r="N1572" t="s">
        <v>3306</v>
      </c>
      <c r="O1572" t="s">
        <v>73</v>
      </c>
      <c r="P1572" t="s">
        <v>81</v>
      </c>
      <c r="Q1572" t="s">
        <v>733</v>
      </c>
      <c r="R1572" t="s">
        <v>3243</v>
      </c>
    </row>
    <row r="1573" spans="1:18" x14ac:dyDescent="0.25">
      <c r="A1573" t="s">
        <v>19460</v>
      </c>
      <c r="B1573" t="s">
        <v>3318</v>
      </c>
      <c r="C1573" t="str">
        <f>HYPERLINK("https://nematode.unl.edu/bepar20.jpg")</f>
        <v>https://nematode.unl.edu/bepar20.jpg</v>
      </c>
      <c r="D1573" t="s">
        <v>43</v>
      </c>
      <c r="G1573" t="s">
        <v>96</v>
      </c>
      <c r="H1573" t="s">
        <v>18</v>
      </c>
      <c r="I1573" t="s">
        <v>19</v>
      </c>
      <c r="J1573" t="s">
        <v>20</v>
      </c>
      <c r="M1573" t="s">
        <v>3306</v>
      </c>
      <c r="N1573" t="s">
        <v>3306</v>
      </c>
      <c r="O1573" t="s">
        <v>73</v>
      </c>
      <c r="P1573" t="s">
        <v>81</v>
      </c>
      <c r="Q1573" t="s">
        <v>733</v>
      </c>
      <c r="R1573" t="s">
        <v>3243</v>
      </c>
    </row>
    <row r="1574" spans="1:18" x14ac:dyDescent="0.25">
      <c r="A1574" t="s">
        <v>19479</v>
      </c>
      <c r="B1574" t="s">
        <v>3319</v>
      </c>
      <c r="C1574" t="str">
        <f>HYPERLINK("https://nematode.unl.edu/bepar21.jpg")</f>
        <v>https://nematode.unl.edu/bepar21.jpg</v>
      </c>
      <c r="D1574" t="s">
        <v>43</v>
      </c>
      <c r="G1574" t="s">
        <v>28</v>
      </c>
      <c r="I1574" t="s">
        <v>19</v>
      </c>
      <c r="J1574" t="s">
        <v>20</v>
      </c>
      <c r="M1574" t="s">
        <v>3306</v>
      </c>
      <c r="N1574" t="s">
        <v>3306</v>
      </c>
      <c r="O1574" t="s">
        <v>73</v>
      </c>
      <c r="P1574" t="s">
        <v>81</v>
      </c>
      <c r="Q1574" t="s">
        <v>733</v>
      </c>
      <c r="R1574" t="s">
        <v>3243</v>
      </c>
    </row>
    <row r="1575" spans="1:18" x14ac:dyDescent="0.25">
      <c r="A1575" t="s">
        <v>19486</v>
      </c>
      <c r="B1575" t="s">
        <v>3320</v>
      </c>
      <c r="C1575" t="str">
        <f>HYPERLINK("https://nematode.unl.edu/bepar22.jpg")</f>
        <v>https://nematode.unl.edu/bepar22.jpg</v>
      </c>
      <c r="D1575" t="s">
        <v>43</v>
      </c>
      <c r="G1575" t="s">
        <v>51</v>
      </c>
      <c r="I1575" t="s">
        <v>19</v>
      </c>
      <c r="J1575" t="s">
        <v>20</v>
      </c>
      <c r="M1575" t="s">
        <v>3306</v>
      </c>
      <c r="N1575" t="s">
        <v>3306</v>
      </c>
      <c r="O1575" t="s">
        <v>73</v>
      </c>
      <c r="P1575" t="s">
        <v>81</v>
      </c>
      <c r="Q1575" t="s">
        <v>733</v>
      </c>
      <c r="R1575" t="s">
        <v>3243</v>
      </c>
    </row>
    <row r="1576" spans="1:18" x14ac:dyDescent="0.25">
      <c r="A1576" t="s">
        <v>19464</v>
      </c>
      <c r="B1576" t="s">
        <v>3321</v>
      </c>
      <c r="C1576" t="str">
        <f>HYPERLINK("https://nematode.unl.edu/bepar23.jpg")</f>
        <v>https://nematode.unl.edu/bepar23.jpg</v>
      </c>
      <c r="D1576" t="s">
        <v>43</v>
      </c>
      <c r="G1576" t="s">
        <v>34</v>
      </c>
      <c r="H1576" t="s">
        <v>18</v>
      </c>
      <c r="I1576" t="s">
        <v>19</v>
      </c>
      <c r="J1576" t="s">
        <v>20</v>
      </c>
      <c r="L1576" t="s">
        <v>85</v>
      </c>
      <c r="M1576" t="s">
        <v>3306</v>
      </c>
      <c r="N1576" t="s">
        <v>3306</v>
      </c>
      <c r="O1576" t="s">
        <v>73</v>
      </c>
      <c r="P1576" t="s">
        <v>81</v>
      </c>
      <c r="Q1576" t="s">
        <v>733</v>
      </c>
      <c r="R1576" t="s">
        <v>3243</v>
      </c>
    </row>
    <row r="1577" spans="1:18" x14ac:dyDescent="0.25">
      <c r="A1577" t="s">
        <v>19465</v>
      </c>
      <c r="B1577" t="s">
        <v>3322</v>
      </c>
      <c r="C1577" t="str">
        <f>HYPERLINK("https://nematode.unl.edu/bepar24.jpg")</f>
        <v>https://nematode.unl.edu/bepar24.jpg</v>
      </c>
      <c r="D1577" t="s">
        <v>43</v>
      </c>
      <c r="G1577" t="s">
        <v>34</v>
      </c>
      <c r="H1577" t="s">
        <v>18</v>
      </c>
      <c r="I1577" t="s">
        <v>19</v>
      </c>
      <c r="J1577" t="s">
        <v>20</v>
      </c>
      <c r="L1577" t="s">
        <v>85</v>
      </c>
      <c r="M1577" t="s">
        <v>3306</v>
      </c>
      <c r="N1577" t="s">
        <v>3306</v>
      </c>
      <c r="O1577" t="s">
        <v>73</v>
      </c>
      <c r="P1577" t="s">
        <v>81</v>
      </c>
      <c r="Q1577" t="s">
        <v>733</v>
      </c>
      <c r="R1577" t="s">
        <v>3243</v>
      </c>
    </row>
    <row r="1578" spans="1:18" x14ac:dyDescent="0.25">
      <c r="A1578" t="s">
        <v>19480</v>
      </c>
      <c r="B1578" t="s">
        <v>3323</v>
      </c>
      <c r="C1578" t="str">
        <f>HYPERLINK("https://nematode.unl.edu/bepar25.jpg")</f>
        <v>https://nematode.unl.edu/bepar25.jpg</v>
      </c>
      <c r="D1578" t="s">
        <v>43</v>
      </c>
      <c r="G1578" t="s">
        <v>28</v>
      </c>
      <c r="I1578" t="s">
        <v>19</v>
      </c>
      <c r="J1578" t="s">
        <v>20</v>
      </c>
      <c r="M1578" t="s">
        <v>3306</v>
      </c>
      <c r="N1578" t="s">
        <v>3306</v>
      </c>
      <c r="O1578" t="s">
        <v>73</v>
      </c>
      <c r="P1578" t="s">
        <v>81</v>
      </c>
      <c r="Q1578" t="s">
        <v>733</v>
      </c>
      <c r="R1578" t="s">
        <v>3243</v>
      </c>
    </row>
    <row r="1579" spans="1:18" x14ac:dyDescent="0.25">
      <c r="A1579" t="s">
        <v>19466</v>
      </c>
      <c r="B1579" t="s">
        <v>3324</v>
      </c>
      <c r="C1579" t="str">
        <f>HYPERLINK("https://nematode.unl.edu/bepar26.jpg")</f>
        <v>https://nematode.unl.edu/bepar26.jpg</v>
      </c>
      <c r="D1579" t="s">
        <v>16</v>
      </c>
      <c r="G1579" t="s">
        <v>34</v>
      </c>
      <c r="H1579" t="s">
        <v>18</v>
      </c>
      <c r="I1579" t="s">
        <v>19</v>
      </c>
      <c r="J1579" t="s">
        <v>20</v>
      </c>
      <c r="M1579" t="s">
        <v>3306</v>
      </c>
      <c r="N1579" t="s">
        <v>3306</v>
      </c>
      <c r="O1579" t="s">
        <v>73</v>
      </c>
      <c r="P1579" t="s">
        <v>81</v>
      </c>
      <c r="Q1579" t="s">
        <v>733</v>
      </c>
      <c r="R1579" t="s">
        <v>3243</v>
      </c>
    </row>
    <row r="1580" spans="1:18" x14ac:dyDescent="0.25">
      <c r="A1580" t="s">
        <v>19481</v>
      </c>
      <c r="B1580" t="s">
        <v>3325</v>
      </c>
      <c r="C1580" t="str">
        <f>HYPERLINK("https://nematode.unl.edu/bepar27.jpg")</f>
        <v>https://nematode.unl.edu/bepar27.jpg</v>
      </c>
      <c r="D1580" t="s">
        <v>16</v>
      </c>
      <c r="G1580" t="s">
        <v>28</v>
      </c>
      <c r="I1580" t="s">
        <v>19</v>
      </c>
      <c r="J1580" t="s">
        <v>20</v>
      </c>
      <c r="M1580" t="s">
        <v>3306</v>
      </c>
      <c r="N1580" t="s">
        <v>3306</v>
      </c>
      <c r="O1580" t="s">
        <v>73</v>
      </c>
      <c r="P1580" t="s">
        <v>81</v>
      </c>
      <c r="Q1580" t="s">
        <v>733</v>
      </c>
      <c r="R1580" t="s">
        <v>3243</v>
      </c>
    </row>
    <row r="1581" spans="1:18" x14ac:dyDescent="0.25">
      <c r="A1581" t="s">
        <v>19467</v>
      </c>
      <c r="B1581" t="s">
        <v>3326</v>
      </c>
      <c r="C1581" t="str">
        <f>HYPERLINK("https://nematode.unl.edu/bepar28.jpg")</f>
        <v>https://nematode.unl.edu/bepar28.jpg</v>
      </c>
      <c r="D1581" t="s">
        <v>16</v>
      </c>
      <c r="G1581" t="s">
        <v>34</v>
      </c>
      <c r="H1581" t="s">
        <v>18</v>
      </c>
      <c r="I1581" t="s">
        <v>19</v>
      </c>
      <c r="J1581" t="s">
        <v>20</v>
      </c>
      <c r="M1581" t="s">
        <v>3306</v>
      </c>
      <c r="N1581" t="s">
        <v>3306</v>
      </c>
      <c r="O1581" t="s">
        <v>73</v>
      </c>
      <c r="P1581" t="s">
        <v>81</v>
      </c>
      <c r="Q1581" t="s">
        <v>733</v>
      </c>
      <c r="R1581" t="s">
        <v>3243</v>
      </c>
    </row>
    <row r="1582" spans="1:18" x14ac:dyDescent="0.25">
      <c r="A1582" t="s">
        <v>19468</v>
      </c>
      <c r="B1582" t="s">
        <v>3327</v>
      </c>
      <c r="C1582" t="str">
        <f>HYPERLINK("https://nematode.unl.edu/bepar29.jpg")</f>
        <v>https://nematode.unl.edu/bepar29.jpg</v>
      </c>
      <c r="D1582" t="s">
        <v>16</v>
      </c>
      <c r="G1582" t="s">
        <v>34</v>
      </c>
      <c r="H1582" t="s">
        <v>18</v>
      </c>
      <c r="I1582" t="s">
        <v>19</v>
      </c>
      <c r="J1582" t="s">
        <v>20</v>
      </c>
      <c r="M1582" t="s">
        <v>3306</v>
      </c>
      <c r="N1582" t="s">
        <v>3306</v>
      </c>
      <c r="O1582" t="s">
        <v>73</v>
      </c>
      <c r="P1582" t="s">
        <v>81</v>
      </c>
      <c r="Q1582" t="s">
        <v>733</v>
      </c>
      <c r="R1582" t="s">
        <v>3243</v>
      </c>
    </row>
    <row r="1583" spans="1:18" x14ac:dyDescent="0.25">
      <c r="A1583" t="s">
        <v>19469</v>
      </c>
      <c r="B1583" t="s">
        <v>3328</v>
      </c>
      <c r="C1583" t="str">
        <f>HYPERLINK("https://nematode.unl.edu/bepar3.jpg")</f>
        <v>https://nematode.unl.edu/bepar3.jpg</v>
      </c>
      <c r="D1583" t="s">
        <v>43</v>
      </c>
      <c r="G1583" t="s">
        <v>34</v>
      </c>
      <c r="H1583" t="s">
        <v>18</v>
      </c>
      <c r="I1583" t="s">
        <v>41</v>
      </c>
      <c r="J1583" t="s">
        <v>20</v>
      </c>
      <c r="M1583" t="s">
        <v>3306</v>
      </c>
      <c r="N1583" t="s">
        <v>3306</v>
      </c>
      <c r="O1583" t="s">
        <v>73</v>
      </c>
      <c r="P1583" t="s">
        <v>81</v>
      </c>
      <c r="Q1583" t="s">
        <v>733</v>
      </c>
      <c r="R1583" t="s">
        <v>3243</v>
      </c>
    </row>
    <row r="1584" spans="1:18" x14ac:dyDescent="0.25">
      <c r="A1584" t="s">
        <v>19482</v>
      </c>
      <c r="B1584" t="s">
        <v>3329</v>
      </c>
      <c r="C1584" t="str">
        <f>HYPERLINK("https://nematode.unl.edu/bepar30.jpg")</f>
        <v>https://nematode.unl.edu/bepar30.jpg</v>
      </c>
      <c r="D1584" t="s">
        <v>16</v>
      </c>
      <c r="G1584" t="s">
        <v>28</v>
      </c>
      <c r="I1584" t="s">
        <v>19</v>
      </c>
      <c r="J1584" t="s">
        <v>20</v>
      </c>
      <c r="M1584" t="s">
        <v>3306</v>
      </c>
      <c r="N1584" t="s">
        <v>3306</v>
      </c>
      <c r="O1584" t="s">
        <v>73</v>
      </c>
      <c r="P1584" t="s">
        <v>81</v>
      </c>
      <c r="Q1584" t="s">
        <v>733</v>
      </c>
      <c r="R1584" t="s">
        <v>3243</v>
      </c>
    </row>
    <row r="1585" spans="1:18" x14ac:dyDescent="0.25">
      <c r="A1585" t="s">
        <v>19470</v>
      </c>
      <c r="B1585" t="s">
        <v>3330</v>
      </c>
      <c r="C1585" t="str">
        <f>HYPERLINK("https://nematode.unl.edu/bepar4.jpg")</f>
        <v>https://nematode.unl.edu/bepar4.jpg</v>
      </c>
      <c r="D1585" t="s">
        <v>43</v>
      </c>
      <c r="G1585" t="s">
        <v>2974</v>
      </c>
      <c r="I1585" t="s">
        <v>41</v>
      </c>
      <c r="J1585" t="s">
        <v>20</v>
      </c>
      <c r="L1585" t="s">
        <v>85</v>
      </c>
      <c r="M1585" t="s">
        <v>3306</v>
      </c>
      <c r="N1585" t="s">
        <v>3306</v>
      </c>
      <c r="O1585" t="s">
        <v>73</v>
      </c>
      <c r="P1585" t="s">
        <v>81</v>
      </c>
      <c r="Q1585" t="s">
        <v>733</v>
      </c>
      <c r="R1585" t="s">
        <v>3243</v>
      </c>
    </row>
    <row r="1586" spans="1:18" x14ac:dyDescent="0.25">
      <c r="A1586" t="s">
        <v>19472</v>
      </c>
      <c r="B1586" t="s">
        <v>3331</v>
      </c>
      <c r="C1586" t="str">
        <f>HYPERLINK("https://nematode.unl.edu/bepar5.jpg")</f>
        <v>https://nematode.unl.edu/bepar5.jpg</v>
      </c>
      <c r="D1586" t="s">
        <v>43</v>
      </c>
      <c r="G1586" t="s">
        <v>87</v>
      </c>
      <c r="I1586" t="s">
        <v>41</v>
      </c>
      <c r="J1586" t="s">
        <v>20</v>
      </c>
      <c r="L1586" t="s">
        <v>85</v>
      </c>
      <c r="M1586" t="s">
        <v>3306</v>
      </c>
      <c r="N1586" t="s">
        <v>3306</v>
      </c>
      <c r="O1586" t="s">
        <v>73</v>
      </c>
      <c r="P1586" t="s">
        <v>81</v>
      </c>
      <c r="Q1586" t="s">
        <v>733</v>
      </c>
      <c r="R1586" t="s">
        <v>3243</v>
      </c>
    </row>
    <row r="1587" spans="1:18" x14ac:dyDescent="0.25">
      <c r="A1587" t="s">
        <v>19487</v>
      </c>
      <c r="B1587" t="s">
        <v>3332</v>
      </c>
      <c r="C1587" t="str">
        <f>HYPERLINK("https://nematode.unl.edu/bepar6.jpg")</f>
        <v>https://nematode.unl.edu/bepar6.jpg</v>
      </c>
      <c r="D1587" t="s">
        <v>43</v>
      </c>
      <c r="G1587" t="s">
        <v>51</v>
      </c>
      <c r="I1587" t="s">
        <v>41</v>
      </c>
      <c r="J1587" t="s">
        <v>20</v>
      </c>
      <c r="L1587" t="s">
        <v>85</v>
      </c>
      <c r="M1587" t="s">
        <v>3306</v>
      </c>
      <c r="N1587" t="s">
        <v>3306</v>
      </c>
      <c r="O1587" t="s">
        <v>73</v>
      </c>
      <c r="P1587" t="s">
        <v>81</v>
      </c>
      <c r="Q1587" t="s">
        <v>733</v>
      </c>
      <c r="R1587" t="s">
        <v>3243</v>
      </c>
    </row>
    <row r="1588" spans="1:18" x14ac:dyDescent="0.25">
      <c r="A1588" t="s">
        <v>19473</v>
      </c>
      <c r="B1588" t="s">
        <v>3333</v>
      </c>
      <c r="C1588" t="str">
        <f>HYPERLINK("https://nematode.unl.edu/bepar7.jpg")</f>
        <v>https://nematode.unl.edu/bepar7.jpg</v>
      </c>
      <c r="D1588" t="s">
        <v>43</v>
      </c>
      <c r="G1588" t="s">
        <v>44</v>
      </c>
      <c r="I1588" t="s">
        <v>45</v>
      </c>
      <c r="J1588" t="s">
        <v>20</v>
      </c>
      <c r="L1588" t="s">
        <v>85</v>
      </c>
      <c r="M1588" t="s">
        <v>3306</v>
      </c>
      <c r="N1588" t="s">
        <v>3306</v>
      </c>
      <c r="O1588" t="s">
        <v>73</v>
      </c>
      <c r="P1588" t="s">
        <v>81</v>
      </c>
      <c r="Q1588" t="s">
        <v>733</v>
      </c>
      <c r="R1588" t="s">
        <v>3243</v>
      </c>
    </row>
    <row r="1589" spans="1:18" x14ac:dyDescent="0.25">
      <c r="A1589" t="s">
        <v>19461</v>
      </c>
      <c r="B1589" t="s">
        <v>3334</v>
      </c>
      <c r="C1589" t="str">
        <f>HYPERLINK("https://nematode.unl.edu/bepar8.jpg")</f>
        <v>https://nematode.unl.edu/bepar8.jpg</v>
      </c>
      <c r="D1589" t="s">
        <v>43</v>
      </c>
      <c r="G1589" t="s">
        <v>96</v>
      </c>
      <c r="H1589" t="s">
        <v>18</v>
      </c>
      <c r="I1589" t="s">
        <v>19</v>
      </c>
      <c r="J1589" t="s">
        <v>20</v>
      </c>
      <c r="L1589" t="s">
        <v>85</v>
      </c>
      <c r="M1589" t="s">
        <v>3306</v>
      </c>
      <c r="N1589" t="s">
        <v>3306</v>
      </c>
      <c r="O1589" t="s">
        <v>73</v>
      </c>
      <c r="P1589" t="s">
        <v>81</v>
      </c>
      <c r="Q1589" t="s">
        <v>733</v>
      </c>
      <c r="R1589" t="s">
        <v>3243</v>
      </c>
    </row>
    <row r="1590" spans="1:18" x14ac:dyDescent="0.25">
      <c r="A1590" t="s">
        <v>19488</v>
      </c>
      <c r="B1590" t="s">
        <v>3335</v>
      </c>
      <c r="C1590" t="str">
        <f>HYPERLINK("https://nematode.unl.edu/bepar9.jpg")</f>
        <v>https://nematode.unl.edu/bepar9.jpg</v>
      </c>
      <c r="D1590" t="s">
        <v>43</v>
      </c>
      <c r="G1590" t="s">
        <v>51</v>
      </c>
      <c r="I1590" t="s">
        <v>19</v>
      </c>
      <c r="J1590" t="s">
        <v>20</v>
      </c>
      <c r="M1590" t="s">
        <v>3306</v>
      </c>
      <c r="N1590" t="s">
        <v>3306</v>
      </c>
      <c r="O1590" t="s">
        <v>73</v>
      </c>
      <c r="P1590" t="s">
        <v>81</v>
      </c>
      <c r="Q1590" t="s">
        <v>733</v>
      </c>
      <c r="R1590" t="s">
        <v>3243</v>
      </c>
    </row>
    <row r="1591" spans="1:18" x14ac:dyDescent="0.25">
      <c r="A1591" t="s">
        <v>19474</v>
      </c>
      <c r="B1591" t="s">
        <v>3336</v>
      </c>
      <c r="C1591" t="str">
        <f>HYPERLINK("https://nematode.unl.edu/beparcmp.jpg")</f>
        <v>https://nematode.unl.edu/beparcmp.jpg</v>
      </c>
      <c r="D1591" t="s">
        <v>43</v>
      </c>
      <c r="G1591" t="s">
        <v>108</v>
      </c>
      <c r="M1591" t="s">
        <v>3306</v>
      </c>
      <c r="N1591" t="s">
        <v>3306</v>
      </c>
      <c r="O1591" t="s">
        <v>73</v>
      </c>
      <c r="P1591" t="s">
        <v>81</v>
      </c>
      <c r="Q1591" t="s">
        <v>733</v>
      </c>
      <c r="R1591" t="s">
        <v>3243</v>
      </c>
    </row>
    <row r="1592" spans="1:18" x14ac:dyDescent="0.25">
      <c r="A1592" t="s">
        <v>13611</v>
      </c>
      <c r="B1592" t="s">
        <v>3096</v>
      </c>
      <c r="C1592" t="str">
        <f>HYPERLINK("https://nematode.unl.edu/binaequa1.jpg")</f>
        <v>https://nematode.unl.edu/binaequa1.jpg</v>
      </c>
      <c r="D1592" t="s">
        <v>16</v>
      </c>
      <c r="G1592" t="s">
        <v>44</v>
      </c>
      <c r="I1592" t="s">
        <v>19</v>
      </c>
      <c r="J1592" t="s">
        <v>3097</v>
      </c>
      <c r="M1592" t="s">
        <v>3062</v>
      </c>
      <c r="N1592" t="s">
        <v>3062</v>
      </c>
      <c r="O1592" t="s">
        <v>23</v>
      </c>
      <c r="P1592" t="s">
        <v>24</v>
      </c>
      <c r="Q1592" t="s">
        <v>642</v>
      </c>
      <c r="R1592" t="s">
        <v>3063</v>
      </c>
    </row>
    <row r="1593" spans="1:18" x14ac:dyDescent="0.25">
      <c r="A1593" t="s">
        <v>13601</v>
      </c>
      <c r="B1593" t="s">
        <v>3098</v>
      </c>
      <c r="C1593" t="str">
        <f>HYPERLINK("https://nematode.unl.edu/binaequa10.jpg")</f>
        <v>https://nematode.unl.edu/binaequa10.jpg</v>
      </c>
      <c r="D1593" t="s">
        <v>43</v>
      </c>
      <c r="G1593" t="s">
        <v>34</v>
      </c>
      <c r="H1593" t="s">
        <v>18</v>
      </c>
      <c r="I1593" t="s">
        <v>41</v>
      </c>
      <c r="J1593" t="s">
        <v>3097</v>
      </c>
      <c r="M1593" t="s">
        <v>3062</v>
      </c>
      <c r="N1593" t="s">
        <v>3062</v>
      </c>
      <c r="O1593" t="s">
        <v>23</v>
      </c>
      <c r="P1593" t="s">
        <v>24</v>
      </c>
      <c r="Q1593" t="s">
        <v>642</v>
      </c>
      <c r="R1593" t="s">
        <v>3063</v>
      </c>
    </row>
    <row r="1594" spans="1:18" x14ac:dyDescent="0.25">
      <c r="A1594" t="s">
        <v>13631</v>
      </c>
      <c r="B1594" t="s">
        <v>3099</v>
      </c>
      <c r="C1594" t="str">
        <f>HYPERLINK("https://nematode.unl.edu/binaequa11.jpg")</f>
        <v>https://nematode.unl.edu/binaequa11.jpg</v>
      </c>
      <c r="D1594" t="s">
        <v>43</v>
      </c>
      <c r="G1594" t="s">
        <v>28</v>
      </c>
      <c r="I1594" t="s">
        <v>41</v>
      </c>
      <c r="J1594" t="s">
        <v>3097</v>
      </c>
      <c r="M1594" t="s">
        <v>3062</v>
      </c>
      <c r="N1594" t="s">
        <v>3062</v>
      </c>
      <c r="O1594" t="s">
        <v>23</v>
      </c>
      <c r="P1594" t="s">
        <v>24</v>
      </c>
      <c r="Q1594" t="s">
        <v>642</v>
      </c>
      <c r="R1594" t="s">
        <v>3063</v>
      </c>
    </row>
    <row r="1595" spans="1:18" x14ac:dyDescent="0.25">
      <c r="A1595" t="s">
        <v>13640</v>
      </c>
      <c r="B1595" t="s">
        <v>3100</v>
      </c>
      <c r="C1595" t="str">
        <f>HYPERLINK("https://nematode.unl.edu/binaequa12.jpg")</f>
        <v>https://nematode.unl.edu/binaequa12.jpg</v>
      </c>
      <c r="D1595" t="s">
        <v>43</v>
      </c>
      <c r="G1595" t="s">
        <v>51</v>
      </c>
      <c r="I1595" t="s">
        <v>41</v>
      </c>
      <c r="J1595" t="s">
        <v>3097</v>
      </c>
      <c r="M1595" t="s">
        <v>3062</v>
      </c>
      <c r="N1595" t="s">
        <v>3062</v>
      </c>
      <c r="O1595" t="s">
        <v>23</v>
      </c>
      <c r="P1595" t="s">
        <v>24</v>
      </c>
      <c r="Q1595" t="s">
        <v>642</v>
      </c>
      <c r="R1595" t="s">
        <v>3063</v>
      </c>
    </row>
    <row r="1596" spans="1:18" x14ac:dyDescent="0.25">
      <c r="A1596" t="s">
        <v>13623</v>
      </c>
      <c r="B1596" t="s">
        <v>3101</v>
      </c>
      <c r="C1596" t="str">
        <f>HYPERLINK("https://nematode.unl.edu/binaequa13.jpg")</f>
        <v>https://nematode.unl.edu/binaequa13.jpg</v>
      </c>
      <c r="D1596" t="s">
        <v>43</v>
      </c>
      <c r="G1596" t="s">
        <v>3102</v>
      </c>
      <c r="I1596" t="s">
        <v>41</v>
      </c>
      <c r="J1596" t="s">
        <v>3097</v>
      </c>
      <c r="M1596" t="s">
        <v>3062</v>
      </c>
      <c r="N1596" t="s">
        <v>3062</v>
      </c>
      <c r="O1596" t="s">
        <v>23</v>
      </c>
      <c r="P1596" t="s">
        <v>24</v>
      </c>
      <c r="Q1596" t="s">
        <v>642</v>
      </c>
      <c r="R1596" t="s">
        <v>3063</v>
      </c>
    </row>
    <row r="1597" spans="1:18" x14ac:dyDescent="0.25">
      <c r="A1597" t="s">
        <v>13627</v>
      </c>
      <c r="B1597" t="s">
        <v>3103</v>
      </c>
      <c r="C1597" t="str">
        <f>HYPERLINK("https://nematode.unl.edu/binaequa14.jpg")</f>
        <v>https://nematode.unl.edu/binaequa14.jpg</v>
      </c>
      <c r="D1597" t="s">
        <v>43</v>
      </c>
      <c r="G1597" t="s">
        <v>1469</v>
      </c>
      <c r="I1597" t="s">
        <v>41</v>
      </c>
      <c r="J1597" t="s">
        <v>3097</v>
      </c>
      <c r="M1597" t="s">
        <v>3062</v>
      </c>
      <c r="N1597" t="s">
        <v>3062</v>
      </c>
      <c r="O1597" t="s">
        <v>23</v>
      </c>
      <c r="P1597" t="s">
        <v>24</v>
      </c>
      <c r="Q1597" t="s">
        <v>642</v>
      </c>
      <c r="R1597" t="s">
        <v>3063</v>
      </c>
    </row>
    <row r="1598" spans="1:18" x14ac:dyDescent="0.25">
      <c r="A1598" t="s">
        <v>13641</v>
      </c>
      <c r="B1598" t="s">
        <v>3104</v>
      </c>
      <c r="C1598" t="str">
        <f>HYPERLINK("https://nematode.unl.edu/binaequa15.jpg")</f>
        <v>https://nematode.unl.edu/binaequa15.jpg</v>
      </c>
      <c r="D1598" t="s">
        <v>43</v>
      </c>
      <c r="G1598" t="s">
        <v>51</v>
      </c>
      <c r="I1598" t="s">
        <v>41</v>
      </c>
      <c r="J1598" t="s">
        <v>3097</v>
      </c>
      <c r="M1598" t="s">
        <v>3062</v>
      </c>
      <c r="N1598" t="s">
        <v>3062</v>
      </c>
      <c r="O1598" t="s">
        <v>23</v>
      </c>
      <c r="P1598" t="s">
        <v>24</v>
      </c>
      <c r="Q1598" t="s">
        <v>642</v>
      </c>
      <c r="R1598" t="s">
        <v>3063</v>
      </c>
    </row>
    <row r="1599" spans="1:18" x14ac:dyDescent="0.25">
      <c r="A1599" t="s">
        <v>13612</v>
      </c>
      <c r="B1599" t="s">
        <v>3105</v>
      </c>
      <c r="C1599" t="str">
        <f>HYPERLINK("https://nematode.unl.edu/binaequa2.jpg")</f>
        <v>https://nematode.unl.edu/binaequa2.jpg</v>
      </c>
      <c r="D1599" t="s">
        <v>16</v>
      </c>
      <c r="G1599" t="s">
        <v>44</v>
      </c>
      <c r="I1599" t="s">
        <v>19</v>
      </c>
      <c r="J1599" t="s">
        <v>3097</v>
      </c>
      <c r="M1599" t="s">
        <v>3062</v>
      </c>
      <c r="N1599" t="s">
        <v>3062</v>
      </c>
      <c r="O1599" t="s">
        <v>23</v>
      </c>
      <c r="P1599" t="s">
        <v>24</v>
      </c>
      <c r="Q1599" t="s">
        <v>642</v>
      </c>
      <c r="R1599" t="s">
        <v>3063</v>
      </c>
    </row>
    <row r="1600" spans="1:18" x14ac:dyDescent="0.25">
      <c r="A1600" t="s">
        <v>13613</v>
      </c>
      <c r="B1600" t="s">
        <v>3106</v>
      </c>
      <c r="C1600" t="str">
        <f>HYPERLINK("https://nematode.unl.edu/binaequa3.jpg")</f>
        <v>https://nematode.unl.edu/binaequa3.jpg</v>
      </c>
      <c r="D1600" t="s">
        <v>77</v>
      </c>
      <c r="G1600" t="s">
        <v>44</v>
      </c>
      <c r="I1600" t="s">
        <v>19</v>
      </c>
      <c r="J1600" t="s">
        <v>3097</v>
      </c>
      <c r="M1600" t="s">
        <v>3062</v>
      </c>
      <c r="N1600" t="s">
        <v>3062</v>
      </c>
      <c r="O1600" t="s">
        <v>23</v>
      </c>
      <c r="P1600" t="s">
        <v>24</v>
      </c>
      <c r="Q1600" t="s">
        <v>642</v>
      </c>
      <c r="R1600" t="s">
        <v>3063</v>
      </c>
    </row>
    <row r="1601" spans="1:18" x14ac:dyDescent="0.25">
      <c r="A1601" t="s">
        <v>13595</v>
      </c>
      <c r="B1601" t="s">
        <v>3107</v>
      </c>
      <c r="C1601" t="str">
        <f>HYPERLINK("https://nematode.unl.edu/binaequa4.jpg")</f>
        <v>https://nematode.unl.edu/binaequa4.jpg</v>
      </c>
      <c r="D1601" t="s">
        <v>77</v>
      </c>
      <c r="G1601" t="s">
        <v>96</v>
      </c>
      <c r="H1601" t="s">
        <v>18</v>
      </c>
      <c r="I1601" t="s">
        <v>41</v>
      </c>
      <c r="J1601" t="s">
        <v>3097</v>
      </c>
      <c r="M1601" t="s">
        <v>3062</v>
      </c>
      <c r="N1601" t="s">
        <v>3062</v>
      </c>
      <c r="O1601" t="s">
        <v>23</v>
      </c>
      <c r="P1601" t="s">
        <v>24</v>
      </c>
      <c r="Q1601" t="s">
        <v>642</v>
      </c>
      <c r="R1601" t="s">
        <v>3063</v>
      </c>
    </row>
    <row r="1602" spans="1:18" x14ac:dyDescent="0.25">
      <c r="A1602" t="s">
        <v>13622</v>
      </c>
      <c r="B1602" t="s">
        <v>3108</v>
      </c>
      <c r="C1602" t="str">
        <f>HYPERLINK("https://nematode.unl.edu/binaequa5.jpg")</f>
        <v>https://nematode.unl.edu/binaequa5.jpg</v>
      </c>
      <c r="D1602" t="s">
        <v>77</v>
      </c>
      <c r="G1602" t="s">
        <v>178</v>
      </c>
      <c r="I1602" t="s">
        <v>41</v>
      </c>
      <c r="J1602" t="s">
        <v>3097</v>
      </c>
      <c r="M1602" t="s">
        <v>3062</v>
      </c>
      <c r="N1602" t="s">
        <v>3062</v>
      </c>
      <c r="O1602" t="s">
        <v>23</v>
      </c>
      <c r="P1602" t="s">
        <v>24</v>
      </c>
      <c r="Q1602" t="s">
        <v>642</v>
      </c>
      <c r="R1602" t="s">
        <v>3063</v>
      </c>
    </row>
    <row r="1603" spans="1:18" x14ac:dyDescent="0.25">
      <c r="A1603" t="s">
        <v>13628</v>
      </c>
      <c r="B1603" t="s">
        <v>3109</v>
      </c>
      <c r="C1603" t="str">
        <f>HYPERLINK("https://nematode.unl.edu/binaequa6.jpg")</f>
        <v>https://nematode.unl.edu/binaequa6.jpg</v>
      </c>
      <c r="D1603" t="s">
        <v>77</v>
      </c>
      <c r="G1603" t="s">
        <v>112</v>
      </c>
      <c r="I1603" t="s">
        <v>41</v>
      </c>
      <c r="J1603" t="s">
        <v>3097</v>
      </c>
      <c r="M1603" t="s">
        <v>3062</v>
      </c>
      <c r="N1603" t="s">
        <v>3062</v>
      </c>
      <c r="O1603" t="s">
        <v>23</v>
      </c>
      <c r="P1603" t="s">
        <v>24</v>
      </c>
      <c r="Q1603" t="s">
        <v>642</v>
      </c>
      <c r="R1603" t="s">
        <v>3063</v>
      </c>
    </row>
    <row r="1604" spans="1:18" x14ac:dyDescent="0.25">
      <c r="A1604" t="s">
        <v>13621</v>
      </c>
      <c r="B1604" t="s">
        <v>3110</v>
      </c>
      <c r="C1604" t="str">
        <f>HYPERLINK("https://nematode.unl.edu/binaequa7.jpg")</f>
        <v>https://nematode.unl.edu/binaequa7.jpg</v>
      </c>
      <c r="D1604" t="s">
        <v>77</v>
      </c>
      <c r="G1604" t="s">
        <v>3111</v>
      </c>
      <c r="I1604" t="s">
        <v>41</v>
      </c>
      <c r="J1604" t="s">
        <v>3097</v>
      </c>
      <c r="M1604" t="s">
        <v>3062</v>
      </c>
      <c r="N1604" t="s">
        <v>3062</v>
      </c>
      <c r="O1604" t="s">
        <v>23</v>
      </c>
      <c r="P1604" t="s">
        <v>24</v>
      </c>
      <c r="Q1604" t="s">
        <v>642</v>
      </c>
      <c r="R1604" t="s">
        <v>3063</v>
      </c>
    </row>
    <row r="1605" spans="1:18" x14ac:dyDescent="0.25">
      <c r="A1605" t="s">
        <v>13614</v>
      </c>
      <c r="B1605" t="s">
        <v>3112</v>
      </c>
      <c r="C1605" t="str">
        <f>HYPERLINK("https://nematode.unl.edu/binaequa8.jpg")</f>
        <v>https://nematode.unl.edu/binaequa8.jpg</v>
      </c>
      <c r="D1605" t="s">
        <v>43</v>
      </c>
      <c r="G1605" t="s">
        <v>44</v>
      </c>
      <c r="I1605" t="s">
        <v>137</v>
      </c>
      <c r="J1605" t="s">
        <v>3097</v>
      </c>
      <c r="M1605" t="s">
        <v>3062</v>
      </c>
      <c r="N1605" t="s">
        <v>3062</v>
      </c>
      <c r="O1605" t="s">
        <v>23</v>
      </c>
      <c r="P1605" t="s">
        <v>24</v>
      </c>
      <c r="Q1605" t="s">
        <v>642</v>
      </c>
      <c r="R1605" t="s">
        <v>3063</v>
      </c>
    </row>
    <row r="1606" spans="1:18" x14ac:dyDescent="0.25">
      <c r="A1606" t="s">
        <v>13615</v>
      </c>
      <c r="B1606" t="s">
        <v>3113</v>
      </c>
      <c r="C1606" t="str">
        <f>HYPERLINK("https://nematode.unl.edu/binaequa9.jpg")</f>
        <v>https://nematode.unl.edu/binaequa9.jpg</v>
      </c>
      <c r="D1606" t="s">
        <v>43</v>
      </c>
      <c r="G1606" t="s">
        <v>44</v>
      </c>
      <c r="I1606" t="s">
        <v>19</v>
      </c>
      <c r="J1606" t="s">
        <v>3097</v>
      </c>
      <c r="M1606" t="s">
        <v>3062</v>
      </c>
      <c r="N1606" t="s">
        <v>3062</v>
      </c>
      <c r="O1606" t="s">
        <v>23</v>
      </c>
      <c r="P1606" t="s">
        <v>24</v>
      </c>
      <c r="Q1606" t="s">
        <v>642</v>
      </c>
      <c r="R1606" t="s">
        <v>3063</v>
      </c>
    </row>
    <row r="1607" spans="1:18" x14ac:dyDescent="0.25">
      <c r="A1607" t="s">
        <v>13616</v>
      </c>
      <c r="B1607" t="s">
        <v>3114</v>
      </c>
      <c r="C1607" t="str">
        <f>HYPERLINK("https://nematode.unl.edu/binasm1.jpg")</f>
        <v>https://nematode.unl.edu/binasm1.jpg</v>
      </c>
      <c r="D1607" t="s">
        <v>43</v>
      </c>
      <c r="G1607" t="s">
        <v>44</v>
      </c>
      <c r="I1607" t="s">
        <v>137</v>
      </c>
      <c r="J1607" t="s">
        <v>2350</v>
      </c>
      <c r="M1607" t="s">
        <v>3062</v>
      </c>
      <c r="N1607" t="s">
        <v>3062</v>
      </c>
      <c r="O1607" t="s">
        <v>23</v>
      </c>
      <c r="P1607" t="s">
        <v>24</v>
      </c>
      <c r="Q1607" t="s">
        <v>642</v>
      </c>
      <c r="R1607" t="s">
        <v>3063</v>
      </c>
    </row>
    <row r="1608" spans="1:18" x14ac:dyDescent="0.25">
      <c r="A1608" t="s">
        <v>13617</v>
      </c>
      <c r="B1608" t="s">
        <v>3115</v>
      </c>
      <c r="C1608" t="str">
        <f>HYPERLINK("https://nematode.unl.edu/binasm2.jpg")</f>
        <v>https://nematode.unl.edu/binasm2.jpg</v>
      </c>
      <c r="D1608" t="s">
        <v>43</v>
      </c>
      <c r="G1608" t="s">
        <v>44</v>
      </c>
      <c r="I1608" t="s">
        <v>19</v>
      </c>
      <c r="J1608" t="s">
        <v>2350</v>
      </c>
      <c r="M1608" t="s">
        <v>3062</v>
      </c>
      <c r="N1608" t="s">
        <v>3062</v>
      </c>
      <c r="O1608" t="s">
        <v>23</v>
      </c>
      <c r="P1608" t="s">
        <v>24</v>
      </c>
      <c r="Q1608" t="s">
        <v>642</v>
      </c>
      <c r="R1608" t="s">
        <v>3063</v>
      </c>
    </row>
    <row r="1609" spans="1:18" x14ac:dyDescent="0.25">
      <c r="A1609" t="s">
        <v>13602</v>
      </c>
      <c r="B1609" t="s">
        <v>3116</v>
      </c>
      <c r="C1609" t="str">
        <f>HYPERLINK("https://nematode.unl.edu/binasm3.jpg")</f>
        <v>https://nematode.unl.edu/binasm3.jpg</v>
      </c>
      <c r="D1609" t="s">
        <v>43</v>
      </c>
      <c r="G1609" t="s">
        <v>34</v>
      </c>
      <c r="H1609" t="s">
        <v>18</v>
      </c>
      <c r="I1609" t="s">
        <v>41</v>
      </c>
      <c r="J1609" t="s">
        <v>2350</v>
      </c>
      <c r="M1609" t="s">
        <v>3062</v>
      </c>
      <c r="N1609" t="s">
        <v>3062</v>
      </c>
      <c r="O1609" t="s">
        <v>23</v>
      </c>
      <c r="P1609" t="s">
        <v>24</v>
      </c>
      <c r="Q1609" t="s">
        <v>642</v>
      </c>
      <c r="R1609" t="s">
        <v>3063</v>
      </c>
    </row>
    <row r="1610" spans="1:18" x14ac:dyDescent="0.25">
      <c r="A1610" t="s">
        <v>13632</v>
      </c>
      <c r="B1610" t="s">
        <v>3117</v>
      </c>
      <c r="C1610" t="str">
        <f>HYPERLINK("https://nematode.unl.edu/binasm4.jpg")</f>
        <v>https://nematode.unl.edu/binasm4.jpg</v>
      </c>
      <c r="D1610" t="s">
        <v>43</v>
      </c>
      <c r="G1610" t="s">
        <v>28</v>
      </c>
      <c r="I1610" t="s">
        <v>41</v>
      </c>
      <c r="J1610" t="s">
        <v>2350</v>
      </c>
      <c r="M1610" t="s">
        <v>3062</v>
      </c>
      <c r="N1610" t="s">
        <v>3062</v>
      </c>
      <c r="O1610" t="s">
        <v>23</v>
      </c>
      <c r="P1610" t="s">
        <v>24</v>
      </c>
      <c r="Q1610" t="s">
        <v>642</v>
      </c>
      <c r="R1610" t="s">
        <v>3063</v>
      </c>
    </row>
    <row r="1611" spans="1:18" x14ac:dyDescent="0.25">
      <c r="A1611" t="s">
        <v>13642</v>
      </c>
      <c r="B1611" t="s">
        <v>3118</v>
      </c>
      <c r="C1611" t="str">
        <f>HYPERLINK("https://nematode.unl.edu/binasm5.jpg")</f>
        <v>https://nematode.unl.edu/binasm5.jpg</v>
      </c>
      <c r="D1611" t="s">
        <v>43</v>
      </c>
      <c r="G1611" t="s">
        <v>51</v>
      </c>
      <c r="I1611" t="s">
        <v>41</v>
      </c>
      <c r="J1611" t="s">
        <v>2350</v>
      </c>
      <c r="M1611" t="s">
        <v>3062</v>
      </c>
      <c r="N1611" t="s">
        <v>3062</v>
      </c>
      <c r="O1611" t="s">
        <v>23</v>
      </c>
      <c r="P1611" t="s">
        <v>24</v>
      </c>
      <c r="Q1611" t="s">
        <v>642</v>
      </c>
      <c r="R1611" t="s">
        <v>3063</v>
      </c>
    </row>
    <row r="1612" spans="1:18" x14ac:dyDescent="0.25">
      <c r="A1612" t="s">
        <v>13604</v>
      </c>
      <c r="B1612" t="s">
        <v>3119</v>
      </c>
      <c r="C1612" t="str">
        <f>HYPERLINK("https://nematode.unl.edu/binasm6.jpg")</f>
        <v>https://nematode.unl.edu/binasm6.jpg</v>
      </c>
      <c r="D1612" t="s">
        <v>43</v>
      </c>
      <c r="G1612" t="s">
        <v>3120</v>
      </c>
      <c r="I1612" t="s">
        <v>41</v>
      </c>
      <c r="J1612" t="s">
        <v>2350</v>
      </c>
      <c r="M1612" t="s">
        <v>3062</v>
      </c>
      <c r="N1612" t="s">
        <v>3062</v>
      </c>
      <c r="O1612" t="s">
        <v>23</v>
      </c>
      <c r="P1612" t="s">
        <v>24</v>
      </c>
      <c r="Q1612" t="s">
        <v>642</v>
      </c>
      <c r="R1612" t="s">
        <v>3063</v>
      </c>
    </row>
    <row r="1613" spans="1:18" x14ac:dyDescent="0.25">
      <c r="A1613" t="s">
        <v>13633</v>
      </c>
      <c r="B1613" t="s">
        <v>3121</v>
      </c>
      <c r="C1613" t="str">
        <f>HYPERLINK("https://nematode.unl.edu/binasm7.jpg")</f>
        <v>https://nematode.unl.edu/binasm7.jpg</v>
      </c>
      <c r="D1613" t="s">
        <v>43</v>
      </c>
      <c r="G1613" t="s">
        <v>28</v>
      </c>
      <c r="I1613" t="s">
        <v>41</v>
      </c>
      <c r="J1613" t="s">
        <v>2350</v>
      </c>
      <c r="M1613" t="s">
        <v>3062</v>
      </c>
      <c r="N1613" t="s">
        <v>3062</v>
      </c>
      <c r="O1613" t="s">
        <v>23</v>
      </c>
      <c r="P1613" t="s">
        <v>24</v>
      </c>
      <c r="Q1613" t="s">
        <v>642</v>
      </c>
      <c r="R1613" t="s">
        <v>3063</v>
      </c>
    </row>
    <row r="1614" spans="1:18" x14ac:dyDescent="0.25">
      <c r="A1614" t="s">
        <v>15854</v>
      </c>
      <c r="B1614" t="s">
        <v>3342</v>
      </c>
      <c r="C1614" t="str">
        <f>HYPERLINK("https://nematode.unl.edu/blong1.jpg")</f>
        <v>https://nematode.unl.edu/blong1.jpg</v>
      </c>
      <c r="D1614" t="s">
        <v>43</v>
      </c>
      <c r="G1614" t="s">
        <v>17</v>
      </c>
      <c r="H1614" t="s">
        <v>18</v>
      </c>
      <c r="I1614" t="s">
        <v>19</v>
      </c>
      <c r="J1614" t="s">
        <v>3338</v>
      </c>
      <c r="M1614" t="s">
        <v>3339</v>
      </c>
      <c r="N1614" t="s">
        <v>3339</v>
      </c>
      <c r="O1614" t="s">
        <v>23</v>
      </c>
      <c r="P1614" t="s">
        <v>24</v>
      </c>
      <c r="Q1614" t="s">
        <v>1071</v>
      </c>
      <c r="R1614" t="s">
        <v>3340</v>
      </c>
    </row>
    <row r="1615" spans="1:18" x14ac:dyDescent="0.25">
      <c r="A1615" t="s">
        <v>15852</v>
      </c>
      <c r="B1615" t="s">
        <v>3343</v>
      </c>
      <c r="C1615" t="str">
        <f>HYPERLINK("https://nematode.unl.edu/blong3.jpg")</f>
        <v>https://nematode.unl.edu/blong3.jpg</v>
      </c>
      <c r="D1615" t="s">
        <v>43</v>
      </c>
      <c r="G1615" t="s">
        <v>96</v>
      </c>
      <c r="H1615" t="s">
        <v>18</v>
      </c>
      <c r="I1615" t="s">
        <v>19</v>
      </c>
      <c r="J1615" t="s">
        <v>3338</v>
      </c>
      <c r="M1615" t="s">
        <v>3339</v>
      </c>
      <c r="N1615" t="s">
        <v>3339</v>
      </c>
      <c r="O1615" t="s">
        <v>23</v>
      </c>
      <c r="P1615" t="s">
        <v>24</v>
      </c>
      <c r="Q1615" t="s">
        <v>1071</v>
      </c>
      <c r="R1615" t="s">
        <v>3340</v>
      </c>
    </row>
    <row r="1616" spans="1:18" x14ac:dyDescent="0.25">
      <c r="A1616" t="s">
        <v>17755</v>
      </c>
      <c r="B1616" t="s">
        <v>374</v>
      </c>
      <c r="C1616" t="str">
        <f>HYPERLINK("https://nematode.unl.edu/bobli1.jpg")</f>
        <v>https://nematode.unl.edu/bobli1.jpg</v>
      </c>
      <c r="D1616" t="s">
        <v>43</v>
      </c>
      <c r="G1616" t="s">
        <v>34</v>
      </c>
      <c r="H1616" t="s">
        <v>18</v>
      </c>
      <c r="I1616" t="s">
        <v>19</v>
      </c>
      <c r="J1616" t="s">
        <v>46</v>
      </c>
      <c r="L1616" t="s">
        <v>105</v>
      </c>
      <c r="M1616" t="s">
        <v>375</v>
      </c>
      <c r="N1616" t="s">
        <v>367</v>
      </c>
      <c r="O1616" t="s">
        <v>23</v>
      </c>
      <c r="P1616" t="s">
        <v>24</v>
      </c>
      <c r="Q1616" t="s">
        <v>69</v>
      </c>
      <c r="R1616" t="s">
        <v>368</v>
      </c>
    </row>
    <row r="1617" spans="1:18" x14ac:dyDescent="0.25">
      <c r="A1617" t="s">
        <v>17759</v>
      </c>
      <c r="B1617" t="s">
        <v>376</v>
      </c>
      <c r="C1617" t="str">
        <f>HYPERLINK("https://nematode.unl.edu/bobli2.jpg")</f>
        <v>https://nematode.unl.edu/bobli2.jpg</v>
      </c>
      <c r="D1617" t="s">
        <v>43</v>
      </c>
      <c r="G1617" t="s">
        <v>51</v>
      </c>
      <c r="I1617" t="s">
        <v>19</v>
      </c>
      <c r="J1617" t="s">
        <v>46</v>
      </c>
      <c r="L1617" t="s">
        <v>105</v>
      </c>
      <c r="M1617" t="s">
        <v>375</v>
      </c>
      <c r="N1617" t="s">
        <v>367</v>
      </c>
      <c r="O1617" t="s">
        <v>23</v>
      </c>
      <c r="P1617" t="s">
        <v>24</v>
      </c>
      <c r="Q1617" t="s">
        <v>69</v>
      </c>
      <c r="R1617" t="s">
        <v>368</v>
      </c>
    </row>
    <row r="1618" spans="1:18" x14ac:dyDescent="0.25">
      <c r="A1618" t="s">
        <v>17758</v>
      </c>
      <c r="B1618" t="s">
        <v>377</v>
      </c>
      <c r="C1618" t="str">
        <f>HYPERLINK("https://nematode.unl.edu/bobli3.jpg")</f>
        <v>https://nematode.unl.edu/bobli3.jpg</v>
      </c>
      <c r="D1618" t="s">
        <v>43</v>
      </c>
      <c r="G1618" t="s">
        <v>28</v>
      </c>
      <c r="I1618" t="s">
        <v>137</v>
      </c>
      <c r="J1618" t="s">
        <v>46</v>
      </c>
      <c r="L1618" t="s">
        <v>105</v>
      </c>
      <c r="M1618" t="s">
        <v>375</v>
      </c>
      <c r="N1618" t="s">
        <v>367</v>
      </c>
      <c r="O1618" t="s">
        <v>23</v>
      </c>
      <c r="P1618" t="s">
        <v>24</v>
      </c>
      <c r="Q1618" t="s">
        <v>69</v>
      </c>
      <c r="R1618" t="s">
        <v>368</v>
      </c>
    </row>
    <row r="1619" spans="1:18" x14ac:dyDescent="0.25">
      <c r="A1619" t="s">
        <v>17756</v>
      </c>
      <c r="B1619" t="s">
        <v>378</v>
      </c>
      <c r="C1619" t="str">
        <f>HYPERLINK("https://nematode.unl.edu/bobli4.jpg")</f>
        <v>https://nematode.unl.edu/bobli4.jpg</v>
      </c>
      <c r="D1619" t="s">
        <v>43</v>
      </c>
      <c r="G1619" t="s">
        <v>44</v>
      </c>
      <c r="I1619" t="s">
        <v>45</v>
      </c>
      <c r="J1619" t="s">
        <v>46</v>
      </c>
      <c r="L1619" t="s">
        <v>105</v>
      </c>
      <c r="M1619" t="s">
        <v>375</v>
      </c>
      <c r="N1619" t="s">
        <v>367</v>
      </c>
      <c r="O1619" t="s">
        <v>23</v>
      </c>
      <c r="P1619" t="s">
        <v>24</v>
      </c>
      <c r="Q1619" t="s">
        <v>69</v>
      </c>
      <c r="R1619" t="s">
        <v>368</v>
      </c>
    </row>
    <row r="1620" spans="1:18" x14ac:dyDescent="0.25">
      <c r="A1620" t="s">
        <v>17757</v>
      </c>
      <c r="B1620" t="s">
        <v>379</v>
      </c>
      <c r="C1620" t="str">
        <f>HYPERLINK("https://nematode.unl.edu/boblicmp.jpg")</f>
        <v>https://nematode.unl.edu/boblicmp.jpg</v>
      </c>
      <c r="G1620" t="s">
        <v>108</v>
      </c>
      <c r="M1620" t="s">
        <v>375</v>
      </c>
      <c r="N1620" t="s">
        <v>367</v>
      </c>
      <c r="O1620" t="s">
        <v>23</v>
      </c>
      <c r="P1620" t="s">
        <v>24</v>
      </c>
      <c r="Q1620" t="s">
        <v>69</v>
      </c>
      <c r="R1620" t="s">
        <v>368</v>
      </c>
    </row>
    <row r="1621" spans="1:18" x14ac:dyDescent="0.25">
      <c r="A1621" t="s">
        <v>17883</v>
      </c>
      <c r="B1621" t="s">
        <v>3403</v>
      </c>
      <c r="C1621" t="str">
        <f>HYPERLINK("https://nematode.unl.edu/bolac1.jpg")</f>
        <v>https://nematode.unl.edu/bolac1.jpg</v>
      </c>
      <c r="D1621" t="s">
        <v>43</v>
      </c>
      <c r="G1621" t="s">
        <v>44</v>
      </c>
      <c r="I1621" t="s">
        <v>45</v>
      </c>
      <c r="J1621" t="s">
        <v>3404</v>
      </c>
      <c r="L1621" t="s">
        <v>85</v>
      </c>
      <c r="M1621" t="s">
        <v>3349</v>
      </c>
      <c r="N1621" t="s">
        <v>3349</v>
      </c>
      <c r="O1621" t="s">
        <v>23</v>
      </c>
      <c r="P1621" t="s">
        <v>24</v>
      </c>
      <c r="Q1621" t="s">
        <v>69</v>
      </c>
      <c r="R1621" t="s">
        <v>419</v>
      </c>
    </row>
    <row r="1622" spans="1:18" x14ac:dyDescent="0.25">
      <c r="A1622" t="s">
        <v>17868</v>
      </c>
      <c r="B1622" t="s">
        <v>3405</v>
      </c>
      <c r="C1622" t="str">
        <f>HYPERLINK("https://nematode.unl.edu/bolac2.jpg")</f>
        <v>https://nematode.unl.edu/bolac2.jpg</v>
      </c>
      <c r="D1622" t="s">
        <v>43</v>
      </c>
      <c r="G1622" t="s">
        <v>34</v>
      </c>
      <c r="H1622" t="s">
        <v>18</v>
      </c>
      <c r="I1622" t="s">
        <v>19</v>
      </c>
      <c r="J1622" t="s">
        <v>3404</v>
      </c>
      <c r="L1622" t="s">
        <v>85</v>
      </c>
      <c r="M1622" t="s">
        <v>3349</v>
      </c>
      <c r="N1622" t="s">
        <v>3349</v>
      </c>
      <c r="O1622" t="s">
        <v>23</v>
      </c>
      <c r="P1622" t="s">
        <v>24</v>
      </c>
      <c r="Q1622" t="s">
        <v>69</v>
      </c>
      <c r="R1622" t="s">
        <v>419</v>
      </c>
    </row>
    <row r="1623" spans="1:18" x14ac:dyDescent="0.25">
      <c r="A1623" t="s">
        <v>17912</v>
      </c>
      <c r="B1623" t="s">
        <v>3406</v>
      </c>
      <c r="C1623" t="str">
        <f>HYPERLINK("https://nematode.unl.edu/bolac3.jpg")</f>
        <v>https://nematode.unl.edu/bolac3.jpg</v>
      </c>
      <c r="D1623" t="s">
        <v>43</v>
      </c>
      <c r="G1623" t="s">
        <v>51</v>
      </c>
      <c r="I1623" t="s">
        <v>19</v>
      </c>
      <c r="J1623" t="s">
        <v>3404</v>
      </c>
      <c r="L1623" t="s">
        <v>85</v>
      </c>
      <c r="M1623" t="s">
        <v>3349</v>
      </c>
      <c r="N1623" t="s">
        <v>3349</v>
      </c>
      <c r="O1623" t="s">
        <v>23</v>
      </c>
      <c r="P1623" t="s">
        <v>24</v>
      </c>
      <c r="Q1623" t="s">
        <v>69</v>
      </c>
      <c r="R1623" t="s">
        <v>419</v>
      </c>
    </row>
    <row r="1624" spans="1:18" x14ac:dyDescent="0.25">
      <c r="A1624" t="s">
        <v>17884</v>
      </c>
      <c r="B1624" t="s">
        <v>3407</v>
      </c>
      <c r="C1624" t="str">
        <f>HYPERLINK("https://nematode.unl.edu/bolac4.jpg")</f>
        <v>https://nematode.unl.edu/bolac4.jpg</v>
      </c>
      <c r="D1624" t="s">
        <v>43</v>
      </c>
      <c r="G1624" t="s">
        <v>44</v>
      </c>
      <c r="I1624" t="s">
        <v>45</v>
      </c>
      <c r="J1624" t="s">
        <v>3404</v>
      </c>
      <c r="L1624" t="s">
        <v>85</v>
      </c>
      <c r="M1624" t="s">
        <v>3349</v>
      </c>
      <c r="N1624" t="s">
        <v>3349</v>
      </c>
      <c r="O1624" t="s">
        <v>23</v>
      </c>
      <c r="P1624" t="s">
        <v>24</v>
      </c>
      <c r="Q1624" t="s">
        <v>69</v>
      </c>
      <c r="R1624" t="s">
        <v>419</v>
      </c>
    </row>
    <row r="1625" spans="1:18" x14ac:dyDescent="0.25">
      <c r="A1625" t="s">
        <v>17869</v>
      </c>
      <c r="B1625" t="s">
        <v>3408</v>
      </c>
      <c r="C1625" t="str">
        <f>HYPERLINK("https://nematode.unl.edu/bolac5.jpg")</f>
        <v>https://nematode.unl.edu/bolac5.jpg</v>
      </c>
      <c r="D1625" t="s">
        <v>43</v>
      </c>
      <c r="G1625" t="s">
        <v>34</v>
      </c>
      <c r="H1625" t="s">
        <v>18</v>
      </c>
      <c r="I1625" t="s">
        <v>19</v>
      </c>
      <c r="J1625" t="s">
        <v>3404</v>
      </c>
      <c r="M1625" t="s">
        <v>3349</v>
      </c>
      <c r="N1625" t="s">
        <v>3349</v>
      </c>
      <c r="O1625" t="s">
        <v>23</v>
      </c>
      <c r="P1625" t="s">
        <v>24</v>
      </c>
      <c r="Q1625" t="s">
        <v>69</v>
      </c>
      <c r="R1625" t="s">
        <v>419</v>
      </c>
    </row>
    <row r="1626" spans="1:18" x14ac:dyDescent="0.25">
      <c r="A1626" t="s">
        <v>17889</v>
      </c>
      <c r="B1626" t="s">
        <v>3409</v>
      </c>
      <c r="C1626" t="str">
        <f>HYPERLINK("https://nematode.unl.edu/bolac6.jpg")</f>
        <v>https://nematode.unl.edu/bolac6.jpg</v>
      </c>
      <c r="D1626" t="s">
        <v>43</v>
      </c>
      <c r="G1626" t="s">
        <v>181</v>
      </c>
      <c r="I1626" t="s">
        <v>19</v>
      </c>
      <c r="J1626" t="s">
        <v>3404</v>
      </c>
      <c r="L1626" t="s">
        <v>85</v>
      </c>
      <c r="M1626" t="s">
        <v>3349</v>
      </c>
      <c r="N1626" t="s">
        <v>3349</v>
      </c>
      <c r="O1626" t="s">
        <v>23</v>
      </c>
      <c r="P1626" t="s">
        <v>24</v>
      </c>
      <c r="Q1626" t="s">
        <v>69</v>
      </c>
      <c r="R1626" t="s">
        <v>419</v>
      </c>
    </row>
    <row r="1627" spans="1:18" x14ac:dyDescent="0.25">
      <c r="A1627" t="s">
        <v>17870</v>
      </c>
      <c r="B1627" t="s">
        <v>3410</v>
      </c>
      <c r="C1627" t="str">
        <f>HYPERLINK("https://nematode.unl.edu/bolac7.jpg")</f>
        <v>https://nematode.unl.edu/bolac7.jpg</v>
      </c>
      <c r="D1627" t="s">
        <v>43</v>
      </c>
      <c r="G1627" t="s">
        <v>34</v>
      </c>
      <c r="H1627" t="s">
        <v>18</v>
      </c>
      <c r="I1627" t="s">
        <v>41</v>
      </c>
      <c r="J1627" t="s">
        <v>3404</v>
      </c>
      <c r="L1627" t="s">
        <v>85</v>
      </c>
      <c r="M1627" t="s">
        <v>3349</v>
      </c>
      <c r="N1627" t="s">
        <v>3349</v>
      </c>
      <c r="O1627" t="s">
        <v>23</v>
      </c>
      <c r="P1627" t="s">
        <v>24</v>
      </c>
      <c r="Q1627" t="s">
        <v>69</v>
      </c>
      <c r="R1627" t="s">
        <v>419</v>
      </c>
    </row>
    <row r="1628" spans="1:18" x14ac:dyDescent="0.25">
      <c r="A1628" t="s">
        <v>17874</v>
      </c>
      <c r="B1628" t="s">
        <v>3411</v>
      </c>
      <c r="C1628" t="str">
        <f>HYPERLINK("https://nematode.unl.edu/bolac8.jpg")</f>
        <v>https://nematode.unl.edu/bolac8.jpg</v>
      </c>
      <c r="D1628" t="s">
        <v>43</v>
      </c>
      <c r="G1628" t="s">
        <v>87</v>
      </c>
      <c r="I1628" t="s">
        <v>41</v>
      </c>
      <c r="J1628" t="s">
        <v>3404</v>
      </c>
      <c r="L1628" t="s">
        <v>85</v>
      </c>
      <c r="M1628" t="s">
        <v>3349</v>
      </c>
      <c r="N1628" t="s">
        <v>3349</v>
      </c>
      <c r="O1628" t="s">
        <v>23</v>
      </c>
      <c r="P1628" t="s">
        <v>24</v>
      </c>
      <c r="Q1628" t="s">
        <v>69</v>
      </c>
      <c r="R1628" t="s">
        <v>419</v>
      </c>
    </row>
    <row r="1629" spans="1:18" x14ac:dyDescent="0.25">
      <c r="A1629" t="s">
        <v>17900</v>
      </c>
      <c r="B1629" t="s">
        <v>3412</v>
      </c>
      <c r="C1629" t="str">
        <f>HYPERLINK("https://nematode.unl.edu/bolac9.jpg")</f>
        <v>https://nematode.unl.edu/bolac9.jpg</v>
      </c>
      <c r="D1629" t="s">
        <v>43</v>
      </c>
      <c r="G1629" t="s">
        <v>28</v>
      </c>
      <c r="I1629" t="s">
        <v>41</v>
      </c>
      <c r="J1629" t="s">
        <v>3404</v>
      </c>
      <c r="L1629" t="s">
        <v>85</v>
      </c>
      <c r="M1629" t="s">
        <v>3349</v>
      </c>
      <c r="N1629" t="s">
        <v>3349</v>
      </c>
      <c r="O1629" t="s">
        <v>23</v>
      </c>
      <c r="P1629" t="s">
        <v>24</v>
      </c>
      <c r="Q1629" t="s">
        <v>69</v>
      </c>
      <c r="R1629" t="s">
        <v>419</v>
      </c>
    </row>
    <row r="1630" spans="1:18" x14ac:dyDescent="0.25">
      <c r="A1630" t="s">
        <v>17846</v>
      </c>
      <c r="B1630" t="s">
        <v>3344</v>
      </c>
      <c r="C1630" t="str">
        <f>HYPERLINK("https://nematode.unl.edu/bolehed.jpg")</f>
        <v>https://nematode.unl.edu/bolehed.jpg</v>
      </c>
      <c r="D1630" t="s">
        <v>43</v>
      </c>
      <c r="G1630" t="s">
        <v>34</v>
      </c>
      <c r="H1630" t="s">
        <v>18</v>
      </c>
      <c r="I1630" t="s">
        <v>19</v>
      </c>
      <c r="J1630" t="s">
        <v>46</v>
      </c>
      <c r="L1630" t="s">
        <v>105</v>
      </c>
      <c r="M1630" t="s">
        <v>419</v>
      </c>
      <c r="N1630" t="s">
        <v>419</v>
      </c>
      <c r="O1630" t="s">
        <v>23</v>
      </c>
      <c r="P1630" t="s">
        <v>24</v>
      </c>
      <c r="Q1630" t="s">
        <v>69</v>
      </c>
      <c r="R1630" t="s">
        <v>419</v>
      </c>
    </row>
    <row r="1631" spans="1:18" x14ac:dyDescent="0.25">
      <c r="A1631" t="s">
        <v>17848</v>
      </c>
      <c r="B1631" t="s">
        <v>3345</v>
      </c>
      <c r="C1631" t="str">
        <f>HYPERLINK("https://nematode.unl.edu/boletl.jpg")</f>
        <v>https://nematode.unl.edu/boletl.jpg</v>
      </c>
      <c r="D1631" t="s">
        <v>43</v>
      </c>
      <c r="G1631" t="s">
        <v>28</v>
      </c>
      <c r="I1631" t="s">
        <v>19</v>
      </c>
      <c r="J1631" t="s">
        <v>46</v>
      </c>
      <c r="L1631" t="s">
        <v>105</v>
      </c>
      <c r="M1631" t="s">
        <v>419</v>
      </c>
      <c r="N1631" t="s">
        <v>419</v>
      </c>
      <c r="O1631" t="s">
        <v>23</v>
      </c>
      <c r="P1631" t="s">
        <v>24</v>
      </c>
      <c r="Q1631" t="s">
        <v>69</v>
      </c>
      <c r="R1631" t="s">
        <v>419</v>
      </c>
    </row>
    <row r="1632" spans="1:18" x14ac:dyDescent="0.25">
      <c r="A1632" t="s">
        <v>17922</v>
      </c>
      <c r="B1632" t="s">
        <v>3413</v>
      </c>
      <c r="C1632" t="str">
        <f>HYPERLINK("https://nematode.unl.edu/bolsi1.jpg")</f>
        <v>https://nematode.unl.edu/bolsi1.jpg</v>
      </c>
      <c r="D1632" t="s">
        <v>43</v>
      </c>
      <c r="G1632" t="s">
        <v>44</v>
      </c>
      <c r="I1632" t="s">
        <v>45</v>
      </c>
      <c r="J1632" t="s">
        <v>46</v>
      </c>
      <c r="M1632" t="s">
        <v>3414</v>
      </c>
      <c r="N1632" t="s">
        <v>3414</v>
      </c>
      <c r="O1632" t="s">
        <v>23</v>
      </c>
      <c r="P1632" t="s">
        <v>24</v>
      </c>
      <c r="Q1632" t="s">
        <v>69</v>
      </c>
      <c r="R1632" t="s">
        <v>419</v>
      </c>
    </row>
    <row r="1633" spans="1:18" x14ac:dyDescent="0.25">
      <c r="A1633" t="s">
        <v>17925</v>
      </c>
      <c r="B1633" t="s">
        <v>3415</v>
      </c>
      <c r="C1633" t="str">
        <f>HYPERLINK("https://nematode.unl.edu/bolsi10.jpg")</f>
        <v>https://nematode.unl.edu/bolsi10.jpg</v>
      </c>
      <c r="D1633" t="s">
        <v>43</v>
      </c>
      <c r="G1633" t="s">
        <v>414</v>
      </c>
      <c r="I1633" t="s">
        <v>41</v>
      </c>
      <c r="J1633" t="s">
        <v>46</v>
      </c>
      <c r="L1633" t="s">
        <v>141</v>
      </c>
      <c r="M1633" t="s">
        <v>3414</v>
      </c>
      <c r="N1633" t="s">
        <v>3414</v>
      </c>
      <c r="O1633" t="s">
        <v>23</v>
      </c>
      <c r="P1633" t="s">
        <v>24</v>
      </c>
      <c r="Q1633" t="s">
        <v>69</v>
      </c>
      <c r="R1633" t="s">
        <v>419</v>
      </c>
    </row>
    <row r="1634" spans="1:18" x14ac:dyDescent="0.25">
      <c r="A1634" t="s">
        <v>17918</v>
      </c>
      <c r="B1634" t="s">
        <v>3416</v>
      </c>
      <c r="C1634" t="str">
        <f>HYPERLINK("https://nematode.unl.edu/bolsi11.jpg")</f>
        <v>https://nematode.unl.edu/bolsi11.jpg</v>
      </c>
      <c r="D1634" t="s">
        <v>43</v>
      </c>
      <c r="G1634" t="s">
        <v>384</v>
      </c>
      <c r="I1634" t="s">
        <v>41</v>
      </c>
      <c r="J1634" t="s">
        <v>46</v>
      </c>
      <c r="L1634" t="s">
        <v>141</v>
      </c>
      <c r="M1634" t="s">
        <v>3414</v>
      </c>
      <c r="N1634" t="s">
        <v>3414</v>
      </c>
      <c r="O1634" t="s">
        <v>23</v>
      </c>
      <c r="P1634" t="s">
        <v>24</v>
      </c>
      <c r="Q1634" t="s">
        <v>69</v>
      </c>
      <c r="R1634" t="s">
        <v>419</v>
      </c>
    </row>
    <row r="1635" spans="1:18" x14ac:dyDescent="0.25">
      <c r="A1635" t="s">
        <v>17920</v>
      </c>
      <c r="B1635" t="s">
        <v>3417</v>
      </c>
      <c r="C1635" t="str">
        <f>HYPERLINK("https://nematode.unl.edu/bolsi12.jpg")</f>
        <v>https://nematode.unl.edu/bolsi12.jpg</v>
      </c>
      <c r="D1635" t="s">
        <v>16</v>
      </c>
      <c r="G1635" t="s">
        <v>87</v>
      </c>
      <c r="I1635" t="s">
        <v>19</v>
      </c>
      <c r="J1635" t="s">
        <v>46</v>
      </c>
      <c r="M1635" t="s">
        <v>3414</v>
      </c>
      <c r="N1635" t="s">
        <v>3414</v>
      </c>
      <c r="O1635" t="s">
        <v>23</v>
      </c>
      <c r="P1635" t="s">
        <v>24</v>
      </c>
      <c r="Q1635" t="s">
        <v>69</v>
      </c>
      <c r="R1635" t="s">
        <v>419</v>
      </c>
    </row>
    <row r="1636" spans="1:18" x14ac:dyDescent="0.25">
      <c r="A1636" t="s">
        <v>17915</v>
      </c>
      <c r="B1636" t="s">
        <v>3418</v>
      </c>
      <c r="C1636" t="str">
        <f>HYPERLINK("https://nematode.unl.edu/bolsi13.jpg")</f>
        <v>https://nematode.unl.edu/bolsi13.jpg</v>
      </c>
      <c r="D1636" t="s">
        <v>16</v>
      </c>
      <c r="G1636" t="s">
        <v>34</v>
      </c>
      <c r="H1636" t="s">
        <v>18</v>
      </c>
      <c r="I1636" t="s">
        <v>19</v>
      </c>
      <c r="J1636" t="s">
        <v>46</v>
      </c>
      <c r="M1636" t="s">
        <v>3414</v>
      </c>
      <c r="N1636" t="s">
        <v>3414</v>
      </c>
      <c r="O1636" t="s">
        <v>23</v>
      </c>
      <c r="P1636" t="s">
        <v>24</v>
      </c>
      <c r="Q1636" t="s">
        <v>69</v>
      </c>
      <c r="R1636" t="s">
        <v>419</v>
      </c>
    </row>
    <row r="1637" spans="1:18" x14ac:dyDescent="0.25">
      <c r="A1637" t="s">
        <v>17926</v>
      </c>
      <c r="B1637" t="s">
        <v>3419</v>
      </c>
      <c r="C1637" t="str">
        <f>HYPERLINK("https://nematode.unl.edu/bolsi14.jpg")</f>
        <v>https://nematode.unl.edu/bolsi14.jpg</v>
      </c>
      <c r="D1637" t="s">
        <v>16</v>
      </c>
      <c r="G1637" t="s">
        <v>28</v>
      </c>
      <c r="I1637" t="s">
        <v>19</v>
      </c>
      <c r="J1637" t="s">
        <v>46</v>
      </c>
      <c r="M1637" t="s">
        <v>3414</v>
      </c>
      <c r="N1637" t="s">
        <v>3414</v>
      </c>
      <c r="O1637" t="s">
        <v>23</v>
      </c>
      <c r="P1637" t="s">
        <v>24</v>
      </c>
      <c r="Q1637" t="s">
        <v>69</v>
      </c>
      <c r="R1637" t="s">
        <v>419</v>
      </c>
    </row>
    <row r="1638" spans="1:18" x14ac:dyDescent="0.25">
      <c r="A1638" t="s">
        <v>17927</v>
      </c>
      <c r="B1638" t="s">
        <v>3420</v>
      </c>
      <c r="C1638" t="str">
        <f>HYPERLINK("https://nematode.unl.edu/bolsi15.jpg")</f>
        <v>https://nematode.unl.edu/bolsi15.jpg</v>
      </c>
      <c r="D1638" t="s">
        <v>43</v>
      </c>
      <c r="G1638" t="s">
        <v>28</v>
      </c>
      <c r="I1638" t="s">
        <v>19</v>
      </c>
      <c r="J1638" t="s">
        <v>46</v>
      </c>
      <c r="L1638" t="s">
        <v>220</v>
      </c>
      <c r="M1638" t="s">
        <v>3414</v>
      </c>
      <c r="N1638" t="s">
        <v>3414</v>
      </c>
      <c r="O1638" t="s">
        <v>23</v>
      </c>
      <c r="P1638" t="s">
        <v>24</v>
      </c>
      <c r="Q1638" t="s">
        <v>69</v>
      </c>
      <c r="R1638" t="s">
        <v>419</v>
      </c>
    </row>
    <row r="1639" spans="1:18" x14ac:dyDescent="0.25">
      <c r="A1639" t="s">
        <v>17930</v>
      </c>
      <c r="B1639" t="s">
        <v>3421</v>
      </c>
      <c r="C1639" t="str">
        <f>HYPERLINK("https://nematode.unl.edu/bolsi16.jpg")</f>
        <v>https://nematode.unl.edu/bolsi16.jpg</v>
      </c>
      <c r="D1639" t="s">
        <v>43</v>
      </c>
      <c r="G1639" t="s">
        <v>51</v>
      </c>
      <c r="I1639" t="s">
        <v>19</v>
      </c>
      <c r="J1639" t="s">
        <v>46</v>
      </c>
      <c r="L1639" t="s">
        <v>141</v>
      </c>
      <c r="M1639" t="s">
        <v>3414</v>
      </c>
      <c r="N1639" t="s">
        <v>3414</v>
      </c>
      <c r="O1639" t="s">
        <v>23</v>
      </c>
      <c r="P1639" t="s">
        <v>24</v>
      </c>
      <c r="Q1639" t="s">
        <v>69</v>
      </c>
      <c r="R1639" t="s">
        <v>419</v>
      </c>
    </row>
    <row r="1640" spans="1:18" x14ac:dyDescent="0.25">
      <c r="A1640" t="s">
        <v>17913</v>
      </c>
      <c r="B1640" t="s">
        <v>3422</v>
      </c>
      <c r="C1640" t="str">
        <f>HYPERLINK("https://nematode.unl.edu/bolsi17.jpg")</f>
        <v>https://nematode.unl.edu/bolsi17.jpg</v>
      </c>
      <c r="D1640" t="s">
        <v>43</v>
      </c>
      <c r="G1640" t="s">
        <v>96</v>
      </c>
      <c r="H1640" t="s">
        <v>18</v>
      </c>
      <c r="I1640" t="s">
        <v>19</v>
      </c>
      <c r="J1640" t="s">
        <v>46</v>
      </c>
      <c r="L1640" t="s">
        <v>141</v>
      </c>
      <c r="M1640" t="s">
        <v>3414</v>
      </c>
      <c r="N1640" t="s">
        <v>3414</v>
      </c>
      <c r="O1640" t="s">
        <v>23</v>
      </c>
      <c r="P1640" t="s">
        <v>24</v>
      </c>
      <c r="Q1640" t="s">
        <v>69</v>
      </c>
      <c r="R1640" t="s">
        <v>419</v>
      </c>
    </row>
    <row r="1641" spans="1:18" x14ac:dyDescent="0.25">
      <c r="A1641" t="s">
        <v>17916</v>
      </c>
      <c r="B1641" t="s">
        <v>3423</v>
      </c>
      <c r="C1641" t="str">
        <f>HYPERLINK("https://nematode.unl.edu/bolsi18.jpg")</f>
        <v>https://nematode.unl.edu/bolsi18.jpg</v>
      </c>
      <c r="D1641" t="s">
        <v>43</v>
      </c>
      <c r="G1641" t="s">
        <v>34</v>
      </c>
      <c r="H1641" t="s">
        <v>18</v>
      </c>
      <c r="I1641" t="s">
        <v>41</v>
      </c>
      <c r="J1641" t="s">
        <v>46</v>
      </c>
      <c r="L1641" t="s">
        <v>141</v>
      </c>
      <c r="M1641" t="s">
        <v>3414</v>
      </c>
      <c r="N1641" t="s">
        <v>3414</v>
      </c>
      <c r="O1641" t="s">
        <v>23</v>
      </c>
      <c r="P1641" t="s">
        <v>24</v>
      </c>
      <c r="Q1641" t="s">
        <v>69</v>
      </c>
      <c r="R1641" t="s">
        <v>419</v>
      </c>
    </row>
    <row r="1642" spans="1:18" x14ac:dyDescent="0.25">
      <c r="A1642" t="s">
        <v>17931</v>
      </c>
      <c r="B1642" t="s">
        <v>3424</v>
      </c>
      <c r="C1642" t="str">
        <f>HYPERLINK("https://nematode.unl.edu/bolsi2.jpg")</f>
        <v>https://nematode.unl.edu/bolsi2.jpg</v>
      </c>
      <c r="D1642" t="s">
        <v>43</v>
      </c>
      <c r="G1642" t="s">
        <v>51</v>
      </c>
      <c r="I1642" t="s">
        <v>19</v>
      </c>
      <c r="J1642" t="s">
        <v>46</v>
      </c>
      <c r="L1642" t="s">
        <v>85</v>
      </c>
      <c r="M1642" t="s">
        <v>3414</v>
      </c>
      <c r="N1642" t="s">
        <v>3414</v>
      </c>
      <c r="O1642" t="s">
        <v>23</v>
      </c>
      <c r="P1642" t="s">
        <v>24</v>
      </c>
      <c r="Q1642" t="s">
        <v>69</v>
      </c>
      <c r="R1642" t="s">
        <v>419</v>
      </c>
    </row>
    <row r="1643" spans="1:18" x14ac:dyDescent="0.25">
      <c r="A1643" t="s">
        <v>17928</v>
      </c>
      <c r="B1643" t="s">
        <v>3425</v>
      </c>
      <c r="C1643" t="str">
        <f>HYPERLINK("https://nematode.unl.edu/bolsi3.jpg")</f>
        <v>https://nematode.unl.edu/bolsi3.jpg</v>
      </c>
      <c r="D1643" t="s">
        <v>43</v>
      </c>
      <c r="G1643" t="s">
        <v>28</v>
      </c>
      <c r="I1643" t="s">
        <v>19</v>
      </c>
      <c r="J1643" t="s">
        <v>46</v>
      </c>
      <c r="M1643" t="s">
        <v>3414</v>
      </c>
      <c r="N1643" t="s">
        <v>3414</v>
      </c>
      <c r="O1643" t="s">
        <v>23</v>
      </c>
      <c r="P1643" t="s">
        <v>24</v>
      </c>
      <c r="Q1643" t="s">
        <v>69</v>
      </c>
      <c r="R1643" t="s">
        <v>419</v>
      </c>
    </row>
    <row r="1644" spans="1:18" x14ac:dyDescent="0.25">
      <c r="A1644" t="s">
        <v>17917</v>
      </c>
      <c r="B1644" t="s">
        <v>3426</v>
      </c>
      <c r="C1644" t="str">
        <f>HYPERLINK("https://nematode.unl.edu/bolsi4.jpg")</f>
        <v>https://nematode.unl.edu/bolsi4.jpg</v>
      </c>
      <c r="D1644" t="s">
        <v>43</v>
      </c>
      <c r="G1644" t="s">
        <v>34</v>
      </c>
      <c r="H1644" t="s">
        <v>18</v>
      </c>
      <c r="I1644" t="s">
        <v>19</v>
      </c>
      <c r="J1644" t="s">
        <v>46</v>
      </c>
      <c r="M1644" t="s">
        <v>3414</v>
      </c>
      <c r="N1644" t="s">
        <v>3414</v>
      </c>
      <c r="O1644" t="s">
        <v>23</v>
      </c>
      <c r="P1644" t="s">
        <v>24</v>
      </c>
      <c r="Q1644" t="s">
        <v>69</v>
      </c>
      <c r="R1644" t="s">
        <v>419</v>
      </c>
    </row>
    <row r="1645" spans="1:18" x14ac:dyDescent="0.25">
      <c r="A1645" t="s">
        <v>17914</v>
      </c>
      <c r="B1645" t="s">
        <v>3427</v>
      </c>
      <c r="C1645" t="str">
        <f>HYPERLINK("https://nematode.unl.edu/bolsi5.jpg")</f>
        <v>https://nematode.unl.edu/bolsi5.jpg</v>
      </c>
      <c r="D1645" t="s">
        <v>43</v>
      </c>
      <c r="G1645" t="s">
        <v>96</v>
      </c>
      <c r="H1645" t="s">
        <v>18</v>
      </c>
      <c r="I1645" t="s">
        <v>19</v>
      </c>
      <c r="J1645" t="s">
        <v>46</v>
      </c>
      <c r="M1645" t="s">
        <v>3414</v>
      </c>
      <c r="N1645" t="s">
        <v>3414</v>
      </c>
      <c r="O1645" t="s">
        <v>23</v>
      </c>
      <c r="P1645" t="s">
        <v>24</v>
      </c>
      <c r="Q1645" t="s">
        <v>69</v>
      </c>
      <c r="R1645" t="s">
        <v>419</v>
      </c>
    </row>
    <row r="1646" spans="1:18" x14ac:dyDescent="0.25">
      <c r="A1646" t="s">
        <v>17923</v>
      </c>
      <c r="B1646" t="s">
        <v>3428</v>
      </c>
      <c r="C1646" t="str">
        <f>HYPERLINK("https://nematode.unl.edu/bolsi6.jpg")</f>
        <v>https://nematode.unl.edu/bolsi6.jpg</v>
      </c>
      <c r="D1646" t="s">
        <v>43</v>
      </c>
      <c r="G1646" t="s">
        <v>44</v>
      </c>
      <c r="I1646" t="s">
        <v>45</v>
      </c>
      <c r="J1646" t="s">
        <v>46</v>
      </c>
      <c r="L1646" t="s">
        <v>138</v>
      </c>
      <c r="M1646" t="s">
        <v>3414</v>
      </c>
      <c r="N1646" t="s">
        <v>3414</v>
      </c>
      <c r="O1646" t="s">
        <v>23</v>
      </c>
      <c r="P1646" t="s">
        <v>24</v>
      </c>
      <c r="Q1646" t="s">
        <v>69</v>
      </c>
      <c r="R1646" t="s">
        <v>419</v>
      </c>
    </row>
    <row r="1647" spans="1:18" x14ac:dyDescent="0.25">
      <c r="A1647" t="s">
        <v>17921</v>
      </c>
      <c r="B1647" t="s">
        <v>3429</v>
      </c>
      <c r="C1647" t="str">
        <f>HYPERLINK("https://nematode.unl.edu/bolsi7.jpg")</f>
        <v>https://nematode.unl.edu/bolsi7.jpg</v>
      </c>
      <c r="D1647" t="s">
        <v>43</v>
      </c>
      <c r="G1647" t="s">
        <v>87</v>
      </c>
      <c r="I1647" t="s">
        <v>19</v>
      </c>
      <c r="J1647" t="s">
        <v>46</v>
      </c>
      <c r="L1647" t="s">
        <v>141</v>
      </c>
      <c r="M1647" t="s">
        <v>3414</v>
      </c>
      <c r="N1647" t="s">
        <v>3414</v>
      </c>
      <c r="O1647" t="s">
        <v>23</v>
      </c>
      <c r="P1647" t="s">
        <v>24</v>
      </c>
      <c r="Q1647" t="s">
        <v>69</v>
      </c>
      <c r="R1647" t="s">
        <v>419</v>
      </c>
    </row>
    <row r="1648" spans="1:18" x14ac:dyDescent="0.25">
      <c r="A1648" t="s">
        <v>17929</v>
      </c>
      <c r="B1648" t="s">
        <v>3430</v>
      </c>
      <c r="C1648" t="str">
        <f>HYPERLINK("https://nematode.unl.edu/bolsi8.jpg")</f>
        <v>https://nematode.unl.edu/bolsi8.jpg</v>
      </c>
      <c r="D1648" t="s">
        <v>43</v>
      </c>
      <c r="G1648" t="s">
        <v>28</v>
      </c>
      <c r="I1648" t="s">
        <v>19</v>
      </c>
      <c r="J1648" t="s">
        <v>46</v>
      </c>
      <c r="L1648" t="s">
        <v>85</v>
      </c>
      <c r="M1648" t="s">
        <v>3414</v>
      </c>
      <c r="N1648" t="s">
        <v>3414</v>
      </c>
      <c r="O1648" t="s">
        <v>23</v>
      </c>
      <c r="P1648" t="s">
        <v>24</v>
      </c>
      <c r="Q1648" t="s">
        <v>69</v>
      </c>
      <c r="R1648" t="s">
        <v>419</v>
      </c>
    </row>
    <row r="1649" spans="1:18" x14ac:dyDescent="0.25">
      <c r="A1649" t="s">
        <v>17919</v>
      </c>
      <c r="B1649" t="s">
        <v>3431</v>
      </c>
      <c r="C1649" t="str">
        <f>HYPERLINK("https://nematode.unl.edu/bolsi9.jpg")</f>
        <v>https://nematode.unl.edu/bolsi9.jpg</v>
      </c>
      <c r="D1649" t="s">
        <v>43</v>
      </c>
      <c r="G1649" t="s">
        <v>384</v>
      </c>
      <c r="I1649" t="s">
        <v>41</v>
      </c>
      <c r="J1649" t="s">
        <v>46</v>
      </c>
      <c r="L1649" t="s">
        <v>138</v>
      </c>
      <c r="M1649" t="s">
        <v>3414</v>
      </c>
      <c r="N1649" t="s">
        <v>3414</v>
      </c>
      <c r="O1649" t="s">
        <v>23</v>
      </c>
      <c r="P1649" t="s">
        <v>24</v>
      </c>
      <c r="Q1649" t="s">
        <v>69</v>
      </c>
      <c r="R1649" t="s">
        <v>419</v>
      </c>
    </row>
    <row r="1650" spans="1:18" x14ac:dyDescent="0.25">
      <c r="A1650" t="s">
        <v>17924</v>
      </c>
      <c r="B1650" t="s">
        <v>3432</v>
      </c>
      <c r="C1650" t="str">
        <f>HYPERLINK("https://nematode.unl.edu/bolsicmp.jpg")</f>
        <v>https://nematode.unl.edu/bolsicmp.jpg</v>
      </c>
      <c r="D1650" t="s">
        <v>77</v>
      </c>
      <c r="G1650" t="s">
        <v>108</v>
      </c>
      <c r="M1650" t="s">
        <v>3414</v>
      </c>
      <c r="N1650" t="s">
        <v>3414</v>
      </c>
      <c r="O1650" t="s">
        <v>23</v>
      </c>
      <c r="P1650" t="s">
        <v>24</v>
      </c>
      <c r="Q1650" t="s">
        <v>69</v>
      </c>
      <c r="R1650" t="s">
        <v>419</v>
      </c>
    </row>
    <row r="1651" spans="1:18" x14ac:dyDescent="0.25">
      <c r="A1651" t="s">
        <v>17847</v>
      </c>
      <c r="B1651" t="s">
        <v>3346</v>
      </c>
      <c r="C1651" t="str">
        <f>HYPERLINK("https://nematode.unl.edu/bolspr.jpg")</f>
        <v>https://nematode.unl.edu/bolspr.jpg</v>
      </c>
      <c r="D1651" t="s">
        <v>43</v>
      </c>
      <c r="G1651" t="s">
        <v>34</v>
      </c>
      <c r="H1651" t="s">
        <v>18</v>
      </c>
      <c r="I1651" t="s">
        <v>41</v>
      </c>
      <c r="J1651" t="s">
        <v>46</v>
      </c>
      <c r="L1651" t="s">
        <v>105</v>
      </c>
      <c r="M1651" t="s">
        <v>419</v>
      </c>
      <c r="N1651" t="s">
        <v>419</v>
      </c>
      <c r="O1651" t="s">
        <v>23</v>
      </c>
      <c r="P1651" t="s">
        <v>24</v>
      </c>
      <c r="Q1651" t="s">
        <v>69</v>
      </c>
      <c r="R1651" t="s">
        <v>419</v>
      </c>
    </row>
    <row r="1652" spans="1:18" x14ac:dyDescent="0.25">
      <c r="A1652" t="s">
        <v>17849</v>
      </c>
      <c r="B1652" t="s">
        <v>3347</v>
      </c>
      <c r="C1652" t="str">
        <f>HYPERLINK("https://nematode.unl.edu/bolvulv.jpg")</f>
        <v>https://nematode.unl.edu/bolvulv.jpg</v>
      </c>
      <c r="D1652" t="s">
        <v>43</v>
      </c>
      <c r="G1652" t="s">
        <v>51</v>
      </c>
      <c r="I1652" t="s">
        <v>19</v>
      </c>
      <c r="J1652" t="s">
        <v>46</v>
      </c>
      <c r="L1652" t="s">
        <v>105</v>
      </c>
      <c r="M1652" t="s">
        <v>419</v>
      </c>
      <c r="N1652" t="s">
        <v>419</v>
      </c>
      <c r="O1652" t="s">
        <v>23</v>
      </c>
      <c r="P1652" t="s">
        <v>24</v>
      </c>
      <c r="Q1652" t="s">
        <v>69</v>
      </c>
      <c r="R1652" t="s">
        <v>419</v>
      </c>
    </row>
    <row r="1653" spans="1:18" x14ac:dyDescent="0.25">
      <c r="A1653" t="s">
        <v>17941</v>
      </c>
      <c r="B1653" t="s">
        <v>3433</v>
      </c>
      <c r="C1653" t="str">
        <f>HYPERLINK("https://nematode.unl.edu/both1.jpg")</f>
        <v>https://nematode.unl.edu/both1.jpg</v>
      </c>
      <c r="D1653" t="s">
        <v>43</v>
      </c>
      <c r="G1653" t="s">
        <v>44</v>
      </c>
      <c r="I1653" t="s">
        <v>45</v>
      </c>
      <c r="J1653" t="s">
        <v>46</v>
      </c>
      <c r="L1653" t="s">
        <v>752</v>
      </c>
      <c r="M1653" t="s">
        <v>3434</v>
      </c>
      <c r="N1653" t="s">
        <v>3434</v>
      </c>
      <c r="O1653" t="s">
        <v>23</v>
      </c>
      <c r="P1653" t="s">
        <v>24</v>
      </c>
      <c r="Q1653" t="s">
        <v>69</v>
      </c>
      <c r="R1653" t="s">
        <v>419</v>
      </c>
    </row>
    <row r="1654" spans="1:18" x14ac:dyDescent="0.25">
      <c r="A1654" t="s">
        <v>17949</v>
      </c>
      <c r="B1654" t="s">
        <v>3435</v>
      </c>
      <c r="C1654" t="str">
        <f>HYPERLINK("https://nematode.unl.edu/both10.jpg")</f>
        <v>https://nematode.unl.edu/both10.jpg</v>
      </c>
      <c r="D1654" t="s">
        <v>43</v>
      </c>
      <c r="G1654" t="s">
        <v>28</v>
      </c>
      <c r="I1654" t="s">
        <v>19</v>
      </c>
      <c r="J1654" t="s">
        <v>46</v>
      </c>
      <c r="L1654" t="s">
        <v>141</v>
      </c>
      <c r="M1654" t="s">
        <v>3434</v>
      </c>
      <c r="N1654" t="s">
        <v>3434</v>
      </c>
      <c r="O1654" t="s">
        <v>23</v>
      </c>
      <c r="P1654" t="s">
        <v>24</v>
      </c>
      <c r="Q1654" t="s">
        <v>69</v>
      </c>
      <c r="R1654" t="s">
        <v>419</v>
      </c>
    </row>
    <row r="1655" spans="1:18" x14ac:dyDescent="0.25">
      <c r="A1655" t="s">
        <v>17932</v>
      </c>
      <c r="B1655" t="s">
        <v>3436</v>
      </c>
      <c r="C1655" t="str">
        <f>HYPERLINK("https://nematode.unl.edu/both11.jpg")</f>
        <v>https://nematode.unl.edu/both11.jpg</v>
      </c>
      <c r="D1655" t="s">
        <v>43</v>
      </c>
      <c r="G1655" t="s">
        <v>34</v>
      </c>
      <c r="H1655" t="s">
        <v>18</v>
      </c>
      <c r="I1655" t="s">
        <v>41</v>
      </c>
      <c r="J1655" t="s">
        <v>46</v>
      </c>
      <c r="L1655" t="s">
        <v>141</v>
      </c>
      <c r="M1655" t="s">
        <v>3434</v>
      </c>
      <c r="N1655" t="s">
        <v>3434</v>
      </c>
      <c r="O1655" t="s">
        <v>23</v>
      </c>
      <c r="P1655" t="s">
        <v>24</v>
      </c>
      <c r="Q1655" t="s">
        <v>69</v>
      </c>
      <c r="R1655" t="s">
        <v>419</v>
      </c>
    </row>
    <row r="1656" spans="1:18" x14ac:dyDescent="0.25">
      <c r="A1656" t="s">
        <v>17948</v>
      </c>
      <c r="B1656" t="s">
        <v>3437</v>
      </c>
      <c r="C1656" t="str">
        <f>HYPERLINK("https://nematode.unl.edu/both12.jpg")</f>
        <v>https://nematode.unl.edu/both12.jpg</v>
      </c>
      <c r="D1656" t="s">
        <v>43</v>
      </c>
      <c r="G1656" t="s">
        <v>53</v>
      </c>
      <c r="I1656" t="s">
        <v>41</v>
      </c>
      <c r="J1656" t="s">
        <v>46</v>
      </c>
      <c r="L1656" t="s">
        <v>141</v>
      </c>
      <c r="M1656" t="s">
        <v>3434</v>
      </c>
      <c r="N1656" t="s">
        <v>3434</v>
      </c>
      <c r="O1656" t="s">
        <v>23</v>
      </c>
      <c r="P1656" t="s">
        <v>24</v>
      </c>
      <c r="Q1656" t="s">
        <v>69</v>
      </c>
      <c r="R1656" t="s">
        <v>419</v>
      </c>
    </row>
    <row r="1657" spans="1:18" x14ac:dyDescent="0.25">
      <c r="A1657" t="s">
        <v>17942</v>
      </c>
      <c r="B1657" t="s">
        <v>3438</v>
      </c>
      <c r="C1657" t="str">
        <f>HYPERLINK("https://nematode.unl.edu/both13.jpg")</f>
        <v>https://nematode.unl.edu/both13.jpg</v>
      </c>
      <c r="D1657" t="s">
        <v>77</v>
      </c>
      <c r="G1657" t="s">
        <v>44</v>
      </c>
      <c r="I1657" t="s">
        <v>45</v>
      </c>
      <c r="J1657" t="s">
        <v>46</v>
      </c>
      <c r="M1657" t="s">
        <v>3434</v>
      </c>
      <c r="N1657" t="s">
        <v>3434</v>
      </c>
      <c r="O1657" t="s">
        <v>23</v>
      </c>
      <c r="P1657" t="s">
        <v>24</v>
      </c>
      <c r="Q1657" t="s">
        <v>69</v>
      </c>
      <c r="R1657" t="s">
        <v>419</v>
      </c>
    </row>
    <row r="1658" spans="1:18" x14ac:dyDescent="0.25">
      <c r="A1658" t="s">
        <v>17933</v>
      </c>
      <c r="B1658" t="s">
        <v>3439</v>
      </c>
      <c r="C1658" t="str">
        <f>HYPERLINK("https://nematode.unl.edu/both14.jpg")</f>
        <v>https://nematode.unl.edu/both14.jpg</v>
      </c>
      <c r="D1658" t="s">
        <v>77</v>
      </c>
      <c r="G1658" t="s">
        <v>34</v>
      </c>
      <c r="H1658" t="s">
        <v>18</v>
      </c>
      <c r="I1658" t="s">
        <v>19</v>
      </c>
      <c r="J1658" t="s">
        <v>46</v>
      </c>
      <c r="L1658" t="s">
        <v>206</v>
      </c>
      <c r="M1658" t="s">
        <v>3434</v>
      </c>
      <c r="N1658" t="s">
        <v>3434</v>
      </c>
      <c r="O1658" t="s">
        <v>23</v>
      </c>
      <c r="P1658" t="s">
        <v>24</v>
      </c>
      <c r="Q1658" t="s">
        <v>69</v>
      </c>
      <c r="R1658" t="s">
        <v>419</v>
      </c>
    </row>
    <row r="1659" spans="1:18" x14ac:dyDescent="0.25">
      <c r="A1659" t="s">
        <v>17950</v>
      </c>
      <c r="B1659" t="s">
        <v>3440</v>
      </c>
      <c r="C1659" t="str">
        <f>HYPERLINK("https://nematode.unl.edu/both15.jpg")</f>
        <v>https://nematode.unl.edu/both15.jpg</v>
      </c>
      <c r="D1659" t="s">
        <v>77</v>
      </c>
      <c r="G1659" t="s">
        <v>28</v>
      </c>
      <c r="I1659" t="s">
        <v>19</v>
      </c>
      <c r="J1659" t="s">
        <v>46</v>
      </c>
      <c r="M1659" t="s">
        <v>3434</v>
      </c>
      <c r="N1659" t="s">
        <v>3434</v>
      </c>
      <c r="O1659" t="s">
        <v>23</v>
      </c>
      <c r="P1659" t="s">
        <v>24</v>
      </c>
      <c r="Q1659" t="s">
        <v>69</v>
      </c>
      <c r="R1659" t="s">
        <v>419</v>
      </c>
    </row>
    <row r="1660" spans="1:18" x14ac:dyDescent="0.25">
      <c r="A1660" t="s">
        <v>17943</v>
      </c>
      <c r="B1660" t="s">
        <v>3441</v>
      </c>
      <c r="C1660" t="str">
        <f>HYPERLINK("https://nematode.unl.edu/both16.jpg")</f>
        <v>https://nematode.unl.edu/both16.jpg</v>
      </c>
      <c r="D1660" t="s">
        <v>77</v>
      </c>
      <c r="G1660" t="s">
        <v>44</v>
      </c>
      <c r="I1660" t="s">
        <v>45</v>
      </c>
      <c r="J1660" t="s">
        <v>46</v>
      </c>
      <c r="M1660" t="s">
        <v>3434</v>
      </c>
      <c r="N1660" t="s">
        <v>3434</v>
      </c>
      <c r="O1660" t="s">
        <v>23</v>
      </c>
      <c r="P1660" t="s">
        <v>24</v>
      </c>
      <c r="Q1660" t="s">
        <v>69</v>
      </c>
      <c r="R1660" t="s">
        <v>419</v>
      </c>
    </row>
    <row r="1661" spans="1:18" x14ac:dyDescent="0.25">
      <c r="A1661" t="s">
        <v>17934</v>
      </c>
      <c r="B1661" t="s">
        <v>3442</v>
      </c>
      <c r="C1661" t="str">
        <f>HYPERLINK("https://nematode.unl.edu/both17.jpg")</f>
        <v>https://nematode.unl.edu/both17.jpg</v>
      </c>
      <c r="D1661" t="s">
        <v>77</v>
      </c>
      <c r="G1661" t="s">
        <v>34</v>
      </c>
      <c r="H1661" t="s">
        <v>18</v>
      </c>
      <c r="I1661" t="s">
        <v>19</v>
      </c>
      <c r="J1661" t="s">
        <v>46</v>
      </c>
      <c r="M1661" t="s">
        <v>3434</v>
      </c>
      <c r="N1661" t="s">
        <v>3434</v>
      </c>
      <c r="O1661" t="s">
        <v>23</v>
      </c>
      <c r="P1661" t="s">
        <v>24</v>
      </c>
      <c r="Q1661" t="s">
        <v>69</v>
      </c>
      <c r="R1661" t="s">
        <v>419</v>
      </c>
    </row>
    <row r="1662" spans="1:18" x14ac:dyDescent="0.25">
      <c r="A1662" t="s">
        <v>17951</v>
      </c>
      <c r="B1662" t="s">
        <v>3443</v>
      </c>
      <c r="C1662" t="str">
        <f>HYPERLINK("https://nematode.unl.edu/both18.jpg")</f>
        <v>https://nematode.unl.edu/both18.jpg</v>
      </c>
      <c r="D1662" t="s">
        <v>77</v>
      </c>
      <c r="G1662" t="s">
        <v>28</v>
      </c>
      <c r="I1662" t="s">
        <v>19</v>
      </c>
      <c r="J1662" t="s">
        <v>46</v>
      </c>
      <c r="M1662" t="s">
        <v>3434</v>
      </c>
      <c r="N1662" t="s">
        <v>3434</v>
      </c>
      <c r="O1662" t="s">
        <v>23</v>
      </c>
      <c r="P1662" t="s">
        <v>24</v>
      </c>
      <c r="Q1662" t="s">
        <v>69</v>
      </c>
      <c r="R1662" t="s">
        <v>419</v>
      </c>
    </row>
    <row r="1663" spans="1:18" x14ac:dyDescent="0.25">
      <c r="A1663" t="s">
        <v>17952</v>
      </c>
      <c r="B1663" t="s">
        <v>3444</v>
      </c>
      <c r="C1663" t="str">
        <f>HYPERLINK("https://nematode.unl.edu/both19.jpg")</f>
        <v>https://nematode.unl.edu/both19.jpg</v>
      </c>
      <c r="D1663" t="s">
        <v>77</v>
      </c>
      <c r="G1663" t="s">
        <v>28</v>
      </c>
      <c r="I1663" t="s">
        <v>19</v>
      </c>
      <c r="J1663" t="s">
        <v>46</v>
      </c>
      <c r="L1663" t="s">
        <v>85</v>
      </c>
      <c r="M1663" t="s">
        <v>3434</v>
      </c>
      <c r="N1663" t="s">
        <v>3434</v>
      </c>
      <c r="O1663" t="s">
        <v>23</v>
      </c>
      <c r="P1663" t="s">
        <v>24</v>
      </c>
      <c r="Q1663" t="s">
        <v>69</v>
      </c>
      <c r="R1663" t="s">
        <v>419</v>
      </c>
    </row>
    <row r="1664" spans="1:18" x14ac:dyDescent="0.25">
      <c r="A1664" t="s">
        <v>17935</v>
      </c>
      <c r="B1664" t="s">
        <v>3445</v>
      </c>
      <c r="C1664" t="str">
        <f>HYPERLINK("https://nematode.unl.edu/both2.jpg")</f>
        <v>https://nematode.unl.edu/both2.jpg</v>
      </c>
      <c r="D1664" t="s">
        <v>43</v>
      </c>
      <c r="G1664" t="s">
        <v>34</v>
      </c>
      <c r="H1664" t="s">
        <v>18</v>
      </c>
      <c r="I1664" t="s">
        <v>19</v>
      </c>
      <c r="J1664" t="s">
        <v>46</v>
      </c>
      <c r="L1664" t="s">
        <v>752</v>
      </c>
      <c r="M1664" t="s">
        <v>3434</v>
      </c>
      <c r="N1664" t="s">
        <v>3434</v>
      </c>
      <c r="O1664" t="s">
        <v>23</v>
      </c>
      <c r="P1664" t="s">
        <v>24</v>
      </c>
      <c r="Q1664" t="s">
        <v>69</v>
      </c>
      <c r="R1664" t="s">
        <v>419</v>
      </c>
    </row>
    <row r="1665" spans="1:18" x14ac:dyDescent="0.25">
      <c r="A1665" t="s">
        <v>17944</v>
      </c>
      <c r="B1665" t="s">
        <v>3446</v>
      </c>
      <c r="C1665" t="str">
        <f>HYPERLINK("https://nematode.unl.edu/both20.jpg")</f>
        <v>https://nematode.unl.edu/both20.jpg</v>
      </c>
      <c r="D1665" t="s">
        <v>43</v>
      </c>
      <c r="G1665" t="s">
        <v>44</v>
      </c>
      <c r="I1665" t="s">
        <v>45</v>
      </c>
      <c r="J1665" t="s">
        <v>46</v>
      </c>
      <c r="L1665" t="s">
        <v>64</v>
      </c>
      <c r="M1665" t="s">
        <v>3434</v>
      </c>
      <c r="N1665" t="s">
        <v>3434</v>
      </c>
      <c r="O1665" t="s">
        <v>23</v>
      </c>
      <c r="P1665" t="s">
        <v>24</v>
      </c>
      <c r="Q1665" t="s">
        <v>69</v>
      </c>
      <c r="R1665" t="s">
        <v>419</v>
      </c>
    </row>
    <row r="1666" spans="1:18" x14ac:dyDescent="0.25">
      <c r="A1666" t="s">
        <v>17958</v>
      </c>
      <c r="B1666" t="s">
        <v>3447</v>
      </c>
      <c r="C1666" t="str">
        <f>HYPERLINK("https://nematode.unl.edu/both21.jpg")</f>
        <v>https://nematode.unl.edu/both21.jpg</v>
      </c>
      <c r="D1666" t="s">
        <v>43</v>
      </c>
      <c r="G1666" t="s">
        <v>51</v>
      </c>
      <c r="I1666" t="s">
        <v>45</v>
      </c>
      <c r="J1666" t="s">
        <v>46</v>
      </c>
      <c r="L1666" t="s">
        <v>64</v>
      </c>
      <c r="M1666" t="s">
        <v>3434</v>
      </c>
      <c r="N1666" t="s">
        <v>3434</v>
      </c>
      <c r="O1666" t="s">
        <v>23</v>
      </c>
      <c r="P1666" t="s">
        <v>24</v>
      </c>
      <c r="Q1666" t="s">
        <v>69</v>
      </c>
      <c r="R1666" t="s">
        <v>419</v>
      </c>
    </row>
    <row r="1667" spans="1:18" x14ac:dyDescent="0.25">
      <c r="A1667" t="s">
        <v>17959</v>
      </c>
      <c r="B1667" t="s">
        <v>3448</v>
      </c>
      <c r="C1667" t="str">
        <f>HYPERLINK("https://nematode.unl.edu/both3.jpg")</f>
        <v>https://nematode.unl.edu/both3.jpg</v>
      </c>
      <c r="D1667" t="s">
        <v>43</v>
      </c>
      <c r="G1667" t="s">
        <v>51</v>
      </c>
      <c r="I1667" t="s">
        <v>45</v>
      </c>
      <c r="J1667" t="s">
        <v>46</v>
      </c>
      <c r="L1667" t="s">
        <v>752</v>
      </c>
      <c r="M1667" t="s">
        <v>3434</v>
      </c>
      <c r="N1667" t="s">
        <v>3434</v>
      </c>
      <c r="O1667" t="s">
        <v>23</v>
      </c>
      <c r="P1667" t="s">
        <v>24</v>
      </c>
      <c r="Q1667" t="s">
        <v>69</v>
      </c>
      <c r="R1667" t="s">
        <v>419</v>
      </c>
    </row>
    <row r="1668" spans="1:18" x14ac:dyDescent="0.25">
      <c r="A1668" t="s">
        <v>17953</v>
      </c>
      <c r="B1668" t="s">
        <v>3449</v>
      </c>
      <c r="C1668" t="str">
        <f>HYPERLINK("https://nematode.unl.edu/both4.jpg")</f>
        <v>https://nematode.unl.edu/both4.jpg</v>
      </c>
      <c r="D1668" t="s">
        <v>43</v>
      </c>
      <c r="G1668" t="s">
        <v>28</v>
      </c>
      <c r="I1668" t="s">
        <v>19</v>
      </c>
      <c r="J1668" t="s">
        <v>46</v>
      </c>
      <c r="L1668" t="s">
        <v>752</v>
      </c>
      <c r="M1668" t="s">
        <v>3434</v>
      </c>
      <c r="N1668" t="s">
        <v>3434</v>
      </c>
      <c r="O1668" t="s">
        <v>23</v>
      </c>
      <c r="P1668" t="s">
        <v>24</v>
      </c>
      <c r="Q1668" t="s">
        <v>69</v>
      </c>
      <c r="R1668" t="s">
        <v>419</v>
      </c>
    </row>
    <row r="1669" spans="1:18" x14ac:dyDescent="0.25">
      <c r="A1669" t="s">
        <v>17954</v>
      </c>
      <c r="B1669" t="s">
        <v>3450</v>
      </c>
      <c r="C1669" t="str">
        <f>HYPERLINK("https://nematode.unl.edu/both5.jpg")</f>
        <v>https://nematode.unl.edu/both5.jpg</v>
      </c>
      <c r="D1669" t="s">
        <v>43</v>
      </c>
      <c r="G1669" t="s">
        <v>28</v>
      </c>
      <c r="I1669" t="s">
        <v>19</v>
      </c>
      <c r="J1669" t="s">
        <v>46</v>
      </c>
      <c r="L1669" t="s">
        <v>752</v>
      </c>
      <c r="M1669" t="s">
        <v>3434</v>
      </c>
      <c r="N1669" t="s">
        <v>3434</v>
      </c>
      <c r="O1669" t="s">
        <v>23</v>
      </c>
      <c r="P1669" t="s">
        <v>24</v>
      </c>
      <c r="Q1669" t="s">
        <v>69</v>
      </c>
      <c r="R1669" t="s">
        <v>419</v>
      </c>
    </row>
    <row r="1670" spans="1:18" x14ac:dyDescent="0.25">
      <c r="A1670" t="s">
        <v>17960</v>
      </c>
      <c r="B1670" t="s">
        <v>3451</v>
      </c>
      <c r="C1670" t="str">
        <f>HYPERLINK("https://nematode.unl.edu/both6.jpg")</f>
        <v>https://nematode.unl.edu/both6.jpg</v>
      </c>
      <c r="D1670" t="s">
        <v>43</v>
      </c>
      <c r="G1670" t="s">
        <v>51</v>
      </c>
      <c r="I1670" t="s">
        <v>19</v>
      </c>
      <c r="J1670" t="s">
        <v>46</v>
      </c>
      <c r="L1670" t="s">
        <v>85</v>
      </c>
      <c r="M1670" t="s">
        <v>3434</v>
      </c>
      <c r="N1670" t="s">
        <v>3434</v>
      </c>
      <c r="O1670" t="s">
        <v>23</v>
      </c>
      <c r="P1670" t="s">
        <v>24</v>
      </c>
      <c r="Q1670" t="s">
        <v>69</v>
      </c>
      <c r="R1670" t="s">
        <v>419</v>
      </c>
    </row>
    <row r="1671" spans="1:18" x14ac:dyDescent="0.25">
      <c r="A1671" t="s">
        <v>17936</v>
      </c>
      <c r="B1671" t="s">
        <v>3452</v>
      </c>
      <c r="C1671" t="str">
        <f>HYPERLINK("https://nematode.unl.edu/both7.jpg")</f>
        <v>https://nematode.unl.edu/both7.jpg</v>
      </c>
      <c r="D1671" t="s">
        <v>43</v>
      </c>
      <c r="G1671" t="s">
        <v>34</v>
      </c>
      <c r="H1671" t="s">
        <v>18</v>
      </c>
      <c r="I1671" t="s">
        <v>19</v>
      </c>
      <c r="J1671" t="s">
        <v>46</v>
      </c>
      <c r="L1671" t="s">
        <v>85</v>
      </c>
      <c r="M1671" t="s">
        <v>3434</v>
      </c>
      <c r="N1671" t="s">
        <v>3434</v>
      </c>
      <c r="O1671" t="s">
        <v>23</v>
      </c>
      <c r="P1671" t="s">
        <v>24</v>
      </c>
      <c r="Q1671" t="s">
        <v>69</v>
      </c>
      <c r="R1671" t="s">
        <v>419</v>
      </c>
    </row>
    <row r="1672" spans="1:18" x14ac:dyDescent="0.25">
      <c r="A1672" t="s">
        <v>17937</v>
      </c>
      <c r="B1672" t="s">
        <v>3453</v>
      </c>
      <c r="C1672" t="str">
        <f>HYPERLINK("https://nematode.unl.edu/both8.jpg")</f>
        <v>https://nematode.unl.edu/both8.jpg</v>
      </c>
      <c r="D1672" t="s">
        <v>43</v>
      </c>
      <c r="G1672" t="s">
        <v>34</v>
      </c>
      <c r="H1672" t="s">
        <v>18</v>
      </c>
      <c r="I1672" t="s">
        <v>19</v>
      </c>
      <c r="J1672" t="s">
        <v>46</v>
      </c>
      <c r="L1672" t="s">
        <v>64</v>
      </c>
      <c r="M1672" t="s">
        <v>3434</v>
      </c>
      <c r="N1672" t="s">
        <v>3434</v>
      </c>
      <c r="O1672" t="s">
        <v>23</v>
      </c>
      <c r="P1672" t="s">
        <v>24</v>
      </c>
      <c r="Q1672" t="s">
        <v>69</v>
      </c>
      <c r="R1672" t="s">
        <v>419</v>
      </c>
    </row>
    <row r="1673" spans="1:18" x14ac:dyDescent="0.25">
      <c r="A1673" t="s">
        <v>17955</v>
      </c>
      <c r="B1673" t="s">
        <v>3454</v>
      </c>
      <c r="C1673" t="str">
        <f>HYPERLINK("https://nematode.unl.edu/both9.jpg")</f>
        <v>https://nematode.unl.edu/both9.jpg</v>
      </c>
      <c r="D1673" t="s">
        <v>43</v>
      </c>
      <c r="G1673" t="s">
        <v>28</v>
      </c>
      <c r="I1673" t="s">
        <v>19</v>
      </c>
      <c r="J1673" t="s">
        <v>46</v>
      </c>
      <c r="L1673" t="s">
        <v>64</v>
      </c>
      <c r="M1673" t="s">
        <v>3434</v>
      </c>
      <c r="N1673" t="s">
        <v>3434</v>
      </c>
      <c r="O1673" t="s">
        <v>23</v>
      </c>
      <c r="P1673" t="s">
        <v>24</v>
      </c>
      <c r="Q1673" t="s">
        <v>69</v>
      </c>
      <c r="R1673" t="s">
        <v>419</v>
      </c>
    </row>
    <row r="1674" spans="1:18" x14ac:dyDescent="0.25">
      <c r="A1674" t="s">
        <v>17947</v>
      </c>
      <c r="B1674" t="s">
        <v>3455</v>
      </c>
      <c r="C1674" t="str">
        <f>HYPERLINK("https://nematode.unl.edu/bothcmp.jpg")</f>
        <v>https://nematode.unl.edu/bothcmp.jpg</v>
      </c>
      <c r="G1674" t="s">
        <v>108</v>
      </c>
      <c r="M1674" t="s">
        <v>3434</v>
      </c>
      <c r="N1674" t="s">
        <v>3434</v>
      </c>
      <c r="O1674" t="s">
        <v>23</v>
      </c>
      <c r="P1674" t="s">
        <v>24</v>
      </c>
      <c r="Q1674" t="s">
        <v>69</v>
      </c>
      <c r="R1674" t="s">
        <v>419</v>
      </c>
    </row>
    <row r="1675" spans="1:18" x14ac:dyDescent="0.25">
      <c r="A1675" t="s">
        <v>17938</v>
      </c>
      <c r="B1675" t="s">
        <v>3456</v>
      </c>
      <c r="C1675" t="str">
        <f>HYPERLINK("https://nematode.unl.edu/bothyl1.jpg")</f>
        <v>https://nematode.unl.edu/bothyl1.jpg</v>
      </c>
      <c r="D1675" t="s">
        <v>16</v>
      </c>
      <c r="G1675" t="s">
        <v>34</v>
      </c>
      <c r="H1675" t="s">
        <v>18</v>
      </c>
      <c r="I1675" t="s">
        <v>19</v>
      </c>
      <c r="J1675" t="s">
        <v>46</v>
      </c>
      <c r="L1675" t="s">
        <v>105</v>
      </c>
      <c r="M1675" t="s">
        <v>3434</v>
      </c>
      <c r="N1675" t="s">
        <v>3434</v>
      </c>
      <c r="O1675" t="s">
        <v>23</v>
      </c>
      <c r="P1675" t="s">
        <v>24</v>
      </c>
      <c r="Q1675" t="s">
        <v>69</v>
      </c>
      <c r="R1675" t="s">
        <v>419</v>
      </c>
    </row>
    <row r="1676" spans="1:18" x14ac:dyDescent="0.25">
      <c r="A1676" t="s">
        <v>17945</v>
      </c>
      <c r="B1676" t="s">
        <v>3457</v>
      </c>
      <c r="C1676" t="str">
        <f>HYPERLINK("https://nematode.unl.edu/bothyl2.jpg")</f>
        <v>https://nematode.unl.edu/bothyl2.jpg</v>
      </c>
      <c r="D1676" t="s">
        <v>16</v>
      </c>
      <c r="G1676" t="s">
        <v>44</v>
      </c>
      <c r="I1676" t="s">
        <v>45</v>
      </c>
      <c r="J1676" t="s">
        <v>46</v>
      </c>
      <c r="L1676" t="s">
        <v>105</v>
      </c>
      <c r="M1676" t="s">
        <v>3434</v>
      </c>
      <c r="N1676" t="s">
        <v>3434</v>
      </c>
      <c r="O1676" t="s">
        <v>23</v>
      </c>
      <c r="P1676" t="s">
        <v>24</v>
      </c>
      <c r="Q1676" t="s">
        <v>69</v>
      </c>
      <c r="R1676" t="s">
        <v>419</v>
      </c>
    </row>
    <row r="1677" spans="1:18" x14ac:dyDescent="0.25">
      <c r="A1677" t="s">
        <v>17946</v>
      </c>
      <c r="B1677" t="s">
        <v>3458</v>
      </c>
      <c r="C1677" t="str">
        <f>HYPERLINK("https://nematode.unl.edu/bothyl3.jpg")</f>
        <v>https://nematode.unl.edu/bothyl3.jpg</v>
      </c>
      <c r="D1677" t="s">
        <v>77</v>
      </c>
      <c r="G1677" t="s">
        <v>44</v>
      </c>
      <c r="I1677" t="s">
        <v>45</v>
      </c>
      <c r="J1677" t="s">
        <v>46</v>
      </c>
      <c r="L1677" t="s">
        <v>727</v>
      </c>
      <c r="M1677" t="s">
        <v>3434</v>
      </c>
      <c r="N1677" t="s">
        <v>3434</v>
      </c>
      <c r="O1677" t="s">
        <v>23</v>
      </c>
      <c r="P1677" t="s">
        <v>24</v>
      </c>
      <c r="Q1677" t="s">
        <v>69</v>
      </c>
      <c r="R1677" t="s">
        <v>419</v>
      </c>
    </row>
    <row r="1678" spans="1:18" x14ac:dyDescent="0.25">
      <c r="A1678" t="s">
        <v>17939</v>
      </c>
      <c r="B1678" t="s">
        <v>3459</v>
      </c>
      <c r="C1678" t="str">
        <f>HYPERLINK("https://nematode.unl.edu/bothyl4.jpg")</f>
        <v>https://nematode.unl.edu/bothyl4.jpg</v>
      </c>
      <c r="D1678" t="s">
        <v>77</v>
      </c>
      <c r="G1678" t="s">
        <v>34</v>
      </c>
      <c r="H1678" t="s">
        <v>18</v>
      </c>
      <c r="I1678" t="s">
        <v>19</v>
      </c>
      <c r="J1678" t="s">
        <v>46</v>
      </c>
      <c r="L1678" t="s">
        <v>727</v>
      </c>
      <c r="M1678" t="s">
        <v>3434</v>
      </c>
      <c r="N1678" t="s">
        <v>3434</v>
      </c>
      <c r="O1678" t="s">
        <v>23</v>
      </c>
      <c r="P1678" t="s">
        <v>24</v>
      </c>
      <c r="Q1678" t="s">
        <v>69</v>
      </c>
      <c r="R1678" t="s">
        <v>419</v>
      </c>
    </row>
    <row r="1679" spans="1:18" x14ac:dyDescent="0.25">
      <c r="A1679" t="s">
        <v>17956</v>
      </c>
      <c r="B1679" t="s">
        <v>3460</v>
      </c>
      <c r="C1679" t="str">
        <f>HYPERLINK("https://nematode.unl.edu/bothyl5.jpg")</f>
        <v>https://nematode.unl.edu/bothyl5.jpg</v>
      </c>
      <c r="D1679" t="s">
        <v>77</v>
      </c>
      <c r="G1679" t="s">
        <v>28</v>
      </c>
      <c r="I1679" t="s">
        <v>19</v>
      </c>
      <c r="J1679" t="s">
        <v>46</v>
      </c>
      <c r="L1679" t="s">
        <v>727</v>
      </c>
      <c r="M1679" t="s">
        <v>3434</v>
      </c>
      <c r="N1679" t="s">
        <v>3434</v>
      </c>
      <c r="O1679" t="s">
        <v>23</v>
      </c>
      <c r="P1679" t="s">
        <v>24</v>
      </c>
      <c r="Q1679" t="s">
        <v>69</v>
      </c>
      <c r="R1679" t="s">
        <v>419</v>
      </c>
    </row>
    <row r="1680" spans="1:18" x14ac:dyDescent="0.25">
      <c r="A1680" t="s">
        <v>13198</v>
      </c>
      <c r="B1680" t="s">
        <v>3505</v>
      </c>
      <c r="C1680" t="str">
        <f>HYPERLINK("https://nematode.unl.edu/bretic1.jpg")</f>
        <v>https://nematode.unl.edu/bretic1.jpg</v>
      </c>
      <c r="D1680" t="s">
        <v>43</v>
      </c>
      <c r="G1680" t="s">
        <v>44</v>
      </c>
      <c r="I1680" t="s">
        <v>137</v>
      </c>
      <c r="J1680" t="s">
        <v>20</v>
      </c>
      <c r="M1680" t="s">
        <v>3506</v>
      </c>
      <c r="N1680" t="s">
        <v>3506</v>
      </c>
      <c r="O1680" t="s">
        <v>23</v>
      </c>
      <c r="P1680" t="s">
        <v>24</v>
      </c>
      <c r="Q1680" t="s">
        <v>3466</v>
      </c>
      <c r="R1680" t="s">
        <v>3465</v>
      </c>
    </row>
    <row r="1681" spans="1:18" x14ac:dyDescent="0.25">
      <c r="A1681" t="s">
        <v>13195</v>
      </c>
      <c r="B1681" t="s">
        <v>3507</v>
      </c>
      <c r="C1681" t="str">
        <f>HYPERLINK("https://nematode.unl.edu/bretic2.jpg")</f>
        <v>https://nematode.unl.edu/bretic2.jpg</v>
      </c>
      <c r="D1681" t="s">
        <v>43</v>
      </c>
      <c r="G1681" t="s">
        <v>34</v>
      </c>
      <c r="H1681" t="s">
        <v>18</v>
      </c>
      <c r="I1681" t="s">
        <v>19</v>
      </c>
      <c r="J1681" t="s">
        <v>20</v>
      </c>
      <c r="M1681" t="s">
        <v>3506</v>
      </c>
      <c r="N1681" t="s">
        <v>3506</v>
      </c>
      <c r="O1681" t="s">
        <v>23</v>
      </c>
      <c r="P1681" t="s">
        <v>24</v>
      </c>
      <c r="Q1681" t="s">
        <v>3466</v>
      </c>
      <c r="R1681" t="s">
        <v>3465</v>
      </c>
    </row>
    <row r="1682" spans="1:18" x14ac:dyDescent="0.25">
      <c r="A1682" t="s">
        <v>13199</v>
      </c>
      <c r="B1682" t="s">
        <v>3508</v>
      </c>
      <c r="C1682" t="str">
        <f>HYPERLINK("https://nematode.unl.edu/bretic3.jpg")</f>
        <v>https://nematode.unl.edu/bretic3.jpg</v>
      </c>
      <c r="D1682" t="s">
        <v>43</v>
      </c>
      <c r="G1682" t="s">
        <v>28</v>
      </c>
      <c r="I1682" t="s">
        <v>19</v>
      </c>
      <c r="J1682" t="s">
        <v>20</v>
      </c>
      <c r="M1682" t="s">
        <v>3506</v>
      </c>
      <c r="N1682" t="s">
        <v>3506</v>
      </c>
      <c r="O1682" t="s">
        <v>23</v>
      </c>
      <c r="P1682" t="s">
        <v>24</v>
      </c>
      <c r="Q1682" t="s">
        <v>3466</v>
      </c>
      <c r="R1682" t="s">
        <v>3465</v>
      </c>
    </row>
    <row r="1683" spans="1:18" x14ac:dyDescent="0.25">
      <c r="A1683" t="s">
        <v>13196</v>
      </c>
      <c r="B1683" t="s">
        <v>3509</v>
      </c>
      <c r="C1683" t="str">
        <f>HYPERLINK("https://nematode.unl.edu/bretic4.jpg")</f>
        <v>https://nematode.unl.edu/bretic4.jpg</v>
      </c>
      <c r="D1683" t="s">
        <v>43</v>
      </c>
      <c r="G1683" t="s">
        <v>34</v>
      </c>
      <c r="H1683" t="s">
        <v>18</v>
      </c>
      <c r="I1683" t="s">
        <v>41</v>
      </c>
      <c r="J1683" t="s">
        <v>20</v>
      </c>
      <c r="M1683" t="s">
        <v>3506</v>
      </c>
      <c r="N1683" t="s">
        <v>3506</v>
      </c>
      <c r="O1683" t="s">
        <v>23</v>
      </c>
      <c r="P1683" t="s">
        <v>24</v>
      </c>
      <c r="Q1683" t="s">
        <v>3466</v>
      </c>
      <c r="R1683" t="s">
        <v>3465</v>
      </c>
    </row>
    <row r="1684" spans="1:18" x14ac:dyDescent="0.25">
      <c r="A1684" t="s">
        <v>13197</v>
      </c>
      <c r="B1684" t="s">
        <v>3510</v>
      </c>
      <c r="C1684" t="str">
        <f>HYPERLINK("https://nematode.unl.edu/bretic5.jpg")</f>
        <v>https://nematode.unl.edu/bretic5.jpg</v>
      </c>
      <c r="D1684" t="s">
        <v>43</v>
      </c>
      <c r="G1684" t="s">
        <v>3511</v>
      </c>
      <c r="I1684" t="s">
        <v>41</v>
      </c>
      <c r="J1684" t="s">
        <v>20</v>
      </c>
      <c r="M1684" t="s">
        <v>3506</v>
      </c>
      <c r="N1684" t="s">
        <v>3506</v>
      </c>
      <c r="O1684" t="s">
        <v>23</v>
      </c>
      <c r="P1684" t="s">
        <v>24</v>
      </c>
      <c r="Q1684" t="s">
        <v>3466</v>
      </c>
      <c r="R1684" t="s">
        <v>3465</v>
      </c>
    </row>
    <row r="1685" spans="1:18" x14ac:dyDescent="0.25">
      <c r="A1685" t="s">
        <v>13200</v>
      </c>
      <c r="B1685" t="s">
        <v>3512</v>
      </c>
      <c r="C1685" t="str">
        <f>HYPERLINK("https://nematode.unl.edu/bretic6.jpg")</f>
        <v>https://nematode.unl.edu/bretic6.jpg</v>
      </c>
      <c r="D1685" t="s">
        <v>43</v>
      </c>
      <c r="G1685" t="s">
        <v>28</v>
      </c>
      <c r="I1685" t="s">
        <v>41</v>
      </c>
      <c r="J1685" t="s">
        <v>20</v>
      </c>
      <c r="L1685" t="s">
        <v>85</v>
      </c>
      <c r="M1685" t="s">
        <v>3506</v>
      </c>
      <c r="N1685" t="s">
        <v>3506</v>
      </c>
      <c r="O1685" t="s">
        <v>23</v>
      </c>
      <c r="P1685" t="s">
        <v>24</v>
      </c>
      <c r="Q1685" t="s">
        <v>3466</v>
      </c>
      <c r="R1685" t="s">
        <v>3465</v>
      </c>
    </row>
    <row r="1686" spans="1:18" x14ac:dyDescent="0.25">
      <c r="A1686" t="s">
        <v>17940</v>
      </c>
      <c r="B1686" t="s">
        <v>3461</v>
      </c>
      <c r="C1686" t="str">
        <f>HYPERLINK("https://nematode.unl.edu/bthhead.jpg")</f>
        <v>https://nematode.unl.edu/bthhead.jpg</v>
      </c>
      <c r="D1686" t="s">
        <v>43</v>
      </c>
      <c r="G1686" t="s">
        <v>34</v>
      </c>
      <c r="H1686" t="s">
        <v>18</v>
      </c>
      <c r="I1686" t="s">
        <v>19</v>
      </c>
      <c r="J1686" t="s">
        <v>3462</v>
      </c>
      <c r="L1686" t="s">
        <v>727</v>
      </c>
      <c r="M1686" t="s">
        <v>3434</v>
      </c>
      <c r="N1686" t="s">
        <v>3434</v>
      </c>
      <c r="O1686" t="s">
        <v>23</v>
      </c>
      <c r="P1686" t="s">
        <v>24</v>
      </c>
      <c r="Q1686" t="s">
        <v>69</v>
      </c>
      <c r="R1686" t="s">
        <v>419</v>
      </c>
    </row>
    <row r="1687" spans="1:18" x14ac:dyDescent="0.25">
      <c r="A1687" t="s">
        <v>17957</v>
      </c>
      <c r="B1687" t="s">
        <v>3463</v>
      </c>
      <c r="C1687" t="str">
        <f>HYPERLINK("https://nematode.unl.edu/bthtail.jpg")</f>
        <v>https://nematode.unl.edu/bthtail.jpg</v>
      </c>
      <c r="D1687" t="s">
        <v>43</v>
      </c>
      <c r="G1687" t="s">
        <v>28</v>
      </c>
      <c r="I1687" t="s">
        <v>19</v>
      </c>
      <c r="J1687" t="s">
        <v>3462</v>
      </c>
      <c r="L1687" t="s">
        <v>727</v>
      </c>
      <c r="M1687" t="s">
        <v>3434</v>
      </c>
      <c r="N1687" t="s">
        <v>3434</v>
      </c>
      <c r="O1687" t="s">
        <v>23</v>
      </c>
      <c r="P1687" t="s">
        <v>24</v>
      </c>
      <c r="Q1687" t="s">
        <v>69</v>
      </c>
      <c r="R1687" t="s">
        <v>419</v>
      </c>
    </row>
    <row r="1688" spans="1:18" x14ac:dyDescent="0.25">
      <c r="A1688" t="s">
        <v>13174</v>
      </c>
      <c r="B1688" t="s">
        <v>3464</v>
      </c>
      <c r="C1688" t="str">
        <f>HYPERLINK("https://nematode.unl.edu/bunon1.jpg")</f>
        <v>https://nematode.unl.edu/bunon1.jpg</v>
      </c>
      <c r="D1688" t="s">
        <v>43</v>
      </c>
      <c r="G1688" t="s">
        <v>44</v>
      </c>
      <c r="I1688" t="s">
        <v>19</v>
      </c>
      <c r="J1688" t="s">
        <v>20</v>
      </c>
      <c r="L1688" t="s">
        <v>141</v>
      </c>
      <c r="M1688" t="s">
        <v>3465</v>
      </c>
      <c r="N1688" t="s">
        <v>3465</v>
      </c>
      <c r="O1688" t="s">
        <v>23</v>
      </c>
      <c r="P1688" t="s">
        <v>24</v>
      </c>
      <c r="Q1688" t="s">
        <v>3466</v>
      </c>
      <c r="R1688" t="s">
        <v>3465</v>
      </c>
    </row>
    <row r="1689" spans="1:18" x14ac:dyDescent="0.25">
      <c r="A1689" t="s">
        <v>13186</v>
      </c>
      <c r="B1689" t="s">
        <v>3467</v>
      </c>
      <c r="C1689" t="str">
        <f>HYPERLINK("https://nematode.unl.edu/bunon10.jpg")</f>
        <v>https://nematode.unl.edu/bunon10.jpg</v>
      </c>
      <c r="D1689" t="s">
        <v>43</v>
      </c>
      <c r="G1689" t="s">
        <v>1555</v>
      </c>
      <c r="I1689" t="s">
        <v>41</v>
      </c>
      <c r="J1689" t="s">
        <v>20</v>
      </c>
      <c r="M1689" t="s">
        <v>3465</v>
      </c>
      <c r="N1689" t="s">
        <v>3465</v>
      </c>
      <c r="O1689" t="s">
        <v>23</v>
      </c>
      <c r="P1689" t="s">
        <v>24</v>
      </c>
      <c r="Q1689" t="s">
        <v>3466</v>
      </c>
      <c r="R1689" t="s">
        <v>3465</v>
      </c>
    </row>
    <row r="1690" spans="1:18" x14ac:dyDescent="0.25">
      <c r="A1690" t="s">
        <v>13183</v>
      </c>
      <c r="B1690" t="s">
        <v>3468</v>
      </c>
      <c r="C1690" t="str">
        <f>HYPERLINK("https://nematode.unl.edu/bunon11.jpg")</f>
        <v>https://nematode.unl.edu/bunon11.jpg</v>
      </c>
      <c r="D1690" t="s">
        <v>43</v>
      </c>
      <c r="G1690" t="s">
        <v>224</v>
      </c>
      <c r="I1690" t="s">
        <v>41</v>
      </c>
      <c r="J1690" t="s">
        <v>20</v>
      </c>
      <c r="M1690" t="s">
        <v>3465</v>
      </c>
      <c r="N1690" t="s">
        <v>3465</v>
      </c>
      <c r="O1690" t="s">
        <v>23</v>
      </c>
      <c r="P1690" t="s">
        <v>24</v>
      </c>
      <c r="Q1690" t="s">
        <v>3466</v>
      </c>
      <c r="R1690" t="s">
        <v>3465</v>
      </c>
    </row>
    <row r="1691" spans="1:18" x14ac:dyDescent="0.25">
      <c r="A1691" t="s">
        <v>13157</v>
      </c>
      <c r="B1691" t="s">
        <v>3469</v>
      </c>
      <c r="C1691" t="str">
        <f>HYPERLINK("https://nematode.unl.edu/bunon12.jpg")</f>
        <v>https://nematode.unl.edu/bunon12.jpg</v>
      </c>
      <c r="D1691" t="s">
        <v>43</v>
      </c>
      <c r="G1691" t="s">
        <v>34</v>
      </c>
      <c r="H1691" t="s">
        <v>18</v>
      </c>
      <c r="I1691" t="s">
        <v>41</v>
      </c>
      <c r="J1691" t="s">
        <v>20</v>
      </c>
      <c r="M1691" t="s">
        <v>3465</v>
      </c>
      <c r="N1691" t="s">
        <v>3465</v>
      </c>
      <c r="O1691" t="s">
        <v>23</v>
      </c>
      <c r="P1691" t="s">
        <v>24</v>
      </c>
      <c r="Q1691" t="s">
        <v>3466</v>
      </c>
      <c r="R1691" t="s">
        <v>3465</v>
      </c>
    </row>
    <row r="1692" spans="1:18" x14ac:dyDescent="0.25">
      <c r="A1692" t="s">
        <v>13187</v>
      </c>
      <c r="B1692" t="s">
        <v>3470</v>
      </c>
      <c r="C1692" t="str">
        <f>HYPERLINK("https://nematode.unl.edu/bunon13.jpg")</f>
        <v>https://nematode.unl.edu/bunon13.jpg</v>
      </c>
      <c r="D1692" t="s">
        <v>43</v>
      </c>
      <c r="G1692" t="s">
        <v>2964</v>
      </c>
      <c r="I1692" t="s">
        <v>41</v>
      </c>
      <c r="J1692" t="s">
        <v>20</v>
      </c>
      <c r="M1692" t="s">
        <v>3465</v>
      </c>
      <c r="N1692" t="s">
        <v>3465</v>
      </c>
      <c r="O1692" t="s">
        <v>23</v>
      </c>
      <c r="P1692" t="s">
        <v>24</v>
      </c>
      <c r="Q1692" t="s">
        <v>3466</v>
      </c>
      <c r="R1692" t="s">
        <v>3465</v>
      </c>
    </row>
    <row r="1693" spans="1:18" x14ac:dyDescent="0.25">
      <c r="A1693" t="s">
        <v>13175</v>
      </c>
      <c r="B1693" t="s">
        <v>3471</v>
      </c>
      <c r="C1693" t="str">
        <f>HYPERLINK("https://nematode.unl.edu/bunon14.jpg")</f>
        <v>https://nematode.unl.edu/bunon14.jpg</v>
      </c>
      <c r="D1693" t="s">
        <v>16</v>
      </c>
      <c r="G1693" t="s">
        <v>44</v>
      </c>
      <c r="I1693" t="s">
        <v>19</v>
      </c>
      <c r="J1693" t="s">
        <v>20</v>
      </c>
      <c r="L1693" t="s">
        <v>141</v>
      </c>
      <c r="M1693" t="s">
        <v>3465</v>
      </c>
      <c r="N1693" t="s">
        <v>3465</v>
      </c>
      <c r="O1693" t="s">
        <v>23</v>
      </c>
      <c r="P1693" t="s">
        <v>24</v>
      </c>
      <c r="Q1693" t="s">
        <v>3466</v>
      </c>
      <c r="R1693" t="s">
        <v>3465</v>
      </c>
    </row>
    <row r="1694" spans="1:18" x14ac:dyDescent="0.25">
      <c r="A1694" t="s">
        <v>13176</v>
      </c>
      <c r="B1694" t="s">
        <v>3472</v>
      </c>
      <c r="C1694" t="str">
        <f>HYPERLINK("https://nematode.unl.edu/bunon15.jpg")</f>
        <v>https://nematode.unl.edu/bunon15.jpg</v>
      </c>
      <c r="D1694" t="s">
        <v>16</v>
      </c>
      <c r="G1694" t="s">
        <v>44</v>
      </c>
      <c r="I1694" t="s">
        <v>45</v>
      </c>
      <c r="J1694" t="s">
        <v>20</v>
      </c>
      <c r="L1694" t="s">
        <v>141</v>
      </c>
      <c r="M1694" t="s">
        <v>3465</v>
      </c>
      <c r="N1694" t="s">
        <v>3465</v>
      </c>
      <c r="O1694" t="s">
        <v>23</v>
      </c>
      <c r="P1694" t="s">
        <v>24</v>
      </c>
      <c r="Q1694" t="s">
        <v>3466</v>
      </c>
      <c r="R1694" t="s">
        <v>3465</v>
      </c>
    </row>
    <row r="1695" spans="1:18" x14ac:dyDescent="0.25">
      <c r="A1695" t="s">
        <v>13177</v>
      </c>
      <c r="B1695" t="s">
        <v>3473</v>
      </c>
      <c r="C1695" t="str">
        <f>HYPERLINK("https://nematode.unl.edu/bunon16.jpg")</f>
        <v>https://nematode.unl.edu/bunon16.jpg</v>
      </c>
      <c r="D1695" t="s">
        <v>16</v>
      </c>
      <c r="G1695" t="s">
        <v>44</v>
      </c>
      <c r="I1695" t="s">
        <v>137</v>
      </c>
      <c r="J1695" t="s">
        <v>20</v>
      </c>
      <c r="M1695" t="s">
        <v>3465</v>
      </c>
      <c r="N1695" t="s">
        <v>3465</v>
      </c>
      <c r="O1695" t="s">
        <v>23</v>
      </c>
      <c r="P1695" t="s">
        <v>24</v>
      </c>
      <c r="Q1695" t="s">
        <v>3466</v>
      </c>
      <c r="R1695" t="s">
        <v>3465</v>
      </c>
    </row>
    <row r="1696" spans="1:18" x14ac:dyDescent="0.25">
      <c r="A1696" t="s">
        <v>13178</v>
      </c>
      <c r="B1696" t="s">
        <v>3474</v>
      </c>
      <c r="C1696" t="str">
        <f>HYPERLINK("https://nematode.unl.edu/bunon17.jpg")</f>
        <v>https://nematode.unl.edu/bunon17.jpg</v>
      </c>
      <c r="D1696" t="s">
        <v>16</v>
      </c>
      <c r="G1696" t="s">
        <v>44</v>
      </c>
      <c r="I1696" t="s">
        <v>19</v>
      </c>
      <c r="J1696" t="s">
        <v>20</v>
      </c>
      <c r="M1696" t="s">
        <v>3465</v>
      </c>
      <c r="N1696" t="s">
        <v>3465</v>
      </c>
      <c r="O1696" t="s">
        <v>23</v>
      </c>
      <c r="P1696" t="s">
        <v>24</v>
      </c>
      <c r="Q1696" t="s">
        <v>3466</v>
      </c>
      <c r="R1696" t="s">
        <v>3465</v>
      </c>
    </row>
    <row r="1697" spans="1:18" x14ac:dyDescent="0.25">
      <c r="A1697" t="s">
        <v>13166</v>
      </c>
      <c r="B1697" t="s">
        <v>3475</v>
      </c>
      <c r="C1697" t="str">
        <f>HYPERLINK("https://nematode.unl.edu/bunon18.jpg")</f>
        <v>https://nematode.unl.edu/bunon18.jpg</v>
      </c>
      <c r="D1697" t="s">
        <v>16</v>
      </c>
      <c r="G1697" t="s">
        <v>3476</v>
      </c>
      <c r="I1697" t="s">
        <v>41</v>
      </c>
      <c r="J1697" t="s">
        <v>20</v>
      </c>
      <c r="L1697" t="s">
        <v>217</v>
      </c>
      <c r="M1697" t="s">
        <v>3465</v>
      </c>
      <c r="N1697" t="s">
        <v>3465</v>
      </c>
      <c r="O1697" t="s">
        <v>23</v>
      </c>
      <c r="P1697" t="s">
        <v>24</v>
      </c>
      <c r="Q1697" t="s">
        <v>3466</v>
      </c>
      <c r="R1697" t="s">
        <v>3465</v>
      </c>
    </row>
    <row r="1698" spans="1:18" x14ac:dyDescent="0.25">
      <c r="A1698" t="s">
        <v>13158</v>
      </c>
      <c r="B1698" t="s">
        <v>3477</v>
      </c>
      <c r="C1698" t="str">
        <f>HYPERLINK("https://nematode.unl.edu/bunon19.jpg")</f>
        <v>https://nematode.unl.edu/bunon19.jpg</v>
      </c>
      <c r="D1698" t="s">
        <v>16</v>
      </c>
      <c r="G1698" t="s">
        <v>34</v>
      </c>
      <c r="H1698" t="s">
        <v>18</v>
      </c>
      <c r="I1698" t="s">
        <v>41</v>
      </c>
      <c r="J1698" t="s">
        <v>20</v>
      </c>
      <c r="L1698" t="s">
        <v>217</v>
      </c>
      <c r="M1698" t="s">
        <v>3465</v>
      </c>
      <c r="N1698" t="s">
        <v>3465</v>
      </c>
      <c r="O1698" t="s">
        <v>23</v>
      </c>
      <c r="P1698" t="s">
        <v>24</v>
      </c>
      <c r="Q1698" t="s">
        <v>3466</v>
      </c>
      <c r="R1698" t="s">
        <v>3465</v>
      </c>
    </row>
    <row r="1699" spans="1:18" x14ac:dyDescent="0.25">
      <c r="A1699" t="s">
        <v>13159</v>
      </c>
      <c r="B1699" t="s">
        <v>3478</v>
      </c>
      <c r="C1699" t="str">
        <f>HYPERLINK("https://nematode.unl.edu/bunon2.jpg")</f>
        <v>https://nematode.unl.edu/bunon2.jpg</v>
      </c>
      <c r="D1699" t="s">
        <v>43</v>
      </c>
      <c r="G1699" t="s">
        <v>34</v>
      </c>
      <c r="H1699" t="s">
        <v>18</v>
      </c>
      <c r="I1699" t="s">
        <v>41</v>
      </c>
      <c r="J1699" t="s">
        <v>20</v>
      </c>
      <c r="L1699" t="s">
        <v>352</v>
      </c>
      <c r="M1699" t="s">
        <v>3465</v>
      </c>
      <c r="N1699" t="s">
        <v>3465</v>
      </c>
      <c r="O1699" t="s">
        <v>23</v>
      </c>
      <c r="P1699" t="s">
        <v>24</v>
      </c>
      <c r="Q1699" t="s">
        <v>3466</v>
      </c>
      <c r="R1699" t="s">
        <v>3465</v>
      </c>
    </row>
    <row r="1700" spans="1:18" x14ac:dyDescent="0.25">
      <c r="A1700" t="s">
        <v>13179</v>
      </c>
      <c r="B1700" t="s">
        <v>3479</v>
      </c>
      <c r="C1700" t="str">
        <f>HYPERLINK("https://nematode.unl.edu/bunon20.jpg")</f>
        <v>https://nematode.unl.edu/bunon20.jpg</v>
      </c>
      <c r="D1700" t="s">
        <v>16</v>
      </c>
      <c r="G1700" t="s">
        <v>44</v>
      </c>
      <c r="I1700" t="s">
        <v>137</v>
      </c>
      <c r="J1700" t="s">
        <v>20</v>
      </c>
      <c r="L1700" t="s">
        <v>217</v>
      </c>
      <c r="M1700" t="s">
        <v>3465</v>
      </c>
      <c r="N1700" t="s">
        <v>3465</v>
      </c>
      <c r="O1700" t="s">
        <v>23</v>
      </c>
      <c r="P1700" t="s">
        <v>24</v>
      </c>
      <c r="Q1700" t="s">
        <v>3466</v>
      </c>
      <c r="R1700" t="s">
        <v>3465</v>
      </c>
    </row>
    <row r="1701" spans="1:18" x14ac:dyDescent="0.25">
      <c r="A1701" t="s">
        <v>13167</v>
      </c>
      <c r="B1701" t="s">
        <v>3480</v>
      </c>
      <c r="C1701" t="str">
        <f>HYPERLINK("https://nematode.unl.edu/bunon21.jpg")</f>
        <v>https://nematode.unl.edu/bunon21.jpg</v>
      </c>
      <c r="D1701" t="s">
        <v>16</v>
      </c>
      <c r="G1701" t="s">
        <v>3476</v>
      </c>
      <c r="I1701" t="s">
        <v>19</v>
      </c>
      <c r="J1701" t="s">
        <v>20</v>
      </c>
      <c r="L1701" t="s">
        <v>217</v>
      </c>
      <c r="M1701" t="s">
        <v>3465</v>
      </c>
      <c r="N1701" t="s">
        <v>3465</v>
      </c>
      <c r="O1701" t="s">
        <v>23</v>
      </c>
      <c r="P1701" t="s">
        <v>24</v>
      </c>
      <c r="Q1701" t="s">
        <v>3466</v>
      </c>
      <c r="R1701" t="s">
        <v>3465</v>
      </c>
    </row>
    <row r="1702" spans="1:18" x14ac:dyDescent="0.25">
      <c r="A1702" t="s">
        <v>13168</v>
      </c>
      <c r="B1702" t="s">
        <v>3481</v>
      </c>
      <c r="C1702" t="str">
        <f>HYPERLINK("https://nematode.unl.edu/bunon22.jpg")</f>
        <v>https://nematode.unl.edu/bunon22.jpg</v>
      </c>
      <c r="D1702" t="s">
        <v>16</v>
      </c>
      <c r="G1702" t="s">
        <v>3476</v>
      </c>
      <c r="I1702" t="s">
        <v>19</v>
      </c>
      <c r="J1702" t="s">
        <v>20</v>
      </c>
      <c r="L1702" t="s">
        <v>217</v>
      </c>
      <c r="M1702" t="s">
        <v>3465</v>
      </c>
      <c r="N1702" t="s">
        <v>3465</v>
      </c>
      <c r="O1702" t="s">
        <v>23</v>
      </c>
      <c r="P1702" t="s">
        <v>24</v>
      </c>
      <c r="Q1702" t="s">
        <v>3466</v>
      </c>
      <c r="R1702" t="s">
        <v>3465</v>
      </c>
    </row>
    <row r="1703" spans="1:18" x14ac:dyDescent="0.25">
      <c r="A1703" t="s">
        <v>13160</v>
      </c>
      <c r="B1703" t="s">
        <v>3482</v>
      </c>
      <c r="C1703" t="str">
        <f>HYPERLINK("https://nematode.unl.edu/bunon23.jpg")</f>
        <v>https://nematode.unl.edu/bunon23.jpg</v>
      </c>
      <c r="D1703" t="s">
        <v>16</v>
      </c>
      <c r="G1703" t="s">
        <v>34</v>
      </c>
      <c r="H1703" t="s">
        <v>18</v>
      </c>
      <c r="I1703" t="s">
        <v>41</v>
      </c>
      <c r="J1703" t="s">
        <v>20</v>
      </c>
      <c r="L1703" t="s">
        <v>141</v>
      </c>
      <c r="M1703" t="s">
        <v>3465</v>
      </c>
      <c r="N1703" t="s">
        <v>3465</v>
      </c>
      <c r="O1703" t="s">
        <v>23</v>
      </c>
      <c r="P1703" t="s">
        <v>24</v>
      </c>
      <c r="Q1703" t="s">
        <v>3466</v>
      </c>
      <c r="R1703" t="s">
        <v>3465</v>
      </c>
    </row>
    <row r="1704" spans="1:18" x14ac:dyDescent="0.25">
      <c r="A1704" t="s">
        <v>13188</v>
      </c>
      <c r="B1704" t="s">
        <v>3483</v>
      </c>
      <c r="C1704" t="str">
        <f>HYPERLINK("https://nematode.unl.edu/bunon24.jpg")</f>
        <v>https://nematode.unl.edu/bunon24.jpg</v>
      </c>
      <c r="D1704" t="s">
        <v>16</v>
      </c>
      <c r="G1704" t="s">
        <v>53</v>
      </c>
      <c r="I1704" t="s">
        <v>41</v>
      </c>
      <c r="J1704" t="s">
        <v>20</v>
      </c>
      <c r="L1704" t="s">
        <v>141</v>
      </c>
      <c r="M1704" t="s">
        <v>3465</v>
      </c>
      <c r="N1704" t="s">
        <v>3465</v>
      </c>
      <c r="O1704" t="s">
        <v>23</v>
      </c>
      <c r="P1704" t="s">
        <v>24</v>
      </c>
      <c r="Q1704" t="s">
        <v>3466</v>
      </c>
      <c r="R1704" t="s">
        <v>3465</v>
      </c>
    </row>
    <row r="1705" spans="1:18" x14ac:dyDescent="0.25">
      <c r="A1705" t="s">
        <v>13169</v>
      </c>
      <c r="B1705" t="s">
        <v>3484</v>
      </c>
      <c r="C1705" t="str">
        <f>HYPERLINK("https://nematode.unl.edu/bunon25.jpg")</f>
        <v>https://nematode.unl.edu/bunon25.jpg</v>
      </c>
      <c r="D1705" t="s">
        <v>16</v>
      </c>
      <c r="G1705" t="s">
        <v>3476</v>
      </c>
      <c r="I1705" t="s">
        <v>41</v>
      </c>
      <c r="J1705" t="s">
        <v>20</v>
      </c>
      <c r="M1705" t="s">
        <v>3465</v>
      </c>
      <c r="N1705" t="s">
        <v>3465</v>
      </c>
      <c r="O1705" t="s">
        <v>23</v>
      </c>
      <c r="P1705" t="s">
        <v>24</v>
      </c>
      <c r="Q1705" t="s">
        <v>3466</v>
      </c>
      <c r="R1705" t="s">
        <v>3465</v>
      </c>
    </row>
    <row r="1706" spans="1:18" x14ac:dyDescent="0.25">
      <c r="A1706" t="s">
        <v>13191</v>
      </c>
      <c r="B1706" t="s">
        <v>3485</v>
      </c>
      <c r="C1706" t="str">
        <f>HYPERLINK("https://nematode.unl.edu/bunon26.jpg")</f>
        <v>https://nematode.unl.edu/bunon26.jpg</v>
      </c>
      <c r="D1706" t="s">
        <v>16</v>
      </c>
      <c r="G1706" t="s">
        <v>28</v>
      </c>
      <c r="I1706" t="s">
        <v>41</v>
      </c>
      <c r="J1706" t="s">
        <v>20</v>
      </c>
      <c r="L1706" t="s">
        <v>141</v>
      </c>
      <c r="M1706" t="s">
        <v>3465</v>
      </c>
      <c r="N1706" t="s">
        <v>3465</v>
      </c>
      <c r="O1706" t="s">
        <v>23</v>
      </c>
      <c r="P1706" t="s">
        <v>24</v>
      </c>
      <c r="Q1706" t="s">
        <v>3466</v>
      </c>
      <c r="R1706" t="s">
        <v>3465</v>
      </c>
    </row>
    <row r="1707" spans="1:18" x14ac:dyDescent="0.25">
      <c r="A1707" t="s">
        <v>13184</v>
      </c>
      <c r="B1707" t="s">
        <v>3486</v>
      </c>
      <c r="C1707" t="str">
        <f>HYPERLINK("https://nematode.unl.edu/bunon3.jpg")</f>
        <v>https://nematode.unl.edu/bunon3.jpg</v>
      </c>
      <c r="D1707" t="s">
        <v>43</v>
      </c>
      <c r="G1707" t="s">
        <v>224</v>
      </c>
      <c r="I1707" t="s">
        <v>41</v>
      </c>
      <c r="J1707" t="s">
        <v>20</v>
      </c>
      <c r="L1707" t="s">
        <v>141</v>
      </c>
      <c r="M1707" t="s">
        <v>3465</v>
      </c>
      <c r="N1707" t="s">
        <v>3465</v>
      </c>
      <c r="O1707" t="s">
        <v>23</v>
      </c>
      <c r="P1707" t="s">
        <v>24</v>
      </c>
      <c r="Q1707" t="s">
        <v>3466</v>
      </c>
      <c r="R1707" t="s">
        <v>3465</v>
      </c>
    </row>
    <row r="1708" spans="1:18" x14ac:dyDescent="0.25">
      <c r="A1708" t="s">
        <v>13172</v>
      </c>
      <c r="B1708" t="s">
        <v>3487</v>
      </c>
      <c r="C1708" t="str">
        <f>HYPERLINK("https://nematode.unl.edu/bunon4.jpg")</f>
        <v>https://nematode.unl.edu/bunon4.jpg</v>
      </c>
      <c r="D1708" t="s">
        <v>43</v>
      </c>
      <c r="G1708" t="s">
        <v>384</v>
      </c>
      <c r="I1708" t="s">
        <v>41</v>
      </c>
      <c r="J1708" t="s">
        <v>20</v>
      </c>
      <c r="L1708" t="s">
        <v>407</v>
      </c>
      <c r="M1708" t="s">
        <v>3465</v>
      </c>
      <c r="N1708" t="s">
        <v>3465</v>
      </c>
      <c r="O1708" t="s">
        <v>23</v>
      </c>
      <c r="P1708" t="s">
        <v>24</v>
      </c>
      <c r="Q1708" t="s">
        <v>3466</v>
      </c>
      <c r="R1708" t="s">
        <v>3465</v>
      </c>
    </row>
    <row r="1709" spans="1:18" x14ac:dyDescent="0.25">
      <c r="A1709" t="s">
        <v>13192</v>
      </c>
      <c r="B1709" t="s">
        <v>3488</v>
      </c>
      <c r="C1709" t="str">
        <f>HYPERLINK("https://nematode.unl.edu/bunon5.jpg")</f>
        <v>https://nematode.unl.edu/bunon5.jpg</v>
      </c>
      <c r="D1709" t="s">
        <v>43</v>
      </c>
      <c r="G1709" t="s">
        <v>28</v>
      </c>
      <c r="I1709" t="s">
        <v>41</v>
      </c>
      <c r="J1709" t="s">
        <v>20</v>
      </c>
      <c r="L1709" t="s">
        <v>141</v>
      </c>
      <c r="M1709" t="s">
        <v>3465</v>
      </c>
      <c r="N1709" t="s">
        <v>3465</v>
      </c>
      <c r="O1709" t="s">
        <v>23</v>
      </c>
      <c r="P1709" t="s">
        <v>24</v>
      </c>
      <c r="Q1709" t="s">
        <v>3466</v>
      </c>
      <c r="R1709" t="s">
        <v>3465</v>
      </c>
    </row>
    <row r="1710" spans="1:18" x14ac:dyDescent="0.25">
      <c r="A1710" t="s">
        <v>13180</v>
      </c>
      <c r="B1710" t="s">
        <v>3489</v>
      </c>
      <c r="C1710" t="str">
        <f>HYPERLINK("https://nematode.unl.edu/bunon6.jpg")</f>
        <v>https://nematode.unl.edu/bunon6.jpg</v>
      </c>
      <c r="D1710" t="s">
        <v>43</v>
      </c>
      <c r="G1710" t="s">
        <v>44</v>
      </c>
      <c r="I1710" t="s">
        <v>137</v>
      </c>
      <c r="J1710" t="s">
        <v>20</v>
      </c>
      <c r="M1710" t="s">
        <v>3465</v>
      </c>
      <c r="N1710" t="s">
        <v>3465</v>
      </c>
      <c r="O1710" t="s">
        <v>23</v>
      </c>
      <c r="P1710" t="s">
        <v>24</v>
      </c>
      <c r="Q1710" t="s">
        <v>3466</v>
      </c>
      <c r="R1710" t="s">
        <v>3465</v>
      </c>
    </row>
    <row r="1711" spans="1:18" x14ac:dyDescent="0.25">
      <c r="A1711" t="s">
        <v>13193</v>
      </c>
      <c r="B1711" t="s">
        <v>3490</v>
      </c>
      <c r="C1711" t="str">
        <f>HYPERLINK("https://nematode.unl.edu/bunon7.jpg")</f>
        <v>https://nematode.unl.edu/bunon7.jpg</v>
      </c>
      <c r="D1711" t="s">
        <v>43</v>
      </c>
      <c r="G1711" t="s">
        <v>28</v>
      </c>
      <c r="I1711" t="s">
        <v>19</v>
      </c>
      <c r="J1711" t="s">
        <v>20</v>
      </c>
      <c r="M1711" t="s">
        <v>3465</v>
      </c>
      <c r="N1711" t="s">
        <v>3465</v>
      </c>
      <c r="O1711" t="s">
        <v>23</v>
      </c>
      <c r="P1711" t="s">
        <v>24</v>
      </c>
      <c r="Q1711" t="s">
        <v>3466</v>
      </c>
      <c r="R1711" t="s">
        <v>3465</v>
      </c>
    </row>
    <row r="1712" spans="1:18" x14ac:dyDescent="0.25">
      <c r="A1712" t="s">
        <v>13161</v>
      </c>
      <c r="B1712" t="s">
        <v>3491</v>
      </c>
      <c r="C1712" t="str">
        <f>HYPERLINK("https://nematode.unl.edu/bunon8.jpg")</f>
        <v>https://nematode.unl.edu/bunon8.jpg</v>
      </c>
      <c r="D1712" t="s">
        <v>43</v>
      </c>
      <c r="G1712" t="s">
        <v>34</v>
      </c>
      <c r="H1712" t="s">
        <v>18</v>
      </c>
      <c r="I1712" t="s">
        <v>19</v>
      </c>
      <c r="J1712" t="s">
        <v>20</v>
      </c>
      <c r="M1712" t="s">
        <v>3465</v>
      </c>
      <c r="N1712" t="s">
        <v>3465</v>
      </c>
      <c r="O1712" t="s">
        <v>23</v>
      </c>
      <c r="P1712" t="s">
        <v>24</v>
      </c>
      <c r="Q1712" t="s">
        <v>3466</v>
      </c>
      <c r="R1712" t="s">
        <v>3465</v>
      </c>
    </row>
    <row r="1713" spans="1:18" x14ac:dyDescent="0.25">
      <c r="A1713" t="s">
        <v>13162</v>
      </c>
      <c r="B1713" t="s">
        <v>3492</v>
      </c>
      <c r="C1713" t="str">
        <f>HYPERLINK("https://nematode.unl.edu/bunon9.jpg")</f>
        <v>https://nematode.unl.edu/bunon9.jpg</v>
      </c>
      <c r="D1713" t="s">
        <v>43</v>
      </c>
      <c r="G1713" t="s">
        <v>34</v>
      </c>
      <c r="H1713" t="s">
        <v>18</v>
      </c>
      <c r="I1713" t="s">
        <v>41</v>
      </c>
      <c r="J1713" t="s">
        <v>20</v>
      </c>
      <c r="M1713" t="s">
        <v>3465</v>
      </c>
      <c r="N1713" t="s">
        <v>3465</v>
      </c>
      <c r="O1713" t="s">
        <v>23</v>
      </c>
      <c r="P1713" t="s">
        <v>24</v>
      </c>
      <c r="Q1713" t="s">
        <v>3466</v>
      </c>
      <c r="R1713" t="s">
        <v>3465</v>
      </c>
    </row>
    <row r="1714" spans="1:18" x14ac:dyDescent="0.25">
      <c r="A1714" t="s">
        <v>13181</v>
      </c>
      <c r="B1714" t="s">
        <v>3493</v>
      </c>
      <c r="C1714" t="str">
        <f>HYPERLINK("https://nematode.unl.edu/bunsa1.jpg")</f>
        <v>https://nematode.unl.edu/bunsa1.jpg</v>
      </c>
      <c r="D1714" t="s">
        <v>77</v>
      </c>
      <c r="G1714" t="s">
        <v>44</v>
      </c>
      <c r="I1714" t="s">
        <v>137</v>
      </c>
      <c r="J1714" t="s">
        <v>161</v>
      </c>
      <c r="L1714" t="s">
        <v>131</v>
      </c>
      <c r="M1714" t="s">
        <v>3465</v>
      </c>
      <c r="N1714" t="s">
        <v>3465</v>
      </c>
      <c r="O1714" t="s">
        <v>23</v>
      </c>
      <c r="P1714" t="s">
        <v>24</v>
      </c>
      <c r="Q1714" t="s">
        <v>3466</v>
      </c>
      <c r="R1714" t="s">
        <v>3465</v>
      </c>
    </row>
    <row r="1715" spans="1:18" x14ac:dyDescent="0.25">
      <c r="A1715" t="s">
        <v>13163</v>
      </c>
      <c r="B1715" t="s">
        <v>3494</v>
      </c>
      <c r="C1715" t="str">
        <f>HYPERLINK("https://nematode.unl.edu/bunsa2.jpg")</f>
        <v>https://nematode.unl.edu/bunsa2.jpg</v>
      </c>
      <c r="D1715" t="s">
        <v>77</v>
      </c>
      <c r="G1715" t="s">
        <v>34</v>
      </c>
      <c r="H1715" t="s">
        <v>18</v>
      </c>
      <c r="I1715" t="s">
        <v>19</v>
      </c>
      <c r="J1715" t="s">
        <v>161</v>
      </c>
      <c r="M1715" t="s">
        <v>3465</v>
      </c>
      <c r="N1715" t="s">
        <v>3465</v>
      </c>
      <c r="O1715" t="s">
        <v>23</v>
      </c>
      <c r="P1715" t="s">
        <v>24</v>
      </c>
      <c r="Q1715" t="s">
        <v>3466</v>
      </c>
      <c r="R1715" t="s">
        <v>3465</v>
      </c>
    </row>
    <row r="1716" spans="1:18" x14ac:dyDescent="0.25">
      <c r="A1716" t="s">
        <v>13189</v>
      </c>
      <c r="B1716" t="s">
        <v>3495</v>
      </c>
      <c r="C1716" t="str">
        <f>HYPERLINK("https://nematode.unl.edu/bunsa3.jpg")</f>
        <v>https://nematode.unl.edu/bunsa3.jpg</v>
      </c>
      <c r="D1716" t="s">
        <v>77</v>
      </c>
      <c r="G1716" t="s">
        <v>112</v>
      </c>
      <c r="I1716" t="s">
        <v>19</v>
      </c>
      <c r="J1716" t="s">
        <v>161</v>
      </c>
      <c r="M1716" t="s">
        <v>3465</v>
      </c>
      <c r="N1716" t="s">
        <v>3465</v>
      </c>
      <c r="O1716" t="s">
        <v>23</v>
      </c>
      <c r="P1716" t="s">
        <v>24</v>
      </c>
      <c r="Q1716" t="s">
        <v>3466</v>
      </c>
      <c r="R1716" t="s">
        <v>3465</v>
      </c>
    </row>
    <row r="1717" spans="1:18" x14ac:dyDescent="0.25">
      <c r="A1717" t="s">
        <v>13164</v>
      </c>
      <c r="B1717" t="s">
        <v>3496</v>
      </c>
      <c r="C1717" t="str">
        <f>HYPERLINK("https://nematode.unl.edu/bunsa4.jpg")</f>
        <v>https://nematode.unl.edu/bunsa4.jpg</v>
      </c>
      <c r="D1717" t="s">
        <v>77</v>
      </c>
      <c r="G1717" t="s">
        <v>34</v>
      </c>
      <c r="H1717" t="s">
        <v>18</v>
      </c>
      <c r="I1717" t="s">
        <v>41</v>
      </c>
      <c r="J1717" t="s">
        <v>161</v>
      </c>
      <c r="L1717" t="s">
        <v>131</v>
      </c>
      <c r="M1717" t="s">
        <v>3465</v>
      </c>
      <c r="N1717" t="s">
        <v>3465</v>
      </c>
      <c r="O1717" t="s">
        <v>23</v>
      </c>
      <c r="P1717" t="s">
        <v>24</v>
      </c>
      <c r="Q1717" t="s">
        <v>3466</v>
      </c>
      <c r="R1717" t="s">
        <v>3465</v>
      </c>
    </row>
    <row r="1718" spans="1:18" x14ac:dyDescent="0.25">
      <c r="A1718" t="s">
        <v>13170</v>
      </c>
      <c r="B1718" t="s">
        <v>3497</v>
      </c>
      <c r="C1718" t="str">
        <f>HYPERLINK("https://nematode.unl.edu/bunsa5.jpg")</f>
        <v>https://nematode.unl.edu/bunsa5.jpg</v>
      </c>
      <c r="D1718" t="s">
        <v>77</v>
      </c>
      <c r="G1718" t="s">
        <v>3476</v>
      </c>
      <c r="I1718" t="s">
        <v>41</v>
      </c>
      <c r="J1718" t="s">
        <v>161</v>
      </c>
      <c r="L1718" t="s">
        <v>131</v>
      </c>
      <c r="M1718" t="s">
        <v>3465</v>
      </c>
      <c r="N1718" t="s">
        <v>3465</v>
      </c>
      <c r="O1718" t="s">
        <v>23</v>
      </c>
      <c r="P1718" t="s">
        <v>24</v>
      </c>
      <c r="Q1718" t="s">
        <v>3466</v>
      </c>
      <c r="R1718" t="s">
        <v>3465</v>
      </c>
    </row>
    <row r="1719" spans="1:18" x14ac:dyDescent="0.25">
      <c r="A1719" t="s">
        <v>13171</v>
      </c>
      <c r="B1719" t="s">
        <v>3498</v>
      </c>
      <c r="C1719" t="str">
        <f>HYPERLINK("https://nematode.unl.edu/bunsa6.jpg")</f>
        <v>https://nematode.unl.edu/bunsa6.jpg</v>
      </c>
      <c r="D1719" t="s">
        <v>77</v>
      </c>
      <c r="G1719" t="s">
        <v>3476</v>
      </c>
      <c r="I1719" t="s">
        <v>41</v>
      </c>
      <c r="J1719" t="s">
        <v>161</v>
      </c>
      <c r="L1719" t="s">
        <v>131</v>
      </c>
      <c r="M1719" t="s">
        <v>3465</v>
      </c>
      <c r="N1719" t="s">
        <v>3465</v>
      </c>
      <c r="O1719" t="s">
        <v>23</v>
      </c>
      <c r="P1719" t="s">
        <v>24</v>
      </c>
      <c r="Q1719" t="s">
        <v>3466</v>
      </c>
      <c r="R1719" t="s">
        <v>3465</v>
      </c>
    </row>
    <row r="1720" spans="1:18" x14ac:dyDescent="0.25">
      <c r="A1720" t="s">
        <v>13194</v>
      </c>
      <c r="B1720" t="s">
        <v>3499</v>
      </c>
      <c r="C1720" t="str">
        <f>HYPERLINK("https://nematode.unl.edu/bunsa7.jpg")</f>
        <v>https://nematode.unl.edu/bunsa7.jpg</v>
      </c>
      <c r="D1720" t="s">
        <v>77</v>
      </c>
      <c r="G1720" t="s">
        <v>28</v>
      </c>
      <c r="I1720" t="s">
        <v>41</v>
      </c>
      <c r="J1720" t="s">
        <v>161</v>
      </c>
      <c r="M1720" t="s">
        <v>3465</v>
      </c>
      <c r="N1720" t="s">
        <v>3465</v>
      </c>
      <c r="O1720" t="s">
        <v>23</v>
      </c>
      <c r="P1720" t="s">
        <v>24</v>
      </c>
      <c r="Q1720" t="s">
        <v>3466</v>
      </c>
      <c r="R1720" t="s">
        <v>3465</v>
      </c>
    </row>
    <row r="1721" spans="1:18" x14ac:dyDescent="0.25">
      <c r="A1721" t="s">
        <v>13190</v>
      </c>
      <c r="B1721" t="s">
        <v>3500</v>
      </c>
      <c r="C1721" t="str">
        <f>HYPERLINK("https://nematode.unl.edu/bunsa8.jpg")</f>
        <v>https://nematode.unl.edu/bunsa8.jpg</v>
      </c>
      <c r="D1721" t="s">
        <v>77</v>
      </c>
      <c r="G1721" t="s">
        <v>112</v>
      </c>
      <c r="I1721" t="s">
        <v>41</v>
      </c>
      <c r="J1721" t="s">
        <v>161</v>
      </c>
      <c r="L1721" t="s">
        <v>131</v>
      </c>
      <c r="M1721" t="s">
        <v>3465</v>
      </c>
      <c r="N1721" t="s">
        <v>3465</v>
      </c>
      <c r="O1721" t="s">
        <v>23</v>
      </c>
      <c r="P1721" t="s">
        <v>24</v>
      </c>
      <c r="Q1721" t="s">
        <v>3466</v>
      </c>
      <c r="R1721" t="s">
        <v>3465</v>
      </c>
    </row>
    <row r="1722" spans="1:18" x14ac:dyDescent="0.25">
      <c r="A1722" t="s">
        <v>13182</v>
      </c>
      <c r="B1722" t="s">
        <v>3501</v>
      </c>
      <c r="C1722" t="str">
        <f>HYPERLINK("https://nematode.unl.edu/bunsb1.jpg")</f>
        <v>https://nematode.unl.edu/bunsb1.jpg</v>
      </c>
      <c r="D1722" t="s">
        <v>43</v>
      </c>
      <c r="G1722" t="s">
        <v>44</v>
      </c>
      <c r="I1722" t="s">
        <v>19</v>
      </c>
      <c r="J1722" t="s">
        <v>161</v>
      </c>
      <c r="M1722" t="s">
        <v>3465</v>
      </c>
      <c r="N1722" t="s">
        <v>3465</v>
      </c>
      <c r="O1722" t="s">
        <v>23</v>
      </c>
      <c r="P1722" t="s">
        <v>24</v>
      </c>
      <c r="Q1722" t="s">
        <v>3466</v>
      </c>
      <c r="R1722" t="s">
        <v>3465</v>
      </c>
    </row>
    <row r="1723" spans="1:18" x14ac:dyDescent="0.25">
      <c r="A1723" t="s">
        <v>13165</v>
      </c>
      <c r="B1723" t="s">
        <v>3502</v>
      </c>
      <c r="C1723" t="str">
        <f>HYPERLINK("https://nematode.unl.edu/bunsb2.jpg")</f>
        <v>https://nematode.unl.edu/bunsb2.jpg</v>
      </c>
      <c r="D1723" t="s">
        <v>43</v>
      </c>
      <c r="G1723" t="s">
        <v>34</v>
      </c>
      <c r="H1723" t="s">
        <v>18</v>
      </c>
      <c r="I1723" t="s">
        <v>41</v>
      </c>
      <c r="J1723" t="s">
        <v>161</v>
      </c>
      <c r="L1723" t="s">
        <v>131</v>
      </c>
      <c r="M1723" t="s">
        <v>3465</v>
      </c>
      <c r="N1723" t="s">
        <v>3465</v>
      </c>
      <c r="O1723" t="s">
        <v>23</v>
      </c>
      <c r="P1723" t="s">
        <v>24</v>
      </c>
      <c r="Q1723" t="s">
        <v>3466</v>
      </c>
      <c r="R1723" t="s">
        <v>3465</v>
      </c>
    </row>
    <row r="1724" spans="1:18" x14ac:dyDescent="0.25">
      <c r="A1724" t="s">
        <v>13185</v>
      </c>
      <c r="B1724" t="s">
        <v>3503</v>
      </c>
      <c r="C1724" t="str">
        <f>HYPERLINK("https://nematode.unl.edu/bunsb3.jpg")</f>
        <v>https://nematode.unl.edu/bunsb3.jpg</v>
      </c>
      <c r="D1724" t="s">
        <v>43</v>
      </c>
      <c r="G1724" t="s">
        <v>224</v>
      </c>
      <c r="I1724" t="s">
        <v>41</v>
      </c>
      <c r="J1724" t="s">
        <v>161</v>
      </c>
      <c r="M1724" t="s">
        <v>3465</v>
      </c>
      <c r="N1724" t="s">
        <v>3465</v>
      </c>
      <c r="O1724" t="s">
        <v>23</v>
      </c>
      <c r="P1724" t="s">
        <v>24</v>
      </c>
      <c r="Q1724" t="s">
        <v>3466</v>
      </c>
      <c r="R1724" t="s">
        <v>3465</v>
      </c>
    </row>
    <row r="1725" spans="1:18" x14ac:dyDescent="0.25">
      <c r="A1725" t="s">
        <v>13173</v>
      </c>
      <c r="B1725" t="s">
        <v>3504</v>
      </c>
      <c r="C1725" t="str">
        <f>HYPERLINK("https://nematode.unl.edu/bunsb4.jpg")</f>
        <v>https://nematode.unl.edu/bunsb4.jpg</v>
      </c>
      <c r="D1725" t="s">
        <v>43</v>
      </c>
      <c r="G1725" t="s">
        <v>384</v>
      </c>
      <c r="I1725" t="s">
        <v>41</v>
      </c>
      <c r="J1725" t="s">
        <v>161</v>
      </c>
      <c r="M1725" t="s">
        <v>3465</v>
      </c>
      <c r="N1725" t="s">
        <v>3465</v>
      </c>
      <c r="O1725" t="s">
        <v>23</v>
      </c>
      <c r="P1725" t="s">
        <v>24</v>
      </c>
      <c r="Q1725" t="s">
        <v>3466</v>
      </c>
      <c r="R1725" t="s">
        <v>3465</v>
      </c>
    </row>
    <row r="1726" spans="1:18" x14ac:dyDescent="0.25">
      <c r="A1726" t="s">
        <v>13107</v>
      </c>
      <c r="B1726" t="s">
        <v>3513</v>
      </c>
      <c r="C1726" t="str">
        <f>HYPERLINK("https://nematode.unl.edu/bursap1.jpg")</f>
        <v>https://nematode.unl.edu/bursap1.jpg</v>
      </c>
      <c r="D1726" t="s">
        <v>43</v>
      </c>
      <c r="G1726" t="s">
        <v>44</v>
      </c>
      <c r="I1726" t="s">
        <v>137</v>
      </c>
      <c r="J1726" t="s">
        <v>3514</v>
      </c>
      <c r="L1726" t="s">
        <v>3515</v>
      </c>
      <c r="M1726" t="s">
        <v>3516</v>
      </c>
      <c r="N1726" t="s">
        <v>3516</v>
      </c>
      <c r="O1726" t="s">
        <v>23</v>
      </c>
      <c r="P1726" t="s">
        <v>24</v>
      </c>
      <c r="Q1726" t="s">
        <v>102</v>
      </c>
      <c r="R1726" t="s">
        <v>3516</v>
      </c>
    </row>
    <row r="1727" spans="1:18" x14ac:dyDescent="0.25">
      <c r="A1727" t="s">
        <v>13106</v>
      </c>
      <c r="B1727" t="s">
        <v>3517</v>
      </c>
      <c r="C1727" t="str">
        <f>HYPERLINK("https://nematode.unl.edu/bursap2.jpg")</f>
        <v>https://nematode.unl.edu/bursap2.jpg</v>
      </c>
      <c r="D1727" t="s">
        <v>43</v>
      </c>
      <c r="G1727" t="s">
        <v>96</v>
      </c>
      <c r="H1727" t="s">
        <v>18</v>
      </c>
      <c r="I1727" t="s">
        <v>41</v>
      </c>
      <c r="J1727" t="s">
        <v>3514</v>
      </c>
      <c r="L1727" t="s">
        <v>3515</v>
      </c>
      <c r="M1727" t="s">
        <v>3516</v>
      </c>
      <c r="N1727" t="s">
        <v>3516</v>
      </c>
      <c r="O1727" t="s">
        <v>23</v>
      </c>
      <c r="P1727" t="s">
        <v>24</v>
      </c>
      <c r="Q1727" t="s">
        <v>102</v>
      </c>
      <c r="R1727" t="s">
        <v>3516</v>
      </c>
    </row>
    <row r="1728" spans="1:18" x14ac:dyDescent="0.25">
      <c r="A1728" t="s">
        <v>13109</v>
      </c>
      <c r="B1728" t="s">
        <v>3518</v>
      </c>
      <c r="C1728" t="str">
        <f>HYPERLINK("https://nematode.unl.edu/bursap3.jpg")</f>
        <v>https://nematode.unl.edu/bursap3.jpg</v>
      </c>
      <c r="D1728" t="s">
        <v>43</v>
      </c>
      <c r="G1728" t="s">
        <v>51</v>
      </c>
      <c r="I1728" t="s">
        <v>19</v>
      </c>
      <c r="J1728" t="s">
        <v>3514</v>
      </c>
      <c r="L1728" t="s">
        <v>3515</v>
      </c>
      <c r="M1728" t="s">
        <v>3516</v>
      </c>
      <c r="N1728" t="s">
        <v>3516</v>
      </c>
      <c r="O1728" t="s">
        <v>23</v>
      </c>
      <c r="P1728" t="s">
        <v>24</v>
      </c>
      <c r="Q1728" t="s">
        <v>102</v>
      </c>
      <c r="R1728" t="s">
        <v>3516</v>
      </c>
    </row>
    <row r="1729" spans="1:18" x14ac:dyDescent="0.25">
      <c r="A1729" t="s">
        <v>13110</v>
      </c>
      <c r="B1729" t="s">
        <v>3519</v>
      </c>
      <c r="C1729" t="str">
        <f>HYPERLINK("https://nematode.unl.edu/bursap4.jpg")</f>
        <v>https://nematode.unl.edu/bursap4.jpg</v>
      </c>
      <c r="D1729" t="s">
        <v>43</v>
      </c>
      <c r="G1729" t="s">
        <v>51</v>
      </c>
      <c r="I1729" t="s">
        <v>41</v>
      </c>
      <c r="J1729" t="s">
        <v>3514</v>
      </c>
      <c r="L1729" t="s">
        <v>3515</v>
      </c>
      <c r="M1729" t="s">
        <v>3516</v>
      </c>
      <c r="N1729" t="s">
        <v>3516</v>
      </c>
      <c r="O1729" t="s">
        <v>23</v>
      </c>
      <c r="P1729" t="s">
        <v>24</v>
      </c>
      <c r="Q1729" t="s">
        <v>102</v>
      </c>
      <c r="R1729" t="s">
        <v>3516</v>
      </c>
    </row>
    <row r="1730" spans="1:18" x14ac:dyDescent="0.25">
      <c r="A1730" t="s">
        <v>13108</v>
      </c>
      <c r="B1730" t="s">
        <v>3520</v>
      </c>
      <c r="C1730" t="str">
        <f>HYPERLINK("https://nematode.unl.edu/bursap5.jpg")</f>
        <v>https://nematode.unl.edu/bursap5.jpg</v>
      </c>
      <c r="D1730" t="s">
        <v>43</v>
      </c>
      <c r="G1730" t="s">
        <v>28</v>
      </c>
      <c r="I1730" t="s">
        <v>41</v>
      </c>
      <c r="J1730" t="s">
        <v>3514</v>
      </c>
      <c r="L1730" t="s">
        <v>3515</v>
      </c>
      <c r="M1730" t="s">
        <v>3516</v>
      </c>
      <c r="N1730" t="s">
        <v>3516</v>
      </c>
      <c r="O1730" t="s">
        <v>23</v>
      </c>
      <c r="P1730" t="s">
        <v>24</v>
      </c>
      <c r="Q1730" t="s">
        <v>102</v>
      </c>
      <c r="R1730" t="s">
        <v>3516</v>
      </c>
    </row>
    <row r="1731" spans="1:18" x14ac:dyDescent="0.25">
      <c r="A1731" t="s">
        <v>13120</v>
      </c>
      <c r="B1731" t="s">
        <v>3521</v>
      </c>
      <c r="C1731" t="str">
        <f>HYPERLINK("https://nematode.unl.edu/buxy1.jpg")</f>
        <v>https://nematode.unl.edu/buxy1.jpg</v>
      </c>
      <c r="D1731" t="s">
        <v>77</v>
      </c>
      <c r="G1731" t="s">
        <v>44</v>
      </c>
      <c r="I1731" t="s">
        <v>137</v>
      </c>
      <c r="J1731" t="s">
        <v>3522</v>
      </c>
      <c r="M1731" t="s">
        <v>3523</v>
      </c>
      <c r="N1731" t="s">
        <v>3523</v>
      </c>
      <c r="O1731" t="s">
        <v>23</v>
      </c>
      <c r="P1731" t="s">
        <v>24</v>
      </c>
      <c r="Q1731" t="s">
        <v>102</v>
      </c>
      <c r="R1731" t="s">
        <v>3516</v>
      </c>
    </row>
    <row r="1732" spans="1:18" x14ac:dyDescent="0.25">
      <c r="A1732" t="s">
        <v>13130</v>
      </c>
      <c r="B1732" t="s">
        <v>3524</v>
      </c>
      <c r="C1732" t="str">
        <f>HYPERLINK("https://nematode.unl.edu/buxy10.jpg")</f>
        <v>https://nematode.unl.edu/buxy10.jpg</v>
      </c>
      <c r="D1732" t="s">
        <v>43</v>
      </c>
      <c r="G1732" t="s">
        <v>28</v>
      </c>
      <c r="I1732" t="s">
        <v>19</v>
      </c>
      <c r="J1732" t="s">
        <v>3522</v>
      </c>
      <c r="M1732" t="s">
        <v>3523</v>
      </c>
      <c r="N1732" t="s">
        <v>3523</v>
      </c>
      <c r="O1732" t="s">
        <v>23</v>
      </c>
      <c r="P1732" t="s">
        <v>24</v>
      </c>
      <c r="Q1732" t="s">
        <v>102</v>
      </c>
      <c r="R1732" t="s">
        <v>3516</v>
      </c>
    </row>
    <row r="1733" spans="1:18" x14ac:dyDescent="0.25">
      <c r="A1733" t="s">
        <v>13113</v>
      </c>
      <c r="B1733" t="s">
        <v>3525</v>
      </c>
      <c r="C1733" t="str">
        <f>HYPERLINK("https://nematode.unl.edu/buxy11.jpg")</f>
        <v>https://nematode.unl.edu/buxy11.jpg</v>
      </c>
      <c r="D1733" t="s">
        <v>43</v>
      </c>
      <c r="G1733" t="s">
        <v>34</v>
      </c>
      <c r="H1733" t="s">
        <v>18</v>
      </c>
      <c r="I1733" t="s">
        <v>41</v>
      </c>
      <c r="J1733" t="s">
        <v>3522</v>
      </c>
      <c r="M1733" t="s">
        <v>3523</v>
      </c>
      <c r="N1733" t="s">
        <v>3523</v>
      </c>
      <c r="O1733" t="s">
        <v>23</v>
      </c>
      <c r="P1733" t="s">
        <v>24</v>
      </c>
      <c r="Q1733" t="s">
        <v>102</v>
      </c>
      <c r="R1733" t="s">
        <v>3516</v>
      </c>
    </row>
    <row r="1734" spans="1:18" x14ac:dyDescent="0.25">
      <c r="A1734" t="s">
        <v>13126</v>
      </c>
      <c r="B1734" t="s">
        <v>3526</v>
      </c>
      <c r="C1734" t="str">
        <f>HYPERLINK("https://nematode.unl.edu/buxy12.jpg")</f>
        <v>https://nematode.unl.edu/buxy12.jpg</v>
      </c>
      <c r="D1734" t="s">
        <v>43</v>
      </c>
      <c r="G1734" t="s">
        <v>414</v>
      </c>
      <c r="I1734" t="s">
        <v>41</v>
      </c>
      <c r="J1734" t="s">
        <v>3522</v>
      </c>
      <c r="M1734" t="s">
        <v>3523</v>
      </c>
      <c r="N1734" t="s">
        <v>3523</v>
      </c>
      <c r="O1734" t="s">
        <v>23</v>
      </c>
      <c r="P1734" t="s">
        <v>24</v>
      </c>
      <c r="Q1734" t="s">
        <v>102</v>
      </c>
      <c r="R1734" t="s">
        <v>3516</v>
      </c>
    </row>
    <row r="1735" spans="1:18" x14ac:dyDescent="0.25">
      <c r="A1735" t="s">
        <v>13138</v>
      </c>
      <c r="B1735" t="s">
        <v>3527</v>
      </c>
      <c r="C1735" t="str">
        <f>HYPERLINK("https://nematode.unl.edu/buxy13.jpg")</f>
        <v>https://nematode.unl.edu/buxy13.jpg</v>
      </c>
      <c r="D1735" t="s">
        <v>43</v>
      </c>
      <c r="G1735" t="s">
        <v>51</v>
      </c>
      <c r="I1735" t="s">
        <v>41</v>
      </c>
      <c r="J1735" t="s">
        <v>3522</v>
      </c>
      <c r="M1735" t="s">
        <v>3523</v>
      </c>
      <c r="N1735" t="s">
        <v>3523</v>
      </c>
      <c r="O1735" t="s">
        <v>23</v>
      </c>
      <c r="P1735" t="s">
        <v>24</v>
      </c>
      <c r="Q1735" t="s">
        <v>102</v>
      </c>
      <c r="R1735" t="s">
        <v>3516</v>
      </c>
    </row>
    <row r="1736" spans="1:18" x14ac:dyDescent="0.25">
      <c r="A1736" t="s">
        <v>13131</v>
      </c>
      <c r="B1736" t="s">
        <v>3528</v>
      </c>
      <c r="C1736" t="str">
        <f>HYPERLINK("https://nematode.unl.edu/buxy14.jpg")</f>
        <v>https://nematode.unl.edu/buxy14.jpg</v>
      </c>
      <c r="D1736" t="s">
        <v>43</v>
      </c>
      <c r="G1736" t="s">
        <v>28</v>
      </c>
      <c r="I1736" t="s">
        <v>41</v>
      </c>
      <c r="J1736" t="s">
        <v>3522</v>
      </c>
      <c r="M1736" t="s">
        <v>3523</v>
      </c>
      <c r="N1736" t="s">
        <v>3523</v>
      </c>
      <c r="O1736" t="s">
        <v>23</v>
      </c>
      <c r="P1736" t="s">
        <v>24</v>
      </c>
      <c r="Q1736" t="s">
        <v>102</v>
      </c>
      <c r="R1736" t="s">
        <v>3516</v>
      </c>
    </row>
    <row r="1737" spans="1:18" x14ac:dyDescent="0.25">
      <c r="A1737" t="s">
        <v>13114</v>
      </c>
      <c r="B1737" t="s">
        <v>3529</v>
      </c>
      <c r="C1737" t="str">
        <f>HYPERLINK("https://nematode.unl.edu/buxy15.jpg")</f>
        <v>https://nematode.unl.edu/buxy15.jpg</v>
      </c>
      <c r="D1737" t="s">
        <v>43</v>
      </c>
      <c r="G1737" t="s">
        <v>34</v>
      </c>
      <c r="H1737" t="s">
        <v>18</v>
      </c>
      <c r="I1737" t="s">
        <v>41</v>
      </c>
      <c r="J1737" t="s">
        <v>3522</v>
      </c>
      <c r="M1737" t="s">
        <v>3523</v>
      </c>
      <c r="N1737" t="s">
        <v>3523</v>
      </c>
      <c r="O1737" t="s">
        <v>23</v>
      </c>
      <c r="P1737" t="s">
        <v>24</v>
      </c>
      <c r="Q1737" t="s">
        <v>102</v>
      </c>
      <c r="R1737" t="s">
        <v>3516</v>
      </c>
    </row>
    <row r="1738" spans="1:18" x14ac:dyDescent="0.25">
      <c r="A1738" t="s">
        <v>13127</v>
      </c>
      <c r="B1738" t="s">
        <v>3530</v>
      </c>
      <c r="C1738" t="str">
        <f>HYPERLINK("https://nematode.unl.edu/buxy16.jpg")</f>
        <v>https://nematode.unl.edu/buxy16.jpg</v>
      </c>
      <c r="D1738" t="s">
        <v>43</v>
      </c>
      <c r="G1738" t="s">
        <v>414</v>
      </c>
      <c r="I1738" t="s">
        <v>41</v>
      </c>
      <c r="J1738" t="s">
        <v>3522</v>
      </c>
      <c r="M1738" t="s">
        <v>3523</v>
      </c>
      <c r="N1738" t="s">
        <v>3523</v>
      </c>
      <c r="O1738" t="s">
        <v>23</v>
      </c>
      <c r="P1738" t="s">
        <v>24</v>
      </c>
      <c r="Q1738" t="s">
        <v>102</v>
      </c>
      <c r="R1738" t="s">
        <v>3516</v>
      </c>
    </row>
    <row r="1739" spans="1:18" x14ac:dyDescent="0.25">
      <c r="A1739" t="s">
        <v>13139</v>
      </c>
      <c r="B1739" t="s">
        <v>3531</v>
      </c>
      <c r="C1739" t="str">
        <f>HYPERLINK("https://nematode.unl.edu/buxy17.jpg")</f>
        <v>https://nematode.unl.edu/buxy17.jpg</v>
      </c>
      <c r="D1739" t="s">
        <v>43</v>
      </c>
      <c r="G1739" t="s">
        <v>51</v>
      </c>
      <c r="I1739" t="s">
        <v>41</v>
      </c>
      <c r="J1739" t="s">
        <v>3522</v>
      </c>
      <c r="M1739" t="s">
        <v>3523</v>
      </c>
      <c r="N1739" t="s">
        <v>3523</v>
      </c>
      <c r="O1739" t="s">
        <v>23</v>
      </c>
      <c r="P1739" t="s">
        <v>24</v>
      </c>
      <c r="Q1739" t="s">
        <v>102</v>
      </c>
      <c r="R1739" t="s">
        <v>3516</v>
      </c>
    </row>
    <row r="1740" spans="1:18" x14ac:dyDescent="0.25">
      <c r="A1740" t="s">
        <v>13132</v>
      </c>
      <c r="B1740" t="s">
        <v>3532</v>
      </c>
      <c r="C1740" t="str">
        <f>HYPERLINK("https://nematode.unl.edu/buxy18.jpg")</f>
        <v>https://nematode.unl.edu/buxy18.jpg</v>
      </c>
      <c r="D1740" t="s">
        <v>43</v>
      </c>
      <c r="G1740" t="s">
        <v>28</v>
      </c>
      <c r="I1740" t="s">
        <v>41</v>
      </c>
      <c r="J1740" t="s">
        <v>3522</v>
      </c>
      <c r="M1740" t="s">
        <v>3523</v>
      </c>
      <c r="N1740" t="s">
        <v>3523</v>
      </c>
      <c r="O1740" t="s">
        <v>23</v>
      </c>
      <c r="P1740" t="s">
        <v>24</v>
      </c>
      <c r="Q1740" t="s">
        <v>102</v>
      </c>
      <c r="R1740" t="s">
        <v>3516</v>
      </c>
    </row>
    <row r="1741" spans="1:18" x14ac:dyDescent="0.25">
      <c r="A1741" t="s">
        <v>13115</v>
      </c>
      <c r="B1741" t="s">
        <v>3533</v>
      </c>
      <c r="C1741" t="str">
        <f>HYPERLINK("https://nematode.unl.edu/buxy19.jpg")</f>
        <v>https://nematode.unl.edu/buxy19.jpg</v>
      </c>
      <c r="D1741" t="s">
        <v>77</v>
      </c>
      <c r="G1741" t="s">
        <v>34</v>
      </c>
      <c r="H1741" t="s">
        <v>18</v>
      </c>
      <c r="I1741" t="s">
        <v>41</v>
      </c>
      <c r="J1741" t="s">
        <v>3522</v>
      </c>
      <c r="M1741" t="s">
        <v>3523</v>
      </c>
      <c r="N1741" t="s">
        <v>3523</v>
      </c>
      <c r="O1741" t="s">
        <v>23</v>
      </c>
      <c r="P1741" t="s">
        <v>24</v>
      </c>
      <c r="Q1741" t="s">
        <v>102</v>
      </c>
      <c r="R1741" t="s">
        <v>3516</v>
      </c>
    </row>
    <row r="1742" spans="1:18" x14ac:dyDescent="0.25">
      <c r="A1742" t="s">
        <v>13116</v>
      </c>
      <c r="B1742" t="s">
        <v>3534</v>
      </c>
      <c r="C1742" t="str">
        <f>HYPERLINK("https://nematode.unl.edu/buxy2.jpg")</f>
        <v>https://nematode.unl.edu/buxy2.jpg</v>
      </c>
      <c r="D1742" t="s">
        <v>77</v>
      </c>
      <c r="G1742" t="s">
        <v>34</v>
      </c>
      <c r="H1742" t="s">
        <v>18</v>
      </c>
      <c r="I1742" t="s">
        <v>19</v>
      </c>
      <c r="J1742" t="s">
        <v>3522</v>
      </c>
      <c r="M1742" t="s">
        <v>3523</v>
      </c>
      <c r="N1742" t="s">
        <v>3523</v>
      </c>
      <c r="O1742" t="s">
        <v>23</v>
      </c>
      <c r="P1742" t="s">
        <v>24</v>
      </c>
      <c r="Q1742" t="s">
        <v>102</v>
      </c>
      <c r="R1742" t="s">
        <v>3516</v>
      </c>
    </row>
    <row r="1743" spans="1:18" x14ac:dyDescent="0.25">
      <c r="A1743" t="s">
        <v>13133</v>
      </c>
      <c r="B1743" t="s">
        <v>3535</v>
      </c>
      <c r="C1743" t="str">
        <f>HYPERLINK("https://nematode.unl.edu/buxy20.jpg")</f>
        <v>https://nematode.unl.edu/buxy20.jpg</v>
      </c>
      <c r="D1743" t="s">
        <v>77</v>
      </c>
      <c r="G1743" t="s">
        <v>28</v>
      </c>
      <c r="I1743" t="s">
        <v>41</v>
      </c>
      <c r="J1743" t="s">
        <v>3522</v>
      </c>
      <c r="M1743" t="s">
        <v>3523</v>
      </c>
      <c r="N1743" t="s">
        <v>3523</v>
      </c>
      <c r="O1743" t="s">
        <v>23</v>
      </c>
      <c r="P1743" t="s">
        <v>24</v>
      </c>
      <c r="Q1743" t="s">
        <v>102</v>
      </c>
      <c r="R1743" t="s">
        <v>3516</v>
      </c>
    </row>
    <row r="1744" spans="1:18" x14ac:dyDescent="0.25">
      <c r="A1744" t="s">
        <v>13121</v>
      </c>
      <c r="B1744" t="s">
        <v>3536</v>
      </c>
      <c r="C1744" t="str">
        <f>HYPERLINK("https://nematode.unl.edu/buxy21.jpg")</f>
        <v>https://nematode.unl.edu/buxy21.jpg</v>
      </c>
      <c r="D1744" t="s">
        <v>77</v>
      </c>
      <c r="G1744" t="s">
        <v>44</v>
      </c>
      <c r="I1744" t="s">
        <v>19</v>
      </c>
      <c r="J1744" t="s">
        <v>3522</v>
      </c>
      <c r="M1744" t="s">
        <v>3523</v>
      </c>
      <c r="N1744" t="s">
        <v>3523</v>
      </c>
      <c r="O1744" t="s">
        <v>23</v>
      </c>
      <c r="P1744" t="s">
        <v>24</v>
      </c>
      <c r="Q1744" t="s">
        <v>102</v>
      </c>
      <c r="R1744" t="s">
        <v>3516</v>
      </c>
    </row>
    <row r="1745" spans="1:18" x14ac:dyDescent="0.25">
      <c r="A1745" t="s">
        <v>13124</v>
      </c>
      <c r="B1745" t="s">
        <v>3537</v>
      </c>
      <c r="C1745" t="str">
        <f>HYPERLINK("https://nematode.unl.edu/buxy22.jpg")</f>
        <v>https://nematode.unl.edu/buxy22.jpg</v>
      </c>
      <c r="D1745" t="s">
        <v>77</v>
      </c>
      <c r="G1745" t="s">
        <v>3538</v>
      </c>
      <c r="I1745" t="s">
        <v>41</v>
      </c>
      <c r="J1745" t="s">
        <v>3522</v>
      </c>
      <c r="M1745" t="s">
        <v>3523</v>
      </c>
      <c r="N1745" t="s">
        <v>3523</v>
      </c>
      <c r="O1745" t="s">
        <v>23</v>
      </c>
      <c r="P1745" t="s">
        <v>24</v>
      </c>
      <c r="Q1745" t="s">
        <v>102</v>
      </c>
      <c r="R1745" t="s">
        <v>3516</v>
      </c>
    </row>
    <row r="1746" spans="1:18" x14ac:dyDescent="0.25">
      <c r="A1746" t="s">
        <v>13117</v>
      </c>
      <c r="B1746" t="s">
        <v>3539</v>
      </c>
      <c r="C1746" t="str">
        <f>HYPERLINK("https://nematode.unl.edu/buxy23.jpg")</f>
        <v>https://nematode.unl.edu/buxy23.jpg</v>
      </c>
      <c r="D1746" t="s">
        <v>77</v>
      </c>
      <c r="G1746" t="s">
        <v>34</v>
      </c>
      <c r="H1746" t="s">
        <v>18</v>
      </c>
      <c r="I1746" t="s">
        <v>41</v>
      </c>
      <c r="J1746" t="s">
        <v>3522</v>
      </c>
      <c r="M1746" t="s">
        <v>3523</v>
      </c>
      <c r="N1746" t="s">
        <v>3523</v>
      </c>
      <c r="O1746" t="s">
        <v>23</v>
      </c>
      <c r="P1746" t="s">
        <v>24</v>
      </c>
      <c r="Q1746" t="s">
        <v>102</v>
      </c>
      <c r="R1746" t="s">
        <v>3516</v>
      </c>
    </row>
    <row r="1747" spans="1:18" x14ac:dyDescent="0.25">
      <c r="A1747" t="s">
        <v>13118</v>
      </c>
      <c r="B1747" t="s">
        <v>3540</v>
      </c>
      <c r="C1747" t="str">
        <f>HYPERLINK("https://nematode.unl.edu/buxy24.jpg")</f>
        <v>https://nematode.unl.edu/buxy24.jpg</v>
      </c>
      <c r="D1747" t="s">
        <v>77</v>
      </c>
      <c r="G1747" t="s">
        <v>34</v>
      </c>
      <c r="H1747" t="s">
        <v>18</v>
      </c>
      <c r="I1747" t="s">
        <v>41</v>
      </c>
      <c r="J1747" t="s">
        <v>3522</v>
      </c>
      <c r="M1747" t="s">
        <v>3523</v>
      </c>
      <c r="N1747" t="s">
        <v>3523</v>
      </c>
      <c r="O1747" t="s">
        <v>23</v>
      </c>
      <c r="P1747" t="s">
        <v>24</v>
      </c>
      <c r="Q1747" t="s">
        <v>102</v>
      </c>
      <c r="R1747" t="s">
        <v>3516</v>
      </c>
    </row>
    <row r="1748" spans="1:18" x14ac:dyDescent="0.25">
      <c r="A1748" t="s">
        <v>13128</v>
      </c>
      <c r="B1748" t="s">
        <v>3541</v>
      </c>
      <c r="C1748" t="str">
        <f>HYPERLINK("https://nematode.unl.edu/buxy25.jpg")</f>
        <v>https://nematode.unl.edu/buxy25.jpg</v>
      </c>
      <c r="D1748" t="s">
        <v>77</v>
      </c>
      <c r="G1748" t="s">
        <v>112</v>
      </c>
      <c r="I1748" t="s">
        <v>41</v>
      </c>
      <c r="J1748" t="s">
        <v>3522</v>
      </c>
      <c r="M1748" t="s">
        <v>3523</v>
      </c>
      <c r="N1748" t="s">
        <v>3523</v>
      </c>
      <c r="O1748" t="s">
        <v>23</v>
      </c>
      <c r="P1748" t="s">
        <v>24</v>
      </c>
      <c r="Q1748" t="s">
        <v>102</v>
      </c>
      <c r="R1748" t="s">
        <v>3516</v>
      </c>
    </row>
    <row r="1749" spans="1:18" x14ac:dyDescent="0.25">
      <c r="A1749" t="s">
        <v>13134</v>
      </c>
      <c r="B1749" t="s">
        <v>3542</v>
      </c>
      <c r="C1749" t="str">
        <f>HYPERLINK("https://nematode.unl.edu/buxy26.jpg")</f>
        <v>https://nematode.unl.edu/buxy26.jpg</v>
      </c>
      <c r="D1749" t="s">
        <v>77</v>
      </c>
      <c r="G1749" t="s">
        <v>28</v>
      </c>
      <c r="I1749" t="s">
        <v>41</v>
      </c>
      <c r="J1749" t="s">
        <v>3522</v>
      </c>
      <c r="M1749" t="s">
        <v>3523</v>
      </c>
      <c r="N1749" t="s">
        <v>3523</v>
      </c>
      <c r="O1749" t="s">
        <v>23</v>
      </c>
      <c r="P1749" t="s">
        <v>24</v>
      </c>
      <c r="Q1749" t="s">
        <v>102</v>
      </c>
      <c r="R1749" t="s">
        <v>3516</v>
      </c>
    </row>
    <row r="1750" spans="1:18" x14ac:dyDescent="0.25">
      <c r="A1750" t="s">
        <v>13125</v>
      </c>
      <c r="B1750" t="s">
        <v>3543</v>
      </c>
      <c r="C1750" t="str">
        <f>HYPERLINK("https://nematode.unl.edu/buxy27.jpg")</f>
        <v>https://nematode.unl.edu/buxy27.jpg</v>
      </c>
      <c r="D1750" t="s">
        <v>77</v>
      </c>
      <c r="G1750" t="s">
        <v>53</v>
      </c>
      <c r="I1750" t="s">
        <v>41</v>
      </c>
      <c r="J1750" t="s">
        <v>3522</v>
      </c>
      <c r="M1750" t="s">
        <v>3523</v>
      </c>
      <c r="N1750" t="s">
        <v>3523</v>
      </c>
      <c r="O1750" t="s">
        <v>23</v>
      </c>
      <c r="P1750" t="s">
        <v>24</v>
      </c>
      <c r="Q1750" t="s">
        <v>102</v>
      </c>
      <c r="R1750" t="s">
        <v>3516</v>
      </c>
    </row>
    <row r="1751" spans="1:18" x14ac:dyDescent="0.25">
      <c r="A1751" t="s">
        <v>13119</v>
      </c>
      <c r="B1751" t="s">
        <v>3544</v>
      </c>
      <c r="C1751" t="str">
        <f>HYPERLINK("https://nematode.unl.edu/buxy28.jpg")</f>
        <v>https://nematode.unl.edu/buxy28.jpg</v>
      </c>
      <c r="D1751" t="s">
        <v>77</v>
      </c>
      <c r="G1751" t="s">
        <v>34</v>
      </c>
      <c r="H1751" t="s">
        <v>18</v>
      </c>
      <c r="I1751" t="s">
        <v>41</v>
      </c>
      <c r="J1751" t="s">
        <v>3522</v>
      </c>
      <c r="M1751" t="s">
        <v>3523</v>
      </c>
      <c r="N1751" t="s">
        <v>3523</v>
      </c>
      <c r="O1751" t="s">
        <v>23</v>
      </c>
      <c r="P1751" t="s">
        <v>24</v>
      </c>
      <c r="Q1751" t="s">
        <v>102</v>
      </c>
      <c r="R1751" t="s">
        <v>3516</v>
      </c>
    </row>
    <row r="1752" spans="1:18" x14ac:dyDescent="0.25">
      <c r="A1752" t="s">
        <v>13135</v>
      </c>
      <c r="B1752" t="s">
        <v>3545</v>
      </c>
      <c r="C1752" t="str">
        <f>HYPERLINK("https://nematode.unl.edu/buxy29.jpg")</f>
        <v>https://nematode.unl.edu/buxy29.jpg</v>
      </c>
      <c r="D1752" t="s">
        <v>77</v>
      </c>
      <c r="G1752" t="s">
        <v>28</v>
      </c>
      <c r="I1752" t="s">
        <v>41</v>
      </c>
      <c r="J1752" t="s">
        <v>3522</v>
      </c>
      <c r="M1752" t="s">
        <v>3523</v>
      </c>
      <c r="N1752" t="s">
        <v>3523</v>
      </c>
      <c r="O1752" t="s">
        <v>23</v>
      </c>
      <c r="P1752" t="s">
        <v>24</v>
      </c>
      <c r="Q1752" t="s">
        <v>102</v>
      </c>
      <c r="R1752" t="s">
        <v>3516</v>
      </c>
    </row>
    <row r="1753" spans="1:18" x14ac:dyDescent="0.25">
      <c r="A1753" t="s">
        <v>13136</v>
      </c>
      <c r="B1753" t="s">
        <v>3546</v>
      </c>
      <c r="C1753" t="str">
        <f>HYPERLINK("https://nematode.unl.edu/buxy3.jpg")</f>
        <v>https://nematode.unl.edu/buxy3.jpg</v>
      </c>
      <c r="D1753" t="s">
        <v>77</v>
      </c>
      <c r="G1753" t="s">
        <v>28</v>
      </c>
      <c r="I1753" t="s">
        <v>19</v>
      </c>
      <c r="J1753" t="s">
        <v>3522</v>
      </c>
      <c r="M1753" t="s">
        <v>3523</v>
      </c>
      <c r="N1753" t="s">
        <v>3523</v>
      </c>
      <c r="O1753" t="s">
        <v>23</v>
      </c>
      <c r="P1753" t="s">
        <v>24</v>
      </c>
      <c r="Q1753" t="s">
        <v>102</v>
      </c>
      <c r="R1753" t="s">
        <v>3516</v>
      </c>
    </row>
    <row r="1754" spans="1:18" x14ac:dyDescent="0.25">
      <c r="A1754" t="s">
        <v>13140</v>
      </c>
      <c r="B1754" t="s">
        <v>3547</v>
      </c>
      <c r="C1754" t="str">
        <f>HYPERLINK("https://nematode.unl.edu/buxy30.jpg")</f>
        <v>https://nematode.unl.edu/buxy30.jpg</v>
      </c>
      <c r="D1754" t="s">
        <v>43</v>
      </c>
      <c r="G1754" t="s">
        <v>51</v>
      </c>
      <c r="I1754" t="s">
        <v>41</v>
      </c>
      <c r="J1754" t="s">
        <v>3522</v>
      </c>
      <c r="M1754" t="s">
        <v>3523</v>
      </c>
      <c r="N1754" t="s">
        <v>3523</v>
      </c>
      <c r="O1754" t="s">
        <v>23</v>
      </c>
      <c r="P1754" t="s">
        <v>24</v>
      </c>
      <c r="Q1754" t="s">
        <v>102</v>
      </c>
      <c r="R1754" t="s">
        <v>3516</v>
      </c>
    </row>
    <row r="1755" spans="1:18" x14ac:dyDescent="0.25">
      <c r="A1755" t="s">
        <v>13137</v>
      </c>
      <c r="B1755" t="s">
        <v>3548</v>
      </c>
      <c r="C1755" t="str">
        <f>HYPERLINK("https://nematode.unl.edu/buxy31.jpg")</f>
        <v>https://nematode.unl.edu/buxy31.jpg</v>
      </c>
      <c r="D1755" t="s">
        <v>43</v>
      </c>
      <c r="G1755" t="s">
        <v>28</v>
      </c>
      <c r="I1755" t="s">
        <v>41</v>
      </c>
      <c r="J1755" t="s">
        <v>3522</v>
      </c>
      <c r="M1755" t="s">
        <v>3523</v>
      </c>
      <c r="N1755" t="s">
        <v>3523</v>
      </c>
      <c r="O1755" t="s">
        <v>23</v>
      </c>
      <c r="P1755" t="s">
        <v>24</v>
      </c>
      <c r="Q1755" t="s">
        <v>102</v>
      </c>
      <c r="R1755" t="s">
        <v>3516</v>
      </c>
    </row>
    <row r="1756" spans="1:18" x14ac:dyDescent="0.25">
      <c r="A1756" t="s">
        <v>13122</v>
      </c>
      <c r="B1756" t="s">
        <v>3549</v>
      </c>
      <c r="C1756" t="str">
        <f>HYPERLINK("https://nematode.unl.edu/buxy4.jpg")</f>
        <v>https://nematode.unl.edu/buxy4.jpg</v>
      </c>
      <c r="D1756" t="s">
        <v>77</v>
      </c>
      <c r="G1756" t="s">
        <v>44</v>
      </c>
      <c r="I1756" t="s">
        <v>45</v>
      </c>
      <c r="J1756" t="s">
        <v>3522</v>
      </c>
      <c r="M1756" t="s">
        <v>3523</v>
      </c>
      <c r="N1756" t="s">
        <v>3523</v>
      </c>
      <c r="O1756" t="s">
        <v>23</v>
      </c>
      <c r="P1756" t="s">
        <v>24</v>
      </c>
      <c r="Q1756" t="s">
        <v>102</v>
      </c>
      <c r="R1756" t="s">
        <v>3516</v>
      </c>
    </row>
    <row r="1757" spans="1:18" x14ac:dyDescent="0.25">
      <c r="A1757" t="s">
        <v>13111</v>
      </c>
      <c r="B1757" t="s">
        <v>3550</v>
      </c>
      <c r="C1757" t="str">
        <f>HYPERLINK("https://nematode.unl.edu/buxy5.jpg")</f>
        <v>https://nematode.unl.edu/buxy5.jpg</v>
      </c>
      <c r="D1757" t="s">
        <v>77</v>
      </c>
      <c r="G1757" t="s">
        <v>96</v>
      </c>
      <c r="H1757" t="s">
        <v>18</v>
      </c>
      <c r="I1757" t="s">
        <v>19</v>
      </c>
      <c r="J1757" t="s">
        <v>3522</v>
      </c>
      <c r="M1757" t="s">
        <v>3523</v>
      </c>
      <c r="N1757" t="s">
        <v>3523</v>
      </c>
      <c r="O1757" t="s">
        <v>23</v>
      </c>
      <c r="P1757" t="s">
        <v>24</v>
      </c>
      <c r="Q1757" t="s">
        <v>102</v>
      </c>
      <c r="R1757" t="s">
        <v>3516</v>
      </c>
    </row>
    <row r="1758" spans="1:18" x14ac:dyDescent="0.25">
      <c r="A1758" t="s">
        <v>13129</v>
      </c>
      <c r="B1758" t="s">
        <v>3551</v>
      </c>
      <c r="C1758" t="str">
        <f>HYPERLINK("https://nematode.unl.edu/buxy6.jpg")</f>
        <v>https://nematode.unl.edu/buxy6.jpg</v>
      </c>
      <c r="D1758" t="s">
        <v>77</v>
      </c>
      <c r="G1758" t="s">
        <v>112</v>
      </c>
      <c r="I1758" t="s">
        <v>19</v>
      </c>
      <c r="J1758" t="s">
        <v>3522</v>
      </c>
      <c r="M1758" t="s">
        <v>3523</v>
      </c>
      <c r="N1758" t="s">
        <v>3523</v>
      </c>
      <c r="O1758" t="s">
        <v>23</v>
      </c>
      <c r="P1758" t="s">
        <v>24</v>
      </c>
      <c r="Q1758" t="s">
        <v>102</v>
      </c>
      <c r="R1758" t="s">
        <v>3516</v>
      </c>
    </row>
    <row r="1759" spans="1:18" x14ac:dyDescent="0.25">
      <c r="A1759" t="s">
        <v>13123</v>
      </c>
      <c r="B1759" t="s">
        <v>3552</v>
      </c>
      <c r="C1759" t="str">
        <f>HYPERLINK("https://nematode.unl.edu/buxy7.jpg")</f>
        <v>https://nematode.unl.edu/buxy7.jpg</v>
      </c>
      <c r="D1759" t="s">
        <v>43</v>
      </c>
      <c r="G1759" t="s">
        <v>44</v>
      </c>
      <c r="I1759" t="s">
        <v>45</v>
      </c>
      <c r="J1759" t="s">
        <v>3522</v>
      </c>
      <c r="M1759" t="s">
        <v>3523</v>
      </c>
      <c r="N1759" t="s">
        <v>3523</v>
      </c>
      <c r="O1759" t="s">
        <v>23</v>
      </c>
      <c r="P1759" t="s">
        <v>24</v>
      </c>
      <c r="Q1759" t="s">
        <v>102</v>
      </c>
      <c r="R1759" t="s">
        <v>3516</v>
      </c>
    </row>
    <row r="1760" spans="1:18" x14ac:dyDescent="0.25">
      <c r="A1760" t="s">
        <v>13112</v>
      </c>
      <c r="B1760" t="s">
        <v>3553</v>
      </c>
      <c r="C1760" t="str">
        <f>HYPERLINK("https://nematode.unl.edu/buxy8.jpg")</f>
        <v>https://nematode.unl.edu/buxy8.jpg</v>
      </c>
      <c r="D1760" t="s">
        <v>43</v>
      </c>
      <c r="G1760" t="s">
        <v>96</v>
      </c>
      <c r="H1760" t="s">
        <v>18</v>
      </c>
      <c r="I1760" t="s">
        <v>19</v>
      </c>
      <c r="J1760" t="s">
        <v>3522</v>
      </c>
      <c r="M1760" t="s">
        <v>3523</v>
      </c>
      <c r="N1760" t="s">
        <v>3523</v>
      </c>
      <c r="O1760" t="s">
        <v>23</v>
      </c>
      <c r="P1760" t="s">
        <v>24</v>
      </c>
      <c r="Q1760" t="s">
        <v>102</v>
      </c>
      <c r="R1760" t="s">
        <v>3516</v>
      </c>
    </row>
    <row r="1761" spans="1:18" x14ac:dyDescent="0.25">
      <c r="A1761" t="s">
        <v>13141</v>
      </c>
      <c r="B1761" t="s">
        <v>3554</v>
      </c>
      <c r="C1761" t="str">
        <f>HYPERLINK("https://nematode.unl.edu/buxy9.jpg")</f>
        <v>https://nematode.unl.edu/buxy9.jpg</v>
      </c>
      <c r="D1761" t="s">
        <v>43</v>
      </c>
      <c r="G1761" t="s">
        <v>51</v>
      </c>
      <c r="I1761" t="s">
        <v>19</v>
      </c>
      <c r="J1761" t="s">
        <v>3522</v>
      </c>
      <c r="M1761" t="s">
        <v>3523</v>
      </c>
      <c r="N1761" t="s">
        <v>3523</v>
      </c>
      <c r="O1761" t="s">
        <v>23</v>
      </c>
      <c r="P1761" t="s">
        <v>24</v>
      </c>
      <c r="Q1761" t="s">
        <v>102</v>
      </c>
      <c r="R1761" t="s">
        <v>3516</v>
      </c>
    </row>
    <row r="1762" spans="1:18" x14ac:dyDescent="0.25">
      <c r="A1762" t="s">
        <v>16215</v>
      </c>
      <c r="B1762" t="s">
        <v>3555</v>
      </c>
      <c r="C1762" t="str">
        <f>HYPERLINK("https://nematode.unl.edu/cactesh1.jpg")</f>
        <v>https://nematode.unl.edu/cactesh1.jpg</v>
      </c>
      <c r="D1762" t="s">
        <v>16</v>
      </c>
      <c r="G1762" t="s">
        <v>96</v>
      </c>
      <c r="H1762" t="s">
        <v>18</v>
      </c>
      <c r="I1762" t="s">
        <v>41</v>
      </c>
      <c r="J1762" t="s">
        <v>446</v>
      </c>
      <c r="M1762" t="s">
        <v>447</v>
      </c>
      <c r="N1762" t="s">
        <v>447</v>
      </c>
      <c r="O1762" t="s">
        <v>23</v>
      </c>
      <c r="P1762" t="s">
        <v>24</v>
      </c>
      <c r="Q1762" t="s">
        <v>448</v>
      </c>
      <c r="R1762" t="s">
        <v>447</v>
      </c>
    </row>
    <row r="1763" spans="1:18" x14ac:dyDescent="0.25">
      <c r="A1763" t="s">
        <v>16236</v>
      </c>
      <c r="B1763" t="s">
        <v>3556</v>
      </c>
      <c r="C1763" t="str">
        <f>HYPERLINK("https://nematode.unl.edu/cactesh2.jpg")</f>
        <v>https://nematode.unl.edu/cactesh2.jpg</v>
      </c>
      <c r="D1763" t="s">
        <v>16</v>
      </c>
      <c r="G1763" t="s">
        <v>28</v>
      </c>
      <c r="I1763" t="s">
        <v>41</v>
      </c>
      <c r="J1763" t="s">
        <v>446</v>
      </c>
      <c r="M1763" t="s">
        <v>447</v>
      </c>
      <c r="N1763" t="s">
        <v>447</v>
      </c>
      <c r="O1763" t="s">
        <v>23</v>
      </c>
      <c r="P1763" t="s">
        <v>24</v>
      </c>
      <c r="Q1763" t="s">
        <v>448</v>
      </c>
      <c r="R1763" t="s">
        <v>447</v>
      </c>
    </row>
    <row r="1764" spans="1:18" x14ac:dyDescent="0.25">
      <c r="A1764" t="s">
        <v>16229</v>
      </c>
      <c r="B1764" t="s">
        <v>3557</v>
      </c>
      <c r="C1764" t="str">
        <f>HYPERLINK("https://nematode.unl.edu/cactesh3.jpg")</f>
        <v>https://nematode.unl.edu/cactesh3.jpg</v>
      </c>
      <c r="D1764" t="s">
        <v>16</v>
      </c>
      <c r="G1764" t="s">
        <v>44</v>
      </c>
      <c r="I1764" t="s">
        <v>19</v>
      </c>
      <c r="J1764" t="s">
        <v>446</v>
      </c>
      <c r="M1764" t="s">
        <v>447</v>
      </c>
      <c r="N1764" t="s">
        <v>447</v>
      </c>
      <c r="O1764" t="s">
        <v>23</v>
      </c>
      <c r="P1764" t="s">
        <v>24</v>
      </c>
      <c r="Q1764" t="s">
        <v>448</v>
      </c>
      <c r="R1764" t="s">
        <v>447</v>
      </c>
    </row>
    <row r="1765" spans="1:18" x14ac:dyDescent="0.25">
      <c r="A1765" t="s">
        <v>16214</v>
      </c>
      <c r="B1765" t="s">
        <v>445</v>
      </c>
      <c r="C1765" t="str">
        <f>HYPERLINK("https://nematode.unl.edu/cactesh4.jpg")</f>
        <v>https://nematode.unl.edu/cactesh4.jpg</v>
      </c>
      <c r="D1765" t="s">
        <v>16</v>
      </c>
      <c r="G1765" t="s">
        <v>96</v>
      </c>
      <c r="H1765" t="s">
        <v>18</v>
      </c>
      <c r="I1765" t="s">
        <v>41</v>
      </c>
      <c r="J1765" t="s">
        <v>446</v>
      </c>
      <c r="M1765" t="s">
        <v>447</v>
      </c>
      <c r="N1765" t="s">
        <v>447</v>
      </c>
      <c r="O1765" t="s">
        <v>23</v>
      </c>
      <c r="P1765" t="s">
        <v>24</v>
      </c>
      <c r="Q1765" t="s">
        <v>448</v>
      </c>
      <c r="R1765" t="s">
        <v>447</v>
      </c>
    </row>
    <row r="1766" spans="1:18" x14ac:dyDescent="0.25">
      <c r="A1766" t="s">
        <v>16235</v>
      </c>
      <c r="B1766" t="s">
        <v>3558</v>
      </c>
      <c r="C1766" t="str">
        <f>HYPERLINK("https://nematode.unl.edu/cactesh5.jpg")</f>
        <v>https://nematode.unl.edu/cactesh5.jpg</v>
      </c>
      <c r="D1766" t="s">
        <v>16</v>
      </c>
      <c r="G1766" t="s">
        <v>3559</v>
      </c>
      <c r="I1766" t="s">
        <v>41</v>
      </c>
      <c r="J1766" t="s">
        <v>446</v>
      </c>
      <c r="M1766" t="s">
        <v>447</v>
      </c>
      <c r="N1766" t="s">
        <v>447</v>
      </c>
      <c r="O1766" t="s">
        <v>23</v>
      </c>
      <c r="P1766" t="s">
        <v>24</v>
      </c>
      <c r="Q1766" t="s">
        <v>448</v>
      </c>
      <c r="R1766" t="s">
        <v>447</v>
      </c>
    </row>
    <row r="1767" spans="1:18" x14ac:dyDescent="0.25">
      <c r="A1767" t="s">
        <v>16237</v>
      </c>
      <c r="B1767" t="s">
        <v>3560</v>
      </c>
      <c r="C1767" t="str">
        <f>HYPERLINK("https://nematode.unl.edu/cactesh6.jpg")</f>
        <v>https://nematode.unl.edu/cactesh6.jpg</v>
      </c>
      <c r="D1767" t="s">
        <v>16</v>
      </c>
      <c r="G1767" t="s">
        <v>28</v>
      </c>
      <c r="I1767" t="s">
        <v>41</v>
      </c>
      <c r="J1767" t="s">
        <v>446</v>
      </c>
      <c r="M1767" t="s">
        <v>447</v>
      </c>
      <c r="N1767" t="s">
        <v>447</v>
      </c>
      <c r="O1767" t="s">
        <v>23</v>
      </c>
      <c r="P1767" t="s">
        <v>24</v>
      </c>
      <c r="Q1767" t="s">
        <v>448</v>
      </c>
      <c r="R1767" t="s">
        <v>447</v>
      </c>
    </row>
    <row r="1768" spans="1:18" x14ac:dyDescent="0.25">
      <c r="A1768" t="s">
        <v>16238</v>
      </c>
      <c r="B1768" t="s">
        <v>3561</v>
      </c>
      <c r="C1768" t="str">
        <f>HYPERLINK("https://nematode.unl.edu/cactesh7.jpg")</f>
        <v>https://nematode.unl.edu/cactesh7.jpg</v>
      </c>
      <c r="D1768" t="s">
        <v>16</v>
      </c>
      <c r="G1768" t="s">
        <v>28</v>
      </c>
      <c r="I1768" t="s">
        <v>41</v>
      </c>
      <c r="J1768" t="s">
        <v>446</v>
      </c>
      <c r="M1768" t="s">
        <v>447</v>
      </c>
      <c r="N1768" t="s">
        <v>447</v>
      </c>
      <c r="O1768" t="s">
        <v>23</v>
      </c>
      <c r="P1768" t="s">
        <v>24</v>
      </c>
      <c r="Q1768" t="s">
        <v>448</v>
      </c>
      <c r="R1768" t="s">
        <v>447</v>
      </c>
    </row>
    <row r="1769" spans="1:18" x14ac:dyDescent="0.25">
      <c r="A1769" t="s">
        <v>16239</v>
      </c>
      <c r="B1769" t="s">
        <v>3562</v>
      </c>
      <c r="C1769" t="str">
        <f>HYPERLINK("https://nematode.unl.edu/cactesh8.jpg")</f>
        <v>https://nematode.unl.edu/cactesh8.jpg</v>
      </c>
      <c r="D1769" t="s">
        <v>16</v>
      </c>
      <c r="G1769" t="s">
        <v>28</v>
      </c>
      <c r="I1769" t="s">
        <v>41</v>
      </c>
      <c r="J1769" t="s">
        <v>446</v>
      </c>
      <c r="M1769" t="s">
        <v>447</v>
      </c>
      <c r="N1769" t="s">
        <v>447</v>
      </c>
      <c r="O1769" t="s">
        <v>23</v>
      </c>
      <c r="P1769" t="s">
        <v>24</v>
      </c>
      <c r="Q1769" t="s">
        <v>448</v>
      </c>
      <c r="R1769" t="s">
        <v>447</v>
      </c>
    </row>
    <row r="1770" spans="1:18" x14ac:dyDescent="0.25">
      <c r="A1770" t="s">
        <v>16230</v>
      </c>
      <c r="B1770" t="s">
        <v>3563</v>
      </c>
      <c r="C1770" t="str">
        <f>HYPERLINK("https://nematode.unl.edu/cactode1.jpg")</f>
        <v>https://nematode.unl.edu/cactode1.jpg</v>
      </c>
      <c r="D1770" t="s">
        <v>16</v>
      </c>
      <c r="G1770" t="s">
        <v>44</v>
      </c>
      <c r="I1770" t="s">
        <v>19</v>
      </c>
      <c r="J1770" t="s">
        <v>3564</v>
      </c>
      <c r="M1770" t="s">
        <v>447</v>
      </c>
      <c r="N1770" t="s">
        <v>447</v>
      </c>
      <c r="O1770" t="s">
        <v>23</v>
      </c>
      <c r="P1770" t="s">
        <v>24</v>
      </c>
      <c r="Q1770" t="s">
        <v>448</v>
      </c>
      <c r="R1770" t="s">
        <v>447</v>
      </c>
    </row>
    <row r="1771" spans="1:18" x14ac:dyDescent="0.25">
      <c r="A1771" t="s">
        <v>16240</v>
      </c>
      <c r="B1771" t="s">
        <v>3565</v>
      </c>
      <c r="C1771" t="str">
        <f>HYPERLINK("https://nematode.unl.edu/cactode10.jpg")</f>
        <v>https://nematode.unl.edu/cactode10.jpg</v>
      </c>
      <c r="D1771" t="s">
        <v>16</v>
      </c>
      <c r="G1771" t="s">
        <v>28</v>
      </c>
      <c r="I1771" t="s">
        <v>19</v>
      </c>
      <c r="J1771" t="s">
        <v>3564</v>
      </c>
      <c r="M1771" t="s">
        <v>447</v>
      </c>
      <c r="N1771" t="s">
        <v>447</v>
      </c>
      <c r="O1771" t="s">
        <v>23</v>
      </c>
      <c r="P1771" t="s">
        <v>24</v>
      </c>
      <c r="Q1771" t="s">
        <v>448</v>
      </c>
      <c r="R1771" t="s">
        <v>447</v>
      </c>
    </row>
    <row r="1772" spans="1:18" x14ac:dyDescent="0.25">
      <c r="A1772" t="s">
        <v>16218</v>
      </c>
      <c r="B1772" t="s">
        <v>3566</v>
      </c>
      <c r="C1772" t="str">
        <f>HYPERLINK("https://nematode.unl.edu/cactode11.jpg")</f>
        <v>https://nematode.unl.edu/cactode11.jpg</v>
      </c>
      <c r="D1772" t="s">
        <v>16</v>
      </c>
      <c r="G1772" t="s">
        <v>34</v>
      </c>
      <c r="H1772" t="s">
        <v>18</v>
      </c>
      <c r="I1772" t="s">
        <v>41</v>
      </c>
      <c r="J1772" t="s">
        <v>3564</v>
      </c>
      <c r="M1772" t="s">
        <v>447</v>
      </c>
      <c r="N1772" t="s">
        <v>447</v>
      </c>
      <c r="O1772" t="s">
        <v>23</v>
      </c>
      <c r="P1772" t="s">
        <v>24</v>
      </c>
      <c r="Q1772" t="s">
        <v>448</v>
      </c>
      <c r="R1772" t="s">
        <v>447</v>
      </c>
    </row>
    <row r="1773" spans="1:18" x14ac:dyDescent="0.25">
      <c r="A1773" t="s">
        <v>16241</v>
      </c>
      <c r="B1773" t="s">
        <v>3567</v>
      </c>
      <c r="C1773" t="str">
        <f>HYPERLINK("https://nematode.unl.edu/cactode12.jpg")</f>
        <v>https://nematode.unl.edu/cactode12.jpg</v>
      </c>
      <c r="D1773" t="s">
        <v>16</v>
      </c>
      <c r="G1773" t="s">
        <v>28</v>
      </c>
      <c r="I1773" t="s">
        <v>41</v>
      </c>
      <c r="J1773" t="s">
        <v>3564</v>
      </c>
      <c r="M1773" t="s">
        <v>447</v>
      </c>
      <c r="N1773" t="s">
        <v>447</v>
      </c>
      <c r="O1773" t="s">
        <v>23</v>
      </c>
      <c r="P1773" t="s">
        <v>24</v>
      </c>
      <c r="Q1773" t="s">
        <v>448</v>
      </c>
      <c r="R1773" t="s">
        <v>447</v>
      </c>
    </row>
    <row r="1774" spans="1:18" x14ac:dyDescent="0.25">
      <c r="A1774" t="s">
        <v>16219</v>
      </c>
      <c r="B1774" t="s">
        <v>3568</v>
      </c>
      <c r="C1774" t="str">
        <f>HYPERLINK("https://nematode.unl.edu/cactode13.jpg")</f>
        <v>https://nematode.unl.edu/cactode13.jpg</v>
      </c>
      <c r="D1774" t="s">
        <v>16</v>
      </c>
      <c r="G1774" t="s">
        <v>34</v>
      </c>
      <c r="H1774" t="s">
        <v>18</v>
      </c>
      <c r="I1774" t="s">
        <v>19</v>
      </c>
      <c r="J1774" t="s">
        <v>3564</v>
      </c>
      <c r="M1774" t="s">
        <v>447</v>
      </c>
      <c r="N1774" t="s">
        <v>447</v>
      </c>
      <c r="O1774" t="s">
        <v>23</v>
      </c>
      <c r="P1774" t="s">
        <v>24</v>
      </c>
      <c r="Q1774" t="s">
        <v>448</v>
      </c>
      <c r="R1774" t="s">
        <v>447</v>
      </c>
    </row>
    <row r="1775" spans="1:18" x14ac:dyDescent="0.25">
      <c r="A1775" t="s">
        <v>16242</v>
      </c>
      <c r="B1775" t="s">
        <v>3569</v>
      </c>
      <c r="C1775" t="str">
        <f>HYPERLINK("https://nematode.unl.edu/cactode14.jpg")</f>
        <v>https://nematode.unl.edu/cactode14.jpg</v>
      </c>
      <c r="D1775" t="s">
        <v>16</v>
      </c>
      <c r="G1775" t="s">
        <v>28</v>
      </c>
      <c r="I1775" t="s">
        <v>19</v>
      </c>
      <c r="J1775" t="s">
        <v>3564</v>
      </c>
      <c r="M1775" t="s">
        <v>447</v>
      </c>
      <c r="N1775" t="s">
        <v>447</v>
      </c>
      <c r="O1775" t="s">
        <v>23</v>
      </c>
      <c r="P1775" t="s">
        <v>24</v>
      </c>
      <c r="Q1775" t="s">
        <v>448</v>
      </c>
      <c r="R1775" t="s">
        <v>447</v>
      </c>
    </row>
    <row r="1776" spans="1:18" x14ac:dyDescent="0.25">
      <c r="A1776" t="s">
        <v>16216</v>
      </c>
      <c r="B1776" t="s">
        <v>3570</v>
      </c>
      <c r="C1776" t="str">
        <f>HYPERLINK("https://nematode.unl.edu/cactode15.jpg")</f>
        <v>https://nematode.unl.edu/cactode15.jpg</v>
      </c>
      <c r="D1776" t="s">
        <v>16</v>
      </c>
      <c r="G1776" t="s">
        <v>96</v>
      </c>
      <c r="H1776" t="s">
        <v>18</v>
      </c>
      <c r="I1776" t="s">
        <v>19</v>
      </c>
      <c r="J1776" t="s">
        <v>3564</v>
      </c>
      <c r="M1776" t="s">
        <v>447</v>
      </c>
      <c r="N1776" t="s">
        <v>447</v>
      </c>
      <c r="O1776" t="s">
        <v>23</v>
      </c>
      <c r="P1776" t="s">
        <v>24</v>
      </c>
      <c r="Q1776" t="s">
        <v>448</v>
      </c>
      <c r="R1776" t="s">
        <v>447</v>
      </c>
    </row>
    <row r="1777" spans="1:18" x14ac:dyDescent="0.25">
      <c r="A1777" t="s">
        <v>16243</v>
      </c>
      <c r="B1777" t="s">
        <v>3571</v>
      </c>
      <c r="C1777" t="str">
        <f>HYPERLINK("https://nematode.unl.edu/cactode16.jpg")</f>
        <v>https://nematode.unl.edu/cactode16.jpg</v>
      </c>
      <c r="D1777" t="s">
        <v>43</v>
      </c>
      <c r="G1777" t="s">
        <v>28</v>
      </c>
      <c r="I1777" t="s">
        <v>41</v>
      </c>
      <c r="J1777" t="s">
        <v>3564</v>
      </c>
      <c r="M1777" t="s">
        <v>447</v>
      </c>
      <c r="N1777" t="s">
        <v>447</v>
      </c>
      <c r="O1777" t="s">
        <v>23</v>
      </c>
      <c r="P1777" t="s">
        <v>24</v>
      </c>
      <c r="Q1777" t="s">
        <v>448</v>
      </c>
      <c r="R1777" t="s">
        <v>447</v>
      </c>
    </row>
    <row r="1778" spans="1:18" x14ac:dyDescent="0.25">
      <c r="A1778" t="s">
        <v>16231</v>
      </c>
      <c r="B1778" t="s">
        <v>3572</v>
      </c>
      <c r="C1778" t="str">
        <f>HYPERLINK("https://nematode.unl.edu/cactode17.jpg")</f>
        <v>https://nematode.unl.edu/cactode17.jpg</v>
      </c>
      <c r="D1778" t="s">
        <v>16</v>
      </c>
      <c r="G1778" t="s">
        <v>44</v>
      </c>
      <c r="I1778" t="s">
        <v>137</v>
      </c>
      <c r="J1778" t="s">
        <v>3564</v>
      </c>
      <c r="M1778" t="s">
        <v>447</v>
      </c>
      <c r="N1778" t="s">
        <v>447</v>
      </c>
      <c r="O1778" t="s">
        <v>23</v>
      </c>
      <c r="P1778" t="s">
        <v>24</v>
      </c>
      <c r="Q1778" t="s">
        <v>448</v>
      </c>
      <c r="R1778" t="s">
        <v>447</v>
      </c>
    </row>
    <row r="1779" spans="1:18" x14ac:dyDescent="0.25">
      <c r="A1779" t="s">
        <v>16220</v>
      </c>
      <c r="B1779" t="s">
        <v>3573</v>
      </c>
      <c r="C1779" t="str">
        <f>HYPERLINK("https://nematode.unl.edu/cactode18.jpg")</f>
        <v>https://nematode.unl.edu/cactode18.jpg</v>
      </c>
      <c r="D1779" t="s">
        <v>16</v>
      </c>
      <c r="G1779" t="s">
        <v>34</v>
      </c>
      <c r="H1779" t="s">
        <v>18</v>
      </c>
      <c r="I1779" t="s">
        <v>19</v>
      </c>
      <c r="J1779" t="s">
        <v>3564</v>
      </c>
      <c r="M1779" t="s">
        <v>447</v>
      </c>
      <c r="N1779" t="s">
        <v>447</v>
      </c>
      <c r="O1779" t="s">
        <v>23</v>
      </c>
      <c r="P1779" t="s">
        <v>24</v>
      </c>
      <c r="Q1779" t="s">
        <v>448</v>
      </c>
      <c r="R1779" t="s">
        <v>447</v>
      </c>
    </row>
    <row r="1780" spans="1:18" x14ac:dyDescent="0.25">
      <c r="A1780" t="s">
        <v>16244</v>
      </c>
      <c r="B1780" t="s">
        <v>3574</v>
      </c>
      <c r="C1780" t="str">
        <f>HYPERLINK("https://nematode.unl.edu/cactode19.jpg")</f>
        <v>https://nematode.unl.edu/cactode19.jpg</v>
      </c>
      <c r="D1780" t="s">
        <v>16</v>
      </c>
      <c r="G1780" t="s">
        <v>28</v>
      </c>
      <c r="I1780" t="s">
        <v>19</v>
      </c>
      <c r="J1780" t="s">
        <v>3564</v>
      </c>
      <c r="M1780" t="s">
        <v>447</v>
      </c>
      <c r="N1780" t="s">
        <v>447</v>
      </c>
      <c r="O1780" t="s">
        <v>23</v>
      </c>
      <c r="P1780" t="s">
        <v>24</v>
      </c>
      <c r="Q1780" t="s">
        <v>448</v>
      </c>
      <c r="R1780" t="s">
        <v>447</v>
      </c>
    </row>
    <row r="1781" spans="1:18" x14ac:dyDescent="0.25">
      <c r="A1781" t="s">
        <v>16221</v>
      </c>
      <c r="B1781" t="s">
        <v>3575</v>
      </c>
      <c r="C1781" t="str">
        <f>HYPERLINK("https://nematode.unl.edu/cactode2.jpg")</f>
        <v>https://nematode.unl.edu/cactode2.jpg</v>
      </c>
      <c r="D1781" t="s">
        <v>16</v>
      </c>
      <c r="G1781" t="s">
        <v>34</v>
      </c>
      <c r="H1781" t="s">
        <v>18</v>
      </c>
      <c r="I1781" t="s">
        <v>41</v>
      </c>
      <c r="J1781" t="s">
        <v>3564</v>
      </c>
      <c r="M1781" t="s">
        <v>447</v>
      </c>
      <c r="N1781" t="s">
        <v>447</v>
      </c>
      <c r="O1781" t="s">
        <v>23</v>
      </c>
      <c r="P1781" t="s">
        <v>24</v>
      </c>
      <c r="Q1781" t="s">
        <v>448</v>
      </c>
      <c r="R1781" t="s">
        <v>447</v>
      </c>
    </row>
    <row r="1782" spans="1:18" x14ac:dyDescent="0.25">
      <c r="A1782" t="s">
        <v>16222</v>
      </c>
      <c r="B1782" t="s">
        <v>3576</v>
      </c>
      <c r="C1782" t="str">
        <f>HYPERLINK("https://nematode.unl.edu/cactode20.jpg")</f>
        <v>https://nematode.unl.edu/cactode20.jpg</v>
      </c>
      <c r="D1782" t="s">
        <v>16</v>
      </c>
      <c r="G1782" t="s">
        <v>34</v>
      </c>
      <c r="H1782" t="s">
        <v>18</v>
      </c>
      <c r="I1782" t="s">
        <v>41</v>
      </c>
      <c r="J1782" t="s">
        <v>3564</v>
      </c>
      <c r="M1782" t="s">
        <v>447</v>
      </c>
      <c r="N1782" t="s">
        <v>447</v>
      </c>
      <c r="O1782" t="s">
        <v>23</v>
      </c>
      <c r="P1782" t="s">
        <v>24</v>
      </c>
      <c r="Q1782" t="s">
        <v>448</v>
      </c>
      <c r="R1782" t="s">
        <v>447</v>
      </c>
    </row>
    <row r="1783" spans="1:18" x14ac:dyDescent="0.25">
      <c r="A1783" t="s">
        <v>16223</v>
      </c>
      <c r="B1783" t="s">
        <v>3577</v>
      </c>
      <c r="C1783" t="str">
        <f>HYPERLINK("https://nematode.unl.edu/cactode21.jpg")</f>
        <v>https://nematode.unl.edu/cactode21.jpg</v>
      </c>
      <c r="D1783" t="s">
        <v>16</v>
      </c>
      <c r="G1783" t="s">
        <v>34</v>
      </c>
      <c r="H1783" t="s">
        <v>18</v>
      </c>
      <c r="I1783" t="s">
        <v>19</v>
      </c>
      <c r="J1783" t="s">
        <v>3564</v>
      </c>
      <c r="M1783" t="s">
        <v>447</v>
      </c>
      <c r="N1783" t="s">
        <v>447</v>
      </c>
      <c r="O1783" t="s">
        <v>23</v>
      </c>
      <c r="P1783" t="s">
        <v>24</v>
      </c>
      <c r="Q1783" t="s">
        <v>448</v>
      </c>
      <c r="R1783" t="s">
        <v>447</v>
      </c>
    </row>
    <row r="1784" spans="1:18" x14ac:dyDescent="0.25">
      <c r="A1784" t="s">
        <v>16245</v>
      </c>
      <c r="B1784" t="s">
        <v>3578</v>
      </c>
      <c r="C1784" t="str">
        <f>HYPERLINK("https://nematode.unl.edu/cactode22.jpg")</f>
        <v>https://nematode.unl.edu/cactode22.jpg</v>
      </c>
      <c r="D1784" t="s">
        <v>16</v>
      </c>
      <c r="G1784" t="s">
        <v>28</v>
      </c>
      <c r="I1784" t="s">
        <v>19</v>
      </c>
      <c r="J1784" t="s">
        <v>3564</v>
      </c>
      <c r="M1784" t="s">
        <v>447</v>
      </c>
      <c r="N1784" t="s">
        <v>447</v>
      </c>
      <c r="O1784" t="s">
        <v>23</v>
      </c>
      <c r="P1784" t="s">
        <v>24</v>
      </c>
      <c r="Q1784" t="s">
        <v>448</v>
      </c>
      <c r="R1784" t="s">
        <v>447</v>
      </c>
    </row>
    <row r="1785" spans="1:18" x14ac:dyDescent="0.25">
      <c r="A1785" t="s">
        <v>16224</v>
      </c>
      <c r="B1785" t="s">
        <v>3579</v>
      </c>
      <c r="C1785" t="str">
        <f>HYPERLINK("https://nematode.unl.edu/cactode23.jpg")</f>
        <v>https://nematode.unl.edu/cactode23.jpg</v>
      </c>
      <c r="D1785" t="s">
        <v>16</v>
      </c>
      <c r="G1785" t="s">
        <v>34</v>
      </c>
      <c r="H1785" t="s">
        <v>18</v>
      </c>
      <c r="I1785" t="s">
        <v>41</v>
      </c>
      <c r="J1785" t="s">
        <v>3564</v>
      </c>
      <c r="M1785" t="s">
        <v>447</v>
      </c>
      <c r="N1785" t="s">
        <v>447</v>
      </c>
      <c r="O1785" t="s">
        <v>23</v>
      </c>
      <c r="P1785" t="s">
        <v>24</v>
      </c>
      <c r="Q1785" t="s">
        <v>448</v>
      </c>
      <c r="R1785" t="s">
        <v>447</v>
      </c>
    </row>
    <row r="1786" spans="1:18" x14ac:dyDescent="0.25">
      <c r="A1786" t="s">
        <v>16246</v>
      </c>
      <c r="B1786" t="s">
        <v>3580</v>
      </c>
      <c r="C1786" t="str">
        <f>HYPERLINK("https://nematode.unl.edu/cactode24.jpg")</f>
        <v>https://nematode.unl.edu/cactode24.jpg</v>
      </c>
      <c r="D1786" t="s">
        <v>16</v>
      </c>
      <c r="G1786" t="s">
        <v>28</v>
      </c>
      <c r="I1786" t="s">
        <v>41</v>
      </c>
      <c r="J1786" t="s">
        <v>3564</v>
      </c>
      <c r="M1786" t="s">
        <v>447</v>
      </c>
      <c r="N1786" t="s">
        <v>447</v>
      </c>
      <c r="O1786" t="s">
        <v>23</v>
      </c>
      <c r="P1786" t="s">
        <v>24</v>
      </c>
      <c r="Q1786" t="s">
        <v>448</v>
      </c>
      <c r="R1786" t="s">
        <v>447</v>
      </c>
    </row>
    <row r="1787" spans="1:18" x14ac:dyDescent="0.25">
      <c r="A1787" t="s">
        <v>16225</v>
      </c>
      <c r="B1787" t="s">
        <v>3581</v>
      </c>
      <c r="C1787" t="str">
        <f>HYPERLINK("https://nematode.unl.edu/cactode3.jpg")</f>
        <v>https://nematode.unl.edu/cactode3.jpg</v>
      </c>
      <c r="D1787" t="s">
        <v>16</v>
      </c>
      <c r="G1787" t="s">
        <v>34</v>
      </c>
      <c r="H1787" t="s">
        <v>18</v>
      </c>
      <c r="I1787" t="s">
        <v>41</v>
      </c>
      <c r="J1787" t="s">
        <v>3564</v>
      </c>
      <c r="M1787" t="s">
        <v>447</v>
      </c>
      <c r="N1787" t="s">
        <v>447</v>
      </c>
      <c r="O1787" t="s">
        <v>23</v>
      </c>
      <c r="P1787" t="s">
        <v>24</v>
      </c>
      <c r="Q1787" t="s">
        <v>448</v>
      </c>
      <c r="R1787" t="s">
        <v>447</v>
      </c>
    </row>
    <row r="1788" spans="1:18" x14ac:dyDescent="0.25">
      <c r="A1788" t="s">
        <v>16247</v>
      </c>
      <c r="B1788" t="s">
        <v>3582</v>
      </c>
      <c r="C1788" t="str">
        <f>HYPERLINK("https://nematode.unl.edu/cactode4.jpg")</f>
        <v>https://nematode.unl.edu/cactode4.jpg</v>
      </c>
      <c r="D1788" t="s">
        <v>16</v>
      </c>
      <c r="G1788" t="s">
        <v>28</v>
      </c>
      <c r="I1788" t="s">
        <v>41</v>
      </c>
      <c r="J1788" t="s">
        <v>3564</v>
      </c>
      <c r="M1788" t="s">
        <v>447</v>
      </c>
      <c r="N1788" t="s">
        <v>447</v>
      </c>
      <c r="O1788" t="s">
        <v>23</v>
      </c>
      <c r="P1788" t="s">
        <v>24</v>
      </c>
      <c r="Q1788" t="s">
        <v>448</v>
      </c>
      <c r="R1788" t="s">
        <v>447</v>
      </c>
    </row>
    <row r="1789" spans="1:18" x14ac:dyDescent="0.25">
      <c r="A1789" t="s">
        <v>16234</v>
      </c>
      <c r="B1789" t="s">
        <v>3583</v>
      </c>
      <c r="C1789" t="str">
        <f>HYPERLINK("https://nematode.unl.edu/cactode5.jpg")</f>
        <v>https://nematode.unl.edu/cactode5.jpg</v>
      </c>
      <c r="D1789" t="s">
        <v>16</v>
      </c>
      <c r="G1789" t="s">
        <v>53</v>
      </c>
      <c r="I1789" t="s">
        <v>41</v>
      </c>
      <c r="J1789" t="s">
        <v>3564</v>
      </c>
      <c r="M1789" t="s">
        <v>447</v>
      </c>
      <c r="N1789" t="s">
        <v>447</v>
      </c>
      <c r="O1789" t="s">
        <v>23</v>
      </c>
      <c r="P1789" t="s">
        <v>24</v>
      </c>
      <c r="Q1789" t="s">
        <v>448</v>
      </c>
      <c r="R1789" t="s">
        <v>447</v>
      </c>
    </row>
    <row r="1790" spans="1:18" x14ac:dyDescent="0.25">
      <c r="A1790" t="s">
        <v>16232</v>
      </c>
      <c r="B1790" t="s">
        <v>3584</v>
      </c>
      <c r="C1790" t="str">
        <f>HYPERLINK("https://nematode.unl.edu/cactode6.jpg")</f>
        <v>https://nematode.unl.edu/cactode6.jpg</v>
      </c>
      <c r="D1790" t="s">
        <v>16</v>
      </c>
      <c r="G1790" t="s">
        <v>44</v>
      </c>
      <c r="I1790" t="s">
        <v>137</v>
      </c>
      <c r="J1790" t="s">
        <v>3564</v>
      </c>
      <c r="M1790" t="s">
        <v>447</v>
      </c>
      <c r="N1790" t="s">
        <v>447</v>
      </c>
      <c r="O1790" t="s">
        <v>23</v>
      </c>
      <c r="P1790" t="s">
        <v>24</v>
      </c>
      <c r="Q1790" t="s">
        <v>448</v>
      </c>
      <c r="R1790" t="s">
        <v>447</v>
      </c>
    </row>
    <row r="1791" spans="1:18" x14ac:dyDescent="0.25">
      <c r="A1791" t="s">
        <v>16226</v>
      </c>
      <c r="B1791" t="s">
        <v>3585</v>
      </c>
      <c r="C1791" t="str">
        <f>HYPERLINK("https://nematode.unl.edu/cactode7.jpg")</f>
        <v>https://nematode.unl.edu/cactode7.jpg</v>
      </c>
      <c r="D1791" t="s">
        <v>16</v>
      </c>
      <c r="G1791" t="s">
        <v>34</v>
      </c>
      <c r="H1791" t="s">
        <v>18</v>
      </c>
      <c r="I1791" t="s">
        <v>19</v>
      </c>
      <c r="J1791" t="s">
        <v>3564</v>
      </c>
      <c r="M1791" t="s">
        <v>447</v>
      </c>
      <c r="N1791" t="s">
        <v>447</v>
      </c>
      <c r="O1791" t="s">
        <v>23</v>
      </c>
      <c r="P1791" t="s">
        <v>24</v>
      </c>
      <c r="Q1791" t="s">
        <v>448</v>
      </c>
      <c r="R1791" t="s">
        <v>447</v>
      </c>
    </row>
    <row r="1792" spans="1:18" x14ac:dyDescent="0.25">
      <c r="A1792" t="s">
        <v>16248</v>
      </c>
      <c r="B1792" t="s">
        <v>3586</v>
      </c>
      <c r="C1792" t="str">
        <f>HYPERLINK("https://nematode.unl.edu/cactode8.jpg")</f>
        <v>https://nematode.unl.edu/cactode8.jpg</v>
      </c>
      <c r="D1792" t="s">
        <v>16</v>
      </c>
      <c r="G1792" t="s">
        <v>28</v>
      </c>
      <c r="I1792" t="s">
        <v>19</v>
      </c>
      <c r="J1792" t="s">
        <v>3564</v>
      </c>
      <c r="M1792" t="s">
        <v>447</v>
      </c>
      <c r="N1792" t="s">
        <v>447</v>
      </c>
      <c r="O1792" t="s">
        <v>23</v>
      </c>
      <c r="P1792" t="s">
        <v>24</v>
      </c>
      <c r="Q1792" t="s">
        <v>448</v>
      </c>
      <c r="R1792" t="s">
        <v>447</v>
      </c>
    </row>
    <row r="1793" spans="1:18" x14ac:dyDescent="0.25">
      <c r="A1793" t="s">
        <v>16227</v>
      </c>
      <c r="B1793" t="s">
        <v>3587</v>
      </c>
      <c r="C1793" t="str">
        <f>HYPERLINK("https://nematode.unl.edu/cactode9.jpg")</f>
        <v>https://nematode.unl.edu/cactode9.jpg</v>
      </c>
      <c r="D1793" t="s">
        <v>16</v>
      </c>
      <c r="G1793" t="s">
        <v>34</v>
      </c>
      <c r="H1793" t="s">
        <v>18</v>
      </c>
      <c r="I1793" t="s">
        <v>19</v>
      </c>
      <c r="J1793" t="s">
        <v>3564</v>
      </c>
      <c r="M1793" t="s">
        <v>447</v>
      </c>
      <c r="N1793" t="s">
        <v>447</v>
      </c>
      <c r="O1793" t="s">
        <v>23</v>
      </c>
      <c r="P1793" t="s">
        <v>24</v>
      </c>
      <c r="Q1793" t="s">
        <v>448</v>
      </c>
      <c r="R1793" t="s">
        <v>447</v>
      </c>
    </row>
    <row r="1794" spans="1:18" x14ac:dyDescent="0.25">
      <c r="A1794" t="s">
        <v>16253</v>
      </c>
      <c r="B1794" t="s">
        <v>3595</v>
      </c>
      <c r="C1794" t="str">
        <f>HYPERLINK("https://nematode.unl.edu/cactow1.jpg")</f>
        <v>https://nematode.unl.edu/cactow1.jpg</v>
      </c>
      <c r="G1794" t="s">
        <v>3596</v>
      </c>
      <c r="I1794" t="s">
        <v>3597</v>
      </c>
      <c r="M1794" t="s">
        <v>3598</v>
      </c>
      <c r="N1794" t="s">
        <v>3598</v>
      </c>
      <c r="O1794" t="s">
        <v>23</v>
      </c>
      <c r="P1794" t="s">
        <v>24</v>
      </c>
      <c r="Q1794" t="s">
        <v>448</v>
      </c>
      <c r="R1794" t="s">
        <v>447</v>
      </c>
    </row>
    <row r="1795" spans="1:18" x14ac:dyDescent="0.25">
      <c r="A1795" t="s">
        <v>16254</v>
      </c>
      <c r="B1795" t="s">
        <v>3599</v>
      </c>
      <c r="C1795" t="str">
        <f>HYPERLINK("https://nematode.unl.edu/cactow2.jpg")</f>
        <v>https://nematode.unl.edu/cactow2.jpg</v>
      </c>
      <c r="G1795" t="s">
        <v>3596</v>
      </c>
      <c r="I1795" t="s">
        <v>3597</v>
      </c>
      <c r="M1795" t="s">
        <v>3598</v>
      </c>
      <c r="N1795" t="s">
        <v>3598</v>
      </c>
      <c r="O1795" t="s">
        <v>23</v>
      </c>
      <c r="P1795" t="s">
        <v>24</v>
      </c>
      <c r="Q1795" t="s">
        <v>448</v>
      </c>
      <c r="R1795" t="s">
        <v>447</v>
      </c>
    </row>
    <row r="1796" spans="1:18" x14ac:dyDescent="0.25">
      <c r="A1796" t="s">
        <v>16255</v>
      </c>
      <c r="B1796" t="s">
        <v>3600</v>
      </c>
      <c r="C1796" t="str">
        <f>HYPERLINK("https://nematode.unl.edu/cactow5.jpg")</f>
        <v>https://nematode.unl.edu/cactow5.jpg</v>
      </c>
      <c r="G1796" t="s">
        <v>3596</v>
      </c>
      <c r="I1796" t="s">
        <v>3597</v>
      </c>
      <c r="M1796" t="s">
        <v>3598</v>
      </c>
      <c r="N1796" t="s">
        <v>3598</v>
      </c>
      <c r="O1796" t="s">
        <v>23</v>
      </c>
      <c r="P1796" t="s">
        <v>24</v>
      </c>
      <c r="Q1796" t="s">
        <v>448</v>
      </c>
      <c r="R1796" t="s">
        <v>447</v>
      </c>
    </row>
    <row r="1797" spans="1:18" x14ac:dyDescent="0.25">
      <c r="A1797" t="s">
        <v>16252</v>
      </c>
      <c r="B1797" t="s">
        <v>3601</v>
      </c>
      <c r="C1797" t="str">
        <f>HYPERLINK("https://nematode.unl.edu/cactowe1.jpg")</f>
        <v>https://nematode.unl.edu/cactowe1.jpg</v>
      </c>
      <c r="D1797" t="s">
        <v>16</v>
      </c>
      <c r="G1797" t="s">
        <v>34</v>
      </c>
      <c r="H1797" t="s">
        <v>18</v>
      </c>
      <c r="I1797" t="s">
        <v>41</v>
      </c>
      <c r="J1797" t="s">
        <v>3602</v>
      </c>
      <c r="M1797" t="s">
        <v>3598</v>
      </c>
      <c r="N1797" t="s">
        <v>3598</v>
      </c>
      <c r="O1797" t="s">
        <v>23</v>
      </c>
      <c r="P1797" t="s">
        <v>24</v>
      </c>
      <c r="Q1797" t="s">
        <v>448</v>
      </c>
      <c r="R1797" t="s">
        <v>447</v>
      </c>
    </row>
    <row r="1798" spans="1:18" x14ac:dyDescent="0.25">
      <c r="A1798" t="s">
        <v>16256</v>
      </c>
      <c r="B1798" t="s">
        <v>3603</v>
      </c>
      <c r="C1798" t="str">
        <f>HYPERLINK("https://nematode.unl.edu/cactowe2.jpg")</f>
        <v>https://nematode.unl.edu/cactowe2.jpg</v>
      </c>
      <c r="D1798" t="s">
        <v>16</v>
      </c>
      <c r="G1798" t="s">
        <v>28</v>
      </c>
      <c r="I1798" t="s">
        <v>41</v>
      </c>
      <c r="J1798" t="s">
        <v>3602</v>
      </c>
      <c r="M1798" t="s">
        <v>3598</v>
      </c>
      <c r="N1798" t="s">
        <v>3598</v>
      </c>
      <c r="O1798" t="s">
        <v>23</v>
      </c>
      <c r="P1798" t="s">
        <v>24</v>
      </c>
      <c r="Q1798" t="s">
        <v>448</v>
      </c>
      <c r="R1798" t="s">
        <v>447</v>
      </c>
    </row>
    <row r="1799" spans="1:18" x14ac:dyDescent="0.25">
      <c r="A1799" t="s">
        <v>16233</v>
      </c>
      <c r="B1799" t="s">
        <v>3588</v>
      </c>
      <c r="C1799" t="str">
        <f>HYPERLINK("https://nematode.unl.edu/cactowyo1.jpg")</f>
        <v>https://nematode.unl.edu/cactowyo1.jpg</v>
      </c>
      <c r="D1799" t="s">
        <v>16</v>
      </c>
      <c r="G1799" t="s">
        <v>44</v>
      </c>
      <c r="I1799" t="s">
        <v>19</v>
      </c>
      <c r="J1799" t="s">
        <v>3589</v>
      </c>
      <c r="M1799" t="s">
        <v>447</v>
      </c>
      <c r="N1799" t="s">
        <v>447</v>
      </c>
      <c r="O1799" t="s">
        <v>23</v>
      </c>
      <c r="P1799" t="s">
        <v>24</v>
      </c>
      <c r="Q1799" t="s">
        <v>448</v>
      </c>
      <c r="R1799" t="s">
        <v>447</v>
      </c>
    </row>
    <row r="1800" spans="1:18" x14ac:dyDescent="0.25">
      <c r="A1800" t="s">
        <v>16228</v>
      </c>
      <c r="B1800" t="s">
        <v>3590</v>
      </c>
      <c r="C1800" t="str">
        <f>HYPERLINK("https://nematode.unl.edu/cactowyo2.jpg")</f>
        <v>https://nematode.unl.edu/cactowyo2.jpg</v>
      </c>
      <c r="D1800" t="s">
        <v>16</v>
      </c>
      <c r="G1800" t="s">
        <v>34</v>
      </c>
      <c r="H1800" t="s">
        <v>18</v>
      </c>
      <c r="I1800" t="s">
        <v>41</v>
      </c>
      <c r="J1800" t="s">
        <v>3589</v>
      </c>
      <c r="M1800" t="s">
        <v>447</v>
      </c>
      <c r="N1800" t="s">
        <v>447</v>
      </c>
      <c r="O1800" t="s">
        <v>23</v>
      </c>
      <c r="P1800" t="s">
        <v>24</v>
      </c>
      <c r="Q1800" t="s">
        <v>448</v>
      </c>
      <c r="R1800" t="s">
        <v>447</v>
      </c>
    </row>
    <row r="1801" spans="1:18" x14ac:dyDescent="0.25">
      <c r="A1801" t="s">
        <v>16249</v>
      </c>
      <c r="B1801" t="s">
        <v>3591</v>
      </c>
      <c r="C1801" t="str">
        <f>HYPERLINK("https://nematode.unl.edu/cactowyo3.jpg")</f>
        <v>https://nematode.unl.edu/cactowyo3.jpg</v>
      </c>
      <c r="D1801" t="s">
        <v>16</v>
      </c>
      <c r="G1801" t="s">
        <v>28</v>
      </c>
      <c r="I1801" t="s">
        <v>41</v>
      </c>
      <c r="J1801" t="s">
        <v>3589</v>
      </c>
      <c r="M1801" t="s">
        <v>447</v>
      </c>
      <c r="N1801" t="s">
        <v>447</v>
      </c>
      <c r="O1801" t="s">
        <v>23</v>
      </c>
      <c r="P1801" t="s">
        <v>24</v>
      </c>
      <c r="Q1801" t="s">
        <v>448</v>
      </c>
      <c r="R1801" t="s">
        <v>447</v>
      </c>
    </row>
    <row r="1802" spans="1:18" x14ac:dyDescent="0.25">
      <c r="A1802" t="s">
        <v>16217</v>
      </c>
      <c r="B1802" t="s">
        <v>3592</v>
      </c>
      <c r="C1802" t="str">
        <f>HYPERLINK("https://nematode.unl.edu/cactowyo4.jpg")</f>
        <v>https://nematode.unl.edu/cactowyo4.jpg</v>
      </c>
      <c r="D1802" t="s">
        <v>16</v>
      </c>
      <c r="G1802" t="s">
        <v>96</v>
      </c>
      <c r="H1802" t="s">
        <v>18</v>
      </c>
      <c r="I1802" t="s">
        <v>41</v>
      </c>
      <c r="J1802" t="s">
        <v>3589</v>
      </c>
      <c r="M1802" t="s">
        <v>447</v>
      </c>
      <c r="N1802" t="s">
        <v>447</v>
      </c>
      <c r="O1802" t="s">
        <v>23</v>
      </c>
      <c r="P1802" t="s">
        <v>24</v>
      </c>
      <c r="Q1802" t="s">
        <v>448</v>
      </c>
      <c r="R1802" t="s">
        <v>447</v>
      </c>
    </row>
    <row r="1803" spans="1:18" x14ac:dyDescent="0.25">
      <c r="A1803" t="s">
        <v>16250</v>
      </c>
      <c r="B1803" t="s">
        <v>3593</v>
      </c>
      <c r="C1803" t="str">
        <f>HYPERLINK("https://nematode.unl.edu/cactowyo5.jpg")</f>
        <v>https://nematode.unl.edu/cactowyo5.jpg</v>
      </c>
      <c r="D1803" t="s">
        <v>16</v>
      </c>
      <c r="G1803" t="s">
        <v>28</v>
      </c>
      <c r="I1803" t="s">
        <v>41</v>
      </c>
      <c r="J1803" t="s">
        <v>3589</v>
      </c>
      <c r="M1803" t="s">
        <v>447</v>
      </c>
      <c r="N1803" t="s">
        <v>447</v>
      </c>
      <c r="O1803" t="s">
        <v>23</v>
      </c>
      <c r="P1803" t="s">
        <v>24</v>
      </c>
      <c r="Q1803" t="s">
        <v>448</v>
      </c>
      <c r="R1803" t="s">
        <v>447</v>
      </c>
    </row>
    <row r="1804" spans="1:18" x14ac:dyDescent="0.25">
      <c r="A1804" t="s">
        <v>16251</v>
      </c>
      <c r="B1804" t="s">
        <v>3594</v>
      </c>
      <c r="C1804" t="str">
        <f>HYPERLINK("https://nematode.unl.edu/cactowyo6.jpg")</f>
        <v>https://nematode.unl.edu/cactowyo6.jpg</v>
      </c>
      <c r="D1804" t="s">
        <v>16</v>
      </c>
      <c r="G1804" t="s">
        <v>28</v>
      </c>
      <c r="I1804" t="s">
        <v>41</v>
      </c>
      <c r="J1804" t="s">
        <v>3589</v>
      </c>
      <c r="M1804" t="s">
        <v>447</v>
      </c>
      <c r="N1804" t="s">
        <v>447</v>
      </c>
      <c r="O1804" t="s">
        <v>23</v>
      </c>
      <c r="P1804" t="s">
        <v>24</v>
      </c>
      <c r="Q1804" t="s">
        <v>448</v>
      </c>
      <c r="R1804" t="s">
        <v>447</v>
      </c>
    </row>
    <row r="1805" spans="1:18" x14ac:dyDescent="0.25">
      <c r="A1805" t="s">
        <v>17524</v>
      </c>
      <c r="B1805" t="s">
        <v>3604</v>
      </c>
      <c r="C1805" t="str">
        <f>HYPERLINK("https://nematode.unl.edu/caenor1.jpg")</f>
        <v>https://nematode.unl.edu/caenor1.jpg</v>
      </c>
      <c r="D1805" t="s">
        <v>77</v>
      </c>
      <c r="G1805" t="s">
        <v>34</v>
      </c>
      <c r="H1805" t="s">
        <v>18</v>
      </c>
      <c r="I1805" t="s">
        <v>41</v>
      </c>
      <c r="J1805" t="s">
        <v>161</v>
      </c>
      <c r="L1805" t="s">
        <v>162</v>
      </c>
      <c r="M1805" t="s">
        <v>3605</v>
      </c>
      <c r="N1805" t="s">
        <v>3605</v>
      </c>
      <c r="O1805" t="s">
        <v>23</v>
      </c>
      <c r="P1805" t="s">
        <v>24</v>
      </c>
      <c r="Q1805" t="s">
        <v>1637</v>
      </c>
      <c r="R1805" t="s">
        <v>3605</v>
      </c>
    </row>
    <row r="1806" spans="1:18" x14ac:dyDescent="0.25">
      <c r="A1806" t="s">
        <v>17527</v>
      </c>
      <c r="B1806" t="s">
        <v>3606</v>
      </c>
      <c r="C1806" t="str">
        <f>HYPERLINK("https://nematode.unl.edu/caenor2.jpg")</f>
        <v>https://nematode.unl.edu/caenor2.jpg</v>
      </c>
      <c r="D1806" t="s">
        <v>77</v>
      </c>
      <c r="G1806" t="s">
        <v>28</v>
      </c>
      <c r="I1806" t="s">
        <v>19</v>
      </c>
      <c r="J1806" t="s">
        <v>161</v>
      </c>
      <c r="L1806" t="s">
        <v>131</v>
      </c>
      <c r="M1806" t="s">
        <v>3605</v>
      </c>
      <c r="N1806" t="s">
        <v>3605</v>
      </c>
      <c r="O1806" t="s">
        <v>23</v>
      </c>
      <c r="P1806" t="s">
        <v>24</v>
      </c>
      <c r="Q1806" t="s">
        <v>1637</v>
      </c>
      <c r="R1806" t="s">
        <v>3605</v>
      </c>
    </row>
    <row r="1807" spans="1:18" x14ac:dyDescent="0.25">
      <c r="A1807" t="s">
        <v>17526</v>
      </c>
      <c r="B1807" t="s">
        <v>3607</v>
      </c>
      <c r="C1807" t="str">
        <f>HYPERLINK("https://nematode.unl.edu/caenor3.jpg")</f>
        <v>https://nematode.unl.edu/caenor3.jpg</v>
      </c>
      <c r="D1807" t="s">
        <v>77</v>
      </c>
      <c r="G1807" t="s">
        <v>1906</v>
      </c>
      <c r="I1807" t="s">
        <v>41</v>
      </c>
      <c r="J1807" t="s">
        <v>161</v>
      </c>
      <c r="L1807" t="s">
        <v>162</v>
      </c>
      <c r="M1807" t="s">
        <v>3605</v>
      </c>
      <c r="N1807" t="s">
        <v>3605</v>
      </c>
      <c r="O1807" t="s">
        <v>23</v>
      </c>
      <c r="P1807" t="s">
        <v>24</v>
      </c>
      <c r="Q1807" t="s">
        <v>1637</v>
      </c>
      <c r="R1807" t="s">
        <v>3605</v>
      </c>
    </row>
    <row r="1808" spans="1:18" x14ac:dyDescent="0.25">
      <c r="A1808" t="s">
        <v>17525</v>
      </c>
      <c r="B1808" t="s">
        <v>3608</v>
      </c>
      <c r="C1808" t="str">
        <f>HYPERLINK("https://nematode.unl.edu/caenor4.jpg")</f>
        <v>https://nematode.unl.edu/caenor4.jpg</v>
      </c>
      <c r="D1808" t="s">
        <v>16</v>
      </c>
      <c r="G1808" t="s">
        <v>34</v>
      </c>
      <c r="H1808" t="s">
        <v>18</v>
      </c>
      <c r="I1808" t="s">
        <v>41</v>
      </c>
      <c r="J1808" t="s">
        <v>161</v>
      </c>
      <c r="L1808" t="s">
        <v>131</v>
      </c>
      <c r="M1808" t="s">
        <v>3605</v>
      </c>
      <c r="N1808" t="s">
        <v>3605</v>
      </c>
      <c r="O1808" t="s">
        <v>23</v>
      </c>
      <c r="P1808" t="s">
        <v>24</v>
      </c>
      <c r="Q1808" t="s">
        <v>1637</v>
      </c>
      <c r="R1808" t="s">
        <v>3605</v>
      </c>
    </row>
    <row r="1809" spans="1:18" x14ac:dyDescent="0.25">
      <c r="A1809" t="s">
        <v>17528</v>
      </c>
      <c r="B1809" t="s">
        <v>3609</v>
      </c>
      <c r="C1809" t="str">
        <f>HYPERLINK("https://nematode.unl.edu/caenor5.jpg")</f>
        <v>https://nematode.unl.edu/caenor5.jpg</v>
      </c>
      <c r="D1809" t="s">
        <v>16</v>
      </c>
      <c r="G1809" t="s">
        <v>28</v>
      </c>
      <c r="I1809" t="s">
        <v>41</v>
      </c>
      <c r="J1809" t="s">
        <v>161</v>
      </c>
      <c r="M1809" t="s">
        <v>3605</v>
      </c>
      <c r="N1809" t="s">
        <v>3605</v>
      </c>
      <c r="O1809" t="s">
        <v>23</v>
      </c>
      <c r="P1809" t="s">
        <v>24</v>
      </c>
      <c r="Q1809" t="s">
        <v>1637</v>
      </c>
      <c r="R1809" t="s">
        <v>3605</v>
      </c>
    </row>
    <row r="1810" spans="1:18" x14ac:dyDescent="0.25">
      <c r="A1810" t="s">
        <v>20294</v>
      </c>
      <c r="B1810" t="s">
        <v>3610</v>
      </c>
      <c r="C1810" t="str">
        <f>HYPERLINK("https://nematode.unl.edu/calicy1.jpg")</f>
        <v>https://nematode.unl.edu/calicy1.jpg</v>
      </c>
      <c r="D1810" t="s">
        <v>43</v>
      </c>
      <c r="G1810" t="s">
        <v>44</v>
      </c>
      <c r="I1810" t="s">
        <v>316</v>
      </c>
      <c r="J1810" t="s">
        <v>3611</v>
      </c>
      <c r="K1810" t="s">
        <v>22851</v>
      </c>
      <c r="L1810" t="s">
        <v>3612</v>
      </c>
      <c r="M1810" t="s">
        <v>3613</v>
      </c>
      <c r="N1810" t="s">
        <v>3613</v>
      </c>
      <c r="O1810" t="s">
        <v>73</v>
      </c>
      <c r="P1810" t="s">
        <v>81</v>
      </c>
      <c r="Q1810" t="s">
        <v>1101</v>
      </c>
      <c r="R1810" t="s">
        <v>3614</v>
      </c>
    </row>
    <row r="1811" spans="1:18" x14ac:dyDescent="0.25">
      <c r="A1811" t="s">
        <v>20292</v>
      </c>
      <c r="B1811" t="s">
        <v>3615</v>
      </c>
      <c r="C1811" t="str">
        <f>HYPERLINK("https://nematode.unl.edu/calicy2.jpg")</f>
        <v>https://nematode.unl.edu/calicy2.jpg</v>
      </c>
      <c r="D1811" t="s">
        <v>43</v>
      </c>
      <c r="G1811" t="s">
        <v>96</v>
      </c>
      <c r="H1811" t="s">
        <v>18</v>
      </c>
      <c r="I1811" t="s">
        <v>45</v>
      </c>
      <c r="J1811" t="s">
        <v>3611</v>
      </c>
      <c r="K1811" t="s">
        <v>22851</v>
      </c>
      <c r="L1811" t="s">
        <v>3612</v>
      </c>
      <c r="M1811" t="s">
        <v>3613</v>
      </c>
      <c r="N1811" t="s">
        <v>3613</v>
      </c>
      <c r="O1811" t="s">
        <v>73</v>
      </c>
      <c r="P1811" t="s">
        <v>81</v>
      </c>
      <c r="Q1811" t="s">
        <v>1101</v>
      </c>
      <c r="R1811" t="s">
        <v>3614</v>
      </c>
    </row>
    <row r="1812" spans="1:18" x14ac:dyDescent="0.25">
      <c r="A1812" t="s">
        <v>20295</v>
      </c>
      <c r="B1812" t="s">
        <v>3616</v>
      </c>
      <c r="C1812" t="str">
        <f>HYPERLINK("https://nematode.unl.edu/calicy3.jpg")</f>
        <v>https://nematode.unl.edu/calicy3.jpg</v>
      </c>
      <c r="D1812" t="s">
        <v>43</v>
      </c>
      <c r="G1812" t="s">
        <v>205</v>
      </c>
      <c r="I1812" t="s">
        <v>45</v>
      </c>
      <c r="J1812" t="s">
        <v>3611</v>
      </c>
      <c r="K1812" t="s">
        <v>22851</v>
      </c>
      <c r="L1812" t="s">
        <v>3612</v>
      </c>
      <c r="M1812" t="s">
        <v>3613</v>
      </c>
      <c r="N1812" t="s">
        <v>3613</v>
      </c>
      <c r="O1812" t="s">
        <v>73</v>
      </c>
      <c r="P1812" t="s">
        <v>81</v>
      </c>
      <c r="Q1812" t="s">
        <v>1101</v>
      </c>
      <c r="R1812" t="s">
        <v>3614</v>
      </c>
    </row>
    <row r="1813" spans="1:18" x14ac:dyDescent="0.25">
      <c r="A1813" t="s">
        <v>20296</v>
      </c>
      <c r="B1813" t="s">
        <v>3617</v>
      </c>
      <c r="C1813" t="str">
        <f>HYPERLINK("https://nematode.unl.edu/calicy4.jpg")</f>
        <v>https://nematode.unl.edu/calicy4.jpg</v>
      </c>
      <c r="D1813" t="s">
        <v>43</v>
      </c>
      <c r="G1813" t="s">
        <v>28</v>
      </c>
      <c r="I1813" t="s">
        <v>45</v>
      </c>
      <c r="J1813" t="s">
        <v>3611</v>
      </c>
      <c r="K1813" t="s">
        <v>22851</v>
      </c>
      <c r="L1813" t="s">
        <v>3612</v>
      </c>
      <c r="M1813" t="s">
        <v>3613</v>
      </c>
      <c r="N1813" t="s">
        <v>3613</v>
      </c>
      <c r="O1813" t="s">
        <v>73</v>
      </c>
      <c r="P1813" t="s">
        <v>81</v>
      </c>
      <c r="Q1813" t="s">
        <v>1101</v>
      </c>
      <c r="R1813" t="s">
        <v>3614</v>
      </c>
    </row>
    <row r="1814" spans="1:18" x14ac:dyDescent="0.25">
      <c r="A1814" t="s">
        <v>20293</v>
      </c>
      <c r="B1814" t="s">
        <v>3618</v>
      </c>
      <c r="C1814" t="str">
        <f>HYPERLINK("https://nematode.unl.edu/calicy5.jpg")</f>
        <v>https://nematode.unl.edu/calicy5.jpg</v>
      </c>
      <c r="D1814" t="s">
        <v>43</v>
      </c>
      <c r="G1814" t="s">
        <v>96</v>
      </c>
      <c r="H1814" t="s">
        <v>18</v>
      </c>
      <c r="I1814" t="s">
        <v>19</v>
      </c>
      <c r="J1814" t="s">
        <v>3611</v>
      </c>
      <c r="K1814" t="s">
        <v>22851</v>
      </c>
      <c r="L1814" t="s">
        <v>3612</v>
      </c>
      <c r="M1814" t="s">
        <v>3613</v>
      </c>
      <c r="N1814" t="s">
        <v>3613</v>
      </c>
      <c r="O1814" t="s">
        <v>73</v>
      </c>
      <c r="P1814" t="s">
        <v>81</v>
      </c>
      <c r="Q1814" t="s">
        <v>1101</v>
      </c>
      <c r="R1814" t="s">
        <v>3614</v>
      </c>
    </row>
    <row r="1815" spans="1:18" x14ac:dyDescent="0.25">
      <c r="A1815" t="s">
        <v>20298</v>
      </c>
      <c r="B1815" t="s">
        <v>3619</v>
      </c>
      <c r="C1815" t="str">
        <f>HYPERLINK("https://nematode.unl.edu/calicy6.jpg")</f>
        <v>https://nematode.unl.edu/calicy6.jpg</v>
      </c>
      <c r="D1815" t="s">
        <v>43</v>
      </c>
      <c r="G1815" t="s">
        <v>51</v>
      </c>
      <c r="I1815" t="s">
        <v>19</v>
      </c>
      <c r="J1815" t="s">
        <v>3611</v>
      </c>
      <c r="K1815" t="s">
        <v>22851</v>
      </c>
      <c r="L1815" t="s">
        <v>3612</v>
      </c>
      <c r="M1815" t="s">
        <v>3613</v>
      </c>
      <c r="N1815" t="s">
        <v>3613</v>
      </c>
      <c r="O1815" t="s">
        <v>73</v>
      </c>
      <c r="P1815" t="s">
        <v>81</v>
      </c>
      <c r="Q1815" t="s">
        <v>1101</v>
      </c>
      <c r="R1815" t="s">
        <v>3614</v>
      </c>
    </row>
    <row r="1816" spans="1:18" x14ac:dyDescent="0.25">
      <c r="A1816" t="s">
        <v>20297</v>
      </c>
      <c r="B1816" t="s">
        <v>3620</v>
      </c>
      <c r="C1816" t="str">
        <f>HYPERLINK("https://nematode.unl.edu/calicy7.jpg")</f>
        <v>https://nematode.unl.edu/calicy7.jpg</v>
      </c>
      <c r="D1816" t="s">
        <v>43</v>
      </c>
      <c r="G1816" t="s">
        <v>28</v>
      </c>
      <c r="I1816" t="s">
        <v>19</v>
      </c>
      <c r="J1816" t="s">
        <v>3611</v>
      </c>
      <c r="K1816" t="s">
        <v>22851</v>
      </c>
      <c r="L1816" t="s">
        <v>3612</v>
      </c>
      <c r="M1816" t="s">
        <v>3613</v>
      </c>
      <c r="N1816" t="s">
        <v>3613</v>
      </c>
      <c r="O1816" t="s">
        <v>73</v>
      </c>
      <c r="P1816" t="s">
        <v>81</v>
      </c>
      <c r="Q1816" t="s">
        <v>1101</v>
      </c>
      <c r="R1816" t="s">
        <v>3614</v>
      </c>
    </row>
    <row r="1817" spans="1:18" x14ac:dyDescent="0.25">
      <c r="A1817" t="s">
        <v>19698</v>
      </c>
      <c r="B1817" t="s">
        <v>3621</v>
      </c>
      <c r="C1817" t="str">
        <f>HYPERLINK("https://nematode.unl.edu/calodo1.jpg")</f>
        <v>https://nematode.unl.edu/calodo1.jpg</v>
      </c>
      <c r="D1817" t="s">
        <v>43</v>
      </c>
      <c r="G1817" t="s">
        <v>44</v>
      </c>
      <c r="I1817" t="s">
        <v>91</v>
      </c>
      <c r="J1817" t="s">
        <v>3622</v>
      </c>
      <c r="M1817" t="s">
        <v>3623</v>
      </c>
      <c r="N1817" t="s">
        <v>3623</v>
      </c>
      <c r="O1817" t="s">
        <v>73</v>
      </c>
      <c r="P1817" t="s">
        <v>81</v>
      </c>
      <c r="Q1817" t="s">
        <v>489</v>
      </c>
      <c r="R1817" t="s">
        <v>3623</v>
      </c>
    </row>
    <row r="1818" spans="1:18" x14ac:dyDescent="0.25">
      <c r="A1818" t="s">
        <v>19694</v>
      </c>
      <c r="B1818" t="s">
        <v>3624</v>
      </c>
      <c r="C1818" t="str">
        <f>HYPERLINK("https://nematode.unl.edu/calodo2.jpg")</f>
        <v>https://nematode.unl.edu/calodo2.jpg</v>
      </c>
      <c r="D1818" t="s">
        <v>43</v>
      </c>
      <c r="G1818" t="s">
        <v>96</v>
      </c>
      <c r="H1818" t="s">
        <v>18</v>
      </c>
      <c r="I1818" t="s">
        <v>45</v>
      </c>
      <c r="J1818" t="s">
        <v>3622</v>
      </c>
      <c r="M1818" t="s">
        <v>3623</v>
      </c>
      <c r="N1818" t="s">
        <v>3623</v>
      </c>
      <c r="O1818" t="s">
        <v>73</v>
      </c>
      <c r="P1818" t="s">
        <v>81</v>
      </c>
      <c r="Q1818" t="s">
        <v>489</v>
      </c>
      <c r="R1818" t="s">
        <v>3623</v>
      </c>
    </row>
    <row r="1819" spans="1:18" x14ac:dyDescent="0.25">
      <c r="A1819" t="s">
        <v>19695</v>
      </c>
      <c r="B1819" t="s">
        <v>3625</v>
      </c>
      <c r="C1819" t="str">
        <f>HYPERLINK("https://nematode.unl.edu/calodo3.jpg")</f>
        <v>https://nematode.unl.edu/calodo3.jpg</v>
      </c>
      <c r="D1819" t="s">
        <v>43</v>
      </c>
      <c r="G1819" t="s">
        <v>34</v>
      </c>
      <c r="H1819" t="s">
        <v>18</v>
      </c>
      <c r="I1819" t="s">
        <v>41</v>
      </c>
      <c r="J1819" t="s">
        <v>3622</v>
      </c>
      <c r="M1819" t="s">
        <v>3623</v>
      </c>
      <c r="N1819" t="s">
        <v>3623</v>
      </c>
      <c r="O1819" t="s">
        <v>73</v>
      </c>
      <c r="P1819" t="s">
        <v>81</v>
      </c>
      <c r="Q1819" t="s">
        <v>489</v>
      </c>
      <c r="R1819" t="s">
        <v>3623</v>
      </c>
    </row>
    <row r="1820" spans="1:18" x14ac:dyDescent="0.25">
      <c r="A1820" t="s">
        <v>19696</v>
      </c>
      <c r="B1820" t="s">
        <v>3626</v>
      </c>
      <c r="C1820" t="str">
        <f>HYPERLINK("https://nematode.unl.edu/calodo4.jpg")</f>
        <v>https://nematode.unl.edu/calodo4.jpg</v>
      </c>
      <c r="D1820" t="s">
        <v>43</v>
      </c>
      <c r="G1820" t="s">
        <v>34</v>
      </c>
      <c r="H1820" t="s">
        <v>18</v>
      </c>
      <c r="I1820" t="s">
        <v>41</v>
      </c>
      <c r="J1820" t="s">
        <v>3622</v>
      </c>
      <c r="M1820" t="s">
        <v>3623</v>
      </c>
      <c r="N1820" t="s">
        <v>3623</v>
      </c>
      <c r="O1820" t="s">
        <v>73</v>
      </c>
      <c r="P1820" t="s">
        <v>81</v>
      </c>
      <c r="Q1820" t="s">
        <v>489</v>
      </c>
      <c r="R1820" t="s">
        <v>3623</v>
      </c>
    </row>
    <row r="1821" spans="1:18" x14ac:dyDescent="0.25">
      <c r="A1821" t="s">
        <v>19693</v>
      </c>
      <c r="B1821" t="s">
        <v>3627</v>
      </c>
      <c r="C1821" t="str">
        <f>HYPERLINK("https://nematode.unl.edu/calodo5.jpg")</f>
        <v>https://nematode.unl.edu/calodo5.jpg</v>
      </c>
      <c r="D1821" t="s">
        <v>43</v>
      </c>
      <c r="G1821" t="s">
        <v>386</v>
      </c>
      <c r="H1821" t="s">
        <v>18</v>
      </c>
      <c r="I1821" t="s">
        <v>41</v>
      </c>
      <c r="J1821" t="s">
        <v>3622</v>
      </c>
      <c r="M1821" t="s">
        <v>3623</v>
      </c>
      <c r="N1821" t="s">
        <v>3623</v>
      </c>
      <c r="O1821" t="s">
        <v>73</v>
      </c>
      <c r="P1821" t="s">
        <v>81</v>
      </c>
      <c r="Q1821" t="s">
        <v>489</v>
      </c>
      <c r="R1821" t="s">
        <v>3623</v>
      </c>
    </row>
    <row r="1822" spans="1:18" x14ac:dyDescent="0.25">
      <c r="A1822" t="s">
        <v>19697</v>
      </c>
      <c r="B1822" t="s">
        <v>3628</v>
      </c>
      <c r="C1822" t="str">
        <f>HYPERLINK("https://nematode.unl.edu/calodo6.jpg")</f>
        <v>https://nematode.unl.edu/calodo6.jpg</v>
      </c>
      <c r="D1822" t="s">
        <v>43</v>
      </c>
      <c r="G1822" t="s">
        <v>2106</v>
      </c>
      <c r="I1822" t="s">
        <v>41</v>
      </c>
      <c r="J1822" t="s">
        <v>3622</v>
      </c>
      <c r="M1822" t="s">
        <v>3623</v>
      </c>
      <c r="N1822" t="s">
        <v>3623</v>
      </c>
      <c r="O1822" t="s">
        <v>73</v>
      </c>
      <c r="P1822" t="s">
        <v>81</v>
      </c>
      <c r="Q1822" t="s">
        <v>489</v>
      </c>
      <c r="R1822" t="s">
        <v>3623</v>
      </c>
    </row>
    <row r="1823" spans="1:18" x14ac:dyDescent="0.25">
      <c r="A1823" t="s">
        <v>19700</v>
      </c>
      <c r="B1823" t="s">
        <v>3629</v>
      </c>
      <c r="C1823" t="str">
        <f>HYPERLINK("https://nematode.unl.edu/calodo7.jpg")</f>
        <v>https://nematode.unl.edu/calodo7.jpg</v>
      </c>
      <c r="D1823" t="s">
        <v>43</v>
      </c>
      <c r="G1823" t="s">
        <v>51</v>
      </c>
      <c r="I1823" t="s">
        <v>41</v>
      </c>
      <c r="J1823" t="s">
        <v>3622</v>
      </c>
      <c r="M1823" t="s">
        <v>3623</v>
      </c>
      <c r="N1823" t="s">
        <v>3623</v>
      </c>
      <c r="O1823" t="s">
        <v>73</v>
      </c>
      <c r="P1823" t="s">
        <v>81</v>
      </c>
      <c r="Q1823" t="s">
        <v>489</v>
      </c>
      <c r="R1823" t="s">
        <v>3623</v>
      </c>
    </row>
    <row r="1824" spans="1:18" x14ac:dyDescent="0.25">
      <c r="A1824" t="s">
        <v>19699</v>
      </c>
      <c r="B1824" t="s">
        <v>3630</v>
      </c>
      <c r="C1824" t="str">
        <f>HYPERLINK("https://nematode.unl.edu/calodo8.jpg")</f>
        <v>https://nematode.unl.edu/calodo8.jpg</v>
      </c>
      <c r="D1824" t="s">
        <v>43</v>
      </c>
      <c r="G1824" t="s">
        <v>422</v>
      </c>
      <c r="I1824" t="s">
        <v>41</v>
      </c>
      <c r="J1824" t="s">
        <v>3622</v>
      </c>
      <c r="M1824" t="s">
        <v>3623</v>
      </c>
      <c r="N1824" t="s">
        <v>3623</v>
      </c>
      <c r="O1824" t="s">
        <v>73</v>
      </c>
      <c r="P1824" t="s">
        <v>81</v>
      </c>
      <c r="Q1824" t="s">
        <v>489</v>
      </c>
      <c r="R1824" t="s">
        <v>3623</v>
      </c>
    </row>
    <row r="1825" spans="1:18" x14ac:dyDescent="0.25">
      <c r="A1825" t="s">
        <v>22241</v>
      </c>
      <c r="B1825" t="s">
        <v>3631</v>
      </c>
      <c r="C1825" t="str">
        <f>HYPERLINK("https://nematode.unl.edu/camde1.jpg")</f>
        <v>https://nematode.unl.edu/camde1.jpg</v>
      </c>
      <c r="D1825" t="s">
        <v>43</v>
      </c>
      <c r="G1825" t="s">
        <v>34</v>
      </c>
      <c r="H1825" t="s">
        <v>18</v>
      </c>
      <c r="I1825" t="s">
        <v>41</v>
      </c>
      <c r="J1825" t="s">
        <v>20</v>
      </c>
      <c r="L1825" t="s">
        <v>220</v>
      </c>
      <c r="M1825" t="s">
        <v>3632</v>
      </c>
      <c r="N1825" t="s">
        <v>3632</v>
      </c>
      <c r="O1825" t="s">
        <v>73</v>
      </c>
      <c r="P1825" t="s">
        <v>74</v>
      </c>
      <c r="Q1825" t="s">
        <v>3633</v>
      </c>
      <c r="R1825" t="s">
        <v>3634</v>
      </c>
    </row>
    <row r="1826" spans="1:18" x14ac:dyDescent="0.25">
      <c r="A1826" t="s">
        <v>22250</v>
      </c>
      <c r="B1826" t="s">
        <v>3635</v>
      </c>
      <c r="C1826" t="str">
        <f>HYPERLINK("https://nematode.unl.edu/camde10.jpg")</f>
        <v>https://nematode.unl.edu/camde10.jpg</v>
      </c>
      <c r="D1826" t="s">
        <v>43</v>
      </c>
      <c r="G1826" t="s">
        <v>87</v>
      </c>
      <c r="I1826" t="s">
        <v>41</v>
      </c>
      <c r="J1826" t="s">
        <v>20</v>
      </c>
      <c r="L1826" t="s">
        <v>85</v>
      </c>
      <c r="M1826" t="s">
        <v>3632</v>
      </c>
      <c r="N1826" t="s">
        <v>3632</v>
      </c>
      <c r="O1826" t="s">
        <v>73</v>
      </c>
      <c r="P1826" t="s">
        <v>74</v>
      </c>
      <c r="Q1826" t="s">
        <v>3633</v>
      </c>
      <c r="R1826" t="s">
        <v>3634</v>
      </c>
    </row>
    <row r="1827" spans="1:18" x14ac:dyDescent="0.25">
      <c r="A1827" t="s">
        <v>22261</v>
      </c>
      <c r="B1827" t="s">
        <v>3636</v>
      </c>
      <c r="C1827" t="str">
        <f>HYPERLINK("https://nematode.unl.edu/camde11.jpg")</f>
        <v>https://nematode.unl.edu/camde11.jpg</v>
      </c>
      <c r="D1827" t="s">
        <v>43</v>
      </c>
      <c r="G1827" t="s">
        <v>51</v>
      </c>
      <c r="I1827" t="s">
        <v>41</v>
      </c>
      <c r="J1827" t="s">
        <v>20</v>
      </c>
      <c r="M1827" t="s">
        <v>3632</v>
      </c>
      <c r="N1827" t="s">
        <v>3632</v>
      </c>
      <c r="O1827" t="s">
        <v>73</v>
      </c>
      <c r="P1827" t="s">
        <v>74</v>
      </c>
      <c r="Q1827" t="s">
        <v>3633</v>
      </c>
      <c r="R1827" t="s">
        <v>3634</v>
      </c>
    </row>
    <row r="1828" spans="1:18" x14ac:dyDescent="0.25">
      <c r="A1828" t="s">
        <v>22249</v>
      </c>
      <c r="B1828" t="s">
        <v>3637</v>
      </c>
      <c r="C1828" t="str">
        <f>HYPERLINK("https://nematode.unl.edu/camde12.jpg")</f>
        <v>https://nematode.unl.edu/camde12.jpg</v>
      </c>
      <c r="D1828" t="s">
        <v>43</v>
      </c>
      <c r="G1828" t="s">
        <v>905</v>
      </c>
      <c r="I1828" t="s">
        <v>41</v>
      </c>
      <c r="J1828" t="s">
        <v>20</v>
      </c>
      <c r="M1828" t="s">
        <v>3632</v>
      </c>
      <c r="N1828" t="s">
        <v>3632</v>
      </c>
      <c r="O1828" t="s">
        <v>73</v>
      </c>
      <c r="P1828" t="s">
        <v>74</v>
      </c>
      <c r="Q1828" t="s">
        <v>3633</v>
      </c>
      <c r="R1828" t="s">
        <v>3634</v>
      </c>
    </row>
    <row r="1829" spans="1:18" x14ac:dyDescent="0.25">
      <c r="A1829" t="s">
        <v>22242</v>
      </c>
      <c r="B1829" t="s">
        <v>3638</v>
      </c>
      <c r="C1829" t="str">
        <f>HYPERLINK("https://nematode.unl.edu/camde13.jpg")</f>
        <v>https://nematode.unl.edu/camde13.jpg</v>
      </c>
      <c r="D1829" t="s">
        <v>43</v>
      </c>
      <c r="G1829" t="s">
        <v>34</v>
      </c>
      <c r="H1829" t="s">
        <v>18</v>
      </c>
      <c r="I1829" t="s">
        <v>41</v>
      </c>
      <c r="J1829" t="s">
        <v>20</v>
      </c>
      <c r="M1829" t="s">
        <v>3632</v>
      </c>
      <c r="N1829" t="s">
        <v>3632</v>
      </c>
      <c r="O1829" t="s">
        <v>73</v>
      </c>
      <c r="P1829" t="s">
        <v>74</v>
      </c>
      <c r="Q1829" t="s">
        <v>3633</v>
      </c>
      <c r="R1829" t="s">
        <v>3634</v>
      </c>
    </row>
    <row r="1830" spans="1:18" x14ac:dyDescent="0.25">
      <c r="A1830" t="s">
        <v>22248</v>
      </c>
      <c r="B1830" t="s">
        <v>3639</v>
      </c>
      <c r="C1830" t="str">
        <f>HYPERLINK("https://nematode.unl.edu/camde14.jpg")</f>
        <v>https://nematode.unl.edu/camde14.jpg</v>
      </c>
      <c r="D1830" t="s">
        <v>43</v>
      </c>
      <c r="G1830" t="s">
        <v>2974</v>
      </c>
      <c r="I1830" t="s">
        <v>41</v>
      </c>
      <c r="J1830" t="s">
        <v>20</v>
      </c>
      <c r="M1830" t="s">
        <v>3632</v>
      </c>
      <c r="N1830" t="s">
        <v>3632</v>
      </c>
      <c r="O1830" t="s">
        <v>73</v>
      </c>
      <c r="P1830" t="s">
        <v>74</v>
      </c>
      <c r="Q1830" t="s">
        <v>3633</v>
      </c>
      <c r="R1830" t="s">
        <v>3634</v>
      </c>
    </row>
    <row r="1831" spans="1:18" x14ac:dyDescent="0.25">
      <c r="A1831" t="s">
        <v>22253</v>
      </c>
      <c r="B1831" t="s">
        <v>3640</v>
      </c>
      <c r="C1831" t="str">
        <f>HYPERLINK("https://nematode.unl.edu/camde2.jpg")</f>
        <v>https://nematode.unl.edu/camde2.jpg</v>
      </c>
      <c r="D1831" t="s">
        <v>43</v>
      </c>
      <c r="G1831" t="s">
        <v>44</v>
      </c>
      <c r="I1831" t="s">
        <v>45</v>
      </c>
      <c r="J1831" t="s">
        <v>20</v>
      </c>
      <c r="M1831" t="s">
        <v>3632</v>
      </c>
      <c r="N1831" t="s">
        <v>3632</v>
      </c>
      <c r="O1831" t="s">
        <v>73</v>
      </c>
      <c r="P1831" t="s">
        <v>74</v>
      </c>
      <c r="Q1831" t="s">
        <v>3633</v>
      </c>
      <c r="R1831" t="s">
        <v>3634</v>
      </c>
    </row>
    <row r="1832" spans="1:18" x14ac:dyDescent="0.25">
      <c r="A1832" t="s">
        <v>22243</v>
      </c>
      <c r="B1832" t="s">
        <v>3641</v>
      </c>
      <c r="C1832" t="str">
        <f>HYPERLINK("https://nematode.unl.edu/camde3.jpg")</f>
        <v>https://nematode.unl.edu/camde3.jpg</v>
      </c>
      <c r="D1832" t="s">
        <v>43</v>
      </c>
      <c r="G1832" t="s">
        <v>34</v>
      </c>
      <c r="H1832" t="s">
        <v>18</v>
      </c>
      <c r="I1832" t="s">
        <v>19</v>
      </c>
      <c r="J1832" t="s">
        <v>20</v>
      </c>
      <c r="M1832" t="s">
        <v>3632</v>
      </c>
      <c r="N1832" t="s">
        <v>3632</v>
      </c>
      <c r="O1832" t="s">
        <v>73</v>
      </c>
      <c r="P1832" t="s">
        <v>74</v>
      </c>
      <c r="Q1832" t="s">
        <v>3633</v>
      </c>
      <c r="R1832" t="s">
        <v>3634</v>
      </c>
    </row>
    <row r="1833" spans="1:18" x14ac:dyDescent="0.25">
      <c r="A1833" t="s">
        <v>22256</v>
      </c>
      <c r="B1833" t="s">
        <v>3642</v>
      </c>
      <c r="C1833" t="str">
        <f>HYPERLINK("https://nematode.unl.edu/camde4.jpg")</f>
        <v>https://nematode.unl.edu/camde4.jpg</v>
      </c>
      <c r="D1833" t="s">
        <v>43</v>
      </c>
      <c r="G1833" t="s">
        <v>28</v>
      </c>
      <c r="I1833" t="s">
        <v>19</v>
      </c>
      <c r="J1833" t="s">
        <v>20</v>
      </c>
      <c r="M1833" t="s">
        <v>3632</v>
      </c>
      <c r="N1833" t="s">
        <v>3632</v>
      </c>
      <c r="O1833" t="s">
        <v>73</v>
      </c>
      <c r="P1833" t="s">
        <v>74</v>
      </c>
      <c r="Q1833" t="s">
        <v>3633</v>
      </c>
      <c r="R1833" t="s">
        <v>3634</v>
      </c>
    </row>
    <row r="1834" spans="1:18" x14ac:dyDescent="0.25">
      <c r="A1834" t="s">
        <v>22254</v>
      </c>
      <c r="B1834" t="s">
        <v>3643</v>
      </c>
      <c r="C1834" t="str">
        <f>HYPERLINK("https://nematode.unl.edu/camde5.jpg")</f>
        <v>https://nematode.unl.edu/camde5.jpg</v>
      </c>
      <c r="D1834" t="s">
        <v>43</v>
      </c>
      <c r="G1834" t="s">
        <v>44</v>
      </c>
      <c r="I1834" t="s">
        <v>45</v>
      </c>
      <c r="J1834" t="s">
        <v>20</v>
      </c>
      <c r="M1834" t="s">
        <v>3632</v>
      </c>
      <c r="N1834" t="s">
        <v>3632</v>
      </c>
      <c r="O1834" t="s">
        <v>73</v>
      </c>
      <c r="P1834" t="s">
        <v>74</v>
      </c>
      <c r="Q1834" t="s">
        <v>3633</v>
      </c>
      <c r="R1834" t="s">
        <v>3634</v>
      </c>
    </row>
    <row r="1835" spans="1:18" x14ac:dyDescent="0.25">
      <c r="A1835" t="s">
        <v>22238</v>
      </c>
      <c r="B1835" t="s">
        <v>3644</v>
      </c>
      <c r="C1835" t="str">
        <f>HYPERLINK("https://nematode.unl.edu/camde6.jpg")</f>
        <v>https://nematode.unl.edu/camde6.jpg</v>
      </c>
      <c r="D1835" t="s">
        <v>43</v>
      </c>
      <c r="G1835" t="s">
        <v>96</v>
      </c>
      <c r="H1835" t="s">
        <v>18</v>
      </c>
      <c r="I1835" t="s">
        <v>19</v>
      </c>
      <c r="J1835" t="s">
        <v>20</v>
      </c>
      <c r="M1835" t="s">
        <v>3632</v>
      </c>
      <c r="N1835" t="s">
        <v>3632</v>
      </c>
      <c r="O1835" t="s">
        <v>73</v>
      </c>
      <c r="P1835" t="s">
        <v>74</v>
      </c>
      <c r="Q1835" t="s">
        <v>3633</v>
      </c>
      <c r="R1835" t="s">
        <v>3634</v>
      </c>
    </row>
    <row r="1836" spans="1:18" x14ac:dyDescent="0.25">
      <c r="A1836" t="s">
        <v>22262</v>
      </c>
      <c r="B1836" t="s">
        <v>3645</v>
      </c>
      <c r="C1836" t="str">
        <f>HYPERLINK("https://nematode.unl.edu/camde7.jpg")</f>
        <v>https://nematode.unl.edu/camde7.jpg</v>
      </c>
      <c r="D1836" t="s">
        <v>43</v>
      </c>
      <c r="G1836" t="s">
        <v>51</v>
      </c>
      <c r="I1836" t="s">
        <v>19</v>
      </c>
      <c r="J1836" t="s">
        <v>20</v>
      </c>
      <c r="M1836" t="s">
        <v>3632</v>
      </c>
      <c r="N1836" t="s">
        <v>3632</v>
      </c>
      <c r="O1836" t="s">
        <v>73</v>
      </c>
      <c r="P1836" t="s">
        <v>74</v>
      </c>
      <c r="Q1836" t="s">
        <v>3633</v>
      </c>
      <c r="R1836" t="s">
        <v>3634</v>
      </c>
    </row>
    <row r="1837" spans="1:18" x14ac:dyDescent="0.25">
      <c r="A1837" t="s">
        <v>22257</v>
      </c>
      <c r="B1837" t="s">
        <v>3646</v>
      </c>
      <c r="C1837" t="str">
        <f>HYPERLINK("https://nematode.unl.edu/camde8.jpg")</f>
        <v>https://nematode.unl.edu/camde8.jpg</v>
      </c>
      <c r="D1837" t="s">
        <v>43</v>
      </c>
      <c r="G1837" t="s">
        <v>28</v>
      </c>
      <c r="I1837" t="s">
        <v>19</v>
      </c>
      <c r="J1837" t="s">
        <v>20</v>
      </c>
      <c r="M1837" t="s">
        <v>3632</v>
      </c>
      <c r="N1837" t="s">
        <v>3632</v>
      </c>
      <c r="O1837" t="s">
        <v>73</v>
      </c>
      <c r="P1837" t="s">
        <v>74</v>
      </c>
      <c r="Q1837" t="s">
        <v>3633</v>
      </c>
      <c r="R1837" t="s">
        <v>3634</v>
      </c>
    </row>
    <row r="1838" spans="1:18" x14ac:dyDescent="0.25">
      <c r="A1838" t="s">
        <v>22247</v>
      </c>
      <c r="B1838" t="s">
        <v>3647</v>
      </c>
      <c r="C1838" t="str">
        <f>HYPERLINK("https://nematode.unl.edu/camde9.jpg")</f>
        <v>https://nematode.unl.edu/camde9.jpg</v>
      </c>
      <c r="D1838" t="s">
        <v>43</v>
      </c>
      <c r="G1838" t="s">
        <v>257</v>
      </c>
      <c r="H1838" t="s">
        <v>18</v>
      </c>
      <c r="I1838" t="s">
        <v>41</v>
      </c>
      <c r="J1838" t="s">
        <v>20</v>
      </c>
      <c r="M1838" t="s">
        <v>3632</v>
      </c>
      <c r="N1838" t="s">
        <v>3632</v>
      </c>
      <c r="O1838" t="s">
        <v>73</v>
      </c>
      <c r="P1838" t="s">
        <v>74</v>
      </c>
      <c r="Q1838" t="s">
        <v>3633</v>
      </c>
      <c r="R1838" t="s">
        <v>3634</v>
      </c>
    </row>
    <row r="1839" spans="1:18" x14ac:dyDescent="0.25">
      <c r="A1839" t="s">
        <v>22255</v>
      </c>
      <c r="B1839" t="s">
        <v>3648</v>
      </c>
      <c r="C1839" t="str">
        <f>HYPERLINK("https://nematode.unl.edu/camdecmp.jpg")</f>
        <v>https://nematode.unl.edu/camdecmp.jpg</v>
      </c>
      <c r="G1839" t="s">
        <v>108</v>
      </c>
      <c r="M1839" t="s">
        <v>3632</v>
      </c>
      <c r="N1839" t="s">
        <v>3632</v>
      </c>
      <c r="O1839" t="s">
        <v>73</v>
      </c>
      <c r="P1839" t="s">
        <v>74</v>
      </c>
      <c r="Q1839" t="s">
        <v>3633</v>
      </c>
      <c r="R1839" t="s">
        <v>3634</v>
      </c>
    </row>
    <row r="1840" spans="1:18" x14ac:dyDescent="0.25">
      <c r="A1840" t="s">
        <v>22258</v>
      </c>
      <c r="B1840" t="s">
        <v>3649</v>
      </c>
      <c r="C1840" t="str">
        <f>HYPERLINK("https://nematode.unl.edu/campde1.jpg")</f>
        <v>https://nematode.unl.edu/campde1.jpg</v>
      </c>
      <c r="D1840" t="s">
        <v>16</v>
      </c>
      <c r="G1840" t="s">
        <v>28</v>
      </c>
      <c r="I1840" t="s">
        <v>19</v>
      </c>
      <c r="J1840" t="s">
        <v>46</v>
      </c>
      <c r="L1840" t="s">
        <v>105</v>
      </c>
      <c r="M1840" t="s">
        <v>3632</v>
      </c>
      <c r="N1840" t="s">
        <v>3632</v>
      </c>
      <c r="O1840" t="s">
        <v>73</v>
      </c>
      <c r="P1840" t="s">
        <v>74</v>
      </c>
      <c r="Q1840" t="s">
        <v>3633</v>
      </c>
      <c r="R1840" t="s">
        <v>3634</v>
      </c>
    </row>
    <row r="1841" spans="1:18" x14ac:dyDescent="0.25">
      <c r="A1841" t="s">
        <v>22244</v>
      </c>
      <c r="B1841" t="s">
        <v>3650</v>
      </c>
      <c r="C1841" t="str">
        <f>HYPERLINK("https://nematode.unl.edu/campde10.jpg")</f>
        <v>https://nematode.unl.edu/campde10.jpg</v>
      </c>
      <c r="D1841" t="s">
        <v>43</v>
      </c>
      <c r="G1841" t="s">
        <v>34</v>
      </c>
      <c r="H1841" t="s">
        <v>18</v>
      </c>
      <c r="I1841" t="s">
        <v>41</v>
      </c>
      <c r="J1841" t="s">
        <v>46</v>
      </c>
      <c r="M1841" t="s">
        <v>3632</v>
      </c>
      <c r="N1841" t="s">
        <v>3632</v>
      </c>
      <c r="O1841" t="s">
        <v>73</v>
      </c>
      <c r="P1841" t="s">
        <v>74</v>
      </c>
      <c r="Q1841" t="s">
        <v>3633</v>
      </c>
      <c r="R1841" t="s">
        <v>3634</v>
      </c>
    </row>
    <row r="1842" spans="1:18" x14ac:dyDescent="0.25">
      <c r="A1842" t="s">
        <v>22251</v>
      </c>
      <c r="B1842" t="s">
        <v>3651</v>
      </c>
      <c r="C1842" t="str">
        <f>HYPERLINK("https://nematode.unl.edu/campde11.jpg")</f>
        <v>https://nematode.unl.edu/campde11.jpg</v>
      </c>
      <c r="D1842" t="s">
        <v>43</v>
      </c>
      <c r="G1842" t="s">
        <v>87</v>
      </c>
      <c r="I1842" t="s">
        <v>41</v>
      </c>
      <c r="J1842" t="s">
        <v>46</v>
      </c>
      <c r="M1842" t="s">
        <v>3632</v>
      </c>
      <c r="N1842" t="s">
        <v>3632</v>
      </c>
      <c r="O1842" t="s">
        <v>73</v>
      </c>
      <c r="P1842" t="s">
        <v>74</v>
      </c>
      <c r="Q1842" t="s">
        <v>3633</v>
      </c>
      <c r="R1842" t="s">
        <v>3634</v>
      </c>
    </row>
    <row r="1843" spans="1:18" x14ac:dyDescent="0.25">
      <c r="A1843" t="s">
        <v>22263</v>
      </c>
      <c r="B1843" t="s">
        <v>3652</v>
      </c>
      <c r="C1843" t="str">
        <f>HYPERLINK("https://nematode.unl.edu/campde12.jpg")</f>
        <v>https://nematode.unl.edu/campde12.jpg</v>
      </c>
      <c r="D1843" t="s">
        <v>43</v>
      </c>
      <c r="G1843" t="s">
        <v>51</v>
      </c>
      <c r="I1843" t="s">
        <v>41</v>
      </c>
      <c r="J1843" t="s">
        <v>46</v>
      </c>
      <c r="M1843" t="s">
        <v>3632</v>
      </c>
      <c r="N1843" t="s">
        <v>3632</v>
      </c>
      <c r="O1843" t="s">
        <v>73</v>
      </c>
      <c r="P1843" t="s">
        <v>74</v>
      </c>
      <c r="Q1843" t="s">
        <v>3633</v>
      </c>
      <c r="R1843" t="s">
        <v>3634</v>
      </c>
    </row>
    <row r="1844" spans="1:18" x14ac:dyDescent="0.25">
      <c r="A1844" t="s">
        <v>22239</v>
      </c>
      <c r="B1844" t="s">
        <v>3653</v>
      </c>
      <c r="C1844" t="str">
        <f>HYPERLINK("https://nematode.unl.edu/campde2.jpg")</f>
        <v>https://nematode.unl.edu/campde2.jpg</v>
      </c>
      <c r="D1844" t="s">
        <v>16</v>
      </c>
      <c r="G1844" t="s">
        <v>96</v>
      </c>
      <c r="H1844" t="s">
        <v>18</v>
      </c>
      <c r="I1844" t="s">
        <v>19</v>
      </c>
      <c r="J1844" t="s">
        <v>46</v>
      </c>
      <c r="L1844" t="s">
        <v>105</v>
      </c>
      <c r="M1844" t="s">
        <v>3632</v>
      </c>
      <c r="N1844" t="s">
        <v>3632</v>
      </c>
      <c r="O1844" t="s">
        <v>73</v>
      </c>
      <c r="P1844" t="s">
        <v>74</v>
      </c>
      <c r="Q1844" t="s">
        <v>3633</v>
      </c>
      <c r="R1844" t="s">
        <v>3634</v>
      </c>
    </row>
    <row r="1845" spans="1:18" x14ac:dyDescent="0.25">
      <c r="A1845" t="s">
        <v>22252</v>
      </c>
      <c r="B1845" t="s">
        <v>3654</v>
      </c>
      <c r="C1845" t="str">
        <f>HYPERLINK("https://nematode.unl.edu/campde3.jpg")</f>
        <v>https://nematode.unl.edu/campde3.jpg</v>
      </c>
      <c r="D1845" t="s">
        <v>16</v>
      </c>
      <c r="G1845" t="s">
        <v>87</v>
      </c>
      <c r="I1845" t="s">
        <v>41</v>
      </c>
      <c r="J1845" t="s">
        <v>46</v>
      </c>
      <c r="L1845" t="s">
        <v>105</v>
      </c>
      <c r="M1845" t="s">
        <v>3632</v>
      </c>
      <c r="N1845" t="s">
        <v>3632</v>
      </c>
      <c r="O1845" t="s">
        <v>73</v>
      </c>
      <c r="P1845" t="s">
        <v>74</v>
      </c>
      <c r="Q1845" t="s">
        <v>3633</v>
      </c>
      <c r="R1845" t="s">
        <v>3634</v>
      </c>
    </row>
    <row r="1846" spans="1:18" x14ac:dyDescent="0.25">
      <c r="A1846" t="s">
        <v>22245</v>
      </c>
      <c r="B1846" t="s">
        <v>3655</v>
      </c>
      <c r="C1846" t="str">
        <f>HYPERLINK("https://nematode.unl.edu/campde4.jpg")</f>
        <v>https://nematode.unl.edu/campde4.jpg</v>
      </c>
      <c r="D1846" t="s">
        <v>16</v>
      </c>
      <c r="G1846" t="s">
        <v>34</v>
      </c>
      <c r="H1846" t="s">
        <v>18</v>
      </c>
      <c r="I1846" t="s">
        <v>41</v>
      </c>
      <c r="J1846" t="s">
        <v>46</v>
      </c>
      <c r="L1846" t="s">
        <v>105</v>
      </c>
      <c r="M1846" t="s">
        <v>3632</v>
      </c>
      <c r="N1846" t="s">
        <v>3632</v>
      </c>
      <c r="O1846" t="s">
        <v>73</v>
      </c>
      <c r="P1846" t="s">
        <v>74</v>
      </c>
      <c r="Q1846" t="s">
        <v>3633</v>
      </c>
      <c r="R1846" t="s">
        <v>3634</v>
      </c>
    </row>
    <row r="1847" spans="1:18" x14ac:dyDescent="0.25">
      <c r="A1847" t="s">
        <v>22246</v>
      </c>
      <c r="B1847" t="s">
        <v>3656</v>
      </c>
      <c r="C1847" t="str">
        <f>HYPERLINK("https://nematode.unl.edu/campde5.jpg")</f>
        <v>https://nematode.unl.edu/campde5.jpg</v>
      </c>
      <c r="D1847" t="s">
        <v>16</v>
      </c>
      <c r="G1847" t="s">
        <v>34</v>
      </c>
      <c r="H1847" t="s">
        <v>18</v>
      </c>
      <c r="I1847" t="s">
        <v>19</v>
      </c>
      <c r="J1847" t="s">
        <v>46</v>
      </c>
      <c r="L1847" t="s">
        <v>105</v>
      </c>
      <c r="M1847" t="s">
        <v>3632</v>
      </c>
      <c r="N1847" t="s">
        <v>3632</v>
      </c>
      <c r="O1847" t="s">
        <v>73</v>
      </c>
      <c r="P1847" t="s">
        <v>74</v>
      </c>
      <c r="Q1847" t="s">
        <v>3633</v>
      </c>
      <c r="R1847" t="s">
        <v>3634</v>
      </c>
    </row>
    <row r="1848" spans="1:18" x14ac:dyDescent="0.25">
      <c r="A1848" t="s">
        <v>22259</v>
      </c>
      <c r="B1848" t="s">
        <v>3657</v>
      </c>
      <c r="C1848" t="str">
        <f>HYPERLINK("https://nematode.unl.edu/campde6.jpg")</f>
        <v>https://nematode.unl.edu/campde6.jpg</v>
      </c>
      <c r="D1848" t="s">
        <v>16</v>
      </c>
      <c r="G1848" t="s">
        <v>28</v>
      </c>
      <c r="I1848" t="s">
        <v>19</v>
      </c>
      <c r="J1848" t="s">
        <v>46</v>
      </c>
      <c r="L1848" t="s">
        <v>105</v>
      </c>
      <c r="M1848" t="s">
        <v>3632</v>
      </c>
      <c r="N1848" t="s">
        <v>3632</v>
      </c>
      <c r="O1848" t="s">
        <v>73</v>
      </c>
      <c r="P1848" t="s">
        <v>74</v>
      </c>
      <c r="Q1848" t="s">
        <v>3633</v>
      </c>
      <c r="R1848" t="s">
        <v>3634</v>
      </c>
    </row>
    <row r="1849" spans="1:18" x14ac:dyDescent="0.25">
      <c r="A1849" t="s">
        <v>22260</v>
      </c>
      <c r="B1849" t="s">
        <v>3658</v>
      </c>
      <c r="C1849" t="str">
        <f>HYPERLINK("https://nematode.unl.edu/campde7.jpg")</f>
        <v>https://nematode.unl.edu/campde7.jpg</v>
      </c>
      <c r="D1849" t="s">
        <v>43</v>
      </c>
      <c r="G1849" t="s">
        <v>28</v>
      </c>
      <c r="I1849" t="s">
        <v>19</v>
      </c>
      <c r="J1849" t="s">
        <v>46</v>
      </c>
      <c r="L1849" t="s">
        <v>105</v>
      </c>
      <c r="M1849" t="s">
        <v>3632</v>
      </c>
      <c r="N1849" t="s">
        <v>3632</v>
      </c>
      <c r="O1849" t="s">
        <v>73</v>
      </c>
      <c r="P1849" t="s">
        <v>74</v>
      </c>
      <c r="Q1849" t="s">
        <v>3633</v>
      </c>
      <c r="R1849" t="s">
        <v>3634</v>
      </c>
    </row>
    <row r="1850" spans="1:18" x14ac:dyDescent="0.25">
      <c r="A1850" t="s">
        <v>22264</v>
      </c>
      <c r="B1850" t="s">
        <v>3659</v>
      </c>
      <c r="C1850" t="str">
        <f>HYPERLINK("https://nematode.unl.edu/campde8.jpg")</f>
        <v>https://nematode.unl.edu/campde8.jpg</v>
      </c>
      <c r="D1850" t="s">
        <v>43</v>
      </c>
      <c r="G1850" t="s">
        <v>51</v>
      </c>
      <c r="I1850" t="s">
        <v>19</v>
      </c>
      <c r="J1850" t="s">
        <v>46</v>
      </c>
      <c r="L1850" t="s">
        <v>105</v>
      </c>
      <c r="M1850" t="s">
        <v>3632</v>
      </c>
      <c r="N1850" t="s">
        <v>3632</v>
      </c>
      <c r="O1850" t="s">
        <v>73</v>
      </c>
      <c r="P1850" t="s">
        <v>74</v>
      </c>
      <c r="Q1850" t="s">
        <v>3633</v>
      </c>
      <c r="R1850" t="s">
        <v>3634</v>
      </c>
    </row>
    <row r="1851" spans="1:18" x14ac:dyDescent="0.25">
      <c r="A1851" t="s">
        <v>22240</v>
      </c>
      <c r="B1851" t="s">
        <v>3660</v>
      </c>
      <c r="C1851" t="str">
        <f>HYPERLINK("https://nematode.unl.edu/campde9.jpg")</f>
        <v>https://nematode.unl.edu/campde9.jpg</v>
      </c>
      <c r="D1851" t="s">
        <v>43</v>
      </c>
      <c r="G1851" t="s">
        <v>96</v>
      </c>
      <c r="H1851" t="s">
        <v>18</v>
      </c>
      <c r="I1851" t="s">
        <v>19</v>
      </c>
      <c r="J1851" t="s">
        <v>46</v>
      </c>
      <c r="L1851" t="s">
        <v>105</v>
      </c>
      <c r="M1851" t="s">
        <v>3632</v>
      </c>
      <c r="N1851" t="s">
        <v>3632</v>
      </c>
      <c r="O1851" t="s">
        <v>73</v>
      </c>
      <c r="P1851" t="s">
        <v>74</v>
      </c>
      <c r="Q1851" t="s">
        <v>3633</v>
      </c>
      <c r="R1851" t="s">
        <v>3634</v>
      </c>
    </row>
    <row r="1852" spans="1:18" x14ac:dyDescent="0.25">
      <c r="A1852" t="s">
        <v>22108</v>
      </c>
      <c r="B1852" t="s">
        <v>3661</v>
      </c>
      <c r="C1852" t="str">
        <f>HYPERLINK("https://nematode.unl.edu/capilo1.jpg")</f>
        <v>https://nematode.unl.edu/capilo1.jpg</v>
      </c>
      <c r="D1852" t="s">
        <v>43</v>
      </c>
      <c r="G1852" t="s">
        <v>44</v>
      </c>
      <c r="I1852" t="s">
        <v>45</v>
      </c>
      <c r="J1852" t="s">
        <v>3662</v>
      </c>
      <c r="M1852" t="s">
        <v>3663</v>
      </c>
      <c r="N1852" t="s">
        <v>3663</v>
      </c>
      <c r="O1852" t="s">
        <v>73</v>
      </c>
      <c r="P1852" t="s">
        <v>81</v>
      </c>
      <c r="Q1852" t="s">
        <v>3664</v>
      </c>
      <c r="R1852" t="s">
        <v>3663</v>
      </c>
    </row>
    <row r="1853" spans="1:18" x14ac:dyDescent="0.25">
      <c r="A1853" t="s">
        <v>22106</v>
      </c>
      <c r="B1853" t="s">
        <v>3665</v>
      </c>
      <c r="C1853" t="str">
        <f>HYPERLINK("https://nematode.unl.edu/capilo2.jpg")</f>
        <v>https://nematode.unl.edu/capilo2.jpg</v>
      </c>
      <c r="D1853" t="s">
        <v>43</v>
      </c>
      <c r="G1853" t="s">
        <v>96</v>
      </c>
      <c r="H1853" t="s">
        <v>18</v>
      </c>
      <c r="I1853" t="s">
        <v>19</v>
      </c>
      <c r="J1853" t="s">
        <v>3662</v>
      </c>
      <c r="M1853" t="s">
        <v>3663</v>
      </c>
      <c r="N1853" t="s">
        <v>3663</v>
      </c>
      <c r="O1853" t="s">
        <v>73</v>
      </c>
      <c r="P1853" t="s">
        <v>81</v>
      </c>
      <c r="Q1853" t="s">
        <v>3664</v>
      </c>
      <c r="R1853" t="s">
        <v>3663</v>
      </c>
    </row>
    <row r="1854" spans="1:18" x14ac:dyDescent="0.25">
      <c r="A1854" t="s">
        <v>22110</v>
      </c>
      <c r="B1854" t="s">
        <v>3666</v>
      </c>
      <c r="C1854" t="str">
        <f>HYPERLINK("https://nematode.unl.edu/capilo3.jpg")</f>
        <v>https://nematode.unl.edu/capilo3.jpg</v>
      </c>
      <c r="D1854" t="s">
        <v>43</v>
      </c>
      <c r="G1854" t="s">
        <v>51</v>
      </c>
      <c r="I1854" t="s">
        <v>19</v>
      </c>
      <c r="J1854" t="s">
        <v>3662</v>
      </c>
      <c r="M1854" t="s">
        <v>3663</v>
      </c>
      <c r="N1854" t="s">
        <v>3663</v>
      </c>
      <c r="O1854" t="s">
        <v>73</v>
      </c>
      <c r="P1854" t="s">
        <v>81</v>
      </c>
      <c r="Q1854" t="s">
        <v>3664</v>
      </c>
      <c r="R1854" t="s">
        <v>3663</v>
      </c>
    </row>
    <row r="1855" spans="1:18" x14ac:dyDescent="0.25">
      <c r="A1855" t="s">
        <v>22109</v>
      </c>
      <c r="B1855" t="s">
        <v>3667</v>
      </c>
      <c r="C1855" t="str">
        <f>HYPERLINK("https://nematode.unl.edu/capilo4.jpg")</f>
        <v>https://nematode.unl.edu/capilo4.jpg</v>
      </c>
      <c r="D1855" t="s">
        <v>43</v>
      </c>
      <c r="G1855" t="s">
        <v>28</v>
      </c>
      <c r="I1855" t="s">
        <v>19</v>
      </c>
      <c r="J1855" t="s">
        <v>3662</v>
      </c>
      <c r="M1855" t="s">
        <v>3663</v>
      </c>
      <c r="N1855" t="s">
        <v>3663</v>
      </c>
      <c r="O1855" t="s">
        <v>73</v>
      </c>
      <c r="P1855" t="s">
        <v>81</v>
      </c>
      <c r="Q1855" t="s">
        <v>3664</v>
      </c>
      <c r="R1855" t="s">
        <v>3663</v>
      </c>
    </row>
    <row r="1856" spans="1:18" x14ac:dyDescent="0.25">
      <c r="A1856" t="s">
        <v>22107</v>
      </c>
      <c r="B1856" t="s">
        <v>3668</v>
      </c>
      <c r="C1856" t="str">
        <f>HYPERLINK("https://nematode.unl.edu/capilo5.jpg")</f>
        <v>https://nematode.unl.edu/capilo5.jpg</v>
      </c>
      <c r="D1856" t="s">
        <v>43</v>
      </c>
      <c r="G1856" t="s">
        <v>34</v>
      </c>
      <c r="H1856" t="s">
        <v>18</v>
      </c>
      <c r="I1856" t="s">
        <v>41</v>
      </c>
      <c r="J1856" t="s">
        <v>3662</v>
      </c>
      <c r="M1856" t="s">
        <v>3663</v>
      </c>
      <c r="N1856" t="s">
        <v>3663</v>
      </c>
      <c r="O1856" t="s">
        <v>73</v>
      </c>
      <c r="P1856" t="s">
        <v>81</v>
      </c>
      <c r="Q1856" t="s">
        <v>3664</v>
      </c>
      <c r="R1856" t="s">
        <v>3663</v>
      </c>
    </row>
    <row r="1857" spans="1:18" x14ac:dyDescent="0.25">
      <c r="A1857" t="s">
        <v>20904</v>
      </c>
      <c r="B1857" t="s">
        <v>3669</v>
      </c>
      <c r="C1857" t="str">
        <f>HYPERLINK("https://nematode.unl.edu/carcharolaimus_head2.jpg")</f>
        <v>https://nematode.unl.edu/carcharolaimus_head2.jpg</v>
      </c>
      <c r="D1857" t="s">
        <v>43</v>
      </c>
      <c r="G1857" t="s">
        <v>34</v>
      </c>
      <c r="H1857" t="s">
        <v>18</v>
      </c>
      <c r="I1857" t="s">
        <v>41</v>
      </c>
      <c r="J1857" t="s">
        <v>3662</v>
      </c>
      <c r="M1857" t="s">
        <v>3670</v>
      </c>
      <c r="N1857" t="s">
        <v>3670</v>
      </c>
      <c r="O1857" t="s">
        <v>73</v>
      </c>
      <c r="P1857" t="s">
        <v>81</v>
      </c>
      <c r="Q1857" t="s">
        <v>82</v>
      </c>
      <c r="R1857" t="s">
        <v>3671</v>
      </c>
    </row>
    <row r="1858" spans="1:18" x14ac:dyDescent="0.25">
      <c r="A1858" t="s">
        <v>20908</v>
      </c>
      <c r="B1858" t="s">
        <v>3672</v>
      </c>
      <c r="C1858" t="str">
        <f>HYPERLINK("https://nematode.unl.edu/carter1.jpg")</f>
        <v>https://nematode.unl.edu/carter1.jpg</v>
      </c>
      <c r="D1858" t="s">
        <v>43</v>
      </c>
      <c r="G1858" t="s">
        <v>44</v>
      </c>
      <c r="I1858" t="s">
        <v>91</v>
      </c>
      <c r="J1858" t="s">
        <v>3673</v>
      </c>
      <c r="M1858" t="s">
        <v>3670</v>
      </c>
      <c r="N1858" t="s">
        <v>3670</v>
      </c>
      <c r="O1858" t="s">
        <v>73</v>
      </c>
      <c r="P1858" t="s">
        <v>81</v>
      </c>
      <c r="Q1858" t="s">
        <v>82</v>
      </c>
      <c r="R1858" t="s">
        <v>3671</v>
      </c>
    </row>
    <row r="1859" spans="1:18" x14ac:dyDescent="0.25">
      <c r="A1859" t="s">
        <v>20905</v>
      </c>
      <c r="B1859" t="s">
        <v>3674</v>
      </c>
      <c r="C1859" t="str">
        <f>HYPERLINK("https://nematode.unl.edu/carter2.jpg")</f>
        <v>https://nematode.unl.edu/carter2.jpg</v>
      </c>
      <c r="D1859" t="s">
        <v>43</v>
      </c>
      <c r="G1859" t="s">
        <v>34</v>
      </c>
      <c r="H1859" t="s">
        <v>18</v>
      </c>
      <c r="I1859" t="s">
        <v>19</v>
      </c>
      <c r="J1859" t="s">
        <v>3673</v>
      </c>
      <c r="M1859" t="s">
        <v>3670</v>
      </c>
      <c r="N1859" t="s">
        <v>3670</v>
      </c>
      <c r="O1859" t="s">
        <v>73</v>
      </c>
      <c r="P1859" t="s">
        <v>81</v>
      </c>
      <c r="Q1859" t="s">
        <v>82</v>
      </c>
      <c r="R1859" t="s">
        <v>3671</v>
      </c>
    </row>
    <row r="1860" spans="1:18" x14ac:dyDescent="0.25">
      <c r="A1860" t="s">
        <v>20907</v>
      </c>
      <c r="B1860" t="s">
        <v>3675</v>
      </c>
      <c r="C1860" t="str">
        <f>HYPERLINK("https://nematode.unl.edu/carter3.jpg")</f>
        <v>https://nematode.unl.edu/carter3.jpg</v>
      </c>
      <c r="D1860" t="s">
        <v>43</v>
      </c>
      <c r="G1860" t="s">
        <v>87</v>
      </c>
      <c r="I1860" t="s">
        <v>19</v>
      </c>
      <c r="J1860" t="s">
        <v>3673</v>
      </c>
      <c r="M1860" t="s">
        <v>3670</v>
      </c>
      <c r="N1860" t="s">
        <v>3670</v>
      </c>
      <c r="O1860" t="s">
        <v>73</v>
      </c>
      <c r="P1860" t="s">
        <v>81</v>
      </c>
      <c r="Q1860" t="s">
        <v>82</v>
      </c>
      <c r="R1860" t="s">
        <v>3671</v>
      </c>
    </row>
    <row r="1861" spans="1:18" x14ac:dyDescent="0.25">
      <c r="A1861" t="s">
        <v>20917</v>
      </c>
      <c r="B1861" t="s">
        <v>3676</v>
      </c>
      <c r="C1861" t="str">
        <f>HYPERLINK("https://nematode.unl.edu/carter4.jpg")</f>
        <v>https://nematode.unl.edu/carter4.jpg</v>
      </c>
      <c r="D1861" t="s">
        <v>43</v>
      </c>
      <c r="G1861" t="s">
        <v>51</v>
      </c>
      <c r="I1861" t="s">
        <v>19</v>
      </c>
      <c r="J1861" t="s">
        <v>3673</v>
      </c>
      <c r="M1861" t="s">
        <v>3670</v>
      </c>
      <c r="N1861" t="s">
        <v>3670</v>
      </c>
      <c r="O1861" t="s">
        <v>73</v>
      </c>
      <c r="P1861" t="s">
        <v>81</v>
      </c>
      <c r="Q1861" t="s">
        <v>82</v>
      </c>
      <c r="R1861" t="s">
        <v>3671</v>
      </c>
    </row>
    <row r="1862" spans="1:18" x14ac:dyDescent="0.25">
      <c r="A1862" t="s">
        <v>20913</v>
      </c>
      <c r="B1862" t="s">
        <v>3677</v>
      </c>
      <c r="C1862" t="str">
        <f>HYPERLINK("https://nematode.unl.edu/carter5.jpg")</f>
        <v>https://nematode.unl.edu/carter5.jpg</v>
      </c>
      <c r="D1862" t="s">
        <v>43</v>
      </c>
      <c r="G1862" t="s">
        <v>28</v>
      </c>
      <c r="I1862" t="s">
        <v>19</v>
      </c>
      <c r="J1862" t="s">
        <v>3673</v>
      </c>
      <c r="M1862" t="s">
        <v>3670</v>
      </c>
      <c r="N1862" t="s">
        <v>3670</v>
      </c>
      <c r="O1862" t="s">
        <v>73</v>
      </c>
      <c r="P1862" t="s">
        <v>81</v>
      </c>
      <c r="Q1862" t="s">
        <v>82</v>
      </c>
      <c r="R1862" t="s">
        <v>3671</v>
      </c>
    </row>
    <row r="1863" spans="1:18" x14ac:dyDescent="0.25">
      <c r="A1863" t="s">
        <v>20903</v>
      </c>
      <c r="B1863" t="s">
        <v>3678</v>
      </c>
      <c r="C1863" t="str">
        <f>HYPERLINK("https://nematode.unl.edu/cater1.jpg")</f>
        <v>https://nematode.unl.edu/cater1.jpg</v>
      </c>
      <c r="D1863" t="s">
        <v>43</v>
      </c>
      <c r="G1863" t="s">
        <v>96</v>
      </c>
      <c r="H1863" t="s">
        <v>18</v>
      </c>
      <c r="I1863" t="s">
        <v>19</v>
      </c>
      <c r="J1863" t="s">
        <v>3679</v>
      </c>
      <c r="M1863" t="s">
        <v>3670</v>
      </c>
      <c r="N1863" t="s">
        <v>3670</v>
      </c>
      <c r="O1863" t="s">
        <v>73</v>
      </c>
      <c r="P1863" t="s">
        <v>81</v>
      </c>
      <c r="Q1863" t="s">
        <v>82</v>
      </c>
      <c r="R1863" t="s">
        <v>3671</v>
      </c>
    </row>
    <row r="1864" spans="1:18" x14ac:dyDescent="0.25">
      <c r="A1864" t="s">
        <v>20902</v>
      </c>
      <c r="B1864" t="s">
        <v>3680</v>
      </c>
      <c r="C1864" t="str">
        <f>HYPERLINK("https://nematode.unl.edu/cater10.jpg")</f>
        <v>https://nematode.unl.edu/cater10.jpg</v>
      </c>
      <c r="D1864" t="s">
        <v>43</v>
      </c>
      <c r="G1864" t="s">
        <v>386</v>
      </c>
      <c r="H1864" t="s">
        <v>18</v>
      </c>
      <c r="I1864" t="s">
        <v>41</v>
      </c>
      <c r="J1864" t="s">
        <v>3679</v>
      </c>
      <c r="M1864" t="s">
        <v>3670</v>
      </c>
      <c r="N1864" t="s">
        <v>3670</v>
      </c>
      <c r="O1864" t="s">
        <v>73</v>
      </c>
      <c r="P1864" t="s">
        <v>81</v>
      </c>
      <c r="Q1864" t="s">
        <v>82</v>
      </c>
      <c r="R1864" t="s">
        <v>3671</v>
      </c>
    </row>
    <row r="1865" spans="1:18" x14ac:dyDescent="0.25">
      <c r="A1865" t="s">
        <v>20912</v>
      </c>
      <c r="B1865" t="s">
        <v>3681</v>
      </c>
      <c r="C1865" t="str">
        <f>HYPERLINK("https://nematode.unl.edu/cater2.jpg")</f>
        <v>https://nematode.unl.edu/cater2.jpg</v>
      </c>
      <c r="D1865" t="s">
        <v>43</v>
      </c>
      <c r="G1865" t="s">
        <v>205</v>
      </c>
      <c r="I1865" t="s">
        <v>19</v>
      </c>
      <c r="J1865" t="s">
        <v>3679</v>
      </c>
      <c r="M1865" t="s">
        <v>3670</v>
      </c>
      <c r="N1865" t="s">
        <v>3670</v>
      </c>
      <c r="O1865" t="s">
        <v>73</v>
      </c>
      <c r="P1865" t="s">
        <v>81</v>
      </c>
      <c r="Q1865" t="s">
        <v>82</v>
      </c>
      <c r="R1865" t="s">
        <v>3671</v>
      </c>
    </row>
    <row r="1866" spans="1:18" x14ac:dyDescent="0.25">
      <c r="A1866" t="s">
        <v>20914</v>
      </c>
      <c r="B1866" t="s">
        <v>3682</v>
      </c>
      <c r="C1866" t="str">
        <f>HYPERLINK("https://nematode.unl.edu/cater3.jpg")</f>
        <v>https://nematode.unl.edu/cater3.jpg</v>
      </c>
      <c r="D1866" t="s">
        <v>43</v>
      </c>
      <c r="G1866" t="s">
        <v>28</v>
      </c>
      <c r="I1866" t="s">
        <v>19</v>
      </c>
      <c r="J1866" t="s">
        <v>3679</v>
      </c>
      <c r="M1866" t="s">
        <v>3670</v>
      </c>
      <c r="N1866" t="s">
        <v>3670</v>
      </c>
      <c r="O1866" t="s">
        <v>73</v>
      </c>
      <c r="P1866" t="s">
        <v>81</v>
      </c>
      <c r="Q1866" t="s">
        <v>82</v>
      </c>
      <c r="R1866" t="s">
        <v>3671</v>
      </c>
    </row>
    <row r="1867" spans="1:18" x14ac:dyDescent="0.25">
      <c r="A1867" t="s">
        <v>20906</v>
      </c>
      <c r="B1867" t="s">
        <v>3683</v>
      </c>
      <c r="C1867" t="str">
        <f>HYPERLINK("https://nematode.unl.edu/cater4.jpg")</f>
        <v>https://nematode.unl.edu/cater4.jpg</v>
      </c>
      <c r="D1867" t="s">
        <v>43</v>
      </c>
      <c r="G1867" t="s">
        <v>257</v>
      </c>
      <c r="H1867" t="s">
        <v>18</v>
      </c>
      <c r="I1867" t="s">
        <v>41</v>
      </c>
      <c r="J1867" t="s">
        <v>3679</v>
      </c>
      <c r="M1867" t="s">
        <v>3670</v>
      </c>
      <c r="N1867" t="s">
        <v>3670</v>
      </c>
      <c r="O1867" t="s">
        <v>73</v>
      </c>
      <c r="P1867" t="s">
        <v>81</v>
      </c>
      <c r="Q1867" t="s">
        <v>82</v>
      </c>
      <c r="R1867" t="s">
        <v>3671</v>
      </c>
    </row>
    <row r="1868" spans="1:18" x14ac:dyDescent="0.25">
      <c r="A1868" t="s">
        <v>20911</v>
      </c>
      <c r="B1868" t="s">
        <v>3684</v>
      </c>
      <c r="C1868" t="str">
        <f>HYPERLINK("https://nematode.unl.edu/cater5.jpg")</f>
        <v>https://nematode.unl.edu/cater5.jpg</v>
      </c>
      <c r="D1868" t="s">
        <v>43</v>
      </c>
      <c r="G1868" t="s">
        <v>3685</v>
      </c>
      <c r="I1868" t="s">
        <v>41</v>
      </c>
      <c r="J1868" t="s">
        <v>3679</v>
      </c>
      <c r="M1868" t="s">
        <v>3670</v>
      </c>
      <c r="N1868" t="s">
        <v>3670</v>
      </c>
      <c r="O1868" t="s">
        <v>73</v>
      </c>
      <c r="P1868" t="s">
        <v>81</v>
      </c>
      <c r="Q1868" t="s">
        <v>82</v>
      </c>
      <c r="R1868" t="s">
        <v>3671</v>
      </c>
    </row>
    <row r="1869" spans="1:18" x14ac:dyDescent="0.25">
      <c r="A1869" t="s">
        <v>20910</v>
      </c>
      <c r="B1869" t="s">
        <v>3686</v>
      </c>
      <c r="C1869" t="str">
        <f>HYPERLINK("https://nematode.unl.edu/cater6.jpg")</f>
        <v>https://nematode.unl.edu/cater6.jpg</v>
      </c>
      <c r="D1869" t="s">
        <v>43</v>
      </c>
      <c r="G1869" t="s">
        <v>1532</v>
      </c>
      <c r="I1869" t="s">
        <v>41</v>
      </c>
      <c r="J1869" t="s">
        <v>3679</v>
      </c>
      <c r="M1869" t="s">
        <v>3670</v>
      </c>
      <c r="N1869" t="s">
        <v>3670</v>
      </c>
      <c r="O1869" t="s">
        <v>73</v>
      </c>
      <c r="P1869" t="s">
        <v>81</v>
      </c>
      <c r="Q1869" t="s">
        <v>82</v>
      </c>
      <c r="R1869" t="s">
        <v>3671</v>
      </c>
    </row>
    <row r="1870" spans="1:18" x14ac:dyDescent="0.25">
      <c r="A1870" t="s">
        <v>20915</v>
      </c>
      <c r="B1870" t="s">
        <v>3687</v>
      </c>
      <c r="C1870" t="str">
        <f>HYPERLINK("https://nematode.unl.edu/cater7.jpg")</f>
        <v>https://nematode.unl.edu/cater7.jpg</v>
      </c>
      <c r="D1870" t="s">
        <v>43</v>
      </c>
      <c r="G1870" t="s">
        <v>3688</v>
      </c>
      <c r="I1870" t="s">
        <v>41</v>
      </c>
      <c r="J1870" t="s">
        <v>3679</v>
      </c>
      <c r="M1870" t="s">
        <v>3670</v>
      </c>
      <c r="N1870" t="s">
        <v>3670</v>
      </c>
      <c r="O1870" t="s">
        <v>73</v>
      </c>
      <c r="P1870" t="s">
        <v>81</v>
      </c>
      <c r="Q1870" t="s">
        <v>82</v>
      </c>
      <c r="R1870" t="s">
        <v>3671</v>
      </c>
    </row>
    <row r="1871" spans="1:18" x14ac:dyDescent="0.25">
      <c r="A1871" t="s">
        <v>20916</v>
      </c>
      <c r="B1871" t="s">
        <v>3689</v>
      </c>
      <c r="C1871" t="str">
        <f>HYPERLINK("https://nematode.unl.edu/cater8.jpg")</f>
        <v>https://nematode.unl.edu/cater8.jpg</v>
      </c>
      <c r="D1871" t="s">
        <v>43</v>
      </c>
      <c r="G1871" t="s">
        <v>3688</v>
      </c>
      <c r="I1871" t="s">
        <v>41</v>
      </c>
      <c r="J1871" t="s">
        <v>3679</v>
      </c>
      <c r="M1871" t="s">
        <v>3670</v>
      </c>
      <c r="N1871" t="s">
        <v>3670</v>
      </c>
      <c r="O1871" t="s">
        <v>73</v>
      </c>
      <c r="P1871" t="s">
        <v>81</v>
      </c>
      <c r="Q1871" t="s">
        <v>82</v>
      </c>
      <c r="R1871" t="s">
        <v>3671</v>
      </c>
    </row>
    <row r="1872" spans="1:18" x14ac:dyDescent="0.25">
      <c r="A1872" t="s">
        <v>20909</v>
      </c>
      <c r="B1872" t="s">
        <v>3690</v>
      </c>
      <c r="C1872" t="str">
        <f>HYPERLINK("https://nematode.unl.edu/cater9.jpg")</f>
        <v>https://nematode.unl.edu/cater9.jpg</v>
      </c>
      <c r="D1872" t="s">
        <v>43</v>
      </c>
      <c r="G1872" t="s">
        <v>243</v>
      </c>
      <c r="I1872" t="s">
        <v>41</v>
      </c>
      <c r="J1872" t="s">
        <v>3679</v>
      </c>
      <c r="M1872" t="s">
        <v>3670</v>
      </c>
      <c r="N1872" t="s">
        <v>3670</v>
      </c>
      <c r="O1872" t="s">
        <v>73</v>
      </c>
      <c r="P1872" t="s">
        <v>81</v>
      </c>
      <c r="Q1872" t="s">
        <v>82</v>
      </c>
      <c r="R1872" t="s">
        <v>3671</v>
      </c>
    </row>
    <row r="1873" spans="1:18" x14ac:dyDescent="0.25">
      <c r="A1873" t="s">
        <v>15118</v>
      </c>
      <c r="B1873" t="s">
        <v>8447</v>
      </c>
      <c r="C1873" t="str">
        <f>HYPERLINK("https://nematode.unl.edu/cdisc1.jpg")</f>
        <v>https://nematode.unl.edu/cdisc1.jpg</v>
      </c>
      <c r="D1873" t="s">
        <v>43</v>
      </c>
      <c r="G1873" t="s">
        <v>44</v>
      </c>
      <c r="I1873" t="s">
        <v>45</v>
      </c>
      <c r="J1873" t="s">
        <v>6602</v>
      </c>
      <c r="M1873" t="s">
        <v>8448</v>
      </c>
      <c r="N1873" t="s">
        <v>8448</v>
      </c>
      <c r="O1873" t="s">
        <v>23</v>
      </c>
      <c r="P1873" t="s">
        <v>24</v>
      </c>
      <c r="Q1873" t="s">
        <v>642</v>
      </c>
      <c r="R1873" t="s">
        <v>1214</v>
      </c>
    </row>
    <row r="1874" spans="1:18" x14ac:dyDescent="0.25">
      <c r="A1874" t="s">
        <v>15093</v>
      </c>
      <c r="B1874" t="s">
        <v>8449</v>
      </c>
      <c r="C1874" t="str">
        <f>HYPERLINK("https://nematode.unl.edu/cdisc2.jpg")</f>
        <v>https://nematode.unl.edu/cdisc2.jpg</v>
      </c>
      <c r="D1874" t="s">
        <v>43</v>
      </c>
      <c r="G1874" t="s">
        <v>34</v>
      </c>
      <c r="H1874" t="s">
        <v>18</v>
      </c>
      <c r="I1874" t="s">
        <v>19</v>
      </c>
      <c r="J1874" t="s">
        <v>6602</v>
      </c>
      <c r="M1874" t="s">
        <v>8448</v>
      </c>
      <c r="N1874" t="s">
        <v>8448</v>
      </c>
      <c r="O1874" t="s">
        <v>23</v>
      </c>
      <c r="P1874" t="s">
        <v>24</v>
      </c>
      <c r="Q1874" t="s">
        <v>642</v>
      </c>
      <c r="R1874" t="s">
        <v>1214</v>
      </c>
    </row>
    <row r="1875" spans="1:18" x14ac:dyDescent="0.25">
      <c r="A1875" t="s">
        <v>15148</v>
      </c>
      <c r="B1875" t="s">
        <v>8450</v>
      </c>
      <c r="C1875" t="str">
        <f>HYPERLINK("https://nematode.unl.edu/cdisc3.jpg")</f>
        <v>https://nematode.unl.edu/cdisc3.jpg</v>
      </c>
      <c r="D1875" t="s">
        <v>43</v>
      </c>
      <c r="G1875" t="s">
        <v>28</v>
      </c>
      <c r="I1875" t="s">
        <v>19</v>
      </c>
      <c r="J1875" t="s">
        <v>6602</v>
      </c>
      <c r="M1875" t="s">
        <v>8448</v>
      </c>
      <c r="N1875" t="s">
        <v>8448</v>
      </c>
      <c r="O1875" t="s">
        <v>23</v>
      </c>
      <c r="P1875" t="s">
        <v>24</v>
      </c>
      <c r="Q1875" t="s">
        <v>642</v>
      </c>
      <c r="R1875" t="s">
        <v>1214</v>
      </c>
    </row>
    <row r="1876" spans="1:18" x14ac:dyDescent="0.25">
      <c r="A1876" t="s">
        <v>15094</v>
      </c>
      <c r="B1876" t="s">
        <v>8451</v>
      </c>
      <c r="C1876" t="str">
        <f>HYPERLINK("https://nematode.unl.edu/cdisc4.jpg")</f>
        <v>https://nematode.unl.edu/cdisc4.jpg</v>
      </c>
      <c r="D1876" t="s">
        <v>43</v>
      </c>
      <c r="G1876" t="s">
        <v>34</v>
      </c>
      <c r="H1876" t="s">
        <v>18</v>
      </c>
      <c r="I1876" t="s">
        <v>41</v>
      </c>
      <c r="J1876" t="s">
        <v>6602</v>
      </c>
      <c r="M1876" t="s">
        <v>8448</v>
      </c>
      <c r="N1876" t="s">
        <v>8448</v>
      </c>
      <c r="O1876" t="s">
        <v>23</v>
      </c>
      <c r="P1876" t="s">
        <v>24</v>
      </c>
      <c r="Q1876" t="s">
        <v>642</v>
      </c>
      <c r="R1876" t="s">
        <v>1214</v>
      </c>
    </row>
    <row r="1877" spans="1:18" x14ac:dyDescent="0.25">
      <c r="A1877" t="s">
        <v>14760</v>
      </c>
      <c r="B1877" t="s">
        <v>8071</v>
      </c>
      <c r="C1877" t="str">
        <f>HYPERLINK("https://nematode.unl.edu/cdiscuspara1.jpg")</f>
        <v>https://nematode.unl.edu/cdiscuspara1.jpg</v>
      </c>
      <c r="D1877" t="s">
        <v>43</v>
      </c>
      <c r="G1877" t="s">
        <v>44</v>
      </c>
      <c r="I1877" t="s">
        <v>19</v>
      </c>
      <c r="J1877" t="s">
        <v>7595</v>
      </c>
      <c r="K1877" t="s">
        <v>22865</v>
      </c>
      <c r="L1877" t="s">
        <v>22866</v>
      </c>
      <c r="M1877" t="s">
        <v>8072</v>
      </c>
      <c r="N1877" t="s">
        <v>8072</v>
      </c>
      <c r="O1877" t="s">
        <v>23</v>
      </c>
      <c r="P1877" t="s">
        <v>24</v>
      </c>
      <c r="Q1877" t="s">
        <v>642</v>
      </c>
      <c r="R1877" t="s">
        <v>1214</v>
      </c>
    </row>
    <row r="1878" spans="1:18" x14ac:dyDescent="0.25">
      <c r="A1878" t="s">
        <v>14761</v>
      </c>
      <c r="B1878" t="s">
        <v>8073</v>
      </c>
      <c r="C1878" t="str">
        <f>HYPERLINK("https://nematode.unl.edu/cdiscuspara10.jpg")</f>
        <v>https://nematode.unl.edu/cdiscuspara10.jpg</v>
      </c>
      <c r="D1878" t="s">
        <v>43</v>
      </c>
      <c r="G1878" t="s">
        <v>44</v>
      </c>
      <c r="I1878" t="s">
        <v>19</v>
      </c>
      <c r="J1878" t="s">
        <v>7595</v>
      </c>
      <c r="K1878" t="s">
        <v>22865</v>
      </c>
      <c r="L1878" t="s">
        <v>22866</v>
      </c>
      <c r="M1878" t="s">
        <v>8072</v>
      </c>
      <c r="N1878" t="s">
        <v>8072</v>
      </c>
      <c r="O1878" t="s">
        <v>23</v>
      </c>
      <c r="P1878" t="s">
        <v>24</v>
      </c>
      <c r="Q1878" t="s">
        <v>642</v>
      </c>
      <c r="R1878" t="s">
        <v>1214</v>
      </c>
    </row>
    <row r="1879" spans="1:18" x14ac:dyDescent="0.25">
      <c r="A1879" t="s">
        <v>14742</v>
      </c>
      <c r="B1879" t="s">
        <v>8074</v>
      </c>
      <c r="C1879" t="str">
        <f>HYPERLINK("https://nematode.unl.edu/cdiscuspara11.jpg")</f>
        <v>https://nematode.unl.edu/cdiscuspara11.jpg</v>
      </c>
      <c r="D1879" t="s">
        <v>43</v>
      </c>
      <c r="G1879" t="s">
        <v>34</v>
      </c>
      <c r="H1879" t="s">
        <v>18</v>
      </c>
      <c r="I1879" t="s">
        <v>41</v>
      </c>
      <c r="J1879" t="s">
        <v>7595</v>
      </c>
      <c r="K1879" t="s">
        <v>22865</v>
      </c>
      <c r="L1879" t="s">
        <v>22866</v>
      </c>
      <c r="M1879" t="s">
        <v>8072</v>
      </c>
      <c r="N1879" t="s">
        <v>8072</v>
      </c>
      <c r="O1879" t="s">
        <v>23</v>
      </c>
      <c r="P1879" t="s">
        <v>24</v>
      </c>
      <c r="Q1879" t="s">
        <v>642</v>
      </c>
      <c r="R1879" t="s">
        <v>1214</v>
      </c>
    </row>
    <row r="1880" spans="1:18" x14ac:dyDescent="0.25">
      <c r="A1880" t="s">
        <v>14779</v>
      </c>
      <c r="B1880" t="s">
        <v>8075</v>
      </c>
      <c r="C1880" t="str">
        <f>HYPERLINK("https://nematode.unl.edu/cdiscuspara12.jpg")</f>
        <v>https://nematode.unl.edu/cdiscuspara12.jpg</v>
      </c>
      <c r="D1880" t="s">
        <v>43</v>
      </c>
      <c r="G1880" t="s">
        <v>28</v>
      </c>
      <c r="I1880" t="s">
        <v>41</v>
      </c>
      <c r="J1880" t="s">
        <v>7595</v>
      </c>
      <c r="K1880" t="s">
        <v>22865</v>
      </c>
      <c r="L1880" t="s">
        <v>22866</v>
      </c>
      <c r="M1880" t="s">
        <v>8072</v>
      </c>
      <c r="N1880" t="s">
        <v>8072</v>
      </c>
      <c r="O1880" t="s">
        <v>23</v>
      </c>
      <c r="P1880" t="s">
        <v>24</v>
      </c>
      <c r="Q1880" t="s">
        <v>642</v>
      </c>
      <c r="R1880" t="s">
        <v>1214</v>
      </c>
    </row>
    <row r="1881" spans="1:18" x14ac:dyDescent="0.25">
      <c r="A1881" t="s">
        <v>14762</v>
      </c>
      <c r="B1881" t="s">
        <v>8076</v>
      </c>
      <c r="C1881" t="str">
        <f>HYPERLINK("https://nematode.unl.edu/cdiscuspara13.jpg")</f>
        <v>https://nematode.unl.edu/cdiscuspara13.jpg</v>
      </c>
      <c r="D1881" t="s">
        <v>43</v>
      </c>
      <c r="G1881" t="s">
        <v>44</v>
      </c>
      <c r="I1881" t="s">
        <v>19</v>
      </c>
      <c r="J1881" t="s">
        <v>7595</v>
      </c>
      <c r="K1881" t="s">
        <v>22865</v>
      </c>
      <c r="L1881" t="s">
        <v>22866</v>
      </c>
      <c r="M1881" t="s">
        <v>8072</v>
      </c>
      <c r="N1881" t="s">
        <v>8072</v>
      </c>
      <c r="O1881" t="s">
        <v>23</v>
      </c>
      <c r="P1881" t="s">
        <v>24</v>
      </c>
      <c r="Q1881" t="s">
        <v>642</v>
      </c>
      <c r="R1881" t="s">
        <v>1214</v>
      </c>
    </row>
    <row r="1882" spans="1:18" x14ac:dyDescent="0.25">
      <c r="A1882" t="s">
        <v>14743</v>
      </c>
      <c r="B1882" t="s">
        <v>8077</v>
      </c>
      <c r="C1882" t="str">
        <f>HYPERLINK("https://nematode.unl.edu/cdiscuspara14.jpg")</f>
        <v>https://nematode.unl.edu/cdiscuspara14.jpg</v>
      </c>
      <c r="D1882" t="s">
        <v>43</v>
      </c>
      <c r="G1882" t="s">
        <v>34</v>
      </c>
      <c r="H1882" t="s">
        <v>18</v>
      </c>
      <c r="I1882" t="s">
        <v>41</v>
      </c>
      <c r="J1882" t="s">
        <v>7595</v>
      </c>
      <c r="K1882" t="s">
        <v>22865</v>
      </c>
      <c r="L1882" t="s">
        <v>22866</v>
      </c>
      <c r="M1882" t="s">
        <v>8072</v>
      </c>
      <c r="N1882" t="s">
        <v>8072</v>
      </c>
      <c r="O1882" t="s">
        <v>23</v>
      </c>
      <c r="P1882" t="s">
        <v>24</v>
      </c>
      <c r="Q1882" t="s">
        <v>642</v>
      </c>
      <c r="R1882" t="s">
        <v>1214</v>
      </c>
    </row>
    <row r="1883" spans="1:18" x14ac:dyDescent="0.25">
      <c r="A1883" t="s">
        <v>14744</v>
      </c>
      <c r="B1883" t="s">
        <v>8078</v>
      </c>
      <c r="C1883" t="str">
        <f>HYPERLINK("https://nematode.unl.edu/cdiscuspara15.jpg")</f>
        <v>https://nematode.unl.edu/cdiscuspara15.jpg</v>
      </c>
      <c r="D1883" t="s">
        <v>43</v>
      </c>
      <c r="G1883" t="s">
        <v>34</v>
      </c>
      <c r="H1883" t="s">
        <v>18</v>
      </c>
      <c r="I1883" t="s">
        <v>41</v>
      </c>
      <c r="J1883" t="s">
        <v>7595</v>
      </c>
      <c r="K1883" t="s">
        <v>22865</v>
      </c>
      <c r="L1883" t="s">
        <v>22866</v>
      </c>
      <c r="M1883" t="s">
        <v>8072</v>
      </c>
      <c r="N1883" t="s">
        <v>8072</v>
      </c>
      <c r="O1883" t="s">
        <v>23</v>
      </c>
      <c r="P1883" t="s">
        <v>24</v>
      </c>
      <c r="Q1883" t="s">
        <v>642</v>
      </c>
      <c r="R1883" t="s">
        <v>1214</v>
      </c>
    </row>
    <row r="1884" spans="1:18" x14ac:dyDescent="0.25">
      <c r="A1884" t="s">
        <v>14780</v>
      </c>
      <c r="B1884" t="s">
        <v>8079</v>
      </c>
      <c r="C1884" t="str">
        <f>HYPERLINK("https://nematode.unl.edu/cdiscuspara16.jpg")</f>
        <v>https://nematode.unl.edu/cdiscuspara16.jpg</v>
      </c>
      <c r="D1884" t="s">
        <v>43</v>
      </c>
      <c r="G1884" t="s">
        <v>28</v>
      </c>
      <c r="I1884" t="s">
        <v>41</v>
      </c>
      <c r="J1884" t="s">
        <v>7595</v>
      </c>
      <c r="K1884" t="s">
        <v>22865</v>
      </c>
      <c r="L1884" t="s">
        <v>22866</v>
      </c>
      <c r="M1884" t="s">
        <v>8072</v>
      </c>
      <c r="N1884" t="s">
        <v>8072</v>
      </c>
      <c r="O1884" t="s">
        <v>23</v>
      </c>
      <c r="P1884" t="s">
        <v>24</v>
      </c>
      <c r="Q1884" t="s">
        <v>642</v>
      </c>
      <c r="R1884" t="s">
        <v>1214</v>
      </c>
    </row>
    <row r="1885" spans="1:18" x14ac:dyDescent="0.25">
      <c r="A1885" t="s">
        <v>14745</v>
      </c>
      <c r="B1885" t="s">
        <v>8080</v>
      </c>
      <c r="C1885" t="str">
        <f>HYPERLINK("https://nematode.unl.edu/cdiscuspara2.jpg")</f>
        <v>https://nematode.unl.edu/cdiscuspara2.jpg</v>
      </c>
      <c r="D1885" t="s">
        <v>43</v>
      </c>
      <c r="G1885" t="s">
        <v>34</v>
      </c>
      <c r="H1885" t="s">
        <v>18</v>
      </c>
      <c r="I1885" t="s">
        <v>41</v>
      </c>
      <c r="J1885" t="s">
        <v>7595</v>
      </c>
      <c r="K1885" t="s">
        <v>22865</v>
      </c>
      <c r="L1885" t="s">
        <v>22866</v>
      </c>
      <c r="M1885" t="s">
        <v>8072</v>
      </c>
      <c r="N1885" t="s">
        <v>8072</v>
      </c>
      <c r="O1885" t="s">
        <v>23</v>
      </c>
      <c r="P1885" t="s">
        <v>24</v>
      </c>
      <c r="Q1885" t="s">
        <v>642</v>
      </c>
      <c r="R1885" t="s">
        <v>1214</v>
      </c>
    </row>
    <row r="1886" spans="1:18" x14ac:dyDescent="0.25">
      <c r="A1886" t="s">
        <v>14746</v>
      </c>
      <c r="B1886" t="s">
        <v>8081</v>
      </c>
      <c r="C1886" t="str">
        <f>HYPERLINK("https://nematode.unl.edu/cdiscuspara3.jpg")</f>
        <v>https://nematode.unl.edu/cdiscuspara3.jpg</v>
      </c>
      <c r="D1886" t="s">
        <v>43</v>
      </c>
      <c r="G1886" t="s">
        <v>34</v>
      </c>
      <c r="H1886" t="s">
        <v>18</v>
      </c>
      <c r="I1886" t="s">
        <v>41</v>
      </c>
      <c r="J1886" t="s">
        <v>7595</v>
      </c>
      <c r="K1886" t="s">
        <v>22865</v>
      </c>
      <c r="L1886" t="s">
        <v>22866</v>
      </c>
      <c r="M1886" t="s">
        <v>8072</v>
      </c>
      <c r="N1886" t="s">
        <v>8072</v>
      </c>
      <c r="O1886" t="s">
        <v>23</v>
      </c>
      <c r="P1886" t="s">
        <v>24</v>
      </c>
      <c r="Q1886" t="s">
        <v>642</v>
      </c>
      <c r="R1886" t="s">
        <v>1214</v>
      </c>
    </row>
    <row r="1887" spans="1:18" x14ac:dyDescent="0.25">
      <c r="A1887" t="s">
        <v>14792</v>
      </c>
      <c r="B1887" t="s">
        <v>8082</v>
      </c>
      <c r="C1887" t="str">
        <f>HYPERLINK("https://nematode.unl.edu/cdiscuspara4.jpg")</f>
        <v>https://nematode.unl.edu/cdiscuspara4.jpg</v>
      </c>
      <c r="D1887" t="s">
        <v>43</v>
      </c>
      <c r="G1887" t="s">
        <v>8083</v>
      </c>
      <c r="I1887" t="s">
        <v>41</v>
      </c>
      <c r="J1887" t="s">
        <v>7595</v>
      </c>
      <c r="K1887" t="s">
        <v>22865</v>
      </c>
      <c r="L1887" t="s">
        <v>22866</v>
      </c>
      <c r="M1887" t="s">
        <v>8072</v>
      </c>
      <c r="N1887" t="s">
        <v>8072</v>
      </c>
      <c r="O1887" t="s">
        <v>23</v>
      </c>
      <c r="P1887" t="s">
        <v>24</v>
      </c>
      <c r="Q1887" t="s">
        <v>642</v>
      </c>
      <c r="R1887" t="s">
        <v>1214</v>
      </c>
    </row>
    <row r="1888" spans="1:18" x14ac:dyDescent="0.25">
      <c r="A1888" t="s">
        <v>14789</v>
      </c>
      <c r="B1888" t="s">
        <v>8084</v>
      </c>
      <c r="C1888" t="str">
        <f>HYPERLINK("https://nematode.unl.edu/cdiscuspara5.jpg")</f>
        <v>https://nematode.unl.edu/cdiscuspara5.jpg</v>
      </c>
      <c r="D1888" t="s">
        <v>43</v>
      </c>
      <c r="G1888" t="s">
        <v>51</v>
      </c>
      <c r="I1888" t="s">
        <v>41</v>
      </c>
      <c r="J1888" t="s">
        <v>7595</v>
      </c>
      <c r="K1888" t="s">
        <v>22865</v>
      </c>
      <c r="L1888" t="s">
        <v>22866</v>
      </c>
      <c r="M1888" t="s">
        <v>8072</v>
      </c>
      <c r="N1888" t="s">
        <v>8072</v>
      </c>
      <c r="O1888" t="s">
        <v>23</v>
      </c>
      <c r="P1888" t="s">
        <v>24</v>
      </c>
      <c r="Q1888" t="s">
        <v>642</v>
      </c>
      <c r="R1888" t="s">
        <v>1214</v>
      </c>
    </row>
    <row r="1889" spans="1:18" x14ac:dyDescent="0.25">
      <c r="A1889" t="s">
        <v>14763</v>
      </c>
      <c r="B1889" t="s">
        <v>8085</v>
      </c>
      <c r="C1889" t="str">
        <f>HYPERLINK("https://nematode.unl.edu/cdiscuspara6.jpg")</f>
        <v>https://nematode.unl.edu/cdiscuspara6.jpg</v>
      </c>
      <c r="D1889" t="s">
        <v>43</v>
      </c>
      <c r="G1889" t="s">
        <v>44</v>
      </c>
      <c r="I1889" t="s">
        <v>19</v>
      </c>
      <c r="J1889" t="s">
        <v>7595</v>
      </c>
      <c r="K1889" t="s">
        <v>22865</v>
      </c>
      <c r="L1889" t="s">
        <v>22866</v>
      </c>
      <c r="M1889" t="s">
        <v>8072</v>
      </c>
      <c r="N1889" t="s">
        <v>8072</v>
      </c>
      <c r="O1889" t="s">
        <v>23</v>
      </c>
      <c r="P1889" t="s">
        <v>24</v>
      </c>
      <c r="Q1889" t="s">
        <v>642</v>
      </c>
      <c r="R1889" t="s">
        <v>1214</v>
      </c>
    </row>
    <row r="1890" spans="1:18" x14ac:dyDescent="0.25">
      <c r="A1890" t="s">
        <v>14747</v>
      </c>
      <c r="B1890" t="s">
        <v>8086</v>
      </c>
      <c r="C1890" t="str">
        <f>HYPERLINK("https://nematode.unl.edu/cdiscuspara7.jpg")</f>
        <v>https://nematode.unl.edu/cdiscuspara7.jpg</v>
      </c>
      <c r="D1890" t="s">
        <v>43</v>
      </c>
      <c r="G1890" t="s">
        <v>34</v>
      </c>
      <c r="H1890" t="s">
        <v>18</v>
      </c>
      <c r="I1890" t="s">
        <v>41</v>
      </c>
      <c r="J1890" t="s">
        <v>7595</v>
      </c>
      <c r="K1890" t="s">
        <v>22865</v>
      </c>
      <c r="L1890" t="s">
        <v>22866</v>
      </c>
      <c r="M1890" t="s">
        <v>8072</v>
      </c>
      <c r="N1890" t="s">
        <v>8072</v>
      </c>
      <c r="O1890" t="s">
        <v>23</v>
      </c>
      <c r="P1890" t="s">
        <v>24</v>
      </c>
      <c r="Q1890" t="s">
        <v>642</v>
      </c>
      <c r="R1890" t="s">
        <v>1214</v>
      </c>
    </row>
    <row r="1891" spans="1:18" x14ac:dyDescent="0.25">
      <c r="A1891" t="s">
        <v>14748</v>
      </c>
      <c r="B1891" t="s">
        <v>8087</v>
      </c>
      <c r="C1891" t="str">
        <f>HYPERLINK("https://nematode.unl.edu/cdiscuspara8.jpg")</f>
        <v>https://nematode.unl.edu/cdiscuspara8.jpg</v>
      </c>
      <c r="D1891" t="s">
        <v>43</v>
      </c>
      <c r="G1891" t="s">
        <v>34</v>
      </c>
      <c r="H1891" t="s">
        <v>18</v>
      </c>
      <c r="I1891" t="s">
        <v>41</v>
      </c>
      <c r="J1891" t="s">
        <v>7595</v>
      </c>
      <c r="K1891" t="s">
        <v>22865</v>
      </c>
      <c r="L1891" t="s">
        <v>22866</v>
      </c>
      <c r="M1891" t="s">
        <v>8072</v>
      </c>
      <c r="N1891" t="s">
        <v>8072</v>
      </c>
      <c r="O1891" t="s">
        <v>23</v>
      </c>
      <c r="P1891" t="s">
        <v>24</v>
      </c>
      <c r="Q1891" t="s">
        <v>642</v>
      </c>
      <c r="R1891" t="s">
        <v>1214</v>
      </c>
    </row>
    <row r="1892" spans="1:18" x14ac:dyDescent="0.25">
      <c r="A1892" t="s">
        <v>14790</v>
      </c>
      <c r="B1892" t="s">
        <v>8088</v>
      </c>
      <c r="C1892" t="str">
        <f>HYPERLINK("https://nematode.unl.edu/cdiscuspara9.jpg")</f>
        <v>https://nematode.unl.edu/cdiscuspara9.jpg</v>
      </c>
      <c r="D1892" t="s">
        <v>43</v>
      </c>
      <c r="G1892" t="s">
        <v>51</v>
      </c>
      <c r="I1892" t="s">
        <v>41</v>
      </c>
      <c r="J1892" t="s">
        <v>7595</v>
      </c>
      <c r="K1892" t="s">
        <v>22865</v>
      </c>
      <c r="L1892" t="s">
        <v>22866</v>
      </c>
      <c r="M1892" t="s">
        <v>8072</v>
      </c>
      <c r="N1892" t="s">
        <v>8072</v>
      </c>
      <c r="O1892" t="s">
        <v>23</v>
      </c>
      <c r="P1892" t="s">
        <v>24</v>
      </c>
      <c r="Q1892" t="s">
        <v>642</v>
      </c>
      <c r="R1892" t="s">
        <v>1214</v>
      </c>
    </row>
    <row r="1893" spans="1:18" x14ac:dyDescent="0.25">
      <c r="A1893" t="s">
        <v>13334</v>
      </c>
      <c r="B1893" t="s">
        <v>3691</v>
      </c>
      <c r="C1893" t="str">
        <f>HYPERLINK("https://nematode.unl.edu/cepha1.jpg")</f>
        <v>https://nematode.unl.edu/cepha1.jpg</v>
      </c>
      <c r="D1893" t="s">
        <v>43</v>
      </c>
      <c r="G1893" t="s">
        <v>44</v>
      </c>
      <c r="I1893" t="s">
        <v>91</v>
      </c>
      <c r="J1893" t="s">
        <v>20</v>
      </c>
      <c r="L1893" t="s">
        <v>5685</v>
      </c>
      <c r="M1893" t="s">
        <v>452</v>
      </c>
      <c r="N1893" t="s">
        <v>452</v>
      </c>
      <c r="O1893" t="s">
        <v>23</v>
      </c>
      <c r="P1893" t="s">
        <v>24</v>
      </c>
      <c r="Q1893" t="s">
        <v>25</v>
      </c>
      <c r="R1893" t="s">
        <v>452</v>
      </c>
    </row>
    <row r="1894" spans="1:18" x14ac:dyDescent="0.25">
      <c r="A1894" t="s">
        <v>13325</v>
      </c>
      <c r="B1894" t="s">
        <v>3692</v>
      </c>
      <c r="C1894" t="str">
        <f>HYPERLINK("https://nematode.unl.edu/cepha10.jpg")</f>
        <v>https://nematode.unl.edu/cepha10.jpg</v>
      </c>
      <c r="D1894" t="s">
        <v>77</v>
      </c>
      <c r="G1894" t="s">
        <v>34</v>
      </c>
      <c r="H1894" t="s">
        <v>18</v>
      </c>
      <c r="I1894" t="s">
        <v>41</v>
      </c>
      <c r="J1894" t="s">
        <v>20</v>
      </c>
      <c r="L1894" t="s">
        <v>456</v>
      </c>
      <c r="M1894" t="s">
        <v>452</v>
      </c>
      <c r="N1894" t="s">
        <v>452</v>
      </c>
      <c r="O1894" t="s">
        <v>23</v>
      </c>
      <c r="P1894" t="s">
        <v>24</v>
      </c>
      <c r="Q1894" t="s">
        <v>25</v>
      </c>
      <c r="R1894" t="s">
        <v>452</v>
      </c>
    </row>
    <row r="1895" spans="1:18" x14ac:dyDescent="0.25">
      <c r="A1895" t="s">
        <v>13326</v>
      </c>
      <c r="B1895" t="s">
        <v>3693</v>
      </c>
      <c r="C1895" t="str">
        <f>HYPERLINK("https://nematode.unl.edu/cepha11.jpg")</f>
        <v>https://nematode.unl.edu/cepha11.jpg</v>
      </c>
      <c r="D1895" t="s">
        <v>16</v>
      </c>
      <c r="G1895" t="s">
        <v>34</v>
      </c>
      <c r="H1895" t="s">
        <v>18</v>
      </c>
      <c r="I1895" t="s">
        <v>41</v>
      </c>
      <c r="J1895" t="s">
        <v>20</v>
      </c>
      <c r="L1895" t="s">
        <v>64</v>
      </c>
      <c r="M1895" t="s">
        <v>452</v>
      </c>
      <c r="N1895" t="s">
        <v>452</v>
      </c>
      <c r="O1895" t="s">
        <v>23</v>
      </c>
      <c r="P1895" t="s">
        <v>24</v>
      </c>
      <c r="Q1895" t="s">
        <v>25</v>
      </c>
      <c r="R1895" t="s">
        <v>452</v>
      </c>
    </row>
    <row r="1896" spans="1:18" x14ac:dyDescent="0.25">
      <c r="A1896" t="s">
        <v>13339</v>
      </c>
      <c r="B1896" t="s">
        <v>3694</v>
      </c>
      <c r="C1896" t="str">
        <f>HYPERLINK("https://nematode.unl.edu/cepha12.jpg")</f>
        <v>https://nematode.unl.edu/cepha12.jpg</v>
      </c>
      <c r="D1896" t="s">
        <v>16</v>
      </c>
      <c r="G1896" t="s">
        <v>28</v>
      </c>
      <c r="I1896" t="s">
        <v>41</v>
      </c>
      <c r="J1896" t="s">
        <v>20</v>
      </c>
      <c r="L1896" t="s">
        <v>456</v>
      </c>
      <c r="M1896" t="s">
        <v>452</v>
      </c>
      <c r="N1896" t="s">
        <v>452</v>
      </c>
      <c r="O1896" t="s">
        <v>23</v>
      </c>
      <c r="P1896" t="s">
        <v>24</v>
      </c>
      <c r="Q1896" t="s">
        <v>25</v>
      </c>
      <c r="R1896" t="s">
        <v>452</v>
      </c>
    </row>
    <row r="1897" spans="1:18" x14ac:dyDescent="0.25">
      <c r="A1897" t="s">
        <v>13340</v>
      </c>
      <c r="B1897" t="s">
        <v>3695</v>
      </c>
      <c r="C1897" t="str">
        <f>HYPERLINK("https://nematode.unl.edu/cepha13.jpg")</f>
        <v>https://nematode.unl.edu/cepha13.jpg</v>
      </c>
      <c r="D1897" t="s">
        <v>43</v>
      </c>
      <c r="G1897" t="s">
        <v>28</v>
      </c>
      <c r="I1897" t="s">
        <v>19</v>
      </c>
      <c r="J1897" t="s">
        <v>20</v>
      </c>
      <c r="L1897" t="s">
        <v>138</v>
      </c>
      <c r="M1897" t="s">
        <v>452</v>
      </c>
      <c r="N1897" t="s">
        <v>452</v>
      </c>
      <c r="O1897" t="s">
        <v>23</v>
      </c>
      <c r="P1897" t="s">
        <v>24</v>
      </c>
      <c r="Q1897" t="s">
        <v>25</v>
      </c>
      <c r="R1897" t="s">
        <v>452</v>
      </c>
    </row>
    <row r="1898" spans="1:18" x14ac:dyDescent="0.25">
      <c r="A1898" t="s">
        <v>13327</v>
      </c>
      <c r="B1898" t="s">
        <v>3696</v>
      </c>
      <c r="C1898" t="str">
        <f>HYPERLINK("https://nematode.unl.edu/cepha14.jpg")</f>
        <v>https://nematode.unl.edu/cepha14.jpg</v>
      </c>
      <c r="D1898" t="s">
        <v>43</v>
      </c>
      <c r="G1898" t="s">
        <v>34</v>
      </c>
      <c r="H1898" t="s">
        <v>18</v>
      </c>
      <c r="I1898" t="s">
        <v>19</v>
      </c>
      <c r="J1898" t="s">
        <v>20</v>
      </c>
      <c r="L1898" t="s">
        <v>29</v>
      </c>
      <c r="M1898" t="s">
        <v>452</v>
      </c>
      <c r="N1898" t="s">
        <v>452</v>
      </c>
      <c r="O1898" t="s">
        <v>23</v>
      </c>
      <c r="P1898" t="s">
        <v>24</v>
      </c>
      <c r="Q1898" t="s">
        <v>25</v>
      </c>
      <c r="R1898" t="s">
        <v>452</v>
      </c>
    </row>
    <row r="1899" spans="1:18" x14ac:dyDescent="0.25">
      <c r="A1899" t="s">
        <v>13347</v>
      </c>
      <c r="B1899" t="s">
        <v>3697</v>
      </c>
      <c r="C1899" t="str">
        <f>HYPERLINK("https://nematode.unl.edu/cepha15.jpg")</f>
        <v>https://nematode.unl.edu/cepha15.jpg</v>
      </c>
      <c r="D1899" t="s">
        <v>43</v>
      </c>
      <c r="G1899" t="s">
        <v>51</v>
      </c>
      <c r="I1899" t="s">
        <v>19</v>
      </c>
      <c r="J1899" t="s">
        <v>20</v>
      </c>
      <c r="L1899" t="s">
        <v>29</v>
      </c>
      <c r="M1899" t="s">
        <v>452</v>
      </c>
      <c r="N1899" t="s">
        <v>452</v>
      </c>
      <c r="O1899" t="s">
        <v>23</v>
      </c>
      <c r="P1899" t="s">
        <v>24</v>
      </c>
      <c r="Q1899" t="s">
        <v>25</v>
      </c>
      <c r="R1899" t="s">
        <v>452</v>
      </c>
    </row>
    <row r="1900" spans="1:18" x14ac:dyDescent="0.25">
      <c r="A1900" t="s">
        <v>13341</v>
      </c>
      <c r="B1900" t="s">
        <v>3698</v>
      </c>
      <c r="C1900" t="str">
        <f>HYPERLINK("https://nematode.unl.edu/cepha16.jpg")</f>
        <v>https://nematode.unl.edu/cepha16.jpg</v>
      </c>
      <c r="D1900" t="s">
        <v>43</v>
      </c>
      <c r="G1900" t="s">
        <v>28</v>
      </c>
      <c r="I1900" t="s">
        <v>19</v>
      </c>
      <c r="J1900" t="s">
        <v>20</v>
      </c>
      <c r="L1900" t="s">
        <v>29</v>
      </c>
      <c r="M1900" t="s">
        <v>452</v>
      </c>
      <c r="N1900" t="s">
        <v>452</v>
      </c>
      <c r="O1900" t="s">
        <v>23</v>
      </c>
      <c r="P1900" t="s">
        <v>24</v>
      </c>
      <c r="Q1900" t="s">
        <v>25</v>
      </c>
      <c r="R1900" t="s">
        <v>452</v>
      </c>
    </row>
    <row r="1901" spans="1:18" x14ac:dyDescent="0.25">
      <c r="A1901" t="s">
        <v>13328</v>
      </c>
      <c r="B1901" t="s">
        <v>3699</v>
      </c>
      <c r="C1901" t="str">
        <f>HYPERLINK("https://nematode.unl.edu/cepha17.jpg")</f>
        <v>https://nematode.unl.edu/cepha17.jpg</v>
      </c>
      <c r="D1901" t="s">
        <v>43</v>
      </c>
      <c r="G1901" t="s">
        <v>34</v>
      </c>
      <c r="H1901" t="s">
        <v>18</v>
      </c>
      <c r="I1901" t="s">
        <v>19</v>
      </c>
      <c r="J1901" t="s">
        <v>20</v>
      </c>
      <c r="L1901" t="s">
        <v>29</v>
      </c>
      <c r="M1901" t="s">
        <v>452</v>
      </c>
      <c r="N1901" t="s">
        <v>452</v>
      </c>
      <c r="O1901" t="s">
        <v>23</v>
      </c>
      <c r="P1901" t="s">
        <v>24</v>
      </c>
      <c r="Q1901" t="s">
        <v>25</v>
      </c>
      <c r="R1901" t="s">
        <v>452</v>
      </c>
    </row>
    <row r="1902" spans="1:18" x14ac:dyDescent="0.25">
      <c r="A1902" t="s">
        <v>13348</v>
      </c>
      <c r="B1902" t="s">
        <v>3700</v>
      </c>
      <c r="C1902" t="str">
        <f>HYPERLINK("https://nematode.unl.edu/cepha18.jpg")</f>
        <v>https://nematode.unl.edu/cepha18.jpg</v>
      </c>
      <c r="D1902" t="s">
        <v>43</v>
      </c>
      <c r="G1902" t="s">
        <v>51</v>
      </c>
      <c r="I1902" t="s">
        <v>19</v>
      </c>
      <c r="J1902" t="s">
        <v>20</v>
      </c>
      <c r="L1902" t="s">
        <v>29</v>
      </c>
      <c r="M1902" t="s">
        <v>452</v>
      </c>
      <c r="N1902" t="s">
        <v>452</v>
      </c>
      <c r="O1902" t="s">
        <v>23</v>
      </c>
      <c r="P1902" t="s">
        <v>24</v>
      </c>
      <c r="Q1902" t="s">
        <v>25</v>
      </c>
      <c r="R1902" t="s">
        <v>452</v>
      </c>
    </row>
    <row r="1903" spans="1:18" x14ac:dyDescent="0.25">
      <c r="A1903" t="s">
        <v>13349</v>
      </c>
      <c r="B1903" t="s">
        <v>3701</v>
      </c>
      <c r="C1903" t="str">
        <f>HYPERLINK("https://nematode.unl.edu/cepha19.jpg")</f>
        <v>https://nematode.unl.edu/cepha19.jpg</v>
      </c>
      <c r="D1903" t="s">
        <v>43</v>
      </c>
      <c r="G1903" t="s">
        <v>51</v>
      </c>
      <c r="I1903" t="s">
        <v>19</v>
      </c>
      <c r="J1903" t="s">
        <v>20</v>
      </c>
      <c r="L1903" t="s">
        <v>29</v>
      </c>
      <c r="M1903" t="s">
        <v>452</v>
      </c>
      <c r="N1903" t="s">
        <v>452</v>
      </c>
      <c r="O1903" t="s">
        <v>23</v>
      </c>
      <c r="P1903" t="s">
        <v>24</v>
      </c>
      <c r="Q1903" t="s">
        <v>25</v>
      </c>
      <c r="R1903" t="s">
        <v>452</v>
      </c>
    </row>
    <row r="1904" spans="1:18" x14ac:dyDescent="0.25">
      <c r="A1904" t="s">
        <v>13329</v>
      </c>
      <c r="B1904" t="s">
        <v>3702</v>
      </c>
      <c r="C1904" t="str">
        <f>HYPERLINK("https://nematode.unl.edu/cepha2.jpg")</f>
        <v>https://nematode.unl.edu/cepha2.jpg</v>
      </c>
      <c r="D1904" t="s">
        <v>43</v>
      </c>
      <c r="G1904" t="s">
        <v>34</v>
      </c>
      <c r="H1904" t="s">
        <v>18</v>
      </c>
      <c r="I1904" t="s">
        <v>19</v>
      </c>
      <c r="J1904" t="s">
        <v>20</v>
      </c>
      <c r="L1904" t="s">
        <v>141</v>
      </c>
      <c r="M1904" t="s">
        <v>452</v>
      </c>
      <c r="N1904" t="s">
        <v>452</v>
      </c>
      <c r="O1904" t="s">
        <v>23</v>
      </c>
      <c r="P1904" t="s">
        <v>24</v>
      </c>
      <c r="Q1904" t="s">
        <v>25</v>
      </c>
      <c r="R1904" t="s">
        <v>452</v>
      </c>
    </row>
    <row r="1905" spans="1:18" x14ac:dyDescent="0.25">
      <c r="A1905" t="s">
        <v>13350</v>
      </c>
      <c r="B1905" t="s">
        <v>3703</v>
      </c>
      <c r="C1905" t="str">
        <f>HYPERLINK("https://nematode.unl.edu/cepha3.jpg")</f>
        <v>https://nematode.unl.edu/cepha3.jpg</v>
      </c>
      <c r="D1905" t="s">
        <v>43</v>
      </c>
      <c r="G1905" t="s">
        <v>51</v>
      </c>
      <c r="I1905" t="s">
        <v>19</v>
      </c>
      <c r="J1905" t="s">
        <v>20</v>
      </c>
      <c r="L1905" t="s">
        <v>5685</v>
      </c>
      <c r="M1905" t="s">
        <v>452</v>
      </c>
      <c r="N1905" t="s">
        <v>452</v>
      </c>
      <c r="O1905" t="s">
        <v>23</v>
      </c>
      <c r="P1905" t="s">
        <v>24</v>
      </c>
      <c r="Q1905" t="s">
        <v>25</v>
      </c>
      <c r="R1905" t="s">
        <v>452</v>
      </c>
    </row>
    <row r="1906" spans="1:18" x14ac:dyDescent="0.25">
      <c r="A1906" t="s">
        <v>13342</v>
      </c>
      <c r="B1906" t="s">
        <v>3704</v>
      </c>
      <c r="C1906" t="str">
        <f>HYPERLINK("https://nematode.unl.edu/cepha4.jpg")</f>
        <v>https://nematode.unl.edu/cepha4.jpg</v>
      </c>
      <c r="D1906" t="s">
        <v>43</v>
      </c>
      <c r="G1906" t="s">
        <v>28</v>
      </c>
      <c r="I1906" t="s">
        <v>19</v>
      </c>
      <c r="J1906" t="s">
        <v>20</v>
      </c>
      <c r="L1906" t="s">
        <v>141</v>
      </c>
      <c r="M1906" t="s">
        <v>452</v>
      </c>
      <c r="N1906" t="s">
        <v>452</v>
      </c>
      <c r="O1906" t="s">
        <v>23</v>
      </c>
      <c r="P1906" t="s">
        <v>24</v>
      </c>
      <c r="Q1906" t="s">
        <v>25</v>
      </c>
      <c r="R1906" t="s">
        <v>452</v>
      </c>
    </row>
    <row r="1907" spans="1:18" x14ac:dyDescent="0.25">
      <c r="A1907" t="s">
        <v>13330</v>
      </c>
      <c r="B1907" t="s">
        <v>3705</v>
      </c>
      <c r="C1907" t="str">
        <f>HYPERLINK("https://nematode.unl.edu/cepha5.jpg")</f>
        <v>https://nematode.unl.edu/cepha5.jpg</v>
      </c>
      <c r="D1907" t="s">
        <v>77</v>
      </c>
      <c r="G1907" t="s">
        <v>34</v>
      </c>
      <c r="H1907" t="s">
        <v>18</v>
      </c>
      <c r="I1907" t="s">
        <v>19</v>
      </c>
      <c r="J1907" t="s">
        <v>20</v>
      </c>
      <c r="L1907" t="s">
        <v>456</v>
      </c>
      <c r="M1907" t="s">
        <v>452</v>
      </c>
      <c r="N1907" t="s">
        <v>452</v>
      </c>
      <c r="O1907" t="s">
        <v>23</v>
      </c>
      <c r="P1907" t="s">
        <v>24</v>
      </c>
      <c r="Q1907" t="s">
        <v>25</v>
      </c>
      <c r="R1907" t="s">
        <v>452</v>
      </c>
    </row>
    <row r="1908" spans="1:18" x14ac:dyDescent="0.25">
      <c r="A1908" t="s">
        <v>13343</v>
      </c>
      <c r="B1908" t="s">
        <v>3706</v>
      </c>
      <c r="C1908" t="str">
        <f>HYPERLINK("https://nematode.unl.edu/cepha6.jpg")</f>
        <v>https://nematode.unl.edu/cepha6.jpg</v>
      </c>
      <c r="D1908" t="s">
        <v>77</v>
      </c>
      <c r="G1908" t="s">
        <v>28</v>
      </c>
      <c r="I1908" t="s">
        <v>19</v>
      </c>
      <c r="J1908" t="s">
        <v>20</v>
      </c>
      <c r="L1908" t="s">
        <v>456</v>
      </c>
      <c r="M1908" t="s">
        <v>452</v>
      </c>
      <c r="N1908" t="s">
        <v>452</v>
      </c>
      <c r="O1908" t="s">
        <v>23</v>
      </c>
      <c r="P1908" t="s">
        <v>24</v>
      </c>
      <c r="Q1908" t="s">
        <v>25</v>
      </c>
      <c r="R1908" t="s">
        <v>452</v>
      </c>
    </row>
    <row r="1909" spans="1:18" x14ac:dyDescent="0.25">
      <c r="A1909" t="s">
        <v>13346</v>
      </c>
      <c r="B1909" t="s">
        <v>3707</v>
      </c>
      <c r="C1909" t="str">
        <f>HYPERLINK("https://nematode.unl.edu/cepha7.jpg")</f>
        <v>https://nematode.unl.edu/cepha7.jpg</v>
      </c>
      <c r="D1909" t="s">
        <v>77</v>
      </c>
      <c r="G1909" t="s">
        <v>422</v>
      </c>
      <c r="I1909" t="s">
        <v>41</v>
      </c>
      <c r="J1909" t="s">
        <v>20</v>
      </c>
      <c r="L1909" t="s">
        <v>456</v>
      </c>
      <c r="M1909" t="s">
        <v>452</v>
      </c>
      <c r="N1909" t="s">
        <v>452</v>
      </c>
      <c r="O1909" t="s">
        <v>23</v>
      </c>
      <c r="P1909" t="s">
        <v>24</v>
      </c>
      <c r="Q1909" t="s">
        <v>25</v>
      </c>
      <c r="R1909" t="s">
        <v>452</v>
      </c>
    </row>
    <row r="1910" spans="1:18" x14ac:dyDescent="0.25">
      <c r="A1910" t="s">
        <v>13338</v>
      </c>
      <c r="B1910" t="s">
        <v>3708</v>
      </c>
      <c r="C1910" t="str">
        <f>HYPERLINK("https://nematode.unl.edu/cepha8.jpg")</f>
        <v>https://nematode.unl.edu/cepha8.jpg</v>
      </c>
      <c r="D1910" t="s">
        <v>77</v>
      </c>
      <c r="G1910" t="s">
        <v>112</v>
      </c>
      <c r="I1910" t="s">
        <v>41</v>
      </c>
      <c r="J1910" t="s">
        <v>20</v>
      </c>
      <c r="L1910" t="s">
        <v>64</v>
      </c>
      <c r="M1910" t="s">
        <v>452</v>
      </c>
      <c r="N1910" t="s">
        <v>452</v>
      </c>
      <c r="O1910" t="s">
        <v>23</v>
      </c>
      <c r="P1910" t="s">
        <v>24</v>
      </c>
      <c r="Q1910" t="s">
        <v>25</v>
      </c>
      <c r="R1910" t="s">
        <v>452</v>
      </c>
    </row>
    <row r="1911" spans="1:18" x14ac:dyDescent="0.25">
      <c r="A1911" t="s">
        <v>13337</v>
      </c>
      <c r="B1911" t="s">
        <v>3709</v>
      </c>
      <c r="C1911" t="str">
        <f>HYPERLINK("https://nematode.unl.edu/cepha9.jpg")</f>
        <v>https://nematode.unl.edu/cepha9.jpg</v>
      </c>
      <c r="D1911" t="s">
        <v>77</v>
      </c>
      <c r="G1911" t="s">
        <v>53</v>
      </c>
      <c r="I1911" t="s">
        <v>41</v>
      </c>
      <c r="J1911" t="s">
        <v>20</v>
      </c>
      <c r="L1911" t="s">
        <v>456</v>
      </c>
      <c r="M1911" t="s">
        <v>452</v>
      </c>
      <c r="N1911" t="s">
        <v>452</v>
      </c>
      <c r="O1911" t="s">
        <v>23</v>
      </c>
      <c r="P1911" t="s">
        <v>24</v>
      </c>
      <c r="Q1911" t="s">
        <v>25</v>
      </c>
      <c r="R1911" t="s">
        <v>452</v>
      </c>
    </row>
    <row r="1912" spans="1:18" x14ac:dyDescent="0.25">
      <c r="A1912" t="s">
        <v>13335</v>
      </c>
      <c r="B1912" t="s">
        <v>3710</v>
      </c>
      <c r="C1912" t="str">
        <f>HYPERLINK("https://nematode.unl.edu/cephal1.jpg")</f>
        <v>https://nematode.unl.edu/cephal1.jpg</v>
      </c>
      <c r="D1912" t="s">
        <v>43</v>
      </c>
      <c r="G1912" t="s">
        <v>44</v>
      </c>
      <c r="I1912" t="s">
        <v>91</v>
      </c>
      <c r="J1912" t="s">
        <v>267</v>
      </c>
      <c r="L1912" t="s">
        <v>22869</v>
      </c>
      <c r="M1912" t="s">
        <v>452</v>
      </c>
      <c r="N1912" t="s">
        <v>452</v>
      </c>
      <c r="O1912" t="s">
        <v>23</v>
      </c>
      <c r="P1912" t="s">
        <v>24</v>
      </c>
      <c r="Q1912" t="s">
        <v>25</v>
      </c>
      <c r="R1912" t="s">
        <v>452</v>
      </c>
    </row>
    <row r="1913" spans="1:18" x14ac:dyDescent="0.25">
      <c r="A1913" t="s">
        <v>13351</v>
      </c>
      <c r="B1913" t="s">
        <v>3711</v>
      </c>
      <c r="C1913" t="str">
        <f>HYPERLINK("https://nematode.unl.edu/cephal10.jpg")</f>
        <v>https://nematode.unl.edu/cephal10.jpg</v>
      </c>
      <c r="D1913" t="s">
        <v>43</v>
      </c>
      <c r="G1913" t="s">
        <v>51</v>
      </c>
      <c r="I1913" t="s">
        <v>41</v>
      </c>
      <c r="J1913" t="s">
        <v>267</v>
      </c>
      <c r="L1913" t="s">
        <v>22869</v>
      </c>
      <c r="M1913" t="s">
        <v>452</v>
      </c>
      <c r="N1913" t="s">
        <v>452</v>
      </c>
      <c r="O1913" t="s">
        <v>23</v>
      </c>
      <c r="P1913" t="s">
        <v>24</v>
      </c>
      <c r="Q1913" t="s">
        <v>25</v>
      </c>
      <c r="R1913" t="s">
        <v>452</v>
      </c>
    </row>
    <row r="1914" spans="1:18" x14ac:dyDescent="0.25">
      <c r="A1914" t="s">
        <v>13331</v>
      </c>
      <c r="B1914" t="s">
        <v>3712</v>
      </c>
      <c r="C1914" t="str">
        <f>HYPERLINK("https://nematode.unl.edu/cephal2.jpg")</f>
        <v>https://nematode.unl.edu/cephal2.jpg</v>
      </c>
      <c r="D1914" t="s">
        <v>43</v>
      </c>
      <c r="G1914" t="s">
        <v>34</v>
      </c>
      <c r="H1914" t="s">
        <v>18</v>
      </c>
      <c r="I1914" t="s">
        <v>19</v>
      </c>
      <c r="J1914" t="s">
        <v>267</v>
      </c>
      <c r="L1914" t="s">
        <v>22869</v>
      </c>
      <c r="M1914" t="s">
        <v>452</v>
      </c>
      <c r="N1914" t="s">
        <v>452</v>
      </c>
      <c r="O1914" t="s">
        <v>23</v>
      </c>
      <c r="P1914" t="s">
        <v>24</v>
      </c>
      <c r="Q1914" t="s">
        <v>25</v>
      </c>
      <c r="R1914" t="s">
        <v>452</v>
      </c>
    </row>
    <row r="1915" spans="1:18" x14ac:dyDescent="0.25">
      <c r="A1915" t="s">
        <v>13352</v>
      </c>
      <c r="B1915" t="s">
        <v>3713</v>
      </c>
      <c r="C1915" t="str">
        <f>HYPERLINK("https://nematode.unl.edu/cephal3.jpg")</f>
        <v>https://nematode.unl.edu/cephal3.jpg</v>
      </c>
      <c r="D1915" t="s">
        <v>43</v>
      </c>
      <c r="G1915" t="s">
        <v>51</v>
      </c>
      <c r="I1915" t="s">
        <v>19</v>
      </c>
      <c r="J1915" t="s">
        <v>267</v>
      </c>
      <c r="L1915" t="s">
        <v>22869</v>
      </c>
      <c r="M1915" t="s">
        <v>452</v>
      </c>
      <c r="N1915" t="s">
        <v>452</v>
      </c>
      <c r="O1915" t="s">
        <v>23</v>
      </c>
      <c r="P1915" t="s">
        <v>24</v>
      </c>
      <c r="Q1915" t="s">
        <v>25</v>
      </c>
      <c r="R1915" t="s">
        <v>452</v>
      </c>
    </row>
    <row r="1916" spans="1:18" x14ac:dyDescent="0.25">
      <c r="A1916" t="s">
        <v>13344</v>
      </c>
      <c r="B1916" t="s">
        <v>3714</v>
      </c>
      <c r="C1916" t="str">
        <f>HYPERLINK("https://nematode.unl.edu/cephal4.jpg")</f>
        <v>https://nematode.unl.edu/cephal4.jpg</v>
      </c>
      <c r="D1916" t="s">
        <v>43</v>
      </c>
      <c r="G1916" t="s">
        <v>28</v>
      </c>
      <c r="I1916" t="s">
        <v>19</v>
      </c>
      <c r="J1916" t="s">
        <v>267</v>
      </c>
      <c r="L1916" t="s">
        <v>22869</v>
      </c>
      <c r="M1916" t="s">
        <v>452</v>
      </c>
      <c r="N1916" t="s">
        <v>452</v>
      </c>
      <c r="O1916" t="s">
        <v>23</v>
      </c>
      <c r="P1916" t="s">
        <v>24</v>
      </c>
      <c r="Q1916" t="s">
        <v>25</v>
      </c>
      <c r="R1916" t="s">
        <v>452</v>
      </c>
    </row>
    <row r="1917" spans="1:18" x14ac:dyDescent="0.25">
      <c r="A1917" t="s">
        <v>13336</v>
      </c>
      <c r="B1917" t="s">
        <v>3715</v>
      </c>
      <c r="C1917" t="str">
        <f>HYPERLINK("https://nematode.unl.edu/cephal5.jpg")</f>
        <v>https://nematode.unl.edu/cephal5.jpg</v>
      </c>
      <c r="D1917" t="s">
        <v>43</v>
      </c>
      <c r="G1917" t="s">
        <v>44</v>
      </c>
      <c r="I1917" t="s">
        <v>45</v>
      </c>
      <c r="J1917" t="s">
        <v>267</v>
      </c>
      <c r="L1917" t="s">
        <v>22869</v>
      </c>
      <c r="M1917" t="s">
        <v>452</v>
      </c>
      <c r="N1917" t="s">
        <v>452</v>
      </c>
      <c r="O1917" t="s">
        <v>23</v>
      </c>
      <c r="P1917" t="s">
        <v>24</v>
      </c>
      <c r="Q1917" t="s">
        <v>25</v>
      </c>
      <c r="R1917" t="s">
        <v>452</v>
      </c>
    </row>
    <row r="1918" spans="1:18" x14ac:dyDescent="0.25">
      <c r="A1918" t="s">
        <v>13324</v>
      </c>
      <c r="B1918" t="s">
        <v>3716</v>
      </c>
      <c r="C1918" t="str">
        <f>HYPERLINK("https://nematode.unl.edu/cephal6.jpg")</f>
        <v>https://nematode.unl.edu/cephal6.jpg</v>
      </c>
      <c r="D1918" t="s">
        <v>43</v>
      </c>
      <c r="G1918" t="s">
        <v>96</v>
      </c>
      <c r="H1918" t="s">
        <v>18</v>
      </c>
      <c r="I1918" t="s">
        <v>19</v>
      </c>
      <c r="J1918" t="s">
        <v>267</v>
      </c>
      <c r="L1918" t="s">
        <v>22869</v>
      </c>
      <c r="M1918" t="s">
        <v>452</v>
      </c>
      <c r="N1918" t="s">
        <v>452</v>
      </c>
      <c r="O1918" t="s">
        <v>23</v>
      </c>
      <c r="P1918" t="s">
        <v>24</v>
      </c>
      <c r="Q1918" t="s">
        <v>25</v>
      </c>
      <c r="R1918" t="s">
        <v>452</v>
      </c>
    </row>
    <row r="1919" spans="1:18" x14ac:dyDescent="0.25">
      <c r="A1919" t="s">
        <v>13353</v>
      </c>
      <c r="B1919" t="s">
        <v>3717</v>
      </c>
      <c r="C1919" t="str">
        <f>HYPERLINK("https://nematode.unl.edu/cephal7.jpg")</f>
        <v>https://nematode.unl.edu/cephal7.jpg</v>
      </c>
      <c r="D1919" t="s">
        <v>43</v>
      </c>
      <c r="G1919" t="s">
        <v>51</v>
      </c>
      <c r="I1919" t="s">
        <v>19</v>
      </c>
      <c r="J1919" t="s">
        <v>267</v>
      </c>
      <c r="L1919" t="s">
        <v>22869</v>
      </c>
      <c r="M1919" t="s">
        <v>452</v>
      </c>
      <c r="N1919" t="s">
        <v>452</v>
      </c>
      <c r="O1919" t="s">
        <v>23</v>
      </c>
      <c r="P1919" t="s">
        <v>24</v>
      </c>
      <c r="Q1919" t="s">
        <v>25</v>
      </c>
      <c r="R1919" t="s">
        <v>452</v>
      </c>
    </row>
    <row r="1920" spans="1:18" x14ac:dyDescent="0.25">
      <c r="A1920" t="s">
        <v>13345</v>
      </c>
      <c r="B1920" t="s">
        <v>3718</v>
      </c>
      <c r="C1920" t="str">
        <f>HYPERLINK("https://nematode.unl.edu/cephal8.jpg")</f>
        <v>https://nematode.unl.edu/cephal8.jpg</v>
      </c>
      <c r="D1920" t="s">
        <v>43</v>
      </c>
      <c r="G1920" t="s">
        <v>28</v>
      </c>
      <c r="I1920" t="s">
        <v>19</v>
      </c>
      <c r="J1920" t="s">
        <v>267</v>
      </c>
      <c r="L1920" t="s">
        <v>22869</v>
      </c>
      <c r="M1920" t="s">
        <v>452</v>
      </c>
      <c r="N1920" t="s">
        <v>452</v>
      </c>
      <c r="O1920" t="s">
        <v>23</v>
      </c>
      <c r="P1920" t="s">
        <v>24</v>
      </c>
      <c r="Q1920" t="s">
        <v>25</v>
      </c>
      <c r="R1920" t="s">
        <v>452</v>
      </c>
    </row>
    <row r="1921" spans="1:18" x14ac:dyDescent="0.25">
      <c r="A1921" t="s">
        <v>13332</v>
      </c>
      <c r="B1921" t="s">
        <v>3719</v>
      </c>
      <c r="C1921" t="str">
        <f>HYPERLINK("https://nematode.unl.edu/cephal9.jpg")</f>
        <v>https://nematode.unl.edu/cephal9.jpg</v>
      </c>
      <c r="D1921" t="s">
        <v>43</v>
      </c>
      <c r="G1921" t="s">
        <v>34</v>
      </c>
      <c r="H1921" t="s">
        <v>18</v>
      </c>
      <c r="I1921" t="s">
        <v>41</v>
      </c>
      <c r="J1921" t="s">
        <v>267</v>
      </c>
      <c r="L1921" t="s">
        <v>22869</v>
      </c>
      <c r="M1921" t="s">
        <v>452</v>
      </c>
      <c r="N1921" t="s">
        <v>452</v>
      </c>
      <c r="O1921" t="s">
        <v>23</v>
      </c>
      <c r="P1921" t="s">
        <v>24</v>
      </c>
      <c r="Q1921" t="s">
        <v>25</v>
      </c>
      <c r="R1921" t="s">
        <v>452</v>
      </c>
    </row>
    <row r="1922" spans="1:18" x14ac:dyDescent="0.25">
      <c r="A1922" t="s">
        <v>13333</v>
      </c>
      <c r="B1922" t="s">
        <v>3720</v>
      </c>
      <c r="C1922" t="str">
        <f>HYPERLINK("https://nematode.unl.edu/cephas1.jpg")</f>
        <v>https://nematode.unl.edu/cephas1.jpg</v>
      </c>
      <c r="D1922" t="s">
        <v>16</v>
      </c>
      <c r="G1922" t="s">
        <v>34</v>
      </c>
      <c r="H1922" t="s">
        <v>18</v>
      </c>
      <c r="I1922" t="s">
        <v>19</v>
      </c>
      <c r="J1922" t="s">
        <v>267</v>
      </c>
      <c r="L1922" t="s">
        <v>105</v>
      </c>
      <c r="M1922" t="s">
        <v>452</v>
      </c>
      <c r="N1922" t="s">
        <v>452</v>
      </c>
      <c r="O1922" t="s">
        <v>23</v>
      </c>
      <c r="P1922" t="s">
        <v>24</v>
      </c>
      <c r="Q1922" t="s">
        <v>25</v>
      </c>
      <c r="R1922" t="s">
        <v>452</v>
      </c>
    </row>
    <row r="1923" spans="1:18" x14ac:dyDescent="0.25">
      <c r="A1923" t="s">
        <v>13361</v>
      </c>
      <c r="B1923" t="s">
        <v>469</v>
      </c>
      <c r="C1923" t="str">
        <f>HYPERLINK("https://nematode.unl.edu/cerser1.jpg")</f>
        <v>https://nematode.unl.edu/cerser1.jpg</v>
      </c>
      <c r="D1923" t="s">
        <v>16</v>
      </c>
      <c r="G1923" t="s">
        <v>470</v>
      </c>
      <c r="I1923" t="s">
        <v>41</v>
      </c>
      <c r="J1923" t="s">
        <v>267</v>
      </c>
      <c r="L1923" t="s">
        <v>35</v>
      </c>
      <c r="M1923" t="s">
        <v>471</v>
      </c>
      <c r="N1923" t="s">
        <v>472</v>
      </c>
      <c r="O1923" t="s">
        <v>23</v>
      </c>
      <c r="P1923" t="s">
        <v>24</v>
      </c>
      <c r="Q1923" t="s">
        <v>25</v>
      </c>
      <c r="R1923" t="s">
        <v>473</v>
      </c>
    </row>
    <row r="1924" spans="1:18" x14ac:dyDescent="0.25">
      <c r="A1924" t="s">
        <v>13358</v>
      </c>
      <c r="B1924" t="s">
        <v>474</v>
      </c>
      <c r="C1924" t="str">
        <f>HYPERLINK("https://nematode.unl.edu/cerser2.jpg")</f>
        <v>https://nematode.unl.edu/cerser2.jpg</v>
      </c>
      <c r="D1924" t="s">
        <v>16</v>
      </c>
      <c r="G1924" t="s">
        <v>34</v>
      </c>
      <c r="H1924" t="s">
        <v>18</v>
      </c>
      <c r="I1924" t="s">
        <v>41</v>
      </c>
      <c r="J1924" t="s">
        <v>267</v>
      </c>
      <c r="L1924" t="s">
        <v>35</v>
      </c>
      <c r="M1924" t="s">
        <v>471</v>
      </c>
      <c r="N1924" t="s">
        <v>472</v>
      </c>
      <c r="O1924" t="s">
        <v>23</v>
      </c>
      <c r="P1924" t="s">
        <v>24</v>
      </c>
      <c r="Q1924" t="s">
        <v>25</v>
      </c>
      <c r="R1924" t="s">
        <v>473</v>
      </c>
    </row>
    <row r="1925" spans="1:18" x14ac:dyDescent="0.25">
      <c r="A1925" t="s">
        <v>13362</v>
      </c>
      <c r="B1925" t="s">
        <v>475</v>
      </c>
      <c r="C1925" t="str">
        <f>HYPERLINK("https://nematode.unl.edu/cerser3.jpg")</f>
        <v>https://nematode.unl.edu/cerser3.jpg</v>
      </c>
      <c r="D1925" t="s">
        <v>16</v>
      </c>
      <c r="G1925" t="s">
        <v>28</v>
      </c>
      <c r="I1925" t="s">
        <v>41</v>
      </c>
      <c r="J1925" t="s">
        <v>267</v>
      </c>
      <c r="L1925" t="s">
        <v>35</v>
      </c>
      <c r="M1925" t="s">
        <v>471</v>
      </c>
      <c r="N1925" t="s">
        <v>472</v>
      </c>
      <c r="O1925" t="s">
        <v>23</v>
      </c>
      <c r="P1925" t="s">
        <v>24</v>
      </c>
      <c r="Q1925" t="s">
        <v>25</v>
      </c>
      <c r="R1925" t="s">
        <v>473</v>
      </c>
    </row>
    <row r="1926" spans="1:18" x14ac:dyDescent="0.25">
      <c r="A1926" t="s">
        <v>13354</v>
      </c>
      <c r="B1926" t="s">
        <v>3721</v>
      </c>
      <c r="C1926" t="str">
        <f>HYPERLINK("https://nematode.unl.edu/cervid1.jpg")</f>
        <v>https://nematode.unl.edu/cervid1.jpg</v>
      </c>
      <c r="D1926" t="s">
        <v>43</v>
      </c>
      <c r="G1926" t="s">
        <v>44</v>
      </c>
      <c r="I1926" t="s">
        <v>45</v>
      </c>
      <c r="J1926" t="s">
        <v>267</v>
      </c>
      <c r="L1926" t="s">
        <v>22869</v>
      </c>
      <c r="M1926" t="s">
        <v>473</v>
      </c>
      <c r="N1926" t="s">
        <v>473</v>
      </c>
      <c r="O1926" t="s">
        <v>23</v>
      </c>
      <c r="P1926" t="s">
        <v>24</v>
      </c>
      <c r="Q1926" t="s">
        <v>25</v>
      </c>
      <c r="R1926" t="s">
        <v>473</v>
      </c>
    </row>
    <row r="1927" spans="1:18" x14ac:dyDescent="0.25">
      <c r="A1927" t="s">
        <v>13355</v>
      </c>
      <c r="B1927" t="s">
        <v>3722</v>
      </c>
      <c r="C1927" t="str">
        <f>HYPERLINK("https://nematode.unl.edu/cervid2.jpg")</f>
        <v>https://nematode.unl.edu/cervid2.jpg</v>
      </c>
      <c r="D1927" t="s">
        <v>43</v>
      </c>
      <c r="G1927" t="s">
        <v>28</v>
      </c>
      <c r="I1927" t="s">
        <v>19</v>
      </c>
      <c r="J1927" t="s">
        <v>267</v>
      </c>
      <c r="L1927" t="s">
        <v>22869</v>
      </c>
      <c r="M1927" t="s">
        <v>473</v>
      </c>
      <c r="N1927" t="s">
        <v>473</v>
      </c>
      <c r="O1927" t="s">
        <v>23</v>
      </c>
      <c r="P1927" t="s">
        <v>24</v>
      </c>
      <c r="Q1927" t="s">
        <v>25</v>
      </c>
      <c r="R1927" t="s">
        <v>473</v>
      </c>
    </row>
    <row r="1928" spans="1:18" x14ac:dyDescent="0.25">
      <c r="A1928" t="s">
        <v>13357</v>
      </c>
      <c r="B1928" t="s">
        <v>3723</v>
      </c>
      <c r="C1928" t="str">
        <f>HYPERLINK("https://nematode.unl.edu/cervid3.jpg")</f>
        <v>https://nematode.unl.edu/cervid3.jpg</v>
      </c>
      <c r="D1928" t="s">
        <v>43</v>
      </c>
      <c r="G1928" t="s">
        <v>51</v>
      </c>
      <c r="I1928" t="s">
        <v>19</v>
      </c>
      <c r="J1928" t="s">
        <v>267</v>
      </c>
      <c r="L1928" t="s">
        <v>22869</v>
      </c>
      <c r="M1928" t="s">
        <v>473</v>
      </c>
      <c r="N1928" t="s">
        <v>473</v>
      </c>
      <c r="O1928" t="s">
        <v>23</v>
      </c>
      <c r="P1928" t="s">
        <v>24</v>
      </c>
      <c r="Q1928" t="s">
        <v>25</v>
      </c>
      <c r="R1928" t="s">
        <v>473</v>
      </c>
    </row>
    <row r="1929" spans="1:18" x14ac:dyDescent="0.25">
      <c r="A1929" t="s">
        <v>13356</v>
      </c>
      <c r="B1929" t="s">
        <v>3724</v>
      </c>
      <c r="C1929" t="str">
        <f>HYPERLINK("https://nematode.unl.edu/cervid4.jpg")</f>
        <v>https://nematode.unl.edu/cervid4.jpg</v>
      </c>
      <c r="D1929" t="s">
        <v>43</v>
      </c>
      <c r="G1929" t="s">
        <v>28</v>
      </c>
      <c r="I1929" t="s">
        <v>19</v>
      </c>
      <c r="J1929" t="s">
        <v>267</v>
      </c>
      <c r="L1929" t="s">
        <v>22869</v>
      </c>
      <c r="M1929" t="s">
        <v>473</v>
      </c>
      <c r="N1929" t="s">
        <v>473</v>
      </c>
      <c r="O1929" t="s">
        <v>23</v>
      </c>
      <c r="P1929" t="s">
        <v>24</v>
      </c>
      <c r="Q1929" t="s">
        <v>25</v>
      </c>
      <c r="R1929" t="s">
        <v>473</v>
      </c>
    </row>
    <row r="1930" spans="1:18" x14ac:dyDescent="0.25">
      <c r="A1930" t="s">
        <v>13370</v>
      </c>
      <c r="B1930" t="s">
        <v>3725</v>
      </c>
      <c r="C1930" t="str">
        <f>HYPERLINK("https://nematode.unl.edu/chilo1.jpg")</f>
        <v>https://nematode.unl.edu/chilo1.jpg</v>
      </c>
      <c r="D1930" t="s">
        <v>43</v>
      </c>
      <c r="G1930" t="s">
        <v>44</v>
      </c>
      <c r="I1930" t="s">
        <v>91</v>
      </c>
      <c r="J1930" t="s">
        <v>20</v>
      </c>
      <c r="L1930" t="s">
        <v>217</v>
      </c>
      <c r="M1930" t="s">
        <v>3726</v>
      </c>
      <c r="N1930" t="s">
        <v>3726</v>
      </c>
      <c r="O1930" t="s">
        <v>23</v>
      </c>
      <c r="P1930" t="s">
        <v>24</v>
      </c>
      <c r="Q1930" t="s">
        <v>25</v>
      </c>
      <c r="R1930" t="s">
        <v>3727</v>
      </c>
    </row>
    <row r="1931" spans="1:18" x14ac:dyDescent="0.25">
      <c r="A1931" t="s">
        <v>13374</v>
      </c>
      <c r="B1931" t="s">
        <v>3728</v>
      </c>
      <c r="C1931" t="str">
        <f>HYPERLINK("https://nematode.unl.edu/chilo10.jpg")</f>
        <v>https://nematode.unl.edu/chilo10.jpg</v>
      </c>
      <c r="D1931" t="s">
        <v>43</v>
      </c>
      <c r="G1931" t="s">
        <v>28</v>
      </c>
      <c r="I1931" t="s">
        <v>19</v>
      </c>
      <c r="J1931" t="s">
        <v>20</v>
      </c>
      <c r="L1931" t="s">
        <v>141</v>
      </c>
      <c r="M1931" t="s">
        <v>3726</v>
      </c>
      <c r="N1931" t="s">
        <v>3726</v>
      </c>
      <c r="O1931" t="s">
        <v>23</v>
      </c>
      <c r="P1931" t="s">
        <v>24</v>
      </c>
      <c r="Q1931" t="s">
        <v>25</v>
      </c>
      <c r="R1931" t="s">
        <v>3727</v>
      </c>
    </row>
    <row r="1932" spans="1:18" x14ac:dyDescent="0.25">
      <c r="A1932" t="s">
        <v>13372</v>
      </c>
      <c r="B1932" t="s">
        <v>3729</v>
      </c>
      <c r="C1932" t="str">
        <f>HYPERLINK("https://nematode.unl.edu/chilo11.jpg")</f>
        <v>https://nematode.unl.edu/chilo11.jpg</v>
      </c>
      <c r="D1932" t="s">
        <v>43</v>
      </c>
      <c r="G1932" t="s">
        <v>53</v>
      </c>
      <c r="I1932" t="s">
        <v>19</v>
      </c>
      <c r="J1932" t="s">
        <v>20</v>
      </c>
      <c r="L1932" t="s">
        <v>141</v>
      </c>
      <c r="M1932" t="s">
        <v>3726</v>
      </c>
      <c r="N1932" t="s">
        <v>3726</v>
      </c>
      <c r="O1932" t="s">
        <v>23</v>
      </c>
      <c r="P1932" t="s">
        <v>24</v>
      </c>
      <c r="Q1932" t="s">
        <v>25</v>
      </c>
      <c r="R1932" t="s">
        <v>3727</v>
      </c>
    </row>
    <row r="1933" spans="1:18" x14ac:dyDescent="0.25">
      <c r="A1933" t="s">
        <v>13366</v>
      </c>
      <c r="B1933" t="s">
        <v>3730</v>
      </c>
      <c r="C1933" t="str">
        <f>HYPERLINK("https://nematode.unl.edu/chilo12.jpg")</f>
        <v>https://nematode.unl.edu/chilo12.jpg</v>
      </c>
      <c r="D1933" t="s">
        <v>43</v>
      </c>
      <c r="G1933" t="s">
        <v>34</v>
      </c>
      <c r="H1933" t="s">
        <v>18</v>
      </c>
      <c r="I1933" t="s">
        <v>41</v>
      </c>
      <c r="J1933" t="s">
        <v>20</v>
      </c>
      <c r="L1933" t="s">
        <v>352</v>
      </c>
      <c r="M1933" t="s">
        <v>3726</v>
      </c>
      <c r="N1933" t="s">
        <v>3726</v>
      </c>
      <c r="O1933" t="s">
        <v>23</v>
      </c>
      <c r="P1933" t="s">
        <v>24</v>
      </c>
      <c r="Q1933" t="s">
        <v>25</v>
      </c>
      <c r="R1933" t="s">
        <v>3727</v>
      </c>
    </row>
    <row r="1934" spans="1:18" x14ac:dyDescent="0.25">
      <c r="A1934" t="s">
        <v>13373</v>
      </c>
      <c r="B1934" t="s">
        <v>3731</v>
      </c>
      <c r="C1934" t="str">
        <f>HYPERLINK("https://nematode.unl.edu/chilo13.jpg")</f>
        <v>https://nematode.unl.edu/chilo13.jpg</v>
      </c>
      <c r="D1934" t="s">
        <v>43</v>
      </c>
      <c r="G1934" t="s">
        <v>53</v>
      </c>
      <c r="I1934" t="s">
        <v>41</v>
      </c>
      <c r="J1934" t="s">
        <v>20</v>
      </c>
      <c r="M1934" t="s">
        <v>3726</v>
      </c>
      <c r="N1934" t="s">
        <v>3726</v>
      </c>
      <c r="O1934" t="s">
        <v>23</v>
      </c>
      <c r="P1934" t="s">
        <v>24</v>
      </c>
      <c r="Q1934" t="s">
        <v>25</v>
      </c>
      <c r="R1934" t="s">
        <v>3727</v>
      </c>
    </row>
    <row r="1935" spans="1:18" x14ac:dyDescent="0.25">
      <c r="A1935" t="s">
        <v>13377</v>
      </c>
      <c r="B1935" t="s">
        <v>3732</v>
      </c>
      <c r="C1935" t="str">
        <f>HYPERLINK("https://nematode.unl.edu/chilo2.jpg")</f>
        <v>https://nematode.unl.edu/chilo2.jpg</v>
      </c>
      <c r="D1935" t="s">
        <v>43</v>
      </c>
      <c r="G1935" t="s">
        <v>51</v>
      </c>
      <c r="I1935" t="s">
        <v>19</v>
      </c>
      <c r="J1935" t="s">
        <v>20</v>
      </c>
      <c r="L1935" t="s">
        <v>193</v>
      </c>
      <c r="M1935" t="s">
        <v>3726</v>
      </c>
      <c r="N1935" t="s">
        <v>3726</v>
      </c>
      <c r="O1935" t="s">
        <v>23</v>
      </c>
      <c r="P1935" t="s">
        <v>24</v>
      </c>
      <c r="Q1935" t="s">
        <v>25</v>
      </c>
      <c r="R1935" t="s">
        <v>3727</v>
      </c>
    </row>
    <row r="1936" spans="1:18" x14ac:dyDescent="0.25">
      <c r="A1936" t="s">
        <v>13367</v>
      </c>
      <c r="B1936" t="s">
        <v>3733</v>
      </c>
      <c r="C1936" t="str">
        <f>HYPERLINK("https://nematode.unl.edu/chilo3.jpg")</f>
        <v>https://nematode.unl.edu/chilo3.jpg</v>
      </c>
      <c r="D1936" t="s">
        <v>43</v>
      </c>
      <c r="G1936" t="s">
        <v>34</v>
      </c>
      <c r="H1936" t="s">
        <v>18</v>
      </c>
      <c r="I1936" t="s">
        <v>19</v>
      </c>
      <c r="J1936" t="s">
        <v>20</v>
      </c>
      <c r="L1936" t="s">
        <v>141</v>
      </c>
      <c r="M1936" t="s">
        <v>3726</v>
      </c>
      <c r="N1936" t="s">
        <v>3726</v>
      </c>
      <c r="O1936" t="s">
        <v>23</v>
      </c>
      <c r="P1936" t="s">
        <v>24</v>
      </c>
      <c r="Q1936" t="s">
        <v>25</v>
      </c>
      <c r="R1936" t="s">
        <v>3727</v>
      </c>
    </row>
    <row r="1937" spans="1:18" x14ac:dyDescent="0.25">
      <c r="A1937" t="s">
        <v>13375</v>
      </c>
      <c r="B1937" t="s">
        <v>3734</v>
      </c>
      <c r="C1937" t="str">
        <f>HYPERLINK("https://nematode.unl.edu/chilo4.jpg")</f>
        <v>https://nematode.unl.edu/chilo4.jpg</v>
      </c>
      <c r="D1937" t="s">
        <v>43</v>
      </c>
      <c r="G1937" t="s">
        <v>28</v>
      </c>
      <c r="I1937" t="s">
        <v>19</v>
      </c>
      <c r="J1937" t="s">
        <v>20</v>
      </c>
      <c r="L1937" t="s">
        <v>64</v>
      </c>
      <c r="M1937" t="s">
        <v>3726</v>
      </c>
      <c r="N1937" t="s">
        <v>3726</v>
      </c>
      <c r="O1937" t="s">
        <v>23</v>
      </c>
      <c r="P1937" t="s">
        <v>24</v>
      </c>
      <c r="Q1937" t="s">
        <v>25</v>
      </c>
      <c r="R1937" t="s">
        <v>3727</v>
      </c>
    </row>
    <row r="1938" spans="1:18" x14ac:dyDescent="0.25">
      <c r="A1938" t="s">
        <v>13371</v>
      </c>
      <c r="B1938" t="s">
        <v>3735</v>
      </c>
      <c r="C1938" t="str">
        <f>HYPERLINK("https://nematode.unl.edu/chilo5.jpg")</f>
        <v>https://nematode.unl.edu/chilo5.jpg</v>
      </c>
      <c r="D1938" t="s">
        <v>77</v>
      </c>
      <c r="G1938" t="s">
        <v>44</v>
      </c>
      <c r="I1938" t="s">
        <v>19</v>
      </c>
      <c r="J1938" t="s">
        <v>20</v>
      </c>
      <c r="L1938" t="s">
        <v>217</v>
      </c>
      <c r="M1938" t="s">
        <v>3726</v>
      </c>
      <c r="N1938" t="s">
        <v>3726</v>
      </c>
      <c r="O1938" t="s">
        <v>23</v>
      </c>
      <c r="P1938" t="s">
        <v>24</v>
      </c>
      <c r="Q1938" t="s">
        <v>25</v>
      </c>
      <c r="R1938" t="s">
        <v>3727</v>
      </c>
    </row>
    <row r="1939" spans="1:18" x14ac:dyDescent="0.25">
      <c r="A1939" t="s">
        <v>13368</v>
      </c>
      <c r="B1939" t="s">
        <v>3736</v>
      </c>
      <c r="C1939" t="str">
        <f>HYPERLINK("https://nematode.unl.edu/chilo6.jpg")</f>
        <v>https://nematode.unl.edu/chilo6.jpg</v>
      </c>
      <c r="D1939" t="s">
        <v>77</v>
      </c>
      <c r="G1939" t="s">
        <v>34</v>
      </c>
      <c r="H1939" t="s">
        <v>18</v>
      </c>
      <c r="I1939" t="s">
        <v>19</v>
      </c>
      <c r="J1939" t="s">
        <v>20</v>
      </c>
      <c r="L1939" t="s">
        <v>64</v>
      </c>
      <c r="M1939" t="s">
        <v>3726</v>
      </c>
      <c r="N1939" t="s">
        <v>3726</v>
      </c>
      <c r="O1939" t="s">
        <v>23</v>
      </c>
      <c r="P1939" t="s">
        <v>24</v>
      </c>
      <c r="Q1939" t="s">
        <v>25</v>
      </c>
      <c r="R1939" t="s">
        <v>3727</v>
      </c>
    </row>
    <row r="1940" spans="1:18" x14ac:dyDescent="0.25">
      <c r="A1940" t="s">
        <v>13376</v>
      </c>
      <c r="B1940" t="s">
        <v>3737</v>
      </c>
      <c r="C1940" t="str">
        <f>HYPERLINK("https://nematode.unl.edu/chilo7.jpg")</f>
        <v>https://nematode.unl.edu/chilo7.jpg</v>
      </c>
      <c r="D1940" t="s">
        <v>77</v>
      </c>
      <c r="G1940" t="s">
        <v>28</v>
      </c>
      <c r="I1940" t="s">
        <v>19</v>
      </c>
      <c r="J1940" t="s">
        <v>20</v>
      </c>
      <c r="L1940" t="s">
        <v>64</v>
      </c>
      <c r="M1940" t="s">
        <v>3726</v>
      </c>
      <c r="N1940" t="s">
        <v>3726</v>
      </c>
      <c r="O1940" t="s">
        <v>23</v>
      </c>
      <c r="P1940" t="s">
        <v>24</v>
      </c>
      <c r="Q1940" t="s">
        <v>25</v>
      </c>
      <c r="R1940" t="s">
        <v>3727</v>
      </c>
    </row>
    <row r="1941" spans="1:18" x14ac:dyDescent="0.25">
      <c r="A1941" t="s">
        <v>13369</v>
      </c>
      <c r="B1941" t="s">
        <v>3738</v>
      </c>
      <c r="C1941" t="str">
        <f>HYPERLINK("https://nematode.unl.edu/chilo8.jpg")</f>
        <v>https://nematode.unl.edu/chilo8.jpg</v>
      </c>
      <c r="D1941" t="s">
        <v>43</v>
      </c>
      <c r="G1941" t="s">
        <v>34</v>
      </c>
      <c r="H1941" t="s">
        <v>18</v>
      </c>
      <c r="I1941" t="s">
        <v>19</v>
      </c>
      <c r="J1941" t="s">
        <v>20</v>
      </c>
      <c r="L1941" t="s">
        <v>141</v>
      </c>
      <c r="M1941" t="s">
        <v>3726</v>
      </c>
      <c r="N1941" t="s">
        <v>3726</v>
      </c>
      <c r="O1941" t="s">
        <v>23</v>
      </c>
      <c r="P1941" t="s">
        <v>24</v>
      </c>
      <c r="Q1941" t="s">
        <v>25</v>
      </c>
      <c r="R1941" t="s">
        <v>3727</v>
      </c>
    </row>
    <row r="1942" spans="1:18" x14ac:dyDescent="0.25">
      <c r="A1942" t="s">
        <v>13378</v>
      </c>
      <c r="B1942" t="s">
        <v>3739</v>
      </c>
      <c r="C1942" t="str">
        <f>HYPERLINK("https://nematode.unl.edu/chilo9.jpg")</f>
        <v>https://nematode.unl.edu/chilo9.jpg</v>
      </c>
      <c r="D1942" t="s">
        <v>43</v>
      </c>
      <c r="G1942" t="s">
        <v>51</v>
      </c>
      <c r="I1942" t="s">
        <v>19</v>
      </c>
      <c r="J1942" t="s">
        <v>20</v>
      </c>
      <c r="L1942" t="s">
        <v>141</v>
      </c>
      <c r="M1942" t="s">
        <v>3726</v>
      </c>
      <c r="N1942" t="s">
        <v>3726</v>
      </c>
      <c r="O1942" t="s">
        <v>23</v>
      </c>
      <c r="P1942" t="s">
        <v>24</v>
      </c>
      <c r="Q1942" t="s">
        <v>25</v>
      </c>
      <c r="R1942" t="s">
        <v>3727</v>
      </c>
    </row>
    <row r="1943" spans="1:18" x14ac:dyDescent="0.25">
      <c r="A1943" t="s">
        <v>13409</v>
      </c>
      <c r="B1943" t="s">
        <v>3740</v>
      </c>
      <c r="C1943" t="str">
        <f>HYPERLINK("https://nematode.unl.edu/chilos1.jpg")</f>
        <v>https://nematode.unl.edu/chilos1.jpg</v>
      </c>
      <c r="D1943" t="s">
        <v>16</v>
      </c>
      <c r="G1943" t="s">
        <v>28</v>
      </c>
      <c r="I1943" t="s">
        <v>19</v>
      </c>
      <c r="J1943" t="s">
        <v>20</v>
      </c>
      <c r="M1943" t="s">
        <v>3741</v>
      </c>
      <c r="N1943" t="s">
        <v>3741</v>
      </c>
      <c r="O1943" t="s">
        <v>23</v>
      </c>
      <c r="P1943" t="s">
        <v>24</v>
      </c>
      <c r="Q1943" t="s">
        <v>25</v>
      </c>
      <c r="R1943" t="s">
        <v>3727</v>
      </c>
    </row>
    <row r="1944" spans="1:18" x14ac:dyDescent="0.25">
      <c r="A1944" t="s">
        <v>13410</v>
      </c>
      <c r="B1944" t="s">
        <v>3742</v>
      </c>
      <c r="C1944" t="str">
        <f>HYPERLINK("https://nematode.unl.edu/chilos10.jpg")</f>
        <v>https://nematode.unl.edu/chilos10.jpg</v>
      </c>
      <c r="D1944" t="s">
        <v>43</v>
      </c>
      <c r="G1944" t="s">
        <v>28</v>
      </c>
      <c r="I1944" t="s">
        <v>19</v>
      </c>
      <c r="J1944" t="s">
        <v>20</v>
      </c>
      <c r="L1944" t="s">
        <v>29</v>
      </c>
      <c r="M1944" t="s">
        <v>3741</v>
      </c>
      <c r="N1944" t="s">
        <v>3741</v>
      </c>
      <c r="O1944" t="s">
        <v>23</v>
      </c>
      <c r="P1944" t="s">
        <v>24</v>
      </c>
      <c r="Q1944" t="s">
        <v>25</v>
      </c>
      <c r="R1944" t="s">
        <v>3727</v>
      </c>
    </row>
    <row r="1945" spans="1:18" x14ac:dyDescent="0.25">
      <c r="A1945" t="s">
        <v>13400</v>
      </c>
      <c r="B1945" t="s">
        <v>3743</v>
      </c>
      <c r="C1945" t="str">
        <f>HYPERLINK("https://nematode.unl.edu/chilos11.jpg")</f>
        <v>https://nematode.unl.edu/chilos11.jpg</v>
      </c>
      <c r="D1945" t="s">
        <v>43</v>
      </c>
      <c r="G1945" t="s">
        <v>53</v>
      </c>
      <c r="I1945" t="s">
        <v>19</v>
      </c>
      <c r="J1945" t="s">
        <v>20</v>
      </c>
      <c r="L1945" t="s">
        <v>38</v>
      </c>
      <c r="M1945" t="s">
        <v>3741</v>
      </c>
      <c r="N1945" t="s">
        <v>3741</v>
      </c>
      <c r="O1945" t="s">
        <v>23</v>
      </c>
      <c r="P1945" t="s">
        <v>24</v>
      </c>
      <c r="Q1945" t="s">
        <v>25</v>
      </c>
      <c r="R1945" t="s">
        <v>3727</v>
      </c>
    </row>
    <row r="1946" spans="1:18" x14ac:dyDescent="0.25">
      <c r="A1946" t="s">
        <v>13420</v>
      </c>
      <c r="B1946" t="s">
        <v>3744</v>
      </c>
      <c r="C1946" t="str">
        <f>HYPERLINK("https://nematode.unl.edu/chilos12.jpg")</f>
        <v>https://nematode.unl.edu/chilos12.jpg</v>
      </c>
      <c r="D1946" t="s">
        <v>43</v>
      </c>
      <c r="G1946" t="s">
        <v>51</v>
      </c>
      <c r="I1946" t="s">
        <v>19</v>
      </c>
      <c r="J1946" t="s">
        <v>20</v>
      </c>
      <c r="L1946" t="s">
        <v>38</v>
      </c>
      <c r="M1946" t="s">
        <v>3741</v>
      </c>
      <c r="N1946" t="s">
        <v>3741</v>
      </c>
      <c r="O1946" t="s">
        <v>23</v>
      </c>
      <c r="P1946" t="s">
        <v>24</v>
      </c>
      <c r="Q1946" t="s">
        <v>25</v>
      </c>
      <c r="R1946" t="s">
        <v>3727</v>
      </c>
    </row>
    <row r="1947" spans="1:18" x14ac:dyDescent="0.25">
      <c r="A1947" t="s">
        <v>13379</v>
      </c>
      <c r="B1947" t="s">
        <v>3745</v>
      </c>
      <c r="C1947" t="str">
        <f>HYPERLINK("https://nematode.unl.edu/chilos13.jpg")</f>
        <v>https://nematode.unl.edu/chilos13.jpg</v>
      </c>
      <c r="D1947" t="s">
        <v>43</v>
      </c>
      <c r="G1947" t="s">
        <v>34</v>
      </c>
      <c r="H1947" t="s">
        <v>18</v>
      </c>
      <c r="I1947" t="s">
        <v>19</v>
      </c>
      <c r="J1947" t="s">
        <v>20</v>
      </c>
      <c r="L1947" t="s">
        <v>29</v>
      </c>
      <c r="M1947" t="s">
        <v>3741</v>
      </c>
      <c r="N1947" t="s">
        <v>3741</v>
      </c>
      <c r="O1947" t="s">
        <v>23</v>
      </c>
      <c r="P1947" t="s">
        <v>24</v>
      </c>
      <c r="Q1947" t="s">
        <v>25</v>
      </c>
      <c r="R1947" t="s">
        <v>3727</v>
      </c>
    </row>
    <row r="1948" spans="1:18" x14ac:dyDescent="0.25">
      <c r="A1948" t="s">
        <v>13394</v>
      </c>
      <c r="B1948" t="s">
        <v>3746</v>
      </c>
      <c r="C1948" t="str">
        <f>HYPERLINK("https://nematode.unl.edu/chilos14.jpg")</f>
        <v>https://nematode.unl.edu/chilos14.jpg</v>
      </c>
      <c r="D1948" t="s">
        <v>77</v>
      </c>
      <c r="G1948" t="s">
        <v>44</v>
      </c>
      <c r="I1948" t="s">
        <v>91</v>
      </c>
      <c r="J1948" t="s">
        <v>20</v>
      </c>
      <c r="L1948" t="s">
        <v>220</v>
      </c>
      <c r="M1948" t="s">
        <v>3741</v>
      </c>
      <c r="N1948" t="s">
        <v>3741</v>
      </c>
      <c r="O1948" t="s">
        <v>23</v>
      </c>
      <c r="P1948" t="s">
        <v>24</v>
      </c>
      <c r="Q1948" t="s">
        <v>25</v>
      </c>
      <c r="R1948" t="s">
        <v>3727</v>
      </c>
    </row>
    <row r="1949" spans="1:18" x14ac:dyDescent="0.25">
      <c r="A1949" t="s">
        <v>13411</v>
      </c>
      <c r="B1949" t="s">
        <v>3747</v>
      </c>
      <c r="C1949" t="str">
        <f>HYPERLINK("https://nematode.unl.edu/chilos15.jpg")</f>
        <v>https://nematode.unl.edu/chilos15.jpg</v>
      </c>
      <c r="D1949" t="s">
        <v>77</v>
      </c>
      <c r="G1949" t="s">
        <v>28</v>
      </c>
      <c r="I1949" t="s">
        <v>19</v>
      </c>
      <c r="J1949" t="s">
        <v>20</v>
      </c>
      <c r="M1949" t="s">
        <v>3741</v>
      </c>
      <c r="N1949" t="s">
        <v>3741</v>
      </c>
      <c r="O1949" t="s">
        <v>23</v>
      </c>
      <c r="P1949" t="s">
        <v>24</v>
      </c>
      <c r="Q1949" t="s">
        <v>25</v>
      </c>
      <c r="R1949" t="s">
        <v>3727</v>
      </c>
    </row>
    <row r="1950" spans="1:18" x14ac:dyDescent="0.25">
      <c r="A1950" t="s">
        <v>13380</v>
      </c>
      <c r="B1950" t="s">
        <v>3748</v>
      </c>
      <c r="C1950" t="str">
        <f>HYPERLINK("https://nematode.unl.edu/chilos16.jpg")</f>
        <v>https://nematode.unl.edu/chilos16.jpg</v>
      </c>
      <c r="D1950" t="s">
        <v>43</v>
      </c>
      <c r="G1950" t="s">
        <v>34</v>
      </c>
      <c r="H1950" t="s">
        <v>18</v>
      </c>
      <c r="I1950" t="s">
        <v>137</v>
      </c>
      <c r="J1950" t="s">
        <v>20</v>
      </c>
      <c r="L1950" t="s">
        <v>138</v>
      </c>
      <c r="M1950" t="s">
        <v>3741</v>
      </c>
      <c r="N1950" t="s">
        <v>3741</v>
      </c>
      <c r="O1950" t="s">
        <v>23</v>
      </c>
      <c r="P1950" t="s">
        <v>24</v>
      </c>
      <c r="Q1950" t="s">
        <v>25</v>
      </c>
      <c r="R1950" t="s">
        <v>3727</v>
      </c>
    </row>
    <row r="1951" spans="1:18" x14ac:dyDescent="0.25">
      <c r="A1951" t="s">
        <v>13421</v>
      </c>
      <c r="B1951" t="s">
        <v>3749</v>
      </c>
      <c r="C1951" t="str">
        <f>HYPERLINK("https://nematode.unl.edu/chilos17.jpg")</f>
        <v>https://nematode.unl.edu/chilos17.jpg</v>
      </c>
      <c r="D1951" t="s">
        <v>43</v>
      </c>
      <c r="G1951" t="s">
        <v>51</v>
      </c>
      <c r="I1951" t="s">
        <v>137</v>
      </c>
      <c r="J1951" t="s">
        <v>20</v>
      </c>
      <c r="M1951" t="s">
        <v>3741</v>
      </c>
      <c r="N1951" t="s">
        <v>3741</v>
      </c>
      <c r="O1951" t="s">
        <v>23</v>
      </c>
      <c r="P1951" t="s">
        <v>24</v>
      </c>
      <c r="Q1951" t="s">
        <v>25</v>
      </c>
      <c r="R1951" t="s">
        <v>3727</v>
      </c>
    </row>
    <row r="1952" spans="1:18" x14ac:dyDescent="0.25">
      <c r="A1952" t="s">
        <v>13412</v>
      </c>
      <c r="B1952" t="s">
        <v>3750</v>
      </c>
      <c r="C1952" t="str">
        <f>HYPERLINK("https://nematode.unl.edu/chilos18.jpg")</f>
        <v>https://nematode.unl.edu/chilos18.jpg</v>
      </c>
      <c r="D1952" t="s">
        <v>43</v>
      </c>
      <c r="G1952" t="s">
        <v>28</v>
      </c>
      <c r="I1952" t="s">
        <v>137</v>
      </c>
      <c r="J1952" t="s">
        <v>20</v>
      </c>
      <c r="M1952" t="s">
        <v>3741</v>
      </c>
      <c r="N1952" t="s">
        <v>3741</v>
      </c>
      <c r="O1952" t="s">
        <v>23</v>
      </c>
      <c r="P1952" t="s">
        <v>24</v>
      </c>
      <c r="Q1952" t="s">
        <v>25</v>
      </c>
      <c r="R1952" t="s">
        <v>3727</v>
      </c>
    </row>
    <row r="1953" spans="1:18" x14ac:dyDescent="0.25">
      <c r="A1953" t="s">
        <v>13381</v>
      </c>
      <c r="B1953" t="s">
        <v>3751</v>
      </c>
      <c r="C1953" t="str">
        <f>HYPERLINK("https://nematode.unl.edu/chilos19.jpg")</f>
        <v>https://nematode.unl.edu/chilos19.jpg</v>
      </c>
      <c r="D1953" t="s">
        <v>43</v>
      </c>
      <c r="G1953" t="s">
        <v>34</v>
      </c>
      <c r="H1953" t="s">
        <v>18</v>
      </c>
      <c r="I1953" t="s">
        <v>19</v>
      </c>
      <c r="J1953" t="s">
        <v>20</v>
      </c>
      <c r="M1953" t="s">
        <v>3741</v>
      </c>
      <c r="N1953" t="s">
        <v>3741</v>
      </c>
      <c r="O1953" t="s">
        <v>23</v>
      </c>
      <c r="P1953" t="s">
        <v>24</v>
      </c>
      <c r="Q1953" t="s">
        <v>25</v>
      </c>
      <c r="R1953" t="s">
        <v>3727</v>
      </c>
    </row>
    <row r="1954" spans="1:18" x14ac:dyDescent="0.25">
      <c r="A1954" t="s">
        <v>13382</v>
      </c>
      <c r="B1954" t="s">
        <v>3752</v>
      </c>
      <c r="C1954" t="str">
        <f>HYPERLINK("https://nematode.unl.edu/chilos2.jpg")</f>
        <v>https://nematode.unl.edu/chilos2.jpg</v>
      </c>
      <c r="D1954" t="s">
        <v>16</v>
      </c>
      <c r="G1954" t="s">
        <v>34</v>
      </c>
      <c r="H1954" t="s">
        <v>18</v>
      </c>
      <c r="I1954" t="s">
        <v>19</v>
      </c>
      <c r="J1954" t="s">
        <v>20</v>
      </c>
      <c r="L1954" t="s">
        <v>220</v>
      </c>
      <c r="M1954" t="s">
        <v>3741</v>
      </c>
      <c r="N1954" t="s">
        <v>3741</v>
      </c>
      <c r="O1954" t="s">
        <v>23</v>
      </c>
      <c r="P1954" t="s">
        <v>24</v>
      </c>
      <c r="Q1954" t="s">
        <v>25</v>
      </c>
      <c r="R1954" t="s">
        <v>3727</v>
      </c>
    </row>
    <row r="1955" spans="1:18" x14ac:dyDescent="0.25">
      <c r="A1955" t="s">
        <v>13383</v>
      </c>
      <c r="B1955" t="s">
        <v>3753</v>
      </c>
      <c r="C1955" t="str">
        <f>HYPERLINK("https://nematode.unl.edu/chilos20.jpg")</f>
        <v>https://nematode.unl.edu/chilos20.jpg</v>
      </c>
      <c r="D1955" t="s">
        <v>16</v>
      </c>
      <c r="G1955" t="s">
        <v>34</v>
      </c>
      <c r="H1955" t="s">
        <v>18</v>
      </c>
      <c r="I1955" t="s">
        <v>41</v>
      </c>
      <c r="J1955" t="s">
        <v>20</v>
      </c>
      <c r="M1955" t="s">
        <v>3741</v>
      </c>
      <c r="N1955" t="s">
        <v>3741</v>
      </c>
      <c r="O1955" t="s">
        <v>23</v>
      </c>
      <c r="P1955" t="s">
        <v>24</v>
      </c>
      <c r="Q1955" t="s">
        <v>25</v>
      </c>
      <c r="R1955" t="s">
        <v>3727</v>
      </c>
    </row>
    <row r="1956" spans="1:18" x14ac:dyDescent="0.25">
      <c r="A1956" t="s">
        <v>13403</v>
      </c>
      <c r="B1956" t="s">
        <v>3754</v>
      </c>
      <c r="C1956" t="str">
        <f>HYPERLINK("https://nematode.unl.edu/chilos21.jpg")</f>
        <v>https://nematode.unl.edu/chilos21.jpg</v>
      </c>
      <c r="D1956" t="s">
        <v>16</v>
      </c>
      <c r="G1956" t="s">
        <v>3755</v>
      </c>
      <c r="I1956" t="s">
        <v>41</v>
      </c>
      <c r="J1956" t="s">
        <v>20</v>
      </c>
      <c r="M1956" t="s">
        <v>3741</v>
      </c>
      <c r="N1956" t="s">
        <v>3741</v>
      </c>
      <c r="O1956" t="s">
        <v>23</v>
      </c>
      <c r="P1956" t="s">
        <v>24</v>
      </c>
      <c r="Q1956" t="s">
        <v>25</v>
      </c>
      <c r="R1956" t="s">
        <v>3727</v>
      </c>
    </row>
    <row r="1957" spans="1:18" x14ac:dyDescent="0.25">
      <c r="A1957" t="s">
        <v>13391</v>
      </c>
      <c r="B1957" t="s">
        <v>3756</v>
      </c>
      <c r="C1957" t="str">
        <f>HYPERLINK("https://nematode.unl.edu/chilos22.jpg")</f>
        <v>https://nematode.unl.edu/chilos22.jpg</v>
      </c>
      <c r="D1957" t="s">
        <v>16</v>
      </c>
      <c r="G1957" t="s">
        <v>384</v>
      </c>
      <c r="I1957" t="s">
        <v>41</v>
      </c>
      <c r="J1957" t="s">
        <v>20</v>
      </c>
      <c r="M1957" t="s">
        <v>3741</v>
      </c>
      <c r="N1957" t="s">
        <v>3741</v>
      </c>
      <c r="O1957" t="s">
        <v>23</v>
      </c>
      <c r="P1957" t="s">
        <v>24</v>
      </c>
      <c r="Q1957" t="s">
        <v>25</v>
      </c>
      <c r="R1957" t="s">
        <v>3727</v>
      </c>
    </row>
    <row r="1958" spans="1:18" x14ac:dyDescent="0.25">
      <c r="A1958" t="s">
        <v>13384</v>
      </c>
      <c r="B1958" t="s">
        <v>3757</v>
      </c>
      <c r="C1958" t="str">
        <f>HYPERLINK("https://nematode.unl.edu/chilos23.jpg")</f>
        <v>https://nematode.unl.edu/chilos23.jpg</v>
      </c>
      <c r="D1958" t="s">
        <v>16</v>
      </c>
      <c r="G1958" t="s">
        <v>34</v>
      </c>
      <c r="H1958" t="s">
        <v>18</v>
      </c>
      <c r="I1958" t="s">
        <v>19</v>
      </c>
      <c r="J1958" t="s">
        <v>20</v>
      </c>
      <c r="L1958" t="s">
        <v>220</v>
      </c>
      <c r="M1958" t="s">
        <v>3741</v>
      </c>
      <c r="N1958" t="s">
        <v>3741</v>
      </c>
      <c r="O1958" t="s">
        <v>23</v>
      </c>
      <c r="P1958" t="s">
        <v>24</v>
      </c>
      <c r="Q1958" t="s">
        <v>25</v>
      </c>
      <c r="R1958" t="s">
        <v>3727</v>
      </c>
    </row>
    <row r="1959" spans="1:18" x14ac:dyDescent="0.25">
      <c r="A1959" t="s">
        <v>13413</v>
      </c>
      <c r="B1959" t="s">
        <v>3758</v>
      </c>
      <c r="C1959" t="str">
        <f>HYPERLINK("https://nematode.unl.edu/chilos24.jpg")</f>
        <v>https://nematode.unl.edu/chilos24.jpg</v>
      </c>
      <c r="D1959" t="s">
        <v>16</v>
      </c>
      <c r="G1959" t="s">
        <v>28</v>
      </c>
      <c r="I1959" t="s">
        <v>19</v>
      </c>
      <c r="J1959" t="s">
        <v>20</v>
      </c>
      <c r="M1959" t="s">
        <v>3741</v>
      </c>
      <c r="N1959" t="s">
        <v>3741</v>
      </c>
      <c r="O1959" t="s">
        <v>23</v>
      </c>
      <c r="P1959" t="s">
        <v>24</v>
      </c>
      <c r="Q1959" t="s">
        <v>25</v>
      </c>
      <c r="R1959" t="s">
        <v>3727</v>
      </c>
    </row>
    <row r="1960" spans="1:18" x14ac:dyDescent="0.25">
      <c r="A1960" t="s">
        <v>13414</v>
      </c>
      <c r="B1960" t="s">
        <v>3759</v>
      </c>
      <c r="C1960" t="str">
        <f>HYPERLINK("https://nematode.unl.edu/chilos25.jpg")</f>
        <v>https://nematode.unl.edu/chilos25.jpg</v>
      </c>
      <c r="D1960" t="s">
        <v>43</v>
      </c>
      <c r="G1960" t="s">
        <v>28</v>
      </c>
      <c r="I1960" t="s">
        <v>19</v>
      </c>
      <c r="J1960" t="s">
        <v>20</v>
      </c>
      <c r="L1960" t="s">
        <v>35</v>
      </c>
      <c r="M1960" t="s">
        <v>3741</v>
      </c>
      <c r="N1960" t="s">
        <v>3741</v>
      </c>
      <c r="O1960" t="s">
        <v>23</v>
      </c>
      <c r="P1960" t="s">
        <v>24</v>
      </c>
      <c r="Q1960" t="s">
        <v>25</v>
      </c>
      <c r="R1960" t="s">
        <v>3727</v>
      </c>
    </row>
    <row r="1961" spans="1:18" x14ac:dyDescent="0.25">
      <c r="A1961" t="s">
        <v>13385</v>
      </c>
      <c r="B1961" t="s">
        <v>3760</v>
      </c>
      <c r="C1961" t="str">
        <f>HYPERLINK("https://nematode.unl.edu/chilos26.jpg")</f>
        <v>https://nematode.unl.edu/chilos26.jpg</v>
      </c>
      <c r="D1961" t="s">
        <v>43</v>
      </c>
      <c r="G1961" t="s">
        <v>34</v>
      </c>
      <c r="H1961" t="s">
        <v>18</v>
      </c>
      <c r="I1961" t="s">
        <v>19</v>
      </c>
      <c r="J1961" t="s">
        <v>20</v>
      </c>
      <c r="L1961" t="s">
        <v>35</v>
      </c>
      <c r="M1961" t="s">
        <v>3741</v>
      </c>
      <c r="N1961" t="s">
        <v>3741</v>
      </c>
      <c r="O1961" t="s">
        <v>23</v>
      </c>
      <c r="P1961" t="s">
        <v>24</v>
      </c>
      <c r="Q1961" t="s">
        <v>25</v>
      </c>
      <c r="R1961" t="s">
        <v>3727</v>
      </c>
    </row>
    <row r="1962" spans="1:18" x14ac:dyDescent="0.25">
      <c r="A1962" t="s">
        <v>13392</v>
      </c>
      <c r="B1962" t="s">
        <v>3761</v>
      </c>
      <c r="C1962" t="str">
        <f>HYPERLINK("https://nematode.unl.edu/chilos27.jpg")</f>
        <v>https://nematode.unl.edu/chilos27.jpg</v>
      </c>
      <c r="D1962" t="s">
        <v>43</v>
      </c>
      <c r="G1962" t="s">
        <v>87</v>
      </c>
      <c r="I1962" t="s">
        <v>19</v>
      </c>
      <c r="J1962" t="s">
        <v>20</v>
      </c>
      <c r="L1962" t="s">
        <v>35</v>
      </c>
      <c r="M1962" t="s">
        <v>3741</v>
      </c>
      <c r="N1962" t="s">
        <v>3741</v>
      </c>
      <c r="O1962" t="s">
        <v>23</v>
      </c>
      <c r="P1962" t="s">
        <v>24</v>
      </c>
      <c r="Q1962" t="s">
        <v>25</v>
      </c>
      <c r="R1962" t="s">
        <v>3727</v>
      </c>
    </row>
    <row r="1963" spans="1:18" x14ac:dyDescent="0.25">
      <c r="A1963" t="s">
        <v>13395</v>
      </c>
      <c r="B1963" t="s">
        <v>3762</v>
      </c>
      <c r="C1963" t="str">
        <f>HYPERLINK("https://nematode.unl.edu/chilos28.jpg")</f>
        <v>https://nematode.unl.edu/chilos28.jpg</v>
      </c>
      <c r="D1963" t="s">
        <v>43</v>
      </c>
      <c r="G1963" t="s">
        <v>44</v>
      </c>
      <c r="I1963" t="s">
        <v>45</v>
      </c>
      <c r="J1963" t="s">
        <v>20</v>
      </c>
      <c r="M1963" t="s">
        <v>3741</v>
      </c>
      <c r="N1963" t="s">
        <v>3741</v>
      </c>
      <c r="O1963" t="s">
        <v>23</v>
      </c>
      <c r="P1963" t="s">
        <v>24</v>
      </c>
      <c r="Q1963" t="s">
        <v>25</v>
      </c>
      <c r="R1963" t="s">
        <v>3727</v>
      </c>
    </row>
    <row r="1964" spans="1:18" x14ac:dyDescent="0.25">
      <c r="A1964" t="s">
        <v>13422</v>
      </c>
      <c r="B1964" t="s">
        <v>3763</v>
      </c>
      <c r="C1964" t="str">
        <f>HYPERLINK("https://nematode.unl.edu/chilos29.jpg")</f>
        <v>https://nematode.unl.edu/chilos29.jpg</v>
      </c>
      <c r="D1964" t="s">
        <v>43</v>
      </c>
      <c r="G1964" t="s">
        <v>51</v>
      </c>
      <c r="I1964" t="s">
        <v>19</v>
      </c>
      <c r="J1964" t="s">
        <v>20</v>
      </c>
      <c r="M1964" t="s">
        <v>3741</v>
      </c>
      <c r="N1964" t="s">
        <v>3741</v>
      </c>
      <c r="O1964" t="s">
        <v>23</v>
      </c>
      <c r="P1964" t="s">
        <v>24</v>
      </c>
      <c r="Q1964" t="s">
        <v>25</v>
      </c>
      <c r="R1964" t="s">
        <v>3727</v>
      </c>
    </row>
    <row r="1965" spans="1:18" x14ac:dyDescent="0.25">
      <c r="A1965" t="s">
        <v>13415</v>
      </c>
      <c r="B1965" t="s">
        <v>3764</v>
      </c>
      <c r="C1965" t="str">
        <f>HYPERLINK("https://nematode.unl.edu/chilos3.jpg")</f>
        <v>https://nematode.unl.edu/chilos3.jpg</v>
      </c>
      <c r="D1965" t="s">
        <v>77</v>
      </c>
      <c r="G1965" t="s">
        <v>28</v>
      </c>
      <c r="I1965" t="s">
        <v>137</v>
      </c>
      <c r="J1965" t="s">
        <v>20</v>
      </c>
      <c r="M1965" t="s">
        <v>3741</v>
      </c>
      <c r="N1965" t="s">
        <v>3741</v>
      </c>
      <c r="O1965" t="s">
        <v>23</v>
      </c>
      <c r="P1965" t="s">
        <v>24</v>
      </c>
      <c r="Q1965" t="s">
        <v>25</v>
      </c>
      <c r="R1965" t="s">
        <v>3727</v>
      </c>
    </row>
    <row r="1966" spans="1:18" x14ac:dyDescent="0.25">
      <c r="A1966" t="s">
        <v>13386</v>
      </c>
      <c r="B1966" t="s">
        <v>3765</v>
      </c>
      <c r="C1966" t="str">
        <f>HYPERLINK("https://nematode.unl.edu/chilos30.jpg")</f>
        <v>https://nematode.unl.edu/chilos30.jpg</v>
      </c>
      <c r="D1966" t="s">
        <v>43</v>
      </c>
      <c r="G1966" t="s">
        <v>34</v>
      </c>
      <c r="H1966" t="s">
        <v>18</v>
      </c>
      <c r="I1966" t="s">
        <v>41</v>
      </c>
      <c r="J1966" t="s">
        <v>20</v>
      </c>
      <c r="M1966" t="s">
        <v>3741</v>
      </c>
      <c r="N1966" t="s">
        <v>3741</v>
      </c>
      <c r="O1966" t="s">
        <v>23</v>
      </c>
      <c r="P1966" t="s">
        <v>24</v>
      </c>
      <c r="Q1966" t="s">
        <v>25</v>
      </c>
      <c r="R1966" t="s">
        <v>3727</v>
      </c>
    </row>
    <row r="1967" spans="1:18" x14ac:dyDescent="0.25">
      <c r="A1967" t="s">
        <v>13423</v>
      </c>
      <c r="B1967" t="s">
        <v>3766</v>
      </c>
      <c r="C1967" t="str">
        <f>HYPERLINK("https://nematode.unl.edu/chilos31.jpg")</f>
        <v>https://nematode.unl.edu/chilos31.jpg</v>
      </c>
      <c r="D1967" t="s">
        <v>43</v>
      </c>
      <c r="G1967" t="s">
        <v>51</v>
      </c>
      <c r="I1967" t="s">
        <v>19</v>
      </c>
      <c r="J1967" t="s">
        <v>20</v>
      </c>
      <c r="M1967" t="s">
        <v>3741</v>
      </c>
      <c r="N1967" t="s">
        <v>3741</v>
      </c>
      <c r="O1967" t="s">
        <v>23</v>
      </c>
      <c r="P1967" t="s">
        <v>24</v>
      </c>
      <c r="Q1967" t="s">
        <v>25</v>
      </c>
      <c r="R1967" t="s">
        <v>3727</v>
      </c>
    </row>
    <row r="1968" spans="1:18" x14ac:dyDescent="0.25">
      <c r="A1968" t="s">
        <v>13416</v>
      </c>
      <c r="B1968" t="s">
        <v>3767</v>
      </c>
      <c r="C1968" t="str">
        <f>HYPERLINK("https://nematode.unl.edu/chilos32.jpg")</f>
        <v>https://nematode.unl.edu/chilos32.jpg</v>
      </c>
      <c r="D1968" t="s">
        <v>43</v>
      </c>
      <c r="G1968" t="s">
        <v>28</v>
      </c>
      <c r="I1968" t="s">
        <v>19</v>
      </c>
      <c r="J1968" t="s">
        <v>20</v>
      </c>
      <c r="L1968" t="s">
        <v>29</v>
      </c>
      <c r="M1968" t="s">
        <v>3741</v>
      </c>
      <c r="N1968" t="s">
        <v>3741</v>
      </c>
      <c r="O1968" t="s">
        <v>23</v>
      </c>
      <c r="P1968" t="s">
        <v>24</v>
      </c>
      <c r="Q1968" t="s">
        <v>25</v>
      </c>
      <c r="R1968" t="s">
        <v>3727</v>
      </c>
    </row>
    <row r="1969" spans="1:18" x14ac:dyDescent="0.25">
      <c r="A1969" t="s">
        <v>13401</v>
      </c>
      <c r="B1969" t="s">
        <v>3768</v>
      </c>
      <c r="C1969" t="str">
        <f>HYPERLINK("https://nematode.unl.edu/chilos33.jpg")</f>
        <v>https://nematode.unl.edu/chilos33.jpg</v>
      </c>
      <c r="D1969" t="s">
        <v>43</v>
      </c>
      <c r="G1969" t="s">
        <v>53</v>
      </c>
      <c r="I1969" t="s">
        <v>19</v>
      </c>
      <c r="J1969" t="s">
        <v>20</v>
      </c>
      <c r="M1969" t="s">
        <v>3741</v>
      </c>
      <c r="N1969" t="s">
        <v>3741</v>
      </c>
      <c r="O1969" t="s">
        <v>23</v>
      </c>
      <c r="P1969" t="s">
        <v>24</v>
      </c>
      <c r="Q1969" t="s">
        <v>25</v>
      </c>
      <c r="R1969" t="s">
        <v>3727</v>
      </c>
    </row>
    <row r="1970" spans="1:18" x14ac:dyDescent="0.25">
      <c r="A1970" t="s">
        <v>13417</v>
      </c>
      <c r="B1970" t="s">
        <v>3769</v>
      </c>
      <c r="C1970" t="str">
        <f>HYPERLINK("https://nematode.unl.edu/chilos34.jpg")</f>
        <v>https://nematode.unl.edu/chilos34.jpg</v>
      </c>
      <c r="D1970" t="s">
        <v>43</v>
      </c>
      <c r="G1970" t="s">
        <v>28</v>
      </c>
      <c r="I1970" t="s">
        <v>19</v>
      </c>
      <c r="J1970" t="s">
        <v>20</v>
      </c>
      <c r="M1970" t="s">
        <v>3741</v>
      </c>
      <c r="N1970" t="s">
        <v>3741</v>
      </c>
      <c r="O1970" t="s">
        <v>23</v>
      </c>
      <c r="P1970" t="s">
        <v>24</v>
      </c>
      <c r="Q1970" t="s">
        <v>25</v>
      </c>
      <c r="R1970" t="s">
        <v>3727</v>
      </c>
    </row>
    <row r="1971" spans="1:18" x14ac:dyDescent="0.25">
      <c r="A1971" t="s">
        <v>13387</v>
      </c>
      <c r="B1971" t="s">
        <v>3770</v>
      </c>
      <c r="C1971" t="str">
        <f>HYPERLINK("https://nematode.unl.edu/chilos35.jpg")</f>
        <v>https://nematode.unl.edu/chilos35.jpg</v>
      </c>
      <c r="D1971" t="s">
        <v>77</v>
      </c>
      <c r="G1971" t="s">
        <v>34</v>
      </c>
      <c r="H1971" t="s">
        <v>18</v>
      </c>
      <c r="I1971" t="s">
        <v>137</v>
      </c>
      <c r="J1971" t="s">
        <v>20</v>
      </c>
      <c r="L1971" t="s">
        <v>173</v>
      </c>
      <c r="M1971" t="s">
        <v>3741</v>
      </c>
      <c r="N1971" t="s">
        <v>3741</v>
      </c>
      <c r="O1971" t="s">
        <v>23</v>
      </c>
      <c r="P1971" t="s">
        <v>24</v>
      </c>
      <c r="Q1971" t="s">
        <v>25</v>
      </c>
      <c r="R1971" t="s">
        <v>3727</v>
      </c>
    </row>
    <row r="1972" spans="1:18" x14ac:dyDescent="0.25">
      <c r="A1972" t="s">
        <v>13407</v>
      </c>
      <c r="B1972" t="s">
        <v>3771</v>
      </c>
      <c r="C1972" t="str">
        <f>HYPERLINK("https://nematode.unl.edu/chilos36.jpg")</f>
        <v>https://nematode.unl.edu/chilos36.jpg</v>
      </c>
      <c r="D1972" t="s">
        <v>77</v>
      </c>
      <c r="G1972" t="s">
        <v>112</v>
      </c>
      <c r="I1972" t="s">
        <v>19</v>
      </c>
      <c r="J1972" t="s">
        <v>20</v>
      </c>
      <c r="M1972" t="s">
        <v>3741</v>
      </c>
      <c r="N1972" t="s">
        <v>3741</v>
      </c>
      <c r="O1972" t="s">
        <v>23</v>
      </c>
      <c r="P1972" t="s">
        <v>24</v>
      </c>
      <c r="Q1972" t="s">
        <v>25</v>
      </c>
      <c r="R1972" t="s">
        <v>3727</v>
      </c>
    </row>
    <row r="1973" spans="1:18" x14ac:dyDescent="0.25">
      <c r="A1973" t="s">
        <v>13396</v>
      </c>
      <c r="B1973" t="s">
        <v>3772</v>
      </c>
      <c r="C1973" t="str">
        <f>HYPERLINK("https://nematode.unl.edu/chilos37.jpg")</f>
        <v>https://nematode.unl.edu/chilos37.jpg</v>
      </c>
      <c r="D1973" t="s">
        <v>77</v>
      </c>
      <c r="G1973" t="s">
        <v>44</v>
      </c>
      <c r="I1973" t="s">
        <v>45</v>
      </c>
      <c r="J1973" t="s">
        <v>20</v>
      </c>
      <c r="M1973" t="s">
        <v>3741</v>
      </c>
      <c r="N1973" t="s">
        <v>3741</v>
      </c>
      <c r="O1973" t="s">
        <v>23</v>
      </c>
      <c r="P1973" t="s">
        <v>24</v>
      </c>
      <c r="Q1973" t="s">
        <v>25</v>
      </c>
      <c r="R1973" t="s">
        <v>3727</v>
      </c>
    </row>
    <row r="1974" spans="1:18" x14ac:dyDescent="0.25">
      <c r="A1974" t="s">
        <v>13408</v>
      </c>
      <c r="B1974" t="s">
        <v>3773</v>
      </c>
      <c r="C1974" t="str">
        <f>HYPERLINK("https://nematode.unl.edu/chilos38.jpg")</f>
        <v>https://nematode.unl.edu/chilos38.jpg</v>
      </c>
      <c r="D1974" t="s">
        <v>77</v>
      </c>
      <c r="G1974" t="s">
        <v>112</v>
      </c>
      <c r="I1974" t="s">
        <v>41</v>
      </c>
      <c r="J1974" t="s">
        <v>20</v>
      </c>
      <c r="M1974" t="s">
        <v>3741</v>
      </c>
      <c r="N1974" t="s">
        <v>3741</v>
      </c>
      <c r="O1974" t="s">
        <v>23</v>
      </c>
      <c r="P1974" t="s">
        <v>24</v>
      </c>
      <c r="Q1974" t="s">
        <v>25</v>
      </c>
      <c r="R1974" t="s">
        <v>3727</v>
      </c>
    </row>
    <row r="1975" spans="1:18" x14ac:dyDescent="0.25">
      <c r="A1975" t="s">
        <v>13388</v>
      </c>
      <c r="B1975" t="s">
        <v>3774</v>
      </c>
      <c r="C1975" t="str">
        <f>HYPERLINK("https://nematode.unl.edu/chilos39.jpg")</f>
        <v>https://nematode.unl.edu/chilos39.jpg</v>
      </c>
      <c r="D1975" t="s">
        <v>77</v>
      </c>
      <c r="G1975" t="s">
        <v>34</v>
      </c>
      <c r="H1975" t="s">
        <v>18</v>
      </c>
      <c r="I1975" t="s">
        <v>41</v>
      </c>
      <c r="J1975" t="s">
        <v>20</v>
      </c>
      <c r="M1975" t="s">
        <v>3741</v>
      </c>
      <c r="N1975" t="s">
        <v>3741</v>
      </c>
      <c r="O1975" t="s">
        <v>23</v>
      </c>
      <c r="P1975" t="s">
        <v>24</v>
      </c>
      <c r="Q1975" t="s">
        <v>25</v>
      </c>
      <c r="R1975" t="s">
        <v>3727</v>
      </c>
    </row>
    <row r="1976" spans="1:18" x14ac:dyDescent="0.25">
      <c r="A1976" t="s">
        <v>13404</v>
      </c>
      <c r="B1976" t="s">
        <v>3775</v>
      </c>
      <c r="C1976" t="str">
        <f>HYPERLINK("https://nematode.unl.edu/chilos40.jpg")</f>
        <v>https://nematode.unl.edu/chilos40.jpg</v>
      </c>
      <c r="D1976" t="s">
        <v>77</v>
      </c>
      <c r="G1976" t="s">
        <v>2029</v>
      </c>
      <c r="I1976" t="s">
        <v>19</v>
      </c>
      <c r="J1976" t="s">
        <v>20</v>
      </c>
      <c r="M1976" t="s">
        <v>3741</v>
      </c>
      <c r="N1976" t="s">
        <v>3741</v>
      </c>
      <c r="O1976" t="s">
        <v>23</v>
      </c>
      <c r="P1976" t="s">
        <v>24</v>
      </c>
      <c r="Q1976" t="s">
        <v>25</v>
      </c>
      <c r="R1976" t="s">
        <v>3727</v>
      </c>
    </row>
    <row r="1977" spans="1:18" x14ac:dyDescent="0.25">
      <c r="A1977" t="s">
        <v>13402</v>
      </c>
      <c r="B1977" t="s">
        <v>3776</v>
      </c>
      <c r="C1977" t="str">
        <f>HYPERLINK("https://nematode.unl.edu/chilos41.jpg")</f>
        <v>https://nematode.unl.edu/chilos41.jpg</v>
      </c>
      <c r="D1977" t="s">
        <v>77</v>
      </c>
      <c r="G1977" t="s">
        <v>53</v>
      </c>
      <c r="I1977" t="s">
        <v>19</v>
      </c>
      <c r="J1977" t="s">
        <v>20</v>
      </c>
      <c r="M1977" t="s">
        <v>3741</v>
      </c>
      <c r="N1977" t="s">
        <v>3741</v>
      </c>
      <c r="O1977" t="s">
        <v>23</v>
      </c>
      <c r="P1977" t="s">
        <v>24</v>
      </c>
      <c r="Q1977" t="s">
        <v>25</v>
      </c>
      <c r="R1977" t="s">
        <v>3727</v>
      </c>
    </row>
    <row r="1978" spans="1:18" x14ac:dyDescent="0.25">
      <c r="A1978" t="s">
        <v>13393</v>
      </c>
      <c r="B1978" t="s">
        <v>3777</v>
      </c>
      <c r="C1978" t="str">
        <f>HYPERLINK("https://nematode.unl.edu/chilos42.jpg")</f>
        <v>https://nematode.unl.edu/chilos42.jpg</v>
      </c>
      <c r="D1978" t="s">
        <v>77</v>
      </c>
      <c r="G1978" t="s">
        <v>87</v>
      </c>
      <c r="I1978" t="s">
        <v>19</v>
      </c>
      <c r="J1978" t="s">
        <v>20</v>
      </c>
      <c r="L1978" t="s">
        <v>220</v>
      </c>
      <c r="M1978" t="s">
        <v>3741</v>
      </c>
      <c r="N1978" t="s">
        <v>3741</v>
      </c>
      <c r="O1978" t="s">
        <v>23</v>
      </c>
      <c r="P1978" t="s">
        <v>24</v>
      </c>
      <c r="Q1978" t="s">
        <v>25</v>
      </c>
      <c r="R1978" t="s">
        <v>3727</v>
      </c>
    </row>
    <row r="1979" spans="1:18" x14ac:dyDescent="0.25">
      <c r="A1979" t="s">
        <v>13397</v>
      </c>
      <c r="B1979" t="s">
        <v>3778</v>
      </c>
      <c r="C1979" t="str">
        <f>HYPERLINK("https://nematode.unl.edu/chilos43.jpg")</f>
        <v>https://nematode.unl.edu/chilos43.jpg</v>
      </c>
      <c r="D1979" t="s">
        <v>43</v>
      </c>
      <c r="G1979" t="s">
        <v>44</v>
      </c>
      <c r="I1979" t="s">
        <v>91</v>
      </c>
      <c r="J1979" t="s">
        <v>20</v>
      </c>
      <c r="L1979" t="s">
        <v>38</v>
      </c>
      <c r="M1979" t="s">
        <v>3741</v>
      </c>
      <c r="N1979" t="s">
        <v>3741</v>
      </c>
      <c r="O1979" t="s">
        <v>23</v>
      </c>
      <c r="P1979" t="s">
        <v>24</v>
      </c>
      <c r="Q1979" t="s">
        <v>25</v>
      </c>
      <c r="R1979" t="s">
        <v>3727</v>
      </c>
    </row>
    <row r="1980" spans="1:18" x14ac:dyDescent="0.25">
      <c r="A1980" t="s">
        <v>13389</v>
      </c>
      <c r="B1980" t="s">
        <v>3779</v>
      </c>
      <c r="C1980" t="str">
        <f>HYPERLINK("https://nematode.unl.edu/chilos44.jpg")</f>
        <v>https://nematode.unl.edu/chilos44.jpg</v>
      </c>
      <c r="D1980" t="s">
        <v>43</v>
      </c>
      <c r="G1980" t="s">
        <v>34</v>
      </c>
      <c r="H1980" t="s">
        <v>18</v>
      </c>
      <c r="I1980" t="s">
        <v>137</v>
      </c>
      <c r="J1980" t="s">
        <v>20</v>
      </c>
      <c r="L1980" t="s">
        <v>38</v>
      </c>
      <c r="M1980" t="s">
        <v>3741</v>
      </c>
      <c r="N1980" t="s">
        <v>3741</v>
      </c>
      <c r="O1980" t="s">
        <v>23</v>
      </c>
      <c r="P1980" t="s">
        <v>24</v>
      </c>
      <c r="Q1980" t="s">
        <v>25</v>
      </c>
      <c r="R1980" t="s">
        <v>3727</v>
      </c>
    </row>
    <row r="1981" spans="1:18" x14ac:dyDescent="0.25">
      <c r="A1981" t="s">
        <v>13424</v>
      </c>
      <c r="B1981" t="s">
        <v>3780</v>
      </c>
      <c r="C1981" t="str">
        <f>HYPERLINK("https://nematode.unl.edu/chilos45.jpg")</f>
        <v>https://nematode.unl.edu/chilos45.jpg</v>
      </c>
      <c r="D1981" t="s">
        <v>43</v>
      </c>
      <c r="G1981" t="s">
        <v>51</v>
      </c>
      <c r="I1981" t="s">
        <v>137</v>
      </c>
      <c r="J1981" t="s">
        <v>20</v>
      </c>
      <c r="L1981" t="s">
        <v>38</v>
      </c>
      <c r="M1981" t="s">
        <v>3741</v>
      </c>
      <c r="N1981" t="s">
        <v>3741</v>
      </c>
      <c r="O1981" t="s">
        <v>23</v>
      </c>
      <c r="P1981" t="s">
        <v>24</v>
      </c>
      <c r="Q1981" t="s">
        <v>25</v>
      </c>
      <c r="R1981" t="s">
        <v>3727</v>
      </c>
    </row>
    <row r="1982" spans="1:18" x14ac:dyDescent="0.25">
      <c r="A1982" t="s">
        <v>13418</v>
      </c>
      <c r="B1982" t="s">
        <v>3781</v>
      </c>
      <c r="C1982" t="str">
        <f>HYPERLINK("https://nematode.unl.edu/chilos46.jpg")</f>
        <v>https://nematode.unl.edu/chilos46.jpg</v>
      </c>
      <c r="D1982" t="s">
        <v>43</v>
      </c>
      <c r="G1982" t="s">
        <v>28</v>
      </c>
      <c r="I1982" t="s">
        <v>137</v>
      </c>
      <c r="J1982" t="s">
        <v>20</v>
      </c>
      <c r="L1982" t="s">
        <v>38</v>
      </c>
      <c r="M1982" t="s">
        <v>3741</v>
      </c>
      <c r="N1982" t="s">
        <v>3741</v>
      </c>
      <c r="O1982" t="s">
        <v>23</v>
      </c>
      <c r="P1982" t="s">
        <v>24</v>
      </c>
      <c r="Q1982" t="s">
        <v>25</v>
      </c>
      <c r="R1982" t="s">
        <v>3727</v>
      </c>
    </row>
    <row r="1983" spans="1:18" x14ac:dyDescent="0.25">
      <c r="A1983" t="s">
        <v>13390</v>
      </c>
      <c r="B1983" t="s">
        <v>3782</v>
      </c>
      <c r="C1983" t="str">
        <f>HYPERLINK("https://nematode.unl.edu/chilos47.jpg")</f>
        <v>https://nematode.unl.edu/chilos47.jpg</v>
      </c>
      <c r="D1983" t="s">
        <v>77</v>
      </c>
      <c r="G1983" t="s">
        <v>34</v>
      </c>
      <c r="H1983" t="s">
        <v>18</v>
      </c>
      <c r="I1983" t="s">
        <v>19</v>
      </c>
      <c r="J1983" t="s">
        <v>20</v>
      </c>
      <c r="L1983" t="s">
        <v>141</v>
      </c>
      <c r="M1983" t="s">
        <v>3741</v>
      </c>
      <c r="N1983" t="s">
        <v>3741</v>
      </c>
      <c r="O1983" t="s">
        <v>23</v>
      </c>
      <c r="P1983" t="s">
        <v>24</v>
      </c>
      <c r="Q1983" t="s">
        <v>25</v>
      </c>
      <c r="R1983" t="s">
        <v>3727</v>
      </c>
    </row>
    <row r="1984" spans="1:18" x14ac:dyDescent="0.25">
      <c r="A1984" t="s">
        <v>13398</v>
      </c>
      <c r="B1984" t="s">
        <v>3783</v>
      </c>
      <c r="C1984" t="str">
        <f>HYPERLINK("https://nematode.unl.edu/chilos5.jpg")</f>
        <v>https://nematode.unl.edu/chilos5.jpg</v>
      </c>
      <c r="D1984" t="s">
        <v>16</v>
      </c>
      <c r="G1984" t="s">
        <v>44</v>
      </c>
      <c r="I1984" t="s">
        <v>45</v>
      </c>
      <c r="J1984" t="s">
        <v>20</v>
      </c>
      <c r="L1984" t="s">
        <v>64</v>
      </c>
      <c r="M1984" t="s">
        <v>3741</v>
      </c>
      <c r="N1984" t="s">
        <v>3741</v>
      </c>
      <c r="O1984" t="s">
        <v>23</v>
      </c>
      <c r="P1984" t="s">
        <v>24</v>
      </c>
      <c r="Q1984" t="s">
        <v>25</v>
      </c>
      <c r="R1984" t="s">
        <v>3727</v>
      </c>
    </row>
    <row r="1985" spans="1:18" x14ac:dyDescent="0.25">
      <c r="A1985" t="s">
        <v>13419</v>
      </c>
      <c r="B1985" t="s">
        <v>3784</v>
      </c>
      <c r="C1985" t="str">
        <f>HYPERLINK("https://nematode.unl.edu/chilos6.jpg")</f>
        <v>https://nematode.unl.edu/chilos6.jpg</v>
      </c>
      <c r="D1985" t="s">
        <v>16</v>
      </c>
      <c r="G1985" t="s">
        <v>28</v>
      </c>
      <c r="I1985" t="s">
        <v>19</v>
      </c>
      <c r="J1985" t="s">
        <v>20</v>
      </c>
      <c r="M1985" t="s">
        <v>3741</v>
      </c>
      <c r="N1985" t="s">
        <v>3741</v>
      </c>
      <c r="O1985" t="s">
        <v>23</v>
      </c>
      <c r="P1985" t="s">
        <v>24</v>
      </c>
      <c r="Q1985" t="s">
        <v>25</v>
      </c>
      <c r="R1985" t="s">
        <v>3727</v>
      </c>
    </row>
    <row r="1986" spans="1:18" x14ac:dyDescent="0.25">
      <c r="A1986" t="s">
        <v>13405</v>
      </c>
      <c r="B1986" t="s">
        <v>3785</v>
      </c>
      <c r="C1986" t="str">
        <f>HYPERLINK("https://nematode.unl.edu/chilos7.jpg")</f>
        <v>https://nematode.unl.edu/chilos7.jpg</v>
      </c>
      <c r="D1986" t="s">
        <v>16</v>
      </c>
      <c r="G1986" t="s">
        <v>470</v>
      </c>
      <c r="I1986" t="s">
        <v>41</v>
      </c>
      <c r="J1986" t="s">
        <v>20</v>
      </c>
      <c r="M1986" t="s">
        <v>3741</v>
      </c>
      <c r="N1986" t="s">
        <v>3741</v>
      </c>
      <c r="O1986" t="s">
        <v>23</v>
      </c>
      <c r="P1986" t="s">
        <v>24</v>
      </c>
      <c r="Q1986" t="s">
        <v>25</v>
      </c>
      <c r="R1986" t="s">
        <v>3727</v>
      </c>
    </row>
    <row r="1987" spans="1:18" x14ac:dyDescent="0.25">
      <c r="A1987" t="s">
        <v>13406</v>
      </c>
      <c r="B1987" t="s">
        <v>3786</v>
      </c>
      <c r="C1987" t="str">
        <f>HYPERLINK("https://nematode.unl.edu/chilos8.jpg")</f>
        <v>https://nematode.unl.edu/chilos8.jpg</v>
      </c>
      <c r="D1987" t="s">
        <v>16</v>
      </c>
      <c r="G1987" t="s">
        <v>470</v>
      </c>
      <c r="I1987" t="s">
        <v>41</v>
      </c>
      <c r="J1987" t="s">
        <v>20</v>
      </c>
      <c r="M1987" t="s">
        <v>3741</v>
      </c>
      <c r="N1987" t="s">
        <v>3741</v>
      </c>
      <c r="O1987" t="s">
        <v>23</v>
      </c>
      <c r="P1987" t="s">
        <v>24</v>
      </c>
      <c r="Q1987" t="s">
        <v>25</v>
      </c>
      <c r="R1987" t="s">
        <v>3727</v>
      </c>
    </row>
    <row r="1988" spans="1:18" x14ac:dyDescent="0.25">
      <c r="A1988" t="s">
        <v>13399</v>
      </c>
      <c r="B1988" t="s">
        <v>3787</v>
      </c>
      <c r="C1988" t="str">
        <f>HYPERLINK("https://nematode.unl.edu/chilos9.jpg")</f>
        <v>https://nematode.unl.edu/chilos9.jpg</v>
      </c>
      <c r="D1988" t="s">
        <v>43</v>
      </c>
      <c r="G1988" t="s">
        <v>44</v>
      </c>
      <c r="I1988" t="s">
        <v>91</v>
      </c>
      <c r="J1988" t="s">
        <v>20</v>
      </c>
      <c r="L1988" t="s">
        <v>38</v>
      </c>
      <c r="M1988" t="s">
        <v>3741</v>
      </c>
      <c r="N1988" t="s">
        <v>3741</v>
      </c>
      <c r="O1988" t="s">
        <v>23</v>
      </c>
      <c r="P1988" t="s">
        <v>24</v>
      </c>
      <c r="Q1988" t="s">
        <v>25</v>
      </c>
      <c r="R1988" t="s">
        <v>3727</v>
      </c>
    </row>
    <row r="1989" spans="1:18" x14ac:dyDescent="0.25">
      <c r="A1989" t="s">
        <v>12382</v>
      </c>
      <c r="B1989" t="s">
        <v>3788</v>
      </c>
      <c r="C1989" t="str">
        <f>HYPERLINK("https://nematode.unl.edu/chiple1.jpg")</f>
        <v>https://nematode.unl.edu/chiple1.jpg</v>
      </c>
      <c r="D1989" t="s">
        <v>16</v>
      </c>
      <c r="G1989" t="s">
        <v>44</v>
      </c>
      <c r="I1989" t="s">
        <v>45</v>
      </c>
      <c r="J1989" t="s">
        <v>267</v>
      </c>
      <c r="M1989" t="s">
        <v>3789</v>
      </c>
      <c r="N1989" t="s">
        <v>3789</v>
      </c>
      <c r="O1989" t="s">
        <v>23</v>
      </c>
      <c r="P1989" t="s">
        <v>1649</v>
      </c>
      <c r="Q1989" t="s">
        <v>1650</v>
      </c>
      <c r="R1989" t="s">
        <v>3789</v>
      </c>
    </row>
    <row r="1990" spans="1:18" x14ac:dyDescent="0.25">
      <c r="A1990" t="s">
        <v>12384</v>
      </c>
      <c r="B1990" t="s">
        <v>3790</v>
      </c>
      <c r="C1990" t="str">
        <f>HYPERLINK("https://nematode.unl.edu/chiple10.jpg")</f>
        <v>https://nematode.unl.edu/chiple10.jpg</v>
      </c>
      <c r="D1990" t="s">
        <v>43</v>
      </c>
      <c r="G1990" t="s">
        <v>53</v>
      </c>
      <c r="I1990" t="s">
        <v>19</v>
      </c>
      <c r="J1990" t="s">
        <v>267</v>
      </c>
      <c r="M1990" t="s">
        <v>3789</v>
      </c>
      <c r="N1990" t="s">
        <v>3789</v>
      </c>
      <c r="O1990" t="s">
        <v>23</v>
      </c>
      <c r="P1990" t="s">
        <v>1649</v>
      </c>
      <c r="Q1990" t="s">
        <v>1650</v>
      </c>
      <c r="R1990" t="s">
        <v>3789</v>
      </c>
    </row>
    <row r="1991" spans="1:18" x14ac:dyDescent="0.25">
      <c r="A1991" t="s">
        <v>12383</v>
      </c>
      <c r="B1991" t="s">
        <v>3791</v>
      </c>
      <c r="C1991" t="str">
        <f>HYPERLINK("https://nematode.unl.edu/chiple11.jpg")</f>
        <v>https://nematode.unl.edu/chiple11.jpg</v>
      </c>
      <c r="D1991" t="s">
        <v>43</v>
      </c>
      <c r="G1991" t="s">
        <v>1555</v>
      </c>
      <c r="I1991" t="s">
        <v>19</v>
      </c>
      <c r="J1991" t="s">
        <v>267</v>
      </c>
      <c r="M1991" t="s">
        <v>3789</v>
      </c>
      <c r="N1991" t="s">
        <v>3789</v>
      </c>
      <c r="O1991" t="s">
        <v>23</v>
      </c>
      <c r="P1991" t="s">
        <v>1649</v>
      </c>
      <c r="Q1991" t="s">
        <v>1650</v>
      </c>
      <c r="R1991" t="s">
        <v>3789</v>
      </c>
    </row>
    <row r="1992" spans="1:18" x14ac:dyDescent="0.25">
      <c r="A1992" t="s">
        <v>12375</v>
      </c>
      <c r="B1992" t="s">
        <v>3792</v>
      </c>
      <c r="C1992" t="str">
        <f>HYPERLINK("https://nematode.unl.edu/chiple12.jpg")</f>
        <v>https://nematode.unl.edu/chiple12.jpg</v>
      </c>
      <c r="D1992" t="s">
        <v>16</v>
      </c>
      <c r="G1992" t="s">
        <v>34</v>
      </c>
      <c r="H1992" t="s">
        <v>18</v>
      </c>
      <c r="I1992" t="s">
        <v>19</v>
      </c>
      <c r="J1992" t="s">
        <v>267</v>
      </c>
      <c r="M1992" t="s">
        <v>3789</v>
      </c>
      <c r="N1992" t="s">
        <v>3789</v>
      </c>
      <c r="O1992" t="s">
        <v>23</v>
      </c>
      <c r="P1992" t="s">
        <v>1649</v>
      </c>
      <c r="Q1992" t="s">
        <v>1650</v>
      </c>
      <c r="R1992" t="s">
        <v>3789</v>
      </c>
    </row>
    <row r="1993" spans="1:18" x14ac:dyDescent="0.25">
      <c r="A1993" t="s">
        <v>12373</v>
      </c>
      <c r="B1993" t="s">
        <v>3793</v>
      </c>
      <c r="C1993" t="str">
        <f>HYPERLINK("https://nematode.unl.edu/chiple13.jpg")</f>
        <v>https://nematode.unl.edu/chiple13.jpg</v>
      </c>
      <c r="D1993" t="s">
        <v>16</v>
      </c>
      <c r="G1993" t="s">
        <v>386</v>
      </c>
      <c r="H1993" t="s">
        <v>18</v>
      </c>
      <c r="I1993" t="s">
        <v>19</v>
      </c>
      <c r="J1993" t="s">
        <v>267</v>
      </c>
      <c r="M1993" t="s">
        <v>3789</v>
      </c>
      <c r="N1993" t="s">
        <v>3789</v>
      </c>
      <c r="O1993" t="s">
        <v>23</v>
      </c>
      <c r="P1993" t="s">
        <v>1649</v>
      </c>
      <c r="Q1993" t="s">
        <v>1650</v>
      </c>
      <c r="R1993" t="s">
        <v>3789</v>
      </c>
    </row>
    <row r="1994" spans="1:18" x14ac:dyDescent="0.25">
      <c r="A1994" t="s">
        <v>12386</v>
      </c>
      <c r="B1994" t="s">
        <v>3794</v>
      </c>
      <c r="C1994" t="str">
        <f>HYPERLINK("https://nematode.unl.edu/chiple14.jpg")</f>
        <v>https://nematode.unl.edu/chiple14.jpg</v>
      </c>
      <c r="D1994" t="s">
        <v>16</v>
      </c>
      <c r="G1994" t="s">
        <v>28</v>
      </c>
      <c r="I1994" t="s">
        <v>19</v>
      </c>
      <c r="J1994" t="s">
        <v>267</v>
      </c>
      <c r="M1994" t="s">
        <v>3789</v>
      </c>
      <c r="N1994" t="s">
        <v>3789</v>
      </c>
      <c r="O1994" t="s">
        <v>23</v>
      </c>
      <c r="P1994" t="s">
        <v>1649</v>
      </c>
      <c r="Q1994" t="s">
        <v>1650</v>
      </c>
      <c r="R1994" t="s">
        <v>3789</v>
      </c>
    </row>
    <row r="1995" spans="1:18" x14ac:dyDescent="0.25">
      <c r="A1995" t="s">
        <v>12376</v>
      </c>
      <c r="B1995" t="s">
        <v>3795</v>
      </c>
      <c r="C1995" t="str">
        <f>HYPERLINK("https://nematode.unl.edu/chiple15.jpg")</f>
        <v>https://nematode.unl.edu/chiple15.jpg</v>
      </c>
      <c r="D1995" t="s">
        <v>16</v>
      </c>
      <c r="G1995" t="s">
        <v>34</v>
      </c>
      <c r="H1995" t="s">
        <v>18</v>
      </c>
      <c r="I1995" t="s">
        <v>19</v>
      </c>
      <c r="J1995" t="s">
        <v>267</v>
      </c>
      <c r="M1995" t="s">
        <v>3789</v>
      </c>
      <c r="N1995" t="s">
        <v>3789</v>
      </c>
      <c r="O1995" t="s">
        <v>23</v>
      </c>
      <c r="P1995" t="s">
        <v>1649</v>
      </c>
      <c r="Q1995" t="s">
        <v>1650</v>
      </c>
      <c r="R1995" t="s">
        <v>3789</v>
      </c>
    </row>
    <row r="1996" spans="1:18" x14ac:dyDescent="0.25">
      <c r="A1996" t="s">
        <v>12387</v>
      </c>
      <c r="B1996" t="s">
        <v>3796</v>
      </c>
      <c r="C1996" t="str">
        <f>HYPERLINK("https://nematode.unl.edu/chiple16.jpg")</f>
        <v>https://nematode.unl.edu/chiple16.jpg</v>
      </c>
      <c r="D1996" t="s">
        <v>16</v>
      </c>
      <c r="G1996" t="s">
        <v>28</v>
      </c>
      <c r="I1996" t="s">
        <v>19</v>
      </c>
      <c r="J1996" t="s">
        <v>267</v>
      </c>
      <c r="M1996" t="s">
        <v>3789</v>
      </c>
      <c r="N1996" t="s">
        <v>3789</v>
      </c>
      <c r="O1996" t="s">
        <v>23</v>
      </c>
      <c r="P1996" t="s">
        <v>1649</v>
      </c>
      <c r="Q1996" t="s">
        <v>1650</v>
      </c>
      <c r="R1996" t="s">
        <v>3789</v>
      </c>
    </row>
    <row r="1997" spans="1:18" x14ac:dyDescent="0.25">
      <c r="A1997" t="s">
        <v>12385</v>
      </c>
      <c r="B1997" t="s">
        <v>3797</v>
      </c>
      <c r="C1997" t="str">
        <f>HYPERLINK("https://nematode.unl.edu/chiple17.jpg")</f>
        <v>https://nematode.unl.edu/chiple17.jpg</v>
      </c>
      <c r="D1997" t="s">
        <v>16</v>
      </c>
      <c r="G1997" t="s">
        <v>53</v>
      </c>
      <c r="I1997" t="s">
        <v>41</v>
      </c>
      <c r="J1997" t="s">
        <v>267</v>
      </c>
      <c r="M1997" t="s">
        <v>3789</v>
      </c>
      <c r="N1997" t="s">
        <v>3789</v>
      </c>
      <c r="O1997" t="s">
        <v>23</v>
      </c>
      <c r="P1997" t="s">
        <v>1649</v>
      </c>
      <c r="Q1997" t="s">
        <v>1650</v>
      </c>
      <c r="R1997" t="s">
        <v>3789</v>
      </c>
    </row>
    <row r="1998" spans="1:18" x14ac:dyDescent="0.25">
      <c r="A1998" t="s">
        <v>12377</v>
      </c>
      <c r="B1998" t="s">
        <v>3798</v>
      </c>
      <c r="C1998" t="str">
        <f>HYPERLINK("https://nematode.unl.edu/chiple2.jpg")</f>
        <v>https://nematode.unl.edu/chiple2.jpg</v>
      </c>
      <c r="D1998" t="s">
        <v>16</v>
      </c>
      <c r="G1998" t="s">
        <v>34</v>
      </c>
      <c r="H1998" t="s">
        <v>18</v>
      </c>
      <c r="I1998" t="s">
        <v>19</v>
      </c>
      <c r="J1998" t="s">
        <v>267</v>
      </c>
      <c r="M1998" t="s">
        <v>3789</v>
      </c>
      <c r="N1998" t="s">
        <v>3789</v>
      </c>
      <c r="O1998" t="s">
        <v>23</v>
      </c>
      <c r="P1998" t="s">
        <v>1649</v>
      </c>
      <c r="Q1998" t="s">
        <v>1650</v>
      </c>
      <c r="R1998" t="s">
        <v>3789</v>
      </c>
    </row>
    <row r="1999" spans="1:18" x14ac:dyDescent="0.25">
      <c r="A1999" t="s">
        <v>12388</v>
      </c>
      <c r="B1999" t="s">
        <v>3799</v>
      </c>
      <c r="C1999" t="str">
        <f>HYPERLINK("https://nematode.unl.edu/chiple3.jpg")</f>
        <v>https://nematode.unl.edu/chiple3.jpg</v>
      </c>
      <c r="D1999" t="s">
        <v>16</v>
      </c>
      <c r="G1999" t="s">
        <v>28</v>
      </c>
      <c r="I1999" t="s">
        <v>19</v>
      </c>
      <c r="J1999" t="s">
        <v>267</v>
      </c>
      <c r="M1999" t="s">
        <v>3789</v>
      </c>
      <c r="N1999" t="s">
        <v>3789</v>
      </c>
      <c r="O1999" t="s">
        <v>23</v>
      </c>
      <c r="P1999" t="s">
        <v>1649</v>
      </c>
      <c r="Q1999" t="s">
        <v>1650</v>
      </c>
      <c r="R1999" t="s">
        <v>3789</v>
      </c>
    </row>
    <row r="2000" spans="1:18" x14ac:dyDescent="0.25">
      <c r="A2000" t="s">
        <v>12378</v>
      </c>
      <c r="B2000" t="s">
        <v>3800</v>
      </c>
      <c r="C2000" t="str">
        <f>HYPERLINK("https://nematode.unl.edu/chiple4.jpg")</f>
        <v>https://nematode.unl.edu/chiple4.jpg</v>
      </c>
      <c r="D2000" t="s">
        <v>16</v>
      </c>
      <c r="G2000" t="s">
        <v>34</v>
      </c>
      <c r="H2000" t="s">
        <v>18</v>
      </c>
      <c r="I2000" t="s">
        <v>41</v>
      </c>
      <c r="J2000" t="s">
        <v>267</v>
      </c>
      <c r="M2000" t="s">
        <v>3789</v>
      </c>
      <c r="N2000" t="s">
        <v>3789</v>
      </c>
      <c r="O2000" t="s">
        <v>23</v>
      </c>
      <c r="P2000" t="s">
        <v>1649</v>
      </c>
      <c r="Q2000" t="s">
        <v>1650</v>
      </c>
      <c r="R2000" t="s">
        <v>3789</v>
      </c>
    </row>
    <row r="2001" spans="1:18" x14ac:dyDescent="0.25">
      <c r="A2001" t="s">
        <v>12374</v>
      </c>
      <c r="B2001" t="s">
        <v>3801</v>
      </c>
      <c r="C2001" t="str">
        <f>HYPERLINK("https://nematode.unl.edu/chiple5.jpg")</f>
        <v>https://nematode.unl.edu/chiple5.jpg</v>
      </c>
      <c r="D2001" t="s">
        <v>16</v>
      </c>
      <c r="G2001" t="s">
        <v>386</v>
      </c>
      <c r="H2001" t="s">
        <v>18</v>
      </c>
      <c r="I2001" t="s">
        <v>41</v>
      </c>
      <c r="J2001" t="s">
        <v>267</v>
      </c>
      <c r="M2001" t="s">
        <v>3789</v>
      </c>
      <c r="N2001" t="s">
        <v>3789</v>
      </c>
      <c r="O2001" t="s">
        <v>23</v>
      </c>
      <c r="P2001" t="s">
        <v>1649</v>
      </c>
      <c r="Q2001" t="s">
        <v>1650</v>
      </c>
      <c r="R2001" t="s">
        <v>3789</v>
      </c>
    </row>
    <row r="2002" spans="1:18" x14ac:dyDescent="0.25">
      <c r="A2002" t="s">
        <v>12379</v>
      </c>
      <c r="B2002" t="s">
        <v>3802</v>
      </c>
      <c r="C2002" t="str">
        <f>HYPERLINK("https://nematode.unl.edu/chiple6.jpg")</f>
        <v>https://nematode.unl.edu/chiple6.jpg</v>
      </c>
      <c r="D2002" t="s">
        <v>16</v>
      </c>
      <c r="G2002" t="s">
        <v>34</v>
      </c>
      <c r="H2002" t="s">
        <v>18</v>
      </c>
      <c r="I2002" t="s">
        <v>19</v>
      </c>
      <c r="J2002" t="s">
        <v>267</v>
      </c>
      <c r="M2002" t="s">
        <v>3789</v>
      </c>
      <c r="N2002" t="s">
        <v>3789</v>
      </c>
      <c r="O2002" t="s">
        <v>23</v>
      </c>
      <c r="P2002" t="s">
        <v>1649</v>
      </c>
      <c r="Q2002" t="s">
        <v>1650</v>
      </c>
      <c r="R2002" t="s">
        <v>3789</v>
      </c>
    </row>
    <row r="2003" spans="1:18" x14ac:dyDescent="0.25">
      <c r="A2003" t="s">
        <v>12381</v>
      </c>
      <c r="B2003" t="s">
        <v>3803</v>
      </c>
      <c r="C2003" t="str">
        <f>HYPERLINK("https://nematode.unl.edu/chiple7.jpg")</f>
        <v>https://nematode.unl.edu/chiple7.jpg</v>
      </c>
      <c r="D2003" t="s">
        <v>16</v>
      </c>
      <c r="G2003" t="s">
        <v>384</v>
      </c>
      <c r="I2003" t="s">
        <v>19</v>
      </c>
      <c r="J2003" t="s">
        <v>267</v>
      </c>
      <c r="M2003" t="s">
        <v>3789</v>
      </c>
      <c r="N2003" t="s">
        <v>3789</v>
      </c>
      <c r="O2003" t="s">
        <v>23</v>
      </c>
      <c r="P2003" t="s">
        <v>1649</v>
      </c>
      <c r="Q2003" t="s">
        <v>1650</v>
      </c>
      <c r="R2003" t="s">
        <v>3789</v>
      </c>
    </row>
    <row r="2004" spans="1:18" x14ac:dyDescent="0.25">
      <c r="A2004" t="s">
        <v>12389</v>
      </c>
      <c r="B2004" t="s">
        <v>3804</v>
      </c>
      <c r="C2004" t="str">
        <f>HYPERLINK("https://nematode.unl.edu/chiple8.jpg")</f>
        <v>https://nematode.unl.edu/chiple8.jpg</v>
      </c>
      <c r="D2004" t="s">
        <v>16</v>
      </c>
      <c r="G2004" t="s">
        <v>28</v>
      </c>
      <c r="I2004" t="s">
        <v>19</v>
      </c>
      <c r="J2004" t="s">
        <v>267</v>
      </c>
      <c r="M2004" t="s">
        <v>3789</v>
      </c>
      <c r="N2004" t="s">
        <v>3789</v>
      </c>
      <c r="O2004" t="s">
        <v>23</v>
      </c>
      <c r="P2004" t="s">
        <v>1649</v>
      </c>
      <c r="Q2004" t="s">
        <v>1650</v>
      </c>
      <c r="R2004" t="s">
        <v>3789</v>
      </c>
    </row>
    <row r="2005" spans="1:18" x14ac:dyDescent="0.25">
      <c r="A2005" t="s">
        <v>12380</v>
      </c>
      <c r="B2005" t="s">
        <v>3805</v>
      </c>
      <c r="C2005" t="str">
        <f>HYPERLINK("https://nematode.unl.edu/chiple9.jpg")</f>
        <v>https://nematode.unl.edu/chiple9.jpg</v>
      </c>
      <c r="D2005" t="s">
        <v>43</v>
      </c>
      <c r="G2005" t="s">
        <v>34</v>
      </c>
      <c r="H2005" t="s">
        <v>18</v>
      </c>
      <c r="I2005" t="s">
        <v>19</v>
      </c>
      <c r="J2005" t="s">
        <v>267</v>
      </c>
      <c r="M2005" t="s">
        <v>3789</v>
      </c>
      <c r="N2005" t="s">
        <v>3789</v>
      </c>
      <c r="O2005" t="s">
        <v>23</v>
      </c>
      <c r="P2005" t="s">
        <v>1649</v>
      </c>
      <c r="Q2005" t="s">
        <v>1650</v>
      </c>
      <c r="R2005" t="s">
        <v>3789</v>
      </c>
    </row>
    <row r="2006" spans="1:18" x14ac:dyDescent="0.25">
      <c r="A2006" t="s">
        <v>20918</v>
      </c>
      <c r="B2006" t="s">
        <v>481</v>
      </c>
      <c r="C2006" t="str">
        <f>HYPERLINK("https://nematode.unl.edu/chraur.jpg")</f>
        <v>https://nematode.unl.edu/chraur.jpg</v>
      </c>
      <c r="G2006" t="s">
        <v>108</v>
      </c>
      <c r="J2006" t="s">
        <v>482</v>
      </c>
      <c r="M2006" t="s">
        <v>483</v>
      </c>
      <c r="N2006" t="s">
        <v>484</v>
      </c>
      <c r="O2006" t="s">
        <v>73</v>
      </c>
      <c r="P2006" t="s">
        <v>81</v>
      </c>
      <c r="Q2006" t="s">
        <v>82</v>
      </c>
      <c r="R2006" t="s">
        <v>485</v>
      </c>
    </row>
    <row r="2007" spans="1:18" x14ac:dyDescent="0.25">
      <c r="A2007" t="s">
        <v>12308</v>
      </c>
      <c r="B2007" t="s">
        <v>3806</v>
      </c>
      <c r="C2007" t="str">
        <f>HYPERLINK("https://nematode.unl.edu/chronog1.jpg")</f>
        <v>https://nematode.unl.edu/chronog1.jpg</v>
      </c>
      <c r="D2007" t="s">
        <v>43</v>
      </c>
      <c r="G2007" t="s">
        <v>34</v>
      </c>
      <c r="H2007" t="s">
        <v>18</v>
      </c>
      <c r="I2007" t="s">
        <v>19</v>
      </c>
      <c r="J2007" t="s">
        <v>46</v>
      </c>
      <c r="L2007" t="s">
        <v>727</v>
      </c>
      <c r="M2007" t="s">
        <v>3807</v>
      </c>
      <c r="N2007" t="s">
        <v>3807</v>
      </c>
      <c r="O2007" t="s">
        <v>23</v>
      </c>
      <c r="P2007" t="s">
        <v>1649</v>
      </c>
      <c r="Q2007" t="s">
        <v>3808</v>
      </c>
      <c r="R2007" t="s">
        <v>3807</v>
      </c>
    </row>
    <row r="2008" spans="1:18" x14ac:dyDescent="0.25">
      <c r="A2008" t="s">
        <v>22399</v>
      </c>
      <c r="B2008" t="s">
        <v>3809</v>
      </c>
      <c r="C2008" t="str">
        <f>HYPERLINK("https://nematode.unl.edu/clap1.jpg")</f>
        <v>https://nematode.unl.edu/clap1.jpg</v>
      </c>
      <c r="D2008" t="s">
        <v>43</v>
      </c>
      <c r="G2008" t="s">
        <v>44</v>
      </c>
      <c r="I2008" t="s">
        <v>45</v>
      </c>
      <c r="J2008" t="s">
        <v>20</v>
      </c>
      <c r="L2008" t="s">
        <v>352</v>
      </c>
      <c r="M2008" t="s">
        <v>3810</v>
      </c>
      <c r="N2008" t="s">
        <v>3810</v>
      </c>
      <c r="O2008" t="s">
        <v>73</v>
      </c>
      <c r="P2008" t="s">
        <v>1268</v>
      </c>
      <c r="Q2008" t="s">
        <v>3811</v>
      </c>
      <c r="R2008" t="s">
        <v>3812</v>
      </c>
    </row>
    <row r="2009" spans="1:18" x14ac:dyDescent="0.25">
      <c r="A2009" t="s">
        <v>22394</v>
      </c>
      <c r="B2009" t="s">
        <v>3813</v>
      </c>
      <c r="C2009" t="str">
        <f>HYPERLINK("https://nematode.unl.edu/clap10.jpg")</f>
        <v>https://nematode.unl.edu/clap10.jpg</v>
      </c>
      <c r="D2009" t="s">
        <v>43</v>
      </c>
      <c r="G2009" t="s">
        <v>34</v>
      </c>
      <c r="H2009" t="s">
        <v>18</v>
      </c>
      <c r="I2009" t="s">
        <v>19</v>
      </c>
      <c r="J2009" t="s">
        <v>20</v>
      </c>
      <c r="L2009" t="s">
        <v>38</v>
      </c>
      <c r="M2009" t="s">
        <v>3810</v>
      </c>
      <c r="N2009" t="s">
        <v>3810</v>
      </c>
      <c r="O2009" t="s">
        <v>73</v>
      </c>
      <c r="P2009" t="s">
        <v>1268</v>
      </c>
      <c r="Q2009" t="s">
        <v>3811</v>
      </c>
      <c r="R2009" t="s">
        <v>3812</v>
      </c>
    </row>
    <row r="2010" spans="1:18" x14ac:dyDescent="0.25">
      <c r="A2010" t="s">
        <v>22403</v>
      </c>
      <c r="B2010" t="s">
        <v>3814</v>
      </c>
      <c r="C2010" t="str">
        <f>HYPERLINK("https://nematode.unl.edu/clap11.jpg")</f>
        <v>https://nematode.unl.edu/clap11.jpg</v>
      </c>
      <c r="D2010" t="s">
        <v>43</v>
      </c>
      <c r="G2010" t="s">
        <v>51</v>
      </c>
      <c r="I2010" t="s">
        <v>19</v>
      </c>
      <c r="J2010" t="s">
        <v>20</v>
      </c>
      <c r="L2010" t="s">
        <v>38</v>
      </c>
      <c r="M2010" t="s">
        <v>3810</v>
      </c>
      <c r="N2010" t="s">
        <v>3810</v>
      </c>
      <c r="O2010" t="s">
        <v>73</v>
      </c>
      <c r="P2010" t="s">
        <v>1268</v>
      </c>
      <c r="Q2010" t="s">
        <v>3811</v>
      </c>
      <c r="R2010" t="s">
        <v>3812</v>
      </c>
    </row>
    <row r="2011" spans="1:18" x14ac:dyDescent="0.25">
      <c r="A2011" t="s">
        <v>22401</v>
      </c>
      <c r="B2011" t="s">
        <v>3815</v>
      </c>
      <c r="C2011" t="str">
        <f>HYPERLINK("https://nematode.unl.edu/clap12.jpg")</f>
        <v>https://nematode.unl.edu/clap12.jpg</v>
      </c>
      <c r="D2011" t="s">
        <v>43</v>
      </c>
      <c r="G2011" t="s">
        <v>28</v>
      </c>
      <c r="I2011" t="s">
        <v>19</v>
      </c>
      <c r="J2011" t="s">
        <v>20</v>
      </c>
      <c r="L2011" t="s">
        <v>38</v>
      </c>
      <c r="M2011" t="s">
        <v>3810</v>
      </c>
      <c r="N2011" t="s">
        <v>3810</v>
      </c>
      <c r="O2011" t="s">
        <v>73</v>
      </c>
      <c r="P2011" t="s">
        <v>1268</v>
      </c>
      <c r="Q2011" t="s">
        <v>3811</v>
      </c>
      <c r="R2011" t="s">
        <v>3812</v>
      </c>
    </row>
    <row r="2012" spans="1:18" x14ac:dyDescent="0.25">
      <c r="A2012" t="s">
        <v>22395</v>
      </c>
      <c r="B2012" t="s">
        <v>3816</v>
      </c>
      <c r="C2012" t="str">
        <f>HYPERLINK("https://nematode.unl.edu/clap2.jpg")</f>
        <v>https://nematode.unl.edu/clap2.jpg</v>
      </c>
      <c r="D2012" t="s">
        <v>43</v>
      </c>
      <c r="G2012" t="s">
        <v>34</v>
      </c>
      <c r="H2012" t="s">
        <v>18</v>
      </c>
      <c r="I2012" t="s">
        <v>19</v>
      </c>
      <c r="J2012" t="s">
        <v>20</v>
      </c>
      <c r="L2012" t="s">
        <v>141</v>
      </c>
      <c r="M2012" t="s">
        <v>3810</v>
      </c>
      <c r="N2012" t="s">
        <v>3810</v>
      </c>
      <c r="O2012" t="s">
        <v>73</v>
      </c>
      <c r="P2012" t="s">
        <v>1268</v>
      </c>
      <c r="Q2012" t="s">
        <v>3811</v>
      </c>
      <c r="R2012" t="s">
        <v>3812</v>
      </c>
    </row>
    <row r="2013" spans="1:18" x14ac:dyDescent="0.25">
      <c r="A2013" t="s">
        <v>22398</v>
      </c>
      <c r="B2013" t="s">
        <v>3817</v>
      </c>
      <c r="C2013" t="str">
        <f>HYPERLINK("https://nematode.unl.edu/clap3.jpg")</f>
        <v>https://nematode.unl.edu/clap3.jpg</v>
      </c>
      <c r="D2013" t="s">
        <v>43</v>
      </c>
      <c r="G2013" t="s">
        <v>87</v>
      </c>
      <c r="I2013" t="s">
        <v>19</v>
      </c>
      <c r="J2013" t="s">
        <v>20</v>
      </c>
      <c r="M2013" t="s">
        <v>3810</v>
      </c>
      <c r="N2013" t="s">
        <v>3810</v>
      </c>
      <c r="O2013" t="s">
        <v>73</v>
      </c>
      <c r="P2013" t="s">
        <v>1268</v>
      </c>
      <c r="Q2013" t="s">
        <v>3811</v>
      </c>
      <c r="R2013" t="s">
        <v>3812</v>
      </c>
    </row>
    <row r="2014" spans="1:18" x14ac:dyDescent="0.25">
      <c r="A2014" t="s">
        <v>22393</v>
      </c>
      <c r="B2014" t="s">
        <v>3818</v>
      </c>
      <c r="C2014" t="str">
        <f>HYPERLINK("https://nematode.unl.edu/clap4.jpg")</f>
        <v>https://nematode.unl.edu/clap4.jpg</v>
      </c>
      <c r="D2014" t="s">
        <v>43</v>
      </c>
      <c r="G2014" t="s">
        <v>96</v>
      </c>
      <c r="H2014" t="s">
        <v>18</v>
      </c>
      <c r="I2014" t="s">
        <v>45</v>
      </c>
      <c r="J2014" t="s">
        <v>20</v>
      </c>
      <c r="M2014" t="s">
        <v>3810</v>
      </c>
      <c r="N2014" t="s">
        <v>3810</v>
      </c>
      <c r="O2014" t="s">
        <v>73</v>
      </c>
      <c r="P2014" t="s">
        <v>1268</v>
      </c>
      <c r="Q2014" t="s">
        <v>3811</v>
      </c>
      <c r="R2014" t="s">
        <v>3812</v>
      </c>
    </row>
    <row r="2015" spans="1:18" x14ac:dyDescent="0.25">
      <c r="A2015" t="s">
        <v>22404</v>
      </c>
      <c r="B2015" t="s">
        <v>3819</v>
      </c>
      <c r="C2015" t="str">
        <f>HYPERLINK("https://nematode.unl.edu/clap5.jpg")</f>
        <v>https://nematode.unl.edu/clap5.jpg</v>
      </c>
      <c r="D2015" t="s">
        <v>43</v>
      </c>
      <c r="G2015" t="s">
        <v>51</v>
      </c>
      <c r="I2015" t="s">
        <v>45</v>
      </c>
      <c r="J2015" t="s">
        <v>20</v>
      </c>
      <c r="M2015" t="s">
        <v>3810</v>
      </c>
      <c r="N2015" t="s">
        <v>3810</v>
      </c>
      <c r="O2015" t="s">
        <v>73</v>
      </c>
      <c r="P2015" t="s">
        <v>1268</v>
      </c>
      <c r="Q2015" t="s">
        <v>3811</v>
      </c>
      <c r="R2015" t="s">
        <v>3812</v>
      </c>
    </row>
    <row r="2016" spans="1:18" x14ac:dyDescent="0.25">
      <c r="A2016" t="s">
        <v>22396</v>
      </c>
      <c r="B2016" t="s">
        <v>3820</v>
      </c>
      <c r="C2016" t="str">
        <f>HYPERLINK("https://nematode.unl.edu/clap6.jpg")</f>
        <v>https://nematode.unl.edu/clap6.jpg</v>
      </c>
      <c r="D2016" t="s">
        <v>16</v>
      </c>
      <c r="G2016" t="s">
        <v>34</v>
      </c>
      <c r="H2016" t="s">
        <v>18</v>
      </c>
      <c r="I2016" t="s">
        <v>19</v>
      </c>
      <c r="J2016" t="s">
        <v>20</v>
      </c>
      <c r="L2016" t="s">
        <v>352</v>
      </c>
      <c r="M2016" t="s">
        <v>3810</v>
      </c>
      <c r="N2016" t="s">
        <v>3810</v>
      </c>
      <c r="O2016" t="s">
        <v>73</v>
      </c>
      <c r="P2016" t="s">
        <v>1268</v>
      </c>
      <c r="Q2016" t="s">
        <v>3811</v>
      </c>
      <c r="R2016" t="s">
        <v>3812</v>
      </c>
    </row>
    <row r="2017" spans="1:18" x14ac:dyDescent="0.25">
      <c r="A2017" t="s">
        <v>22402</v>
      </c>
      <c r="B2017" t="s">
        <v>3821</v>
      </c>
      <c r="C2017" t="str">
        <f>HYPERLINK("https://nematode.unl.edu/clap7.jpg")</f>
        <v>https://nematode.unl.edu/clap7.jpg</v>
      </c>
      <c r="D2017" t="s">
        <v>16</v>
      </c>
      <c r="G2017" t="s">
        <v>28</v>
      </c>
      <c r="I2017" t="s">
        <v>19</v>
      </c>
      <c r="J2017" t="s">
        <v>20</v>
      </c>
      <c r="L2017" t="s">
        <v>141</v>
      </c>
      <c r="M2017" t="s">
        <v>3810</v>
      </c>
      <c r="N2017" t="s">
        <v>3810</v>
      </c>
      <c r="O2017" t="s">
        <v>73</v>
      </c>
      <c r="P2017" t="s">
        <v>1268</v>
      </c>
      <c r="Q2017" t="s">
        <v>3811</v>
      </c>
      <c r="R2017" t="s">
        <v>3812</v>
      </c>
    </row>
    <row r="2018" spans="1:18" x14ac:dyDescent="0.25">
      <c r="A2018" t="s">
        <v>22397</v>
      </c>
      <c r="B2018" t="s">
        <v>3822</v>
      </c>
      <c r="C2018" t="str">
        <f>HYPERLINK("https://nematode.unl.edu/clap8.jpg")</f>
        <v>https://nematode.unl.edu/clap8.jpg</v>
      </c>
      <c r="D2018" t="s">
        <v>16</v>
      </c>
      <c r="G2018" t="s">
        <v>34</v>
      </c>
      <c r="H2018" t="s">
        <v>18</v>
      </c>
      <c r="I2018" t="s">
        <v>19</v>
      </c>
      <c r="J2018" t="s">
        <v>20</v>
      </c>
      <c r="M2018" t="s">
        <v>3810</v>
      </c>
      <c r="N2018" t="s">
        <v>3810</v>
      </c>
      <c r="O2018" t="s">
        <v>73</v>
      </c>
      <c r="P2018" t="s">
        <v>1268</v>
      </c>
      <c r="Q2018" t="s">
        <v>3811</v>
      </c>
      <c r="R2018" t="s">
        <v>3812</v>
      </c>
    </row>
    <row r="2019" spans="1:18" x14ac:dyDescent="0.25">
      <c r="A2019" t="s">
        <v>22400</v>
      </c>
      <c r="B2019" t="s">
        <v>3823</v>
      </c>
      <c r="C2019" t="str">
        <f>HYPERLINK("https://nematode.unl.edu/clap9.jpg")</f>
        <v>https://nematode.unl.edu/clap9.jpg</v>
      </c>
      <c r="D2019" t="s">
        <v>43</v>
      </c>
      <c r="G2019" t="s">
        <v>44</v>
      </c>
      <c r="I2019" t="s">
        <v>19</v>
      </c>
      <c r="J2019" t="s">
        <v>20</v>
      </c>
      <c r="L2019" t="s">
        <v>38</v>
      </c>
      <c r="M2019" t="s">
        <v>3810</v>
      </c>
      <c r="N2019" t="s">
        <v>3810</v>
      </c>
      <c r="O2019" t="s">
        <v>73</v>
      </c>
      <c r="P2019" t="s">
        <v>1268</v>
      </c>
      <c r="Q2019" t="s">
        <v>3811</v>
      </c>
      <c r="R2019" t="s">
        <v>3812</v>
      </c>
    </row>
    <row r="2020" spans="1:18" x14ac:dyDescent="0.25">
      <c r="A2020" t="s">
        <v>20722</v>
      </c>
      <c r="B2020" t="s">
        <v>3824</v>
      </c>
      <c r="C2020" t="str">
        <f>HYPERLINK("https://nematode.unl.edu/clavoid1.jpg")</f>
        <v>https://nematode.unl.edu/clavoid1.jpg</v>
      </c>
      <c r="D2020" t="s">
        <v>43</v>
      </c>
      <c r="G2020" t="s">
        <v>34</v>
      </c>
      <c r="H2020" t="s">
        <v>18</v>
      </c>
      <c r="I2020" t="s">
        <v>19</v>
      </c>
      <c r="J2020" t="s">
        <v>20</v>
      </c>
      <c r="M2020" t="s">
        <v>3825</v>
      </c>
      <c r="N2020" t="s">
        <v>3825</v>
      </c>
      <c r="O2020" t="s">
        <v>73</v>
      </c>
      <c r="P2020" t="s">
        <v>81</v>
      </c>
      <c r="Q2020" t="s">
        <v>339</v>
      </c>
      <c r="R2020" t="s">
        <v>3825</v>
      </c>
    </row>
    <row r="2021" spans="1:18" x14ac:dyDescent="0.25">
      <c r="A2021" t="s">
        <v>20724</v>
      </c>
      <c r="B2021" t="s">
        <v>3826</v>
      </c>
      <c r="C2021" t="str">
        <f>HYPERLINK("https://nematode.unl.edu/clavoid2.jpg")</f>
        <v>https://nematode.unl.edu/clavoid2.jpg</v>
      </c>
      <c r="D2021" t="s">
        <v>43</v>
      </c>
      <c r="G2021" t="s">
        <v>87</v>
      </c>
      <c r="I2021" t="s">
        <v>19</v>
      </c>
      <c r="J2021" t="s">
        <v>20</v>
      </c>
      <c r="M2021" t="s">
        <v>3825</v>
      </c>
      <c r="N2021" t="s">
        <v>3825</v>
      </c>
      <c r="O2021" t="s">
        <v>73</v>
      </c>
      <c r="P2021" t="s">
        <v>81</v>
      </c>
      <c r="Q2021" t="s">
        <v>339</v>
      </c>
      <c r="R2021" t="s">
        <v>3825</v>
      </c>
    </row>
    <row r="2022" spans="1:18" x14ac:dyDescent="0.25">
      <c r="A2022" t="s">
        <v>20729</v>
      </c>
      <c r="B2022" t="s">
        <v>3827</v>
      </c>
      <c r="C2022" t="str">
        <f>HYPERLINK("https://nematode.unl.edu/clavoid3.jpg")</f>
        <v>https://nematode.unl.edu/clavoid3.jpg</v>
      </c>
      <c r="D2022" t="s">
        <v>43</v>
      </c>
      <c r="G2022" t="s">
        <v>51</v>
      </c>
      <c r="I2022" t="s">
        <v>19</v>
      </c>
      <c r="J2022" t="s">
        <v>20</v>
      </c>
      <c r="L2022" t="s">
        <v>85</v>
      </c>
      <c r="M2022" t="s">
        <v>3825</v>
      </c>
      <c r="N2022" t="s">
        <v>3825</v>
      </c>
      <c r="O2022" t="s">
        <v>73</v>
      </c>
      <c r="P2022" t="s">
        <v>81</v>
      </c>
      <c r="Q2022" t="s">
        <v>339</v>
      </c>
      <c r="R2022" t="s">
        <v>3825</v>
      </c>
    </row>
    <row r="2023" spans="1:18" x14ac:dyDescent="0.25">
      <c r="A2023" t="s">
        <v>20727</v>
      </c>
      <c r="B2023" t="s">
        <v>3828</v>
      </c>
      <c r="C2023" t="str">
        <f>HYPERLINK("https://nematode.unl.edu/clavoid4.jpg")</f>
        <v>https://nematode.unl.edu/clavoid4.jpg</v>
      </c>
      <c r="D2023" t="s">
        <v>43</v>
      </c>
      <c r="G2023" t="s">
        <v>28</v>
      </c>
      <c r="I2023" t="s">
        <v>137</v>
      </c>
      <c r="J2023" t="s">
        <v>20</v>
      </c>
      <c r="M2023" t="s">
        <v>3825</v>
      </c>
      <c r="N2023" t="s">
        <v>3825</v>
      </c>
      <c r="O2023" t="s">
        <v>73</v>
      </c>
      <c r="P2023" t="s">
        <v>81</v>
      </c>
      <c r="Q2023" t="s">
        <v>339</v>
      </c>
      <c r="R2023" t="s">
        <v>3825</v>
      </c>
    </row>
    <row r="2024" spans="1:18" x14ac:dyDescent="0.25">
      <c r="A2024" t="s">
        <v>20728</v>
      </c>
      <c r="B2024" t="s">
        <v>3829</v>
      </c>
      <c r="C2024" t="str">
        <f>HYPERLINK("https://nematode.unl.edu/clavoid5.jpg")</f>
        <v>https://nematode.unl.edu/clavoid5.jpg</v>
      </c>
      <c r="D2024" t="s">
        <v>43</v>
      </c>
      <c r="G2024" t="s">
        <v>28</v>
      </c>
      <c r="I2024" t="s">
        <v>19</v>
      </c>
      <c r="J2024" t="s">
        <v>20</v>
      </c>
      <c r="M2024" t="s">
        <v>3825</v>
      </c>
      <c r="N2024" t="s">
        <v>3825</v>
      </c>
      <c r="O2024" t="s">
        <v>73</v>
      </c>
      <c r="P2024" t="s">
        <v>81</v>
      </c>
      <c r="Q2024" t="s">
        <v>339</v>
      </c>
      <c r="R2024" t="s">
        <v>3825</v>
      </c>
    </row>
    <row r="2025" spans="1:18" x14ac:dyDescent="0.25">
      <c r="A2025" t="s">
        <v>20723</v>
      </c>
      <c r="B2025" t="s">
        <v>3830</v>
      </c>
      <c r="C2025" t="str">
        <f>HYPERLINK("https://nematode.unl.edu/clavoid6.jpg")</f>
        <v>https://nematode.unl.edu/clavoid6.jpg</v>
      </c>
      <c r="D2025" t="s">
        <v>43</v>
      </c>
      <c r="G2025" t="s">
        <v>34</v>
      </c>
      <c r="H2025" t="s">
        <v>18</v>
      </c>
      <c r="I2025" t="s">
        <v>41</v>
      </c>
      <c r="J2025" t="s">
        <v>20</v>
      </c>
      <c r="L2025" t="s">
        <v>85</v>
      </c>
      <c r="M2025" t="s">
        <v>3825</v>
      </c>
      <c r="N2025" t="s">
        <v>3825</v>
      </c>
      <c r="O2025" t="s">
        <v>73</v>
      </c>
      <c r="P2025" t="s">
        <v>81</v>
      </c>
      <c r="Q2025" t="s">
        <v>339</v>
      </c>
      <c r="R2025" t="s">
        <v>3825</v>
      </c>
    </row>
    <row r="2026" spans="1:18" x14ac:dyDescent="0.25">
      <c r="A2026" t="s">
        <v>20725</v>
      </c>
      <c r="B2026" t="s">
        <v>3831</v>
      </c>
      <c r="C2026" t="str">
        <f>HYPERLINK("https://nematode.unl.edu/clavoid7.jpg")</f>
        <v>https://nematode.unl.edu/clavoid7.jpg</v>
      </c>
      <c r="D2026" t="s">
        <v>43</v>
      </c>
      <c r="G2026" t="s">
        <v>87</v>
      </c>
      <c r="I2026" t="s">
        <v>41</v>
      </c>
      <c r="J2026" t="s">
        <v>20</v>
      </c>
      <c r="L2026" t="s">
        <v>85</v>
      </c>
      <c r="M2026" t="s">
        <v>3825</v>
      </c>
      <c r="N2026" t="s">
        <v>3825</v>
      </c>
      <c r="O2026" t="s">
        <v>73</v>
      </c>
      <c r="P2026" t="s">
        <v>81</v>
      </c>
      <c r="Q2026" t="s">
        <v>339</v>
      </c>
      <c r="R2026" t="s">
        <v>3825</v>
      </c>
    </row>
    <row r="2027" spans="1:18" x14ac:dyDescent="0.25">
      <c r="A2027" t="s">
        <v>20730</v>
      </c>
      <c r="B2027" t="s">
        <v>3832</v>
      </c>
      <c r="C2027" t="str">
        <f>HYPERLINK("https://nematode.unl.edu/clavoid8.jpg")</f>
        <v>https://nematode.unl.edu/clavoid8.jpg</v>
      </c>
      <c r="D2027" t="s">
        <v>43</v>
      </c>
      <c r="G2027" t="s">
        <v>51</v>
      </c>
      <c r="I2027" t="s">
        <v>41</v>
      </c>
      <c r="J2027" t="s">
        <v>20</v>
      </c>
      <c r="M2027" t="s">
        <v>3825</v>
      </c>
      <c r="N2027" t="s">
        <v>3825</v>
      </c>
      <c r="O2027" t="s">
        <v>73</v>
      </c>
      <c r="P2027" t="s">
        <v>81</v>
      </c>
      <c r="Q2027" t="s">
        <v>339</v>
      </c>
      <c r="R2027" t="s">
        <v>3825</v>
      </c>
    </row>
    <row r="2028" spans="1:18" x14ac:dyDescent="0.25">
      <c r="A2028" t="s">
        <v>20726</v>
      </c>
      <c r="B2028" t="s">
        <v>3833</v>
      </c>
      <c r="C2028" t="str">
        <f>HYPERLINK("https://nematode.unl.edu/clavoid9.jpg")</f>
        <v>https://nematode.unl.edu/clavoid9.jpg</v>
      </c>
      <c r="D2028" t="s">
        <v>43</v>
      </c>
      <c r="G2028" t="s">
        <v>87</v>
      </c>
      <c r="I2028" t="s">
        <v>41</v>
      </c>
      <c r="J2028" t="s">
        <v>20</v>
      </c>
      <c r="M2028" t="s">
        <v>3825</v>
      </c>
      <c r="N2028" t="s">
        <v>3825</v>
      </c>
      <c r="O2028" t="s">
        <v>73</v>
      </c>
      <c r="P2028" t="s">
        <v>81</v>
      </c>
      <c r="Q2028" t="s">
        <v>339</v>
      </c>
      <c r="R2028" t="s">
        <v>3825</v>
      </c>
    </row>
    <row r="2029" spans="1:18" x14ac:dyDescent="0.25">
      <c r="A2029" t="s">
        <v>22405</v>
      </c>
      <c r="B2029" t="s">
        <v>3834</v>
      </c>
      <c r="C2029" t="str">
        <f>HYPERLINK("https://nematode.unl.edu/cobbo1.jpg")</f>
        <v>https://nematode.unl.edu/cobbo1.jpg</v>
      </c>
      <c r="D2029" t="s">
        <v>16</v>
      </c>
      <c r="G2029" t="s">
        <v>34</v>
      </c>
      <c r="H2029" t="s">
        <v>18</v>
      </c>
      <c r="I2029" t="s">
        <v>19</v>
      </c>
      <c r="J2029" t="s">
        <v>20</v>
      </c>
      <c r="M2029" t="s">
        <v>3835</v>
      </c>
      <c r="N2029" t="s">
        <v>3835</v>
      </c>
      <c r="O2029" t="s">
        <v>73</v>
      </c>
      <c r="P2029" t="s">
        <v>1268</v>
      </c>
      <c r="Q2029" t="s">
        <v>3811</v>
      </c>
      <c r="R2029" t="s">
        <v>3835</v>
      </c>
    </row>
    <row r="2030" spans="1:18" x14ac:dyDescent="0.25">
      <c r="A2030" t="s">
        <v>22407</v>
      </c>
      <c r="B2030" t="s">
        <v>3836</v>
      </c>
      <c r="C2030" t="str">
        <f>HYPERLINK("https://nematode.unl.edu/cobbo2.jpg")</f>
        <v>https://nematode.unl.edu/cobbo2.jpg</v>
      </c>
      <c r="D2030" t="s">
        <v>16</v>
      </c>
      <c r="G2030" t="s">
        <v>3837</v>
      </c>
      <c r="I2030" t="s">
        <v>19</v>
      </c>
      <c r="J2030" t="s">
        <v>20</v>
      </c>
      <c r="M2030" t="s">
        <v>3835</v>
      </c>
      <c r="N2030" t="s">
        <v>3835</v>
      </c>
      <c r="O2030" t="s">
        <v>73</v>
      </c>
      <c r="P2030" t="s">
        <v>1268</v>
      </c>
      <c r="Q2030" t="s">
        <v>3811</v>
      </c>
      <c r="R2030" t="s">
        <v>3835</v>
      </c>
    </row>
    <row r="2031" spans="1:18" x14ac:dyDescent="0.25">
      <c r="A2031" t="s">
        <v>22408</v>
      </c>
      <c r="B2031" t="s">
        <v>3838</v>
      </c>
      <c r="C2031" t="str">
        <f>HYPERLINK("https://nematode.unl.edu/cobbo3.jpg")</f>
        <v>https://nematode.unl.edu/cobbo3.jpg</v>
      </c>
      <c r="D2031" t="s">
        <v>16</v>
      </c>
      <c r="G2031" t="s">
        <v>28</v>
      </c>
      <c r="I2031" t="s">
        <v>19</v>
      </c>
      <c r="J2031" t="s">
        <v>20</v>
      </c>
      <c r="L2031" t="s">
        <v>29</v>
      </c>
      <c r="M2031" t="s">
        <v>3835</v>
      </c>
      <c r="N2031" t="s">
        <v>3835</v>
      </c>
      <c r="O2031" t="s">
        <v>73</v>
      </c>
      <c r="P2031" t="s">
        <v>1268</v>
      </c>
      <c r="Q2031" t="s">
        <v>3811</v>
      </c>
      <c r="R2031" t="s">
        <v>3835</v>
      </c>
    </row>
    <row r="2032" spans="1:18" x14ac:dyDescent="0.25">
      <c r="A2032" t="s">
        <v>22406</v>
      </c>
      <c r="B2032" t="s">
        <v>3839</v>
      </c>
      <c r="C2032" t="str">
        <f>HYPERLINK("https://nematode.unl.edu/cobbo4.jpg")</f>
        <v>https://nematode.unl.edu/cobbo4.jpg</v>
      </c>
      <c r="D2032" t="s">
        <v>16</v>
      </c>
      <c r="G2032" t="s">
        <v>34</v>
      </c>
      <c r="H2032" t="s">
        <v>18</v>
      </c>
      <c r="I2032" t="s">
        <v>19</v>
      </c>
      <c r="J2032" t="s">
        <v>20</v>
      </c>
      <c r="M2032" t="s">
        <v>3835</v>
      </c>
      <c r="N2032" t="s">
        <v>3835</v>
      </c>
      <c r="O2032" t="s">
        <v>73</v>
      </c>
      <c r="P2032" t="s">
        <v>1268</v>
      </c>
      <c r="Q2032" t="s">
        <v>3811</v>
      </c>
      <c r="R2032" t="s">
        <v>3835</v>
      </c>
    </row>
    <row r="2033" spans="1:18" x14ac:dyDescent="0.25">
      <c r="A2033" t="s">
        <v>21903</v>
      </c>
      <c r="B2033" t="s">
        <v>3840</v>
      </c>
      <c r="C2033" t="str">
        <f>HYPERLINK("https://nematode.unl.edu/coomb1.jpg")</f>
        <v>https://nematode.unl.edu/coomb1.jpg</v>
      </c>
      <c r="D2033" t="s">
        <v>43</v>
      </c>
      <c r="G2033" t="s">
        <v>44</v>
      </c>
      <c r="I2033" t="s">
        <v>45</v>
      </c>
      <c r="J2033" t="s">
        <v>1525</v>
      </c>
      <c r="L2033" t="s">
        <v>1526</v>
      </c>
      <c r="M2033" t="s">
        <v>3841</v>
      </c>
      <c r="N2033" t="s">
        <v>3841</v>
      </c>
      <c r="O2033" t="s">
        <v>73</v>
      </c>
      <c r="P2033" t="s">
        <v>81</v>
      </c>
      <c r="Q2033" t="s">
        <v>3842</v>
      </c>
      <c r="R2033" t="s">
        <v>3843</v>
      </c>
    </row>
    <row r="2034" spans="1:18" x14ac:dyDescent="0.25">
      <c r="A2034" t="s">
        <v>21913</v>
      </c>
      <c r="B2034" t="s">
        <v>3844</v>
      </c>
      <c r="C2034" t="str">
        <f>HYPERLINK("https://nematode.unl.edu/coomb10.jpg")</f>
        <v>https://nematode.unl.edu/coomb10.jpg</v>
      </c>
      <c r="D2034" t="s">
        <v>43</v>
      </c>
      <c r="G2034" t="s">
        <v>51</v>
      </c>
      <c r="I2034" t="s">
        <v>41</v>
      </c>
      <c r="J2034" t="s">
        <v>1525</v>
      </c>
      <c r="L2034" t="s">
        <v>1526</v>
      </c>
      <c r="M2034" t="s">
        <v>3841</v>
      </c>
      <c r="N2034" t="s">
        <v>3841</v>
      </c>
      <c r="O2034" t="s">
        <v>73</v>
      </c>
      <c r="P2034" t="s">
        <v>81</v>
      </c>
      <c r="Q2034" t="s">
        <v>3842</v>
      </c>
      <c r="R2034" t="s">
        <v>3843</v>
      </c>
    </row>
    <row r="2035" spans="1:18" x14ac:dyDescent="0.25">
      <c r="A2035" t="s">
        <v>21902</v>
      </c>
      <c r="B2035" t="s">
        <v>3845</v>
      </c>
      <c r="C2035" t="str">
        <f>HYPERLINK("https://nematode.unl.edu/coomb11.jpg")</f>
        <v>https://nematode.unl.edu/coomb11.jpg</v>
      </c>
      <c r="D2035" t="s">
        <v>43</v>
      </c>
      <c r="G2035" t="s">
        <v>905</v>
      </c>
      <c r="I2035" t="s">
        <v>41</v>
      </c>
      <c r="J2035" t="s">
        <v>1525</v>
      </c>
      <c r="L2035" t="s">
        <v>1526</v>
      </c>
      <c r="M2035" t="s">
        <v>3841</v>
      </c>
      <c r="N2035" t="s">
        <v>3841</v>
      </c>
      <c r="O2035" t="s">
        <v>73</v>
      </c>
      <c r="P2035" t="s">
        <v>81</v>
      </c>
      <c r="Q2035" t="s">
        <v>3842</v>
      </c>
      <c r="R2035" t="s">
        <v>3843</v>
      </c>
    </row>
    <row r="2036" spans="1:18" x14ac:dyDescent="0.25">
      <c r="A2036" t="s">
        <v>21904</v>
      </c>
      <c r="B2036" t="s">
        <v>3846</v>
      </c>
      <c r="C2036" t="str">
        <f>HYPERLINK("https://nematode.unl.edu/coomb12.jpg")</f>
        <v>https://nematode.unl.edu/coomb12.jpg</v>
      </c>
      <c r="D2036" t="s">
        <v>43</v>
      </c>
      <c r="G2036" t="s">
        <v>44</v>
      </c>
      <c r="I2036" t="s">
        <v>45</v>
      </c>
      <c r="J2036" t="s">
        <v>1525</v>
      </c>
      <c r="L2036" t="s">
        <v>1526</v>
      </c>
      <c r="M2036" t="s">
        <v>3841</v>
      </c>
      <c r="N2036" t="s">
        <v>3841</v>
      </c>
      <c r="O2036" t="s">
        <v>73</v>
      </c>
      <c r="P2036" t="s">
        <v>81</v>
      </c>
      <c r="Q2036" t="s">
        <v>3842</v>
      </c>
      <c r="R2036" t="s">
        <v>3843</v>
      </c>
    </row>
    <row r="2037" spans="1:18" x14ac:dyDescent="0.25">
      <c r="A2037" t="s">
        <v>21897</v>
      </c>
      <c r="B2037" t="s">
        <v>3847</v>
      </c>
      <c r="C2037" t="str">
        <f>HYPERLINK("https://nematode.unl.edu/coomb13.jpg")</f>
        <v>https://nematode.unl.edu/coomb13.jpg</v>
      </c>
      <c r="D2037" t="s">
        <v>43</v>
      </c>
      <c r="G2037" t="s">
        <v>96</v>
      </c>
      <c r="H2037" t="s">
        <v>18</v>
      </c>
      <c r="I2037" t="s">
        <v>19</v>
      </c>
      <c r="J2037" t="s">
        <v>1525</v>
      </c>
      <c r="L2037" t="s">
        <v>1526</v>
      </c>
      <c r="M2037" t="s">
        <v>3841</v>
      </c>
      <c r="N2037" t="s">
        <v>3841</v>
      </c>
      <c r="O2037" t="s">
        <v>73</v>
      </c>
      <c r="P2037" t="s">
        <v>81</v>
      </c>
      <c r="Q2037" t="s">
        <v>3842</v>
      </c>
      <c r="R2037" t="s">
        <v>3843</v>
      </c>
    </row>
    <row r="2038" spans="1:18" x14ac:dyDescent="0.25">
      <c r="A2038" t="s">
        <v>21907</v>
      </c>
      <c r="B2038" t="s">
        <v>3848</v>
      </c>
      <c r="C2038" t="str">
        <f>HYPERLINK("https://nematode.unl.edu/coomb14.jpg")</f>
        <v>https://nematode.unl.edu/coomb14.jpg</v>
      </c>
      <c r="D2038" t="s">
        <v>43</v>
      </c>
      <c r="G2038" t="s">
        <v>205</v>
      </c>
      <c r="I2038" t="s">
        <v>19</v>
      </c>
      <c r="J2038" t="s">
        <v>1525</v>
      </c>
      <c r="L2038" t="s">
        <v>1526</v>
      </c>
      <c r="M2038" t="s">
        <v>3841</v>
      </c>
      <c r="N2038" t="s">
        <v>3841</v>
      </c>
      <c r="O2038" t="s">
        <v>73</v>
      </c>
      <c r="P2038" t="s">
        <v>81</v>
      </c>
      <c r="Q2038" t="s">
        <v>3842</v>
      </c>
      <c r="R2038" t="s">
        <v>3843</v>
      </c>
    </row>
    <row r="2039" spans="1:18" x14ac:dyDescent="0.25">
      <c r="A2039" t="s">
        <v>21911</v>
      </c>
      <c r="B2039" t="s">
        <v>3849</v>
      </c>
      <c r="C2039" t="str">
        <f>HYPERLINK("https://nematode.unl.edu/coomb15.jpg")</f>
        <v>https://nematode.unl.edu/coomb15.jpg</v>
      </c>
      <c r="D2039" t="s">
        <v>43</v>
      </c>
      <c r="G2039" t="s">
        <v>28</v>
      </c>
      <c r="I2039" t="s">
        <v>19</v>
      </c>
      <c r="J2039" t="s">
        <v>1525</v>
      </c>
      <c r="L2039" t="s">
        <v>1526</v>
      </c>
      <c r="M2039" t="s">
        <v>3841</v>
      </c>
      <c r="N2039" t="s">
        <v>3841</v>
      </c>
      <c r="O2039" t="s">
        <v>73</v>
      </c>
      <c r="P2039" t="s">
        <v>81</v>
      </c>
      <c r="Q2039" t="s">
        <v>3842</v>
      </c>
      <c r="R2039" t="s">
        <v>3843</v>
      </c>
    </row>
    <row r="2040" spans="1:18" x14ac:dyDescent="0.25">
      <c r="A2040" t="s">
        <v>21899</v>
      </c>
      <c r="B2040" t="s">
        <v>3850</v>
      </c>
      <c r="C2040" t="str">
        <f>HYPERLINK("https://nematode.unl.edu/coomb16.jpg")</f>
        <v>https://nematode.unl.edu/coomb16.jpg</v>
      </c>
      <c r="D2040" t="s">
        <v>43</v>
      </c>
      <c r="G2040" t="s">
        <v>34</v>
      </c>
      <c r="H2040" t="s">
        <v>18</v>
      </c>
      <c r="I2040" t="s">
        <v>41</v>
      </c>
      <c r="J2040" t="s">
        <v>1525</v>
      </c>
      <c r="L2040" t="s">
        <v>1526</v>
      </c>
      <c r="M2040" t="s">
        <v>3841</v>
      </c>
      <c r="N2040" t="s">
        <v>3841</v>
      </c>
      <c r="O2040" t="s">
        <v>73</v>
      </c>
      <c r="P2040" t="s">
        <v>81</v>
      </c>
      <c r="Q2040" t="s">
        <v>3842</v>
      </c>
      <c r="R2040" t="s">
        <v>3843</v>
      </c>
    </row>
    <row r="2041" spans="1:18" x14ac:dyDescent="0.25">
      <c r="A2041" t="s">
        <v>21895</v>
      </c>
      <c r="B2041" t="s">
        <v>3851</v>
      </c>
      <c r="C2041" t="str">
        <f>HYPERLINK("https://nematode.unl.edu/coomb17.jpg")</f>
        <v>https://nematode.unl.edu/coomb17.jpg</v>
      </c>
      <c r="D2041" t="s">
        <v>43</v>
      </c>
      <c r="G2041" t="s">
        <v>386</v>
      </c>
      <c r="H2041" t="s">
        <v>18</v>
      </c>
      <c r="I2041" t="s">
        <v>41</v>
      </c>
      <c r="J2041" t="s">
        <v>1525</v>
      </c>
      <c r="L2041" t="s">
        <v>1526</v>
      </c>
      <c r="M2041" t="s">
        <v>3841</v>
      </c>
      <c r="N2041" t="s">
        <v>3841</v>
      </c>
      <c r="O2041" t="s">
        <v>73</v>
      </c>
      <c r="P2041" t="s">
        <v>81</v>
      </c>
      <c r="Q2041" t="s">
        <v>3842</v>
      </c>
      <c r="R2041" t="s">
        <v>3843</v>
      </c>
    </row>
    <row r="2042" spans="1:18" x14ac:dyDescent="0.25">
      <c r="A2042" t="s">
        <v>21914</v>
      </c>
      <c r="B2042" t="s">
        <v>3852</v>
      </c>
      <c r="C2042" t="str">
        <f>HYPERLINK("https://nematode.unl.edu/coomb18.jpg")</f>
        <v>https://nematode.unl.edu/coomb18.jpg</v>
      </c>
      <c r="D2042" t="s">
        <v>43</v>
      </c>
      <c r="G2042" t="s">
        <v>51</v>
      </c>
      <c r="I2042" t="s">
        <v>41</v>
      </c>
      <c r="J2042" t="s">
        <v>1525</v>
      </c>
      <c r="L2042" t="s">
        <v>1526</v>
      </c>
      <c r="M2042" t="s">
        <v>3841</v>
      </c>
      <c r="N2042" t="s">
        <v>3841</v>
      </c>
      <c r="O2042" t="s">
        <v>73</v>
      </c>
      <c r="P2042" t="s">
        <v>81</v>
      </c>
      <c r="Q2042" t="s">
        <v>3842</v>
      </c>
      <c r="R2042" t="s">
        <v>3843</v>
      </c>
    </row>
    <row r="2043" spans="1:18" x14ac:dyDescent="0.25">
      <c r="A2043" t="s">
        <v>21909</v>
      </c>
      <c r="B2043" t="s">
        <v>3853</v>
      </c>
      <c r="C2043" t="str">
        <f>HYPERLINK("https://nematode.unl.edu/coomb19.jpg")</f>
        <v>https://nematode.unl.edu/coomb19.jpg</v>
      </c>
      <c r="D2043" t="s">
        <v>43</v>
      </c>
      <c r="G2043" t="s">
        <v>856</v>
      </c>
      <c r="I2043" t="s">
        <v>41</v>
      </c>
      <c r="J2043" t="s">
        <v>1525</v>
      </c>
      <c r="L2043" t="s">
        <v>1526</v>
      </c>
      <c r="M2043" t="s">
        <v>3841</v>
      </c>
      <c r="N2043" t="s">
        <v>3841</v>
      </c>
      <c r="O2043" t="s">
        <v>73</v>
      </c>
      <c r="P2043" t="s">
        <v>81</v>
      </c>
      <c r="Q2043" t="s">
        <v>3842</v>
      </c>
      <c r="R2043" t="s">
        <v>3843</v>
      </c>
    </row>
    <row r="2044" spans="1:18" x14ac:dyDescent="0.25">
      <c r="A2044" t="s">
        <v>21905</v>
      </c>
      <c r="B2044" t="s">
        <v>3854</v>
      </c>
      <c r="C2044" t="str">
        <f>HYPERLINK("https://nematode.unl.edu/coomb2.jpg")</f>
        <v>https://nematode.unl.edu/coomb2.jpg</v>
      </c>
      <c r="D2044" t="s">
        <v>43</v>
      </c>
      <c r="G2044" t="s">
        <v>44</v>
      </c>
      <c r="I2044" t="s">
        <v>137</v>
      </c>
      <c r="J2044" t="s">
        <v>1525</v>
      </c>
      <c r="L2044" t="s">
        <v>1526</v>
      </c>
      <c r="M2044" t="s">
        <v>3841</v>
      </c>
      <c r="N2044" t="s">
        <v>3841</v>
      </c>
      <c r="O2044" t="s">
        <v>73</v>
      </c>
      <c r="P2044" t="s">
        <v>81</v>
      </c>
      <c r="Q2044" t="s">
        <v>3842</v>
      </c>
      <c r="R2044" t="s">
        <v>3843</v>
      </c>
    </row>
    <row r="2045" spans="1:18" x14ac:dyDescent="0.25">
      <c r="A2045" t="s">
        <v>21912</v>
      </c>
      <c r="B2045" t="s">
        <v>3855</v>
      </c>
      <c r="C2045" t="str">
        <f>HYPERLINK("https://nematode.unl.edu/coomb20.jpg")</f>
        <v>https://nematode.unl.edu/coomb20.jpg</v>
      </c>
      <c r="D2045" t="s">
        <v>43</v>
      </c>
      <c r="G2045" t="s">
        <v>28</v>
      </c>
      <c r="I2045" t="s">
        <v>41</v>
      </c>
      <c r="J2045" t="s">
        <v>1525</v>
      </c>
      <c r="L2045" t="s">
        <v>1526</v>
      </c>
      <c r="M2045" t="s">
        <v>3841</v>
      </c>
      <c r="N2045" t="s">
        <v>3841</v>
      </c>
      <c r="O2045" t="s">
        <v>73</v>
      </c>
      <c r="P2045" t="s">
        <v>81</v>
      </c>
      <c r="Q2045" t="s">
        <v>3842</v>
      </c>
      <c r="R2045" t="s">
        <v>3843</v>
      </c>
    </row>
    <row r="2046" spans="1:18" x14ac:dyDescent="0.25">
      <c r="A2046" t="s">
        <v>21898</v>
      </c>
      <c r="B2046" t="s">
        <v>3856</v>
      </c>
      <c r="C2046" t="str">
        <f>HYPERLINK("https://nematode.unl.edu/coomb3.jpg")</f>
        <v>https://nematode.unl.edu/coomb3.jpg</v>
      </c>
      <c r="D2046" t="s">
        <v>43</v>
      </c>
      <c r="G2046" t="s">
        <v>96</v>
      </c>
      <c r="H2046" t="s">
        <v>18</v>
      </c>
      <c r="I2046" t="s">
        <v>19</v>
      </c>
      <c r="J2046" t="s">
        <v>1525</v>
      </c>
      <c r="L2046" t="s">
        <v>1526</v>
      </c>
      <c r="M2046" t="s">
        <v>3841</v>
      </c>
      <c r="N2046" t="s">
        <v>3841</v>
      </c>
      <c r="O2046" t="s">
        <v>73</v>
      </c>
      <c r="P2046" t="s">
        <v>81</v>
      </c>
      <c r="Q2046" t="s">
        <v>3842</v>
      </c>
      <c r="R2046" t="s">
        <v>3843</v>
      </c>
    </row>
    <row r="2047" spans="1:18" x14ac:dyDescent="0.25">
      <c r="A2047" t="s">
        <v>21908</v>
      </c>
      <c r="B2047" t="s">
        <v>3857</v>
      </c>
      <c r="C2047" t="str">
        <f>HYPERLINK("https://nematode.unl.edu/coomb4.jpg")</f>
        <v>https://nematode.unl.edu/coomb4.jpg</v>
      </c>
      <c r="D2047" t="s">
        <v>43</v>
      </c>
      <c r="G2047" t="s">
        <v>1000</v>
      </c>
      <c r="I2047" t="s">
        <v>19</v>
      </c>
      <c r="J2047" t="s">
        <v>1525</v>
      </c>
      <c r="L2047" t="s">
        <v>1526</v>
      </c>
      <c r="M2047" t="s">
        <v>3841</v>
      </c>
      <c r="N2047" t="s">
        <v>3841</v>
      </c>
      <c r="O2047" t="s">
        <v>73</v>
      </c>
      <c r="P2047" t="s">
        <v>81</v>
      </c>
      <c r="Q2047" t="s">
        <v>3842</v>
      </c>
      <c r="R2047" t="s">
        <v>3843</v>
      </c>
    </row>
    <row r="2048" spans="1:18" x14ac:dyDescent="0.25">
      <c r="A2048" t="s">
        <v>21910</v>
      </c>
      <c r="B2048" t="s">
        <v>3858</v>
      </c>
      <c r="C2048" t="str">
        <f>HYPERLINK("https://nematode.unl.edu/coomb5.jpg")</f>
        <v>https://nematode.unl.edu/coomb5.jpg</v>
      </c>
      <c r="D2048" t="s">
        <v>43</v>
      </c>
      <c r="G2048" t="s">
        <v>856</v>
      </c>
      <c r="I2048" t="s">
        <v>19</v>
      </c>
      <c r="J2048" t="s">
        <v>1525</v>
      </c>
      <c r="L2048" t="s">
        <v>1526</v>
      </c>
      <c r="M2048" t="s">
        <v>3841</v>
      </c>
      <c r="N2048" t="s">
        <v>3841</v>
      </c>
      <c r="O2048" t="s">
        <v>73</v>
      </c>
      <c r="P2048" t="s">
        <v>81</v>
      </c>
      <c r="Q2048" t="s">
        <v>3842</v>
      </c>
      <c r="R2048" t="s">
        <v>3843</v>
      </c>
    </row>
    <row r="2049" spans="1:18" x14ac:dyDescent="0.25">
      <c r="A2049" t="s">
        <v>21900</v>
      </c>
      <c r="B2049" t="s">
        <v>3859</v>
      </c>
      <c r="C2049" t="str">
        <f>HYPERLINK("https://nematode.unl.edu/coomb6.jpg")</f>
        <v>https://nematode.unl.edu/coomb6.jpg</v>
      </c>
      <c r="D2049" t="s">
        <v>43</v>
      </c>
      <c r="G2049" t="s">
        <v>34</v>
      </c>
      <c r="H2049" t="s">
        <v>18</v>
      </c>
      <c r="I2049" t="s">
        <v>41</v>
      </c>
      <c r="J2049" t="s">
        <v>1525</v>
      </c>
      <c r="L2049" t="s">
        <v>1526</v>
      </c>
      <c r="M2049" t="s">
        <v>3841</v>
      </c>
      <c r="N2049" t="s">
        <v>3841</v>
      </c>
      <c r="O2049" t="s">
        <v>73</v>
      </c>
      <c r="P2049" t="s">
        <v>81</v>
      </c>
      <c r="Q2049" t="s">
        <v>3842</v>
      </c>
      <c r="R2049" t="s">
        <v>3843</v>
      </c>
    </row>
    <row r="2050" spans="1:18" x14ac:dyDescent="0.25">
      <c r="A2050" t="s">
        <v>21901</v>
      </c>
      <c r="B2050" t="s">
        <v>3860</v>
      </c>
      <c r="C2050" t="str">
        <f>HYPERLINK("https://nematode.unl.edu/coomb7.jpg")</f>
        <v>https://nematode.unl.edu/coomb7.jpg</v>
      </c>
      <c r="D2050" t="s">
        <v>43</v>
      </c>
      <c r="G2050" t="s">
        <v>257</v>
      </c>
      <c r="H2050" t="s">
        <v>18</v>
      </c>
      <c r="I2050" t="s">
        <v>41</v>
      </c>
      <c r="J2050" t="s">
        <v>1525</v>
      </c>
      <c r="L2050" t="s">
        <v>1526</v>
      </c>
      <c r="M2050" t="s">
        <v>3841</v>
      </c>
      <c r="N2050" t="s">
        <v>3841</v>
      </c>
      <c r="O2050" t="s">
        <v>73</v>
      </c>
      <c r="P2050" t="s">
        <v>81</v>
      </c>
      <c r="Q2050" t="s">
        <v>3842</v>
      </c>
      <c r="R2050" t="s">
        <v>3843</v>
      </c>
    </row>
    <row r="2051" spans="1:18" x14ac:dyDescent="0.25">
      <c r="A2051" t="s">
        <v>21896</v>
      </c>
      <c r="B2051" t="s">
        <v>3861</v>
      </c>
      <c r="C2051" t="str">
        <f>HYPERLINK("https://nematode.unl.edu/coomb8.jpg")</f>
        <v>https://nematode.unl.edu/coomb8.jpg</v>
      </c>
      <c r="D2051" t="s">
        <v>43</v>
      </c>
      <c r="G2051" t="s">
        <v>386</v>
      </c>
      <c r="H2051" t="s">
        <v>18</v>
      </c>
      <c r="I2051" t="s">
        <v>41</v>
      </c>
      <c r="J2051" t="s">
        <v>1525</v>
      </c>
      <c r="L2051" t="s">
        <v>1526</v>
      </c>
      <c r="M2051" t="s">
        <v>3841</v>
      </c>
      <c r="N2051" t="s">
        <v>3841</v>
      </c>
      <c r="O2051" t="s">
        <v>73</v>
      </c>
      <c r="P2051" t="s">
        <v>81</v>
      </c>
      <c r="Q2051" t="s">
        <v>3842</v>
      </c>
      <c r="R2051" t="s">
        <v>3843</v>
      </c>
    </row>
    <row r="2052" spans="1:18" x14ac:dyDescent="0.25">
      <c r="A2052" t="s">
        <v>21906</v>
      </c>
      <c r="B2052" t="s">
        <v>3862</v>
      </c>
      <c r="C2052" t="str">
        <f>HYPERLINK("https://nematode.unl.edu/coomb9.jpg")</f>
        <v>https://nematode.unl.edu/coomb9.jpg</v>
      </c>
      <c r="D2052" t="s">
        <v>43</v>
      </c>
      <c r="G2052" t="s">
        <v>243</v>
      </c>
      <c r="I2052" t="s">
        <v>41</v>
      </c>
      <c r="J2052" t="s">
        <v>1525</v>
      </c>
      <c r="L2052" t="s">
        <v>1526</v>
      </c>
      <c r="M2052" t="s">
        <v>3841</v>
      </c>
      <c r="N2052" t="s">
        <v>3841</v>
      </c>
      <c r="O2052" t="s">
        <v>73</v>
      </c>
      <c r="P2052" t="s">
        <v>81</v>
      </c>
      <c r="Q2052" t="s">
        <v>3842</v>
      </c>
      <c r="R2052" t="s">
        <v>3843</v>
      </c>
    </row>
    <row r="2053" spans="1:18" x14ac:dyDescent="0.25">
      <c r="A2053" t="s">
        <v>17987</v>
      </c>
      <c r="B2053" t="s">
        <v>3891</v>
      </c>
      <c r="C2053" t="str">
        <f>HYPERLINK("https://nematode.unl.edu/cosco1.jpg")</f>
        <v>https://nematode.unl.edu/cosco1.jpg</v>
      </c>
      <c r="D2053" t="s">
        <v>43</v>
      </c>
      <c r="G2053" t="s">
        <v>34</v>
      </c>
      <c r="H2053" t="s">
        <v>18</v>
      </c>
      <c r="I2053" t="s">
        <v>19</v>
      </c>
      <c r="J2053" t="s">
        <v>20</v>
      </c>
      <c r="L2053" t="s">
        <v>64</v>
      </c>
      <c r="M2053" t="s">
        <v>3892</v>
      </c>
      <c r="N2053" t="s">
        <v>3892</v>
      </c>
      <c r="O2053" t="s">
        <v>23</v>
      </c>
      <c r="P2053" t="s">
        <v>24</v>
      </c>
      <c r="Q2053" t="s">
        <v>69</v>
      </c>
      <c r="R2053" t="s">
        <v>3864</v>
      </c>
    </row>
    <row r="2054" spans="1:18" x14ac:dyDescent="0.25">
      <c r="A2054" t="s">
        <v>17988</v>
      </c>
      <c r="B2054" t="s">
        <v>3893</v>
      </c>
      <c r="C2054" t="str">
        <f>HYPERLINK("https://nematode.unl.edu/cosco10.jpg")</f>
        <v>https://nematode.unl.edu/cosco10.jpg</v>
      </c>
      <c r="D2054" t="s">
        <v>16</v>
      </c>
      <c r="G2054" t="s">
        <v>34</v>
      </c>
      <c r="H2054" t="s">
        <v>18</v>
      </c>
      <c r="I2054" t="s">
        <v>19</v>
      </c>
      <c r="J2054" t="s">
        <v>20</v>
      </c>
      <c r="L2054" t="s">
        <v>64</v>
      </c>
      <c r="M2054" t="s">
        <v>3892</v>
      </c>
      <c r="N2054" t="s">
        <v>3892</v>
      </c>
      <c r="O2054" t="s">
        <v>23</v>
      </c>
      <c r="P2054" t="s">
        <v>24</v>
      </c>
      <c r="Q2054" t="s">
        <v>69</v>
      </c>
      <c r="R2054" t="s">
        <v>3864</v>
      </c>
    </row>
    <row r="2055" spans="1:18" x14ac:dyDescent="0.25">
      <c r="A2055" t="s">
        <v>17989</v>
      </c>
      <c r="B2055" t="s">
        <v>3894</v>
      </c>
      <c r="C2055" t="str">
        <f>HYPERLINK("https://nematode.unl.edu/cosco11.jpg")</f>
        <v>https://nematode.unl.edu/cosco11.jpg</v>
      </c>
      <c r="D2055" t="s">
        <v>16</v>
      </c>
      <c r="G2055" t="s">
        <v>34</v>
      </c>
      <c r="H2055" t="s">
        <v>18</v>
      </c>
      <c r="I2055" t="s">
        <v>19</v>
      </c>
      <c r="J2055" t="s">
        <v>20</v>
      </c>
      <c r="L2055" t="s">
        <v>64</v>
      </c>
      <c r="M2055" t="s">
        <v>3892</v>
      </c>
      <c r="N2055" t="s">
        <v>3892</v>
      </c>
      <c r="O2055" t="s">
        <v>23</v>
      </c>
      <c r="P2055" t="s">
        <v>24</v>
      </c>
      <c r="Q2055" t="s">
        <v>69</v>
      </c>
      <c r="R2055" t="s">
        <v>3864</v>
      </c>
    </row>
    <row r="2056" spans="1:18" x14ac:dyDescent="0.25">
      <c r="A2056" t="s">
        <v>17990</v>
      </c>
      <c r="B2056" t="s">
        <v>3895</v>
      </c>
      <c r="C2056" t="str">
        <f>HYPERLINK("https://nematode.unl.edu/cosco12.jpg")</f>
        <v>https://nematode.unl.edu/cosco12.jpg</v>
      </c>
      <c r="D2056" t="s">
        <v>16</v>
      </c>
      <c r="G2056" t="s">
        <v>34</v>
      </c>
      <c r="H2056" t="s">
        <v>18</v>
      </c>
      <c r="I2056" t="s">
        <v>41</v>
      </c>
      <c r="J2056" t="s">
        <v>20</v>
      </c>
      <c r="L2056" t="s">
        <v>64</v>
      </c>
      <c r="M2056" t="s">
        <v>3892</v>
      </c>
      <c r="N2056" t="s">
        <v>3892</v>
      </c>
      <c r="O2056" t="s">
        <v>23</v>
      </c>
      <c r="P2056" t="s">
        <v>24</v>
      </c>
      <c r="Q2056" t="s">
        <v>69</v>
      </c>
      <c r="R2056" t="s">
        <v>3864</v>
      </c>
    </row>
    <row r="2057" spans="1:18" x14ac:dyDescent="0.25">
      <c r="A2057" t="s">
        <v>18003</v>
      </c>
      <c r="B2057" t="s">
        <v>3896</v>
      </c>
      <c r="C2057" t="str">
        <f>HYPERLINK("https://nematode.unl.edu/cosco13.jpg")</f>
        <v>https://nematode.unl.edu/cosco13.jpg</v>
      </c>
      <c r="D2057" t="s">
        <v>16</v>
      </c>
      <c r="G2057" t="s">
        <v>224</v>
      </c>
      <c r="I2057" t="s">
        <v>41</v>
      </c>
      <c r="J2057" t="s">
        <v>20</v>
      </c>
      <c r="L2057" t="s">
        <v>64</v>
      </c>
      <c r="M2057" t="s">
        <v>3892</v>
      </c>
      <c r="N2057" t="s">
        <v>3892</v>
      </c>
      <c r="O2057" t="s">
        <v>23</v>
      </c>
      <c r="P2057" t="s">
        <v>24</v>
      </c>
      <c r="Q2057" t="s">
        <v>69</v>
      </c>
      <c r="R2057" t="s">
        <v>3864</v>
      </c>
    </row>
    <row r="2058" spans="1:18" x14ac:dyDescent="0.25">
      <c r="A2058" t="s">
        <v>17998</v>
      </c>
      <c r="B2058" t="s">
        <v>3897</v>
      </c>
      <c r="C2058" t="str">
        <f>HYPERLINK("https://nematode.unl.edu/cosco14.jpg")</f>
        <v>https://nematode.unl.edu/cosco14.jpg</v>
      </c>
      <c r="D2058" t="s">
        <v>43</v>
      </c>
      <c r="G2058" t="s">
        <v>44</v>
      </c>
      <c r="I2058" t="s">
        <v>41</v>
      </c>
      <c r="J2058" t="s">
        <v>20</v>
      </c>
      <c r="L2058" t="s">
        <v>220</v>
      </c>
      <c r="M2058" t="s">
        <v>3892</v>
      </c>
      <c r="N2058" t="s">
        <v>3892</v>
      </c>
      <c r="O2058" t="s">
        <v>23</v>
      </c>
      <c r="P2058" t="s">
        <v>24</v>
      </c>
      <c r="Q2058" t="s">
        <v>69</v>
      </c>
      <c r="R2058" t="s">
        <v>3864</v>
      </c>
    </row>
    <row r="2059" spans="1:18" x14ac:dyDescent="0.25">
      <c r="A2059" t="s">
        <v>17991</v>
      </c>
      <c r="B2059" t="s">
        <v>3898</v>
      </c>
      <c r="C2059" t="str">
        <f>HYPERLINK("https://nematode.unl.edu/cosco15.jpg")</f>
        <v>https://nematode.unl.edu/cosco15.jpg</v>
      </c>
      <c r="D2059" t="s">
        <v>43</v>
      </c>
      <c r="G2059" t="s">
        <v>34</v>
      </c>
      <c r="H2059" t="s">
        <v>18</v>
      </c>
      <c r="I2059" t="s">
        <v>19</v>
      </c>
      <c r="J2059" t="s">
        <v>20</v>
      </c>
      <c r="L2059" t="s">
        <v>141</v>
      </c>
      <c r="M2059" t="s">
        <v>3892</v>
      </c>
      <c r="N2059" t="s">
        <v>3892</v>
      </c>
      <c r="O2059" t="s">
        <v>23</v>
      </c>
      <c r="P2059" t="s">
        <v>24</v>
      </c>
      <c r="Q2059" t="s">
        <v>69</v>
      </c>
      <c r="R2059" t="s">
        <v>3864</v>
      </c>
    </row>
    <row r="2060" spans="1:18" x14ac:dyDescent="0.25">
      <c r="A2060" t="s">
        <v>18013</v>
      </c>
      <c r="B2060" t="s">
        <v>3899</v>
      </c>
      <c r="C2060" t="str">
        <f>HYPERLINK("https://nematode.unl.edu/cosco16.jpg")</f>
        <v>https://nematode.unl.edu/cosco16.jpg</v>
      </c>
      <c r="D2060" t="s">
        <v>43</v>
      </c>
      <c r="G2060" t="s">
        <v>51</v>
      </c>
      <c r="I2060" t="s">
        <v>19</v>
      </c>
      <c r="J2060" t="s">
        <v>20</v>
      </c>
      <c r="L2060" t="s">
        <v>141</v>
      </c>
      <c r="M2060" t="s">
        <v>3892</v>
      </c>
      <c r="N2060" t="s">
        <v>3892</v>
      </c>
      <c r="O2060" t="s">
        <v>23</v>
      </c>
      <c r="P2060" t="s">
        <v>24</v>
      </c>
      <c r="Q2060" t="s">
        <v>69</v>
      </c>
      <c r="R2060" t="s">
        <v>3864</v>
      </c>
    </row>
    <row r="2061" spans="1:18" x14ac:dyDescent="0.25">
      <c r="A2061" t="s">
        <v>18014</v>
      </c>
      <c r="B2061" t="s">
        <v>3900</v>
      </c>
      <c r="C2061" t="str">
        <f>HYPERLINK("https://nematode.unl.edu/cosco2.jpg")</f>
        <v>https://nematode.unl.edu/cosco2.jpg</v>
      </c>
      <c r="D2061" t="s">
        <v>43</v>
      </c>
      <c r="G2061" t="s">
        <v>51</v>
      </c>
      <c r="I2061" t="s">
        <v>19</v>
      </c>
      <c r="J2061" t="s">
        <v>20</v>
      </c>
      <c r="L2061" t="s">
        <v>64</v>
      </c>
      <c r="M2061" t="s">
        <v>3892</v>
      </c>
      <c r="N2061" t="s">
        <v>3892</v>
      </c>
      <c r="O2061" t="s">
        <v>23</v>
      </c>
      <c r="P2061" t="s">
        <v>24</v>
      </c>
      <c r="Q2061" t="s">
        <v>69</v>
      </c>
      <c r="R2061" t="s">
        <v>3864</v>
      </c>
    </row>
    <row r="2062" spans="1:18" x14ac:dyDescent="0.25">
      <c r="A2062" t="s">
        <v>17999</v>
      </c>
      <c r="B2062" t="s">
        <v>3901</v>
      </c>
      <c r="C2062" t="str">
        <f>HYPERLINK("https://nematode.unl.edu/cosco3.jpg")</f>
        <v>https://nematode.unl.edu/cosco3.jpg</v>
      </c>
      <c r="D2062" t="s">
        <v>43</v>
      </c>
      <c r="G2062" t="s">
        <v>44</v>
      </c>
      <c r="I2062" t="s">
        <v>45</v>
      </c>
      <c r="J2062" t="s">
        <v>20</v>
      </c>
      <c r="L2062" t="s">
        <v>64</v>
      </c>
      <c r="M2062" t="s">
        <v>3892</v>
      </c>
      <c r="N2062" t="s">
        <v>3892</v>
      </c>
      <c r="O2062" t="s">
        <v>23</v>
      </c>
      <c r="P2062" t="s">
        <v>24</v>
      </c>
      <c r="Q2062" t="s">
        <v>69</v>
      </c>
      <c r="R2062" t="s">
        <v>3864</v>
      </c>
    </row>
    <row r="2063" spans="1:18" x14ac:dyDescent="0.25">
      <c r="A2063" t="s">
        <v>18004</v>
      </c>
      <c r="B2063" t="s">
        <v>3902</v>
      </c>
      <c r="C2063" t="str">
        <f>HYPERLINK("https://nematode.unl.edu/cosco4.jpg")</f>
        <v>https://nematode.unl.edu/cosco4.jpg</v>
      </c>
      <c r="D2063" t="s">
        <v>43</v>
      </c>
      <c r="G2063" t="s">
        <v>224</v>
      </c>
      <c r="I2063" t="s">
        <v>19</v>
      </c>
      <c r="J2063" t="s">
        <v>20</v>
      </c>
      <c r="L2063" t="s">
        <v>85</v>
      </c>
      <c r="M2063" t="s">
        <v>3892</v>
      </c>
      <c r="N2063" t="s">
        <v>3892</v>
      </c>
      <c r="O2063" t="s">
        <v>23</v>
      </c>
      <c r="P2063" t="s">
        <v>24</v>
      </c>
      <c r="Q2063" t="s">
        <v>69</v>
      </c>
      <c r="R2063" t="s">
        <v>3864</v>
      </c>
    </row>
    <row r="2064" spans="1:18" x14ac:dyDescent="0.25">
      <c r="A2064" t="s">
        <v>18010</v>
      </c>
      <c r="B2064" t="s">
        <v>3903</v>
      </c>
      <c r="C2064" t="str">
        <f>HYPERLINK("https://nematode.unl.edu/cosco5.jpg")</f>
        <v>https://nematode.unl.edu/cosco5.jpg</v>
      </c>
      <c r="D2064" t="s">
        <v>43</v>
      </c>
      <c r="G2064" t="s">
        <v>28</v>
      </c>
      <c r="I2064" t="s">
        <v>19</v>
      </c>
      <c r="J2064" t="s">
        <v>20</v>
      </c>
      <c r="L2064" t="s">
        <v>85</v>
      </c>
      <c r="M2064" t="s">
        <v>3892</v>
      </c>
      <c r="N2064" t="s">
        <v>3892</v>
      </c>
      <c r="O2064" t="s">
        <v>23</v>
      </c>
      <c r="P2064" t="s">
        <v>24</v>
      </c>
      <c r="Q2064" t="s">
        <v>69</v>
      </c>
      <c r="R2064" t="s">
        <v>3864</v>
      </c>
    </row>
    <row r="2065" spans="1:18" x14ac:dyDescent="0.25">
      <c r="A2065" t="s">
        <v>18015</v>
      </c>
      <c r="B2065" t="s">
        <v>3904</v>
      </c>
      <c r="C2065" t="str">
        <f>HYPERLINK("https://nematode.unl.edu/cosco6.jpg")</f>
        <v>https://nematode.unl.edu/cosco6.jpg</v>
      </c>
      <c r="D2065" t="s">
        <v>43</v>
      </c>
      <c r="G2065" t="s">
        <v>51</v>
      </c>
      <c r="I2065" t="s">
        <v>19</v>
      </c>
      <c r="J2065" t="s">
        <v>20</v>
      </c>
      <c r="L2065" t="s">
        <v>141</v>
      </c>
      <c r="M2065" t="s">
        <v>3892</v>
      </c>
      <c r="N2065" t="s">
        <v>3892</v>
      </c>
      <c r="O2065" t="s">
        <v>23</v>
      </c>
      <c r="P2065" t="s">
        <v>24</v>
      </c>
      <c r="Q2065" t="s">
        <v>69</v>
      </c>
      <c r="R2065" t="s">
        <v>3864</v>
      </c>
    </row>
    <row r="2066" spans="1:18" x14ac:dyDescent="0.25">
      <c r="A2066" t="s">
        <v>17992</v>
      </c>
      <c r="B2066" t="s">
        <v>3905</v>
      </c>
      <c r="C2066" t="str">
        <f>HYPERLINK("https://nematode.unl.edu/cosco7.jpg")</f>
        <v>https://nematode.unl.edu/cosco7.jpg</v>
      </c>
      <c r="D2066" t="s">
        <v>43</v>
      </c>
      <c r="G2066" t="s">
        <v>34</v>
      </c>
      <c r="H2066" t="s">
        <v>18</v>
      </c>
      <c r="I2066" t="s">
        <v>19</v>
      </c>
      <c r="J2066" t="s">
        <v>20</v>
      </c>
      <c r="L2066" t="s">
        <v>141</v>
      </c>
      <c r="M2066" t="s">
        <v>3892</v>
      </c>
      <c r="N2066" t="s">
        <v>3892</v>
      </c>
      <c r="O2066" t="s">
        <v>23</v>
      </c>
      <c r="P2066" t="s">
        <v>24</v>
      </c>
      <c r="Q2066" t="s">
        <v>69</v>
      </c>
      <c r="R2066" t="s">
        <v>3864</v>
      </c>
    </row>
    <row r="2067" spans="1:18" x14ac:dyDescent="0.25">
      <c r="A2067" t="s">
        <v>18005</v>
      </c>
      <c r="B2067" t="s">
        <v>3906</v>
      </c>
      <c r="C2067" t="str">
        <f>HYPERLINK("https://nematode.unl.edu/cosco8.jpg")</f>
        <v>https://nematode.unl.edu/cosco8.jpg</v>
      </c>
      <c r="D2067" t="s">
        <v>16</v>
      </c>
      <c r="G2067" t="s">
        <v>224</v>
      </c>
      <c r="I2067" t="s">
        <v>41</v>
      </c>
      <c r="J2067" t="s">
        <v>20</v>
      </c>
      <c r="M2067" t="s">
        <v>3892</v>
      </c>
      <c r="N2067" t="s">
        <v>3892</v>
      </c>
      <c r="O2067" t="s">
        <v>23</v>
      </c>
      <c r="P2067" t="s">
        <v>24</v>
      </c>
      <c r="Q2067" t="s">
        <v>69</v>
      </c>
      <c r="R2067" t="s">
        <v>3864</v>
      </c>
    </row>
    <row r="2068" spans="1:18" x14ac:dyDescent="0.25">
      <c r="A2068" t="s">
        <v>18000</v>
      </c>
      <c r="B2068" t="s">
        <v>3907</v>
      </c>
      <c r="C2068" t="str">
        <f>HYPERLINK("https://nematode.unl.edu/cosco9.jpg")</f>
        <v>https://nematode.unl.edu/cosco9.jpg</v>
      </c>
      <c r="D2068" t="s">
        <v>16</v>
      </c>
      <c r="G2068" t="s">
        <v>44</v>
      </c>
      <c r="I2068" t="s">
        <v>45</v>
      </c>
      <c r="J2068" t="s">
        <v>20</v>
      </c>
      <c r="L2068" t="s">
        <v>64</v>
      </c>
      <c r="M2068" t="s">
        <v>3892</v>
      </c>
      <c r="N2068" t="s">
        <v>3892</v>
      </c>
      <c r="O2068" t="s">
        <v>23</v>
      </c>
      <c r="P2068" t="s">
        <v>24</v>
      </c>
      <c r="Q2068" t="s">
        <v>69</v>
      </c>
      <c r="R2068" t="s">
        <v>3864</v>
      </c>
    </row>
    <row r="2069" spans="1:18" x14ac:dyDescent="0.25">
      <c r="A2069" t="s">
        <v>18002</v>
      </c>
      <c r="B2069" t="s">
        <v>3908</v>
      </c>
      <c r="C2069" t="str">
        <f>HYPERLINK("https://nematode.unl.edu/coscocmp.jpg")</f>
        <v>https://nematode.unl.edu/coscocmp.jpg</v>
      </c>
      <c r="G2069" t="s">
        <v>108</v>
      </c>
      <c r="M2069" t="s">
        <v>3892</v>
      </c>
      <c r="N2069" t="s">
        <v>3892</v>
      </c>
      <c r="O2069" t="s">
        <v>23</v>
      </c>
      <c r="P2069" t="s">
        <v>24</v>
      </c>
      <c r="Q2069" t="s">
        <v>69</v>
      </c>
      <c r="R2069" t="s">
        <v>3864</v>
      </c>
    </row>
    <row r="2070" spans="1:18" x14ac:dyDescent="0.25">
      <c r="A2070" t="s">
        <v>18001</v>
      </c>
      <c r="B2070" t="s">
        <v>3909</v>
      </c>
      <c r="C2070" t="str">
        <f>HYPERLINK("https://nematode.unl.edu/coscos1.jpg")</f>
        <v>https://nematode.unl.edu/coscos1.jpg</v>
      </c>
      <c r="D2070" t="s">
        <v>43</v>
      </c>
      <c r="G2070" t="s">
        <v>44</v>
      </c>
      <c r="I2070" t="s">
        <v>45</v>
      </c>
      <c r="J2070" t="s">
        <v>46</v>
      </c>
      <c r="L2070" t="s">
        <v>727</v>
      </c>
      <c r="M2070" t="s">
        <v>3892</v>
      </c>
      <c r="N2070" t="s">
        <v>3892</v>
      </c>
      <c r="O2070" t="s">
        <v>23</v>
      </c>
      <c r="P2070" t="s">
        <v>24</v>
      </c>
      <c r="Q2070" t="s">
        <v>69</v>
      </c>
      <c r="R2070" t="s">
        <v>3864</v>
      </c>
    </row>
    <row r="2071" spans="1:18" x14ac:dyDescent="0.25">
      <c r="A2071" t="s">
        <v>17993</v>
      </c>
      <c r="B2071" t="s">
        <v>3910</v>
      </c>
      <c r="C2071" t="str">
        <f>HYPERLINK("https://nematode.unl.edu/coscos2.jpg")</f>
        <v>https://nematode.unl.edu/coscos2.jpg</v>
      </c>
      <c r="D2071" t="s">
        <v>43</v>
      </c>
      <c r="G2071" t="s">
        <v>34</v>
      </c>
      <c r="H2071" t="s">
        <v>18</v>
      </c>
      <c r="I2071" t="s">
        <v>19</v>
      </c>
      <c r="J2071" t="s">
        <v>46</v>
      </c>
      <c r="L2071" t="s">
        <v>727</v>
      </c>
      <c r="M2071" t="s">
        <v>3892</v>
      </c>
      <c r="N2071" t="s">
        <v>3892</v>
      </c>
      <c r="O2071" t="s">
        <v>23</v>
      </c>
      <c r="P2071" t="s">
        <v>24</v>
      </c>
      <c r="Q2071" t="s">
        <v>69</v>
      </c>
      <c r="R2071" t="s">
        <v>3864</v>
      </c>
    </row>
    <row r="2072" spans="1:18" x14ac:dyDescent="0.25">
      <c r="A2072" t="s">
        <v>17994</v>
      </c>
      <c r="B2072" t="s">
        <v>3911</v>
      </c>
      <c r="C2072" t="str">
        <f>HYPERLINK("https://nematode.unl.edu/coscos3.jpg")</f>
        <v>https://nematode.unl.edu/coscos3.jpg</v>
      </c>
      <c r="D2072" t="s">
        <v>43</v>
      </c>
      <c r="G2072" t="s">
        <v>34</v>
      </c>
      <c r="H2072" t="s">
        <v>18</v>
      </c>
      <c r="I2072" t="s">
        <v>19</v>
      </c>
      <c r="J2072" t="s">
        <v>46</v>
      </c>
      <c r="L2072" t="s">
        <v>105</v>
      </c>
      <c r="M2072" t="s">
        <v>3892</v>
      </c>
      <c r="N2072" t="s">
        <v>3892</v>
      </c>
      <c r="O2072" t="s">
        <v>23</v>
      </c>
      <c r="P2072" t="s">
        <v>24</v>
      </c>
      <c r="Q2072" t="s">
        <v>69</v>
      </c>
      <c r="R2072" t="s">
        <v>3864</v>
      </c>
    </row>
    <row r="2073" spans="1:18" x14ac:dyDescent="0.25">
      <c r="A2073" t="s">
        <v>18011</v>
      </c>
      <c r="B2073" t="s">
        <v>3912</v>
      </c>
      <c r="C2073" t="str">
        <f>HYPERLINK("https://nematode.unl.edu/coscos4.jpg")</f>
        <v>https://nematode.unl.edu/coscos4.jpg</v>
      </c>
      <c r="D2073" t="s">
        <v>43</v>
      </c>
      <c r="G2073" t="s">
        <v>28</v>
      </c>
      <c r="I2073" t="s">
        <v>19</v>
      </c>
      <c r="J2073" t="s">
        <v>46</v>
      </c>
      <c r="L2073" t="s">
        <v>727</v>
      </c>
      <c r="M2073" t="s">
        <v>3892</v>
      </c>
      <c r="N2073" t="s">
        <v>3892</v>
      </c>
      <c r="O2073" t="s">
        <v>23</v>
      </c>
      <c r="P2073" t="s">
        <v>24</v>
      </c>
      <c r="Q2073" t="s">
        <v>69</v>
      </c>
      <c r="R2073" t="s">
        <v>3864</v>
      </c>
    </row>
    <row r="2074" spans="1:18" x14ac:dyDescent="0.25">
      <c r="A2074" t="s">
        <v>18016</v>
      </c>
      <c r="B2074" t="s">
        <v>3913</v>
      </c>
      <c r="C2074" t="str">
        <f>HYPERLINK("https://nematode.unl.edu/coscos5.jpg")</f>
        <v>https://nematode.unl.edu/coscos5.jpg</v>
      </c>
      <c r="D2074" t="s">
        <v>43</v>
      </c>
      <c r="G2074" t="s">
        <v>51</v>
      </c>
      <c r="I2074" t="s">
        <v>19</v>
      </c>
      <c r="J2074" t="s">
        <v>46</v>
      </c>
      <c r="L2074" t="s">
        <v>105</v>
      </c>
      <c r="M2074" t="s">
        <v>3892</v>
      </c>
      <c r="N2074" t="s">
        <v>3892</v>
      </c>
      <c r="O2074" t="s">
        <v>23</v>
      </c>
      <c r="P2074" t="s">
        <v>24</v>
      </c>
      <c r="Q2074" t="s">
        <v>69</v>
      </c>
      <c r="R2074" t="s">
        <v>3864</v>
      </c>
    </row>
    <row r="2075" spans="1:18" x14ac:dyDescent="0.25">
      <c r="A2075" t="s">
        <v>18006</v>
      </c>
      <c r="B2075" t="s">
        <v>3914</v>
      </c>
      <c r="C2075" t="str">
        <f>HYPERLINK("https://nematode.unl.edu/coscos6.jpg")</f>
        <v>https://nematode.unl.edu/coscos6.jpg</v>
      </c>
      <c r="D2075" t="s">
        <v>43</v>
      </c>
      <c r="G2075" t="s">
        <v>224</v>
      </c>
      <c r="I2075" t="s">
        <v>41</v>
      </c>
      <c r="J2075" t="s">
        <v>46</v>
      </c>
      <c r="L2075" t="s">
        <v>727</v>
      </c>
      <c r="M2075" t="s">
        <v>3892</v>
      </c>
      <c r="N2075" t="s">
        <v>3892</v>
      </c>
      <c r="O2075" t="s">
        <v>23</v>
      </c>
      <c r="P2075" t="s">
        <v>24</v>
      </c>
      <c r="Q2075" t="s">
        <v>69</v>
      </c>
      <c r="R2075" t="s">
        <v>3864</v>
      </c>
    </row>
    <row r="2076" spans="1:18" x14ac:dyDescent="0.25">
      <c r="A2076" t="s">
        <v>17995</v>
      </c>
      <c r="B2076" t="s">
        <v>3915</v>
      </c>
      <c r="C2076" t="str">
        <f>HYPERLINK("https://nematode.unl.edu/cosleco1.jpg")</f>
        <v>https://nematode.unl.edu/cosleco1.jpg</v>
      </c>
      <c r="D2076" t="s">
        <v>43</v>
      </c>
      <c r="G2076" t="s">
        <v>34</v>
      </c>
      <c r="H2076" t="s">
        <v>18</v>
      </c>
      <c r="I2076" t="s">
        <v>19</v>
      </c>
      <c r="J2076" t="s">
        <v>161</v>
      </c>
      <c r="L2076" t="s">
        <v>162</v>
      </c>
      <c r="M2076" t="s">
        <v>3892</v>
      </c>
      <c r="N2076" t="s">
        <v>3892</v>
      </c>
      <c r="O2076" t="s">
        <v>23</v>
      </c>
      <c r="P2076" t="s">
        <v>24</v>
      </c>
      <c r="Q2076" t="s">
        <v>69</v>
      </c>
      <c r="R2076" t="s">
        <v>3864</v>
      </c>
    </row>
    <row r="2077" spans="1:18" x14ac:dyDescent="0.25">
      <c r="A2077" t="s">
        <v>18007</v>
      </c>
      <c r="B2077" t="s">
        <v>3916</v>
      </c>
      <c r="C2077" t="str">
        <f>HYPERLINK("https://nematode.unl.edu/cosleco2.jpg")</f>
        <v>https://nematode.unl.edu/cosleco2.jpg</v>
      </c>
      <c r="D2077" t="s">
        <v>43</v>
      </c>
      <c r="G2077" t="s">
        <v>224</v>
      </c>
      <c r="I2077" t="s">
        <v>19</v>
      </c>
      <c r="J2077" t="s">
        <v>161</v>
      </c>
      <c r="M2077" t="s">
        <v>3892</v>
      </c>
      <c r="N2077" t="s">
        <v>3892</v>
      </c>
      <c r="O2077" t="s">
        <v>23</v>
      </c>
      <c r="P2077" t="s">
        <v>24</v>
      </c>
      <c r="Q2077" t="s">
        <v>69</v>
      </c>
      <c r="R2077" t="s">
        <v>3864</v>
      </c>
    </row>
    <row r="2078" spans="1:18" x14ac:dyDescent="0.25">
      <c r="A2078" t="s">
        <v>18017</v>
      </c>
      <c r="B2078" t="s">
        <v>3917</v>
      </c>
      <c r="C2078" t="str">
        <f>HYPERLINK("https://nematode.unl.edu/cosleco3.jpg")</f>
        <v>https://nematode.unl.edu/cosleco3.jpg</v>
      </c>
      <c r="D2078" t="s">
        <v>43</v>
      </c>
      <c r="G2078" t="s">
        <v>51</v>
      </c>
      <c r="I2078" t="s">
        <v>19</v>
      </c>
      <c r="J2078" t="s">
        <v>161</v>
      </c>
      <c r="M2078" t="s">
        <v>3892</v>
      </c>
      <c r="N2078" t="s">
        <v>3892</v>
      </c>
      <c r="O2078" t="s">
        <v>23</v>
      </c>
      <c r="P2078" t="s">
        <v>24</v>
      </c>
      <c r="Q2078" t="s">
        <v>69</v>
      </c>
      <c r="R2078" t="s">
        <v>3864</v>
      </c>
    </row>
    <row r="2079" spans="1:18" x14ac:dyDescent="0.25">
      <c r="A2079" t="s">
        <v>17996</v>
      </c>
      <c r="B2079" t="s">
        <v>3918</v>
      </c>
      <c r="C2079" t="str">
        <f>HYPERLINK("https://nematode.unl.edu/cosleco4.jpg")</f>
        <v>https://nematode.unl.edu/cosleco4.jpg</v>
      </c>
      <c r="D2079" t="s">
        <v>43</v>
      </c>
      <c r="G2079" t="s">
        <v>34</v>
      </c>
      <c r="H2079" t="s">
        <v>18</v>
      </c>
      <c r="I2079" t="s">
        <v>41</v>
      </c>
      <c r="J2079" t="s">
        <v>161</v>
      </c>
      <c r="L2079" t="s">
        <v>131</v>
      </c>
      <c r="M2079" t="s">
        <v>3892</v>
      </c>
      <c r="N2079" t="s">
        <v>3892</v>
      </c>
      <c r="O2079" t="s">
        <v>23</v>
      </c>
      <c r="P2079" t="s">
        <v>24</v>
      </c>
      <c r="Q2079" t="s">
        <v>69</v>
      </c>
      <c r="R2079" t="s">
        <v>3864</v>
      </c>
    </row>
    <row r="2080" spans="1:18" x14ac:dyDescent="0.25">
      <c r="A2080" t="s">
        <v>18008</v>
      </c>
      <c r="B2080" t="s">
        <v>3919</v>
      </c>
      <c r="C2080" t="str">
        <f>HYPERLINK("https://nematode.unl.edu/cosleco5.jpg")</f>
        <v>https://nematode.unl.edu/cosleco5.jpg</v>
      </c>
      <c r="D2080" t="s">
        <v>43</v>
      </c>
      <c r="G2080" t="s">
        <v>224</v>
      </c>
      <c r="I2080" t="s">
        <v>41</v>
      </c>
      <c r="J2080" t="s">
        <v>161</v>
      </c>
      <c r="L2080" t="s">
        <v>162</v>
      </c>
      <c r="M2080" t="s">
        <v>3892</v>
      </c>
      <c r="N2080" t="s">
        <v>3892</v>
      </c>
      <c r="O2080" t="s">
        <v>23</v>
      </c>
      <c r="P2080" t="s">
        <v>24</v>
      </c>
      <c r="Q2080" t="s">
        <v>69</v>
      </c>
      <c r="R2080" t="s">
        <v>3864</v>
      </c>
    </row>
    <row r="2081" spans="1:18" x14ac:dyDescent="0.25">
      <c r="A2081" t="s">
        <v>17997</v>
      </c>
      <c r="B2081" t="s">
        <v>3920</v>
      </c>
      <c r="C2081" t="str">
        <f>HYPERLINK("https://nematode.unl.edu/cosleco6.jpg")</f>
        <v>https://nematode.unl.edu/cosleco6.jpg</v>
      </c>
      <c r="D2081" t="s">
        <v>43</v>
      </c>
      <c r="G2081" t="s">
        <v>34</v>
      </c>
      <c r="H2081" t="s">
        <v>18</v>
      </c>
      <c r="I2081" t="s">
        <v>19</v>
      </c>
      <c r="J2081" t="s">
        <v>161</v>
      </c>
      <c r="L2081" t="s">
        <v>162</v>
      </c>
      <c r="M2081" t="s">
        <v>3892</v>
      </c>
      <c r="N2081" t="s">
        <v>3892</v>
      </c>
      <c r="O2081" t="s">
        <v>23</v>
      </c>
      <c r="P2081" t="s">
        <v>24</v>
      </c>
      <c r="Q2081" t="s">
        <v>69</v>
      </c>
      <c r="R2081" t="s">
        <v>3864</v>
      </c>
    </row>
    <row r="2082" spans="1:18" x14ac:dyDescent="0.25">
      <c r="A2082" t="s">
        <v>18009</v>
      </c>
      <c r="B2082" t="s">
        <v>3921</v>
      </c>
      <c r="C2082" t="str">
        <f>HYPERLINK("https://nematode.unl.edu/cosleco7.jpg")</f>
        <v>https://nematode.unl.edu/cosleco7.jpg</v>
      </c>
      <c r="D2082" t="s">
        <v>43</v>
      </c>
      <c r="G2082" t="s">
        <v>224</v>
      </c>
      <c r="I2082" t="s">
        <v>19</v>
      </c>
      <c r="J2082" t="s">
        <v>161</v>
      </c>
      <c r="M2082" t="s">
        <v>3892</v>
      </c>
      <c r="N2082" t="s">
        <v>3892</v>
      </c>
      <c r="O2082" t="s">
        <v>23</v>
      </c>
      <c r="P2082" t="s">
        <v>24</v>
      </c>
      <c r="Q2082" t="s">
        <v>69</v>
      </c>
      <c r="R2082" t="s">
        <v>3864</v>
      </c>
    </row>
    <row r="2083" spans="1:18" x14ac:dyDescent="0.25">
      <c r="A2083" t="s">
        <v>18018</v>
      </c>
      <c r="B2083" t="s">
        <v>3922</v>
      </c>
      <c r="C2083" t="str">
        <f>HYPERLINK("https://nematode.unl.edu/cosleco8.jpg")</f>
        <v>https://nematode.unl.edu/cosleco8.jpg</v>
      </c>
      <c r="D2083" t="s">
        <v>43</v>
      </c>
      <c r="G2083" t="s">
        <v>51</v>
      </c>
      <c r="I2083" t="s">
        <v>19</v>
      </c>
      <c r="J2083" t="s">
        <v>161</v>
      </c>
      <c r="L2083" t="s">
        <v>162</v>
      </c>
      <c r="M2083" t="s">
        <v>3892</v>
      </c>
      <c r="N2083" t="s">
        <v>3892</v>
      </c>
      <c r="O2083" t="s">
        <v>23</v>
      </c>
      <c r="P2083" t="s">
        <v>24</v>
      </c>
      <c r="Q2083" t="s">
        <v>69</v>
      </c>
      <c r="R2083" t="s">
        <v>3864</v>
      </c>
    </row>
    <row r="2084" spans="1:18" x14ac:dyDescent="0.25">
      <c r="A2084" t="s">
        <v>18012</v>
      </c>
      <c r="B2084" t="s">
        <v>3923</v>
      </c>
      <c r="C2084" t="str">
        <f>HYPERLINK("https://nematode.unl.edu/cosleco9.jpg")</f>
        <v>https://nematode.unl.edu/cosleco9.jpg</v>
      </c>
      <c r="D2084" t="s">
        <v>43</v>
      </c>
      <c r="G2084" t="s">
        <v>28</v>
      </c>
      <c r="I2084" t="s">
        <v>19</v>
      </c>
      <c r="J2084" t="s">
        <v>161</v>
      </c>
      <c r="L2084" t="s">
        <v>162</v>
      </c>
      <c r="M2084" t="s">
        <v>3892</v>
      </c>
      <c r="N2084" t="s">
        <v>3892</v>
      </c>
      <c r="O2084" t="s">
        <v>23</v>
      </c>
      <c r="P2084" t="s">
        <v>24</v>
      </c>
      <c r="Q2084" t="s">
        <v>69</v>
      </c>
      <c r="R2084" t="s">
        <v>3864</v>
      </c>
    </row>
    <row r="2085" spans="1:18" x14ac:dyDescent="0.25">
      <c r="A2085" t="s">
        <v>17962</v>
      </c>
      <c r="B2085" t="s">
        <v>3863</v>
      </c>
      <c r="C2085" t="str">
        <f>HYPERLINK("https://nematode.unl.edu/coslesp1.jpg")</f>
        <v>https://nematode.unl.edu/coslesp1.jpg</v>
      </c>
      <c r="D2085" t="s">
        <v>16</v>
      </c>
      <c r="G2085" t="s">
        <v>34</v>
      </c>
      <c r="H2085" t="s">
        <v>18</v>
      </c>
      <c r="I2085" t="s">
        <v>19</v>
      </c>
      <c r="J2085" t="s">
        <v>267</v>
      </c>
      <c r="M2085" t="s">
        <v>3864</v>
      </c>
      <c r="N2085" t="s">
        <v>3864</v>
      </c>
      <c r="O2085" t="s">
        <v>23</v>
      </c>
      <c r="P2085" t="s">
        <v>24</v>
      </c>
      <c r="Q2085" t="s">
        <v>69</v>
      </c>
      <c r="R2085" t="s">
        <v>3864</v>
      </c>
    </row>
    <row r="2086" spans="1:18" x14ac:dyDescent="0.25">
      <c r="A2086" t="s">
        <v>17972</v>
      </c>
      <c r="B2086" t="s">
        <v>3865</v>
      </c>
      <c r="C2086" t="str">
        <f>HYPERLINK("https://nematode.unl.edu/coslesp10.jpg")</f>
        <v>https://nematode.unl.edu/coslesp10.jpg</v>
      </c>
      <c r="D2086" t="s">
        <v>43</v>
      </c>
      <c r="G2086" t="s">
        <v>53</v>
      </c>
      <c r="I2086" t="s">
        <v>41</v>
      </c>
      <c r="J2086" t="s">
        <v>267</v>
      </c>
      <c r="M2086" t="s">
        <v>3864</v>
      </c>
      <c r="N2086" t="s">
        <v>3864</v>
      </c>
      <c r="O2086" t="s">
        <v>23</v>
      </c>
      <c r="P2086" t="s">
        <v>24</v>
      </c>
      <c r="Q2086" t="s">
        <v>69</v>
      </c>
      <c r="R2086" t="s">
        <v>3864</v>
      </c>
    </row>
    <row r="2087" spans="1:18" x14ac:dyDescent="0.25">
      <c r="A2087" t="s">
        <v>17980</v>
      </c>
      <c r="B2087" t="s">
        <v>3866</v>
      </c>
      <c r="C2087" t="str">
        <f>HYPERLINK("https://nematode.unl.edu/coslesp11.jpg")</f>
        <v>https://nematode.unl.edu/coslesp11.jpg</v>
      </c>
      <c r="D2087" t="s">
        <v>43</v>
      </c>
      <c r="G2087" t="s">
        <v>51</v>
      </c>
      <c r="I2087" t="s">
        <v>41</v>
      </c>
      <c r="J2087" t="s">
        <v>267</v>
      </c>
      <c r="M2087" t="s">
        <v>3864</v>
      </c>
      <c r="N2087" t="s">
        <v>3864</v>
      </c>
      <c r="O2087" t="s">
        <v>23</v>
      </c>
      <c r="P2087" t="s">
        <v>24</v>
      </c>
      <c r="Q2087" t="s">
        <v>69</v>
      </c>
      <c r="R2087" t="s">
        <v>3864</v>
      </c>
    </row>
    <row r="2088" spans="1:18" x14ac:dyDescent="0.25">
      <c r="A2088" t="s">
        <v>17973</v>
      </c>
      <c r="B2088" t="s">
        <v>3867</v>
      </c>
      <c r="C2088" t="str">
        <f>HYPERLINK("https://nematode.unl.edu/coslesp12.jpg")</f>
        <v>https://nematode.unl.edu/coslesp12.jpg</v>
      </c>
      <c r="D2088" t="s">
        <v>43</v>
      </c>
      <c r="G2088" t="s">
        <v>53</v>
      </c>
      <c r="I2088" t="s">
        <v>41</v>
      </c>
      <c r="J2088" t="s">
        <v>267</v>
      </c>
      <c r="M2088" t="s">
        <v>3864</v>
      </c>
      <c r="N2088" t="s">
        <v>3864</v>
      </c>
      <c r="O2088" t="s">
        <v>23</v>
      </c>
      <c r="P2088" t="s">
        <v>24</v>
      </c>
      <c r="Q2088" t="s">
        <v>69</v>
      </c>
      <c r="R2088" t="s">
        <v>3864</v>
      </c>
    </row>
    <row r="2089" spans="1:18" x14ac:dyDescent="0.25">
      <c r="A2089" t="s">
        <v>17981</v>
      </c>
      <c r="B2089" t="s">
        <v>3868</v>
      </c>
      <c r="C2089" t="str">
        <f>HYPERLINK("https://nematode.unl.edu/coslesp13.jpg")</f>
        <v>https://nematode.unl.edu/coslesp13.jpg</v>
      </c>
      <c r="D2089" t="s">
        <v>43</v>
      </c>
      <c r="G2089" t="s">
        <v>51</v>
      </c>
      <c r="I2089" t="s">
        <v>19</v>
      </c>
      <c r="J2089" t="s">
        <v>267</v>
      </c>
      <c r="M2089" t="s">
        <v>3864</v>
      </c>
      <c r="N2089" t="s">
        <v>3864</v>
      </c>
      <c r="O2089" t="s">
        <v>23</v>
      </c>
      <c r="P2089" t="s">
        <v>24</v>
      </c>
      <c r="Q2089" t="s">
        <v>69</v>
      </c>
      <c r="R2089" t="s">
        <v>3864</v>
      </c>
    </row>
    <row r="2090" spans="1:18" x14ac:dyDescent="0.25">
      <c r="A2090" t="s">
        <v>17963</v>
      </c>
      <c r="B2090" t="s">
        <v>3869</v>
      </c>
      <c r="C2090" t="str">
        <f>HYPERLINK("https://nematode.unl.edu/coslesp14.jpg")</f>
        <v>https://nematode.unl.edu/coslesp14.jpg</v>
      </c>
      <c r="D2090" t="s">
        <v>43</v>
      </c>
      <c r="G2090" t="s">
        <v>34</v>
      </c>
      <c r="H2090" t="s">
        <v>18</v>
      </c>
      <c r="I2090" t="s">
        <v>19</v>
      </c>
      <c r="J2090" t="s">
        <v>267</v>
      </c>
      <c r="M2090" t="s">
        <v>3864</v>
      </c>
      <c r="N2090" t="s">
        <v>3864</v>
      </c>
      <c r="O2090" t="s">
        <v>23</v>
      </c>
      <c r="P2090" t="s">
        <v>24</v>
      </c>
      <c r="Q2090" t="s">
        <v>69</v>
      </c>
      <c r="R2090" t="s">
        <v>3864</v>
      </c>
    </row>
    <row r="2091" spans="1:18" x14ac:dyDescent="0.25">
      <c r="A2091" t="s">
        <v>17964</v>
      </c>
      <c r="B2091" t="s">
        <v>3870</v>
      </c>
      <c r="C2091" t="str">
        <f>HYPERLINK("https://nematode.unl.edu/coslesp15.jpg")</f>
        <v>https://nematode.unl.edu/coslesp15.jpg</v>
      </c>
      <c r="D2091" t="s">
        <v>43</v>
      </c>
      <c r="G2091" t="s">
        <v>34</v>
      </c>
      <c r="H2091" t="s">
        <v>18</v>
      </c>
      <c r="I2091" t="s">
        <v>19</v>
      </c>
      <c r="J2091" t="s">
        <v>267</v>
      </c>
      <c r="M2091" t="s">
        <v>3864</v>
      </c>
      <c r="N2091" t="s">
        <v>3864</v>
      </c>
      <c r="O2091" t="s">
        <v>23</v>
      </c>
      <c r="P2091" t="s">
        <v>24</v>
      </c>
      <c r="Q2091" t="s">
        <v>69</v>
      </c>
      <c r="R2091" t="s">
        <v>3864</v>
      </c>
    </row>
    <row r="2092" spans="1:18" x14ac:dyDescent="0.25">
      <c r="A2092" t="s">
        <v>17986</v>
      </c>
      <c r="B2092" t="s">
        <v>3871</v>
      </c>
      <c r="C2092" t="str">
        <f>HYPERLINK("https://nematode.unl.edu/coslesp16.jpg")</f>
        <v>https://nematode.unl.edu/coslesp16.jpg</v>
      </c>
      <c r="D2092" t="s">
        <v>43</v>
      </c>
      <c r="G2092" t="s">
        <v>3872</v>
      </c>
      <c r="I2092" t="s">
        <v>19</v>
      </c>
      <c r="J2092" t="s">
        <v>267</v>
      </c>
      <c r="M2092" t="s">
        <v>3864</v>
      </c>
      <c r="N2092" t="s">
        <v>3864</v>
      </c>
      <c r="O2092" t="s">
        <v>23</v>
      </c>
      <c r="P2092" t="s">
        <v>24</v>
      </c>
      <c r="Q2092" t="s">
        <v>69</v>
      </c>
      <c r="R2092" t="s">
        <v>3864</v>
      </c>
    </row>
    <row r="2093" spans="1:18" x14ac:dyDescent="0.25">
      <c r="A2093" t="s">
        <v>17965</v>
      </c>
      <c r="B2093" t="s">
        <v>3873</v>
      </c>
      <c r="C2093" t="str">
        <f>HYPERLINK("https://nematode.unl.edu/coslesp17.jpg")</f>
        <v>https://nematode.unl.edu/coslesp17.jpg</v>
      </c>
      <c r="D2093" t="s">
        <v>43</v>
      </c>
      <c r="G2093" t="s">
        <v>34</v>
      </c>
      <c r="H2093" t="s">
        <v>18</v>
      </c>
      <c r="I2093" t="s">
        <v>41</v>
      </c>
      <c r="J2093" t="s">
        <v>267</v>
      </c>
      <c r="M2093" t="s">
        <v>3864</v>
      </c>
      <c r="N2093" t="s">
        <v>3864</v>
      </c>
      <c r="O2093" t="s">
        <v>23</v>
      </c>
      <c r="P2093" t="s">
        <v>24</v>
      </c>
      <c r="Q2093" t="s">
        <v>69</v>
      </c>
      <c r="R2093" t="s">
        <v>3864</v>
      </c>
    </row>
    <row r="2094" spans="1:18" x14ac:dyDescent="0.25">
      <c r="A2094" t="s">
        <v>17966</v>
      </c>
      <c r="B2094" t="s">
        <v>3874</v>
      </c>
      <c r="C2094" t="str">
        <f>HYPERLINK("https://nematode.unl.edu/coslesp18.jpg")</f>
        <v>https://nematode.unl.edu/coslesp18.jpg</v>
      </c>
      <c r="D2094" t="s">
        <v>43</v>
      </c>
      <c r="G2094" t="s">
        <v>34</v>
      </c>
      <c r="H2094" t="s">
        <v>18</v>
      </c>
      <c r="I2094" t="s">
        <v>19</v>
      </c>
      <c r="J2094" t="s">
        <v>267</v>
      </c>
      <c r="M2094" t="s">
        <v>3864</v>
      </c>
      <c r="N2094" t="s">
        <v>3864</v>
      </c>
      <c r="O2094" t="s">
        <v>23</v>
      </c>
      <c r="P2094" t="s">
        <v>24</v>
      </c>
      <c r="Q2094" t="s">
        <v>69</v>
      </c>
      <c r="R2094" t="s">
        <v>3864</v>
      </c>
    </row>
    <row r="2095" spans="1:18" x14ac:dyDescent="0.25">
      <c r="A2095" t="s">
        <v>17982</v>
      </c>
      <c r="B2095" t="s">
        <v>3875</v>
      </c>
      <c r="C2095" t="str">
        <f>HYPERLINK("https://nematode.unl.edu/coslesp19.jpg")</f>
        <v>https://nematode.unl.edu/coslesp19.jpg</v>
      </c>
      <c r="D2095" t="s">
        <v>43</v>
      </c>
      <c r="G2095" t="s">
        <v>51</v>
      </c>
      <c r="I2095" t="s">
        <v>19</v>
      </c>
      <c r="J2095" t="s">
        <v>267</v>
      </c>
      <c r="M2095" t="s">
        <v>3864</v>
      </c>
      <c r="N2095" t="s">
        <v>3864</v>
      </c>
      <c r="O2095" t="s">
        <v>23</v>
      </c>
      <c r="P2095" t="s">
        <v>24</v>
      </c>
      <c r="Q2095" t="s">
        <v>69</v>
      </c>
      <c r="R2095" t="s">
        <v>3864</v>
      </c>
    </row>
    <row r="2096" spans="1:18" x14ac:dyDescent="0.25">
      <c r="A2096" t="s">
        <v>17977</v>
      </c>
      <c r="B2096" t="s">
        <v>3876</v>
      </c>
      <c r="C2096" t="str">
        <f>HYPERLINK("https://nematode.unl.edu/coslesp2.jpg")</f>
        <v>https://nematode.unl.edu/coslesp2.jpg</v>
      </c>
      <c r="D2096" t="s">
        <v>16</v>
      </c>
      <c r="G2096" t="s">
        <v>28</v>
      </c>
      <c r="I2096" t="s">
        <v>19</v>
      </c>
      <c r="J2096" t="s">
        <v>267</v>
      </c>
      <c r="M2096" t="s">
        <v>3864</v>
      </c>
      <c r="N2096" t="s">
        <v>3864</v>
      </c>
      <c r="O2096" t="s">
        <v>23</v>
      </c>
      <c r="P2096" t="s">
        <v>24</v>
      </c>
      <c r="Q2096" t="s">
        <v>69</v>
      </c>
      <c r="R2096" t="s">
        <v>3864</v>
      </c>
    </row>
    <row r="2097" spans="1:18" x14ac:dyDescent="0.25">
      <c r="A2097" t="s">
        <v>17976</v>
      </c>
      <c r="B2097" t="s">
        <v>3877</v>
      </c>
      <c r="C2097" t="str">
        <f>HYPERLINK("https://nematode.unl.edu/coslesp20.jpg")</f>
        <v>https://nematode.unl.edu/coslesp20.jpg</v>
      </c>
      <c r="D2097" t="s">
        <v>43</v>
      </c>
      <c r="G2097" t="s">
        <v>181</v>
      </c>
      <c r="I2097" t="s">
        <v>45</v>
      </c>
      <c r="J2097" t="s">
        <v>267</v>
      </c>
      <c r="M2097" t="s">
        <v>3864</v>
      </c>
      <c r="N2097" t="s">
        <v>3864</v>
      </c>
      <c r="O2097" t="s">
        <v>23</v>
      </c>
      <c r="P2097" t="s">
        <v>24</v>
      </c>
      <c r="Q2097" t="s">
        <v>69</v>
      </c>
      <c r="R2097" t="s">
        <v>3864</v>
      </c>
    </row>
    <row r="2098" spans="1:18" x14ac:dyDescent="0.25">
      <c r="A2098" t="s">
        <v>17983</v>
      </c>
      <c r="B2098" t="s">
        <v>3878</v>
      </c>
      <c r="C2098" t="str">
        <f>HYPERLINK("https://nematode.unl.edu/coslesp21.jpg")</f>
        <v>https://nematode.unl.edu/coslesp21.jpg</v>
      </c>
      <c r="D2098" t="s">
        <v>43</v>
      </c>
      <c r="G2098" t="s">
        <v>51</v>
      </c>
      <c r="I2098" t="s">
        <v>19</v>
      </c>
      <c r="J2098" t="s">
        <v>267</v>
      </c>
      <c r="M2098" t="s">
        <v>3864</v>
      </c>
      <c r="N2098" t="s">
        <v>3864</v>
      </c>
      <c r="O2098" t="s">
        <v>23</v>
      </c>
      <c r="P2098" t="s">
        <v>24</v>
      </c>
      <c r="Q2098" t="s">
        <v>69</v>
      </c>
      <c r="R2098" t="s">
        <v>3864</v>
      </c>
    </row>
    <row r="2099" spans="1:18" x14ac:dyDescent="0.25">
      <c r="A2099" t="s">
        <v>17961</v>
      </c>
      <c r="B2099" t="s">
        <v>3879</v>
      </c>
      <c r="C2099" t="str">
        <f>HYPERLINK("https://nematode.unl.edu/coslesp22.jpg")</f>
        <v>https://nematode.unl.edu/coslesp22.jpg</v>
      </c>
      <c r="D2099" t="s">
        <v>43</v>
      </c>
      <c r="G2099" t="s">
        <v>96</v>
      </c>
      <c r="H2099" t="s">
        <v>18</v>
      </c>
      <c r="I2099" t="s">
        <v>19</v>
      </c>
      <c r="J2099" t="s">
        <v>267</v>
      </c>
      <c r="M2099" t="s">
        <v>3864</v>
      </c>
      <c r="N2099" t="s">
        <v>3864</v>
      </c>
      <c r="O2099" t="s">
        <v>23</v>
      </c>
      <c r="P2099" t="s">
        <v>24</v>
      </c>
      <c r="Q2099" t="s">
        <v>69</v>
      </c>
      <c r="R2099" t="s">
        <v>3864</v>
      </c>
    </row>
    <row r="2100" spans="1:18" x14ac:dyDescent="0.25">
      <c r="A2100" t="s">
        <v>17984</v>
      </c>
      <c r="B2100" t="s">
        <v>3880</v>
      </c>
      <c r="C2100" t="str">
        <f>HYPERLINK("https://nematode.unl.edu/coslesp23.jpg")</f>
        <v>https://nematode.unl.edu/coslesp23.jpg</v>
      </c>
      <c r="D2100" t="s">
        <v>43</v>
      </c>
      <c r="G2100" t="s">
        <v>51</v>
      </c>
      <c r="I2100" t="s">
        <v>19</v>
      </c>
      <c r="J2100" t="s">
        <v>267</v>
      </c>
      <c r="M2100" t="s">
        <v>3864</v>
      </c>
      <c r="N2100" t="s">
        <v>3864</v>
      </c>
      <c r="O2100" t="s">
        <v>23</v>
      </c>
      <c r="P2100" t="s">
        <v>24</v>
      </c>
      <c r="Q2100" t="s">
        <v>69</v>
      </c>
      <c r="R2100" t="s">
        <v>3864</v>
      </c>
    </row>
    <row r="2101" spans="1:18" x14ac:dyDescent="0.25">
      <c r="A2101" t="s">
        <v>17967</v>
      </c>
      <c r="B2101" t="s">
        <v>3881</v>
      </c>
      <c r="C2101" t="str">
        <f>HYPERLINK("https://nematode.unl.edu/coslesp24.jpg")</f>
        <v>https://nematode.unl.edu/coslesp24.jpg</v>
      </c>
      <c r="D2101" t="s">
        <v>16</v>
      </c>
      <c r="G2101" t="s">
        <v>34</v>
      </c>
      <c r="H2101" t="s">
        <v>18</v>
      </c>
      <c r="I2101" t="s">
        <v>19</v>
      </c>
      <c r="J2101" t="s">
        <v>267</v>
      </c>
      <c r="M2101" t="s">
        <v>3864</v>
      </c>
      <c r="N2101" t="s">
        <v>3864</v>
      </c>
      <c r="O2101" t="s">
        <v>23</v>
      </c>
      <c r="P2101" t="s">
        <v>24</v>
      </c>
      <c r="Q2101" t="s">
        <v>69</v>
      </c>
      <c r="R2101" t="s">
        <v>3864</v>
      </c>
    </row>
    <row r="2102" spans="1:18" x14ac:dyDescent="0.25">
      <c r="A2102" t="s">
        <v>17970</v>
      </c>
      <c r="B2102" t="s">
        <v>3882</v>
      </c>
      <c r="C2102" t="str">
        <f>HYPERLINK("https://nematode.unl.edu/coslesp25.jpg")</f>
        <v>https://nematode.unl.edu/coslesp25.jpg</v>
      </c>
      <c r="D2102" t="s">
        <v>16</v>
      </c>
      <c r="G2102" t="s">
        <v>224</v>
      </c>
      <c r="I2102" t="s">
        <v>19</v>
      </c>
      <c r="J2102" t="s">
        <v>267</v>
      </c>
      <c r="M2102" t="s">
        <v>3864</v>
      </c>
      <c r="N2102" t="s">
        <v>3864</v>
      </c>
      <c r="O2102" t="s">
        <v>23</v>
      </c>
      <c r="P2102" t="s">
        <v>24</v>
      </c>
      <c r="Q2102" t="s">
        <v>69</v>
      </c>
      <c r="R2102" t="s">
        <v>3864</v>
      </c>
    </row>
    <row r="2103" spans="1:18" x14ac:dyDescent="0.25">
      <c r="A2103" t="s">
        <v>17978</v>
      </c>
      <c r="B2103" t="s">
        <v>3883</v>
      </c>
      <c r="C2103" t="str">
        <f>HYPERLINK("https://nematode.unl.edu/coslesp26.jpg")</f>
        <v>https://nematode.unl.edu/coslesp26.jpg</v>
      </c>
      <c r="D2103" t="s">
        <v>16</v>
      </c>
      <c r="G2103" t="s">
        <v>28</v>
      </c>
      <c r="I2103" t="s">
        <v>19</v>
      </c>
      <c r="J2103" t="s">
        <v>267</v>
      </c>
      <c r="M2103" t="s">
        <v>3864</v>
      </c>
      <c r="N2103" t="s">
        <v>3864</v>
      </c>
      <c r="O2103" t="s">
        <v>23</v>
      </c>
      <c r="P2103" t="s">
        <v>24</v>
      </c>
      <c r="Q2103" t="s">
        <v>69</v>
      </c>
      <c r="R2103" t="s">
        <v>3864</v>
      </c>
    </row>
    <row r="2104" spans="1:18" x14ac:dyDescent="0.25">
      <c r="A2104" t="s">
        <v>17968</v>
      </c>
      <c r="B2104" t="s">
        <v>3884</v>
      </c>
      <c r="C2104" t="str">
        <f>HYPERLINK("https://nematode.unl.edu/coslesp3.jpg")</f>
        <v>https://nematode.unl.edu/coslesp3.jpg</v>
      </c>
      <c r="D2104" t="s">
        <v>16</v>
      </c>
      <c r="G2104" t="s">
        <v>34</v>
      </c>
      <c r="H2104" t="s">
        <v>18</v>
      </c>
      <c r="I2104" t="s">
        <v>41</v>
      </c>
      <c r="J2104" t="s">
        <v>267</v>
      </c>
      <c r="M2104" t="s">
        <v>3864</v>
      </c>
      <c r="N2104" t="s">
        <v>3864</v>
      </c>
      <c r="O2104" t="s">
        <v>23</v>
      </c>
      <c r="P2104" t="s">
        <v>24</v>
      </c>
      <c r="Q2104" t="s">
        <v>69</v>
      </c>
      <c r="R2104" t="s">
        <v>3864</v>
      </c>
    </row>
    <row r="2105" spans="1:18" x14ac:dyDescent="0.25">
      <c r="A2105" t="s">
        <v>17974</v>
      </c>
      <c r="B2105" t="s">
        <v>3885</v>
      </c>
      <c r="C2105" t="str">
        <f>HYPERLINK("https://nematode.unl.edu/coslesp4.jpg")</f>
        <v>https://nematode.unl.edu/coslesp4.jpg</v>
      </c>
      <c r="D2105" t="s">
        <v>16</v>
      </c>
      <c r="G2105" t="s">
        <v>53</v>
      </c>
      <c r="I2105" t="s">
        <v>41</v>
      </c>
      <c r="J2105" t="s">
        <v>267</v>
      </c>
      <c r="M2105" t="s">
        <v>3864</v>
      </c>
      <c r="N2105" t="s">
        <v>3864</v>
      </c>
      <c r="O2105" t="s">
        <v>23</v>
      </c>
      <c r="P2105" t="s">
        <v>24</v>
      </c>
      <c r="Q2105" t="s">
        <v>69</v>
      </c>
      <c r="R2105" t="s">
        <v>3864</v>
      </c>
    </row>
    <row r="2106" spans="1:18" x14ac:dyDescent="0.25">
      <c r="A2106" t="s">
        <v>17971</v>
      </c>
      <c r="B2106" t="s">
        <v>3886</v>
      </c>
      <c r="C2106" t="str">
        <f>HYPERLINK("https://nematode.unl.edu/coslesp5.jpg")</f>
        <v>https://nematode.unl.edu/coslesp5.jpg</v>
      </c>
      <c r="D2106" t="s">
        <v>16</v>
      </c>
      <c r="G2106" t="s">
        <v>224</v>
      </c>
      <c r="I2106" t="s">
        <v>41</v>
      </c>
      <c r="J2106" t="s">
        <v>267</v>
      </c>
      <c r="M2106" t="s">
        <v>3864</v>
      </c>
      <c r="N2106" t="s">
        <v>3864</v>
      </c>
      <c r="O2106" t="s">
        <v>23</v>
      </c>
      <c r="P2106" t="s">
        <v>24</v>
      </c>
      <c r="Q2106" t="s">
        <v>69</v>
      </c>
      <c r="R2106" t="s">
        <v>3864</v>
      </c>
    </row>
    <row r="2107" spans="1:18" x14ac:dyDescent="0.25">
      <c r="A2107" t="s">
        <v>17969</v>
      </c>
      <c r="B2107" t="s">
        <v>3887</v>
      </c>
      <c r="C2107" t="str">
        <f>HYPERLINK("https://nematode.unl.edu/coslesp6.jpg")</f>
        <v>https://nematode.unl.edu/coslesp6.jpg</v>
      </c>
      <c r="D2107" t="s">
        <v>43</v>
      </c>
      <c r="G2107" t="s">
        <v>34</v>
      </c>
      <c r="H2107" t="s">
        <v>18</v>
      </c>
      <c r="I2107" t="s">
        <v>19</v>
      </c>
      <c r="J2107" t="s">
        <v>267</v>
      </c>
      <c r="M2107" t="s">
        <v>3864</v>
      </c>
      <c r="N2107" t="s">
        <v>3864</v>
      </c>
      <c r="O2107" t="s">
        <v>23</v>
      </c>
      <c r="P2107" t="s">
        <v>24</v>
      </c>
      <c r="Q2107" t="s">
        <v>69</v>
      </c>
      <c r="R2107" t="s">
        <v>3864</v>
      </c>
    </row>
    <row r="2108" spans="1:18" x14ac:dyDescent="0.25">
      <c r="A2108" t="s">
        <v>17985</v>
      </c>
      <c r="B2108" t="s">
        <v>3888</v>
      </c>
      <c r="C2108" t="str">
        <f>HYPERLINK("https://nematode.unl.edu/coslesp7.jpg")</f>
        <v>https://nematode.unl.edu/coslesp7.jpg</v>
      </c>
      <c r="D2108" t="s">
        <v>43</v>
      </c>
      <c r="G2108" t="s">
        <v>51</v>
      </c>
      <c r="I2108" t="s">
        <v>19</v>
      </c>
      <c r="J2108" t="s">
        <v>267</v>
      </c>
      <c r="M2108" t="s">
        <v>3864</v>
      </c>
      <c r="N2108" t="s">
        <v>3864</v>
      </c>
      <c r="O2108" t="s">
        <v>23</v>
      </c>
      <c r="P2108" t="s">
        <v>24</v>
      </c>
      <c r="Q2108" t="s">
        <v>69</v>
      </c>
      <c r="R2108" t="s">
        <v>3864</v>
      </c>
    </row>
    <row r="2109" spans="1:18" x14ac:dyDescent="0.25">
      <c r="A2109" t="s">
        <v>17979</v>
      </c>
      <c r="B2109" t="s">
        <v>3889</v>
      </c>
      <c r="C2109" t="str">
        <f>HYPERLINK("https://nematode.unl.edu/coslesp8.jpg")</f>
        <v>https://nematode.unl.edu/coslesp8.jpg</v>
      </c>
      <c r="D2109" t="s">
        <v>43</v>
      </c>
      <c r="G2109" t="s">
        <v>28</v>
      </c>
      <c r="I2109" t="s">
        <v>19</v>
      </c>
      <c r="J2109" t="s">
        <v>267</v>
      </c>
      <c r="M2109" t="s">
        <v>3864</v>
      </c>
      <c r="N2109" t="s">
        <v>3864</v>
      </c>
      <c r="O2109" t="s">
        <v>23</v>
      </c>
      <c r="P2109" t="s">
        <v>24</v>
      </c>
      <c r="Q2109" t="s">
        <v>69</v>
      </c>
      <c r="R2109" t="s">
        <v>3864</v>
      </c>
    </row>
    <row r="2110" spans="1:18" x14ac:dyDescent="0.25">
      <c r="A2110" t="s">
        <v>17975</v>
      </c>
      <c r="B2110" t="s">
        <v>3890</v>
      </c>
      <c r="C2110" t="str">
        <f>HYPERLINK("https://nematode.unl.edu/coslesp9.jpg")</f>
        <v>https://nematode.unl.edu/coslesp9.jpg</v>
      </c>
      <c r="D2110" t="s">
        <v>43</v>
      </c>
      <c r="G2110" t="s">
        <v>53</v>
      </c>
      <c r="I2110" t="s">
        <v>41</v>
      </c>
      <c r="J2110" t="s">
        <v>267</v>
      </c>
      <c r="M2110" t="s">
        <v>3864</v>
      </c>
      <c r="N2110" t="s">
        <v>3864</v>
      </c>
      <c r="O2110" t="s">
        <v>23</v>
      </c>
      <c r="P2110" t="s">
        <v>24</v>
      </c>
      <c r="Q2110" t="s">
        <v>69</v>
      </c>
      <c r="R2110" t="s">
        <v>3864</v>
      </c>
    </row>
    <row r="2111" spans="1:18" x14ac:dyDescent="0.25">
      <c r="A2111" t="s">
        <v>15500</v>
      </c>
      <c r="B2111" t="s">
        <v>9421</v>
      </c>
      <c r="C2111" t="str">
        <f>HYPERLINK("https://nematode.unl.edu/crcricobrv1.jpg")</f>
        <v>https://nematode.unl.edu/crcricobrv1.jpg</v>
      </c>
      <c r="D2111" t="s">
        <v>43</v>
      </c>
      <c r="G2111" t="s">
        <v>28</v>
      </c>
      <c r="I2111" t="s">
        <v>41</v>
      </c>
      <c r="J2111" t="s">
        <v>1525</v>
      </c>
      <c r="L2111" t="s">
        <v>1526</v>
      </c>
      <c r="M2111" t="s">
        <v>1417</v>
      </c>
      <c r="N2111" t="s">
        <v>1417</v>
      </c>
      <c r="O2111" t="s">
        <v>23</v>
      </c>
      <c r="P2111" t="s">
        <v>24</v>
      </c>
      <c r="Q2111" t="s">
        <v>642</v>
      </c>
      <c r="R2111" t="s">
        <v>1417</v>
      </c>
    </row>
    <row r="2112" spans="1:18" x14ac:dyDescent="0.25">
      <c r="A2112" t="s">
        <v>15460</v>
      </c>
      <c r="B2112" t="s">
        <v>9422</v>
      </c>
      <c r="C2112" t="str">
        <f>HYPERLINK("https://nematode.unl.edu/crcricobrv10.jpg")</f>
        <v>https://nematode.unl.edu/crcricobrv10.jpg</v>
      </c>
      <c r="D2112" t="s">
        <v>43</v>
      </c>
      <c r="G2112" t="s">
        <v>44</v>
      </c>
      <c r="I2112" t="s">
        <v>19</v>
      </c>
      <c r="J2112" t="s">
        <v>1525</v>
      </c>
      <c r="L2112" t="s">
        <v>1526</v>
      </c>
      <c r="M2112" t="s">
        <v>1417</v>
      </c>
      <c r="N2112" t="s">
        <v>1417</v>
      </c>
      <c r="O2112" t="s">
        <v>23</v>
      </c>
      <c r="P2112" t="s">
        <v>24</v>
      </c>
      <c r="Q2112" t="s">
        <v>642</v>
      </c>
      <c r="R2112" t="s">
        <v>1417</v>
      </c>
    </row>
    <row r="2113" spans="1:18" x14ac:dyDescent="0.25">
      <c r="A2113" t="s">
        <v>15501</v>
      </c>
      <c r="B2113" t="s">
        <v>9423</v>
      </c>
      <c r="C2113" t="str">
        <f>HYPERLINK("https://nematode.unl.edu/crcricobrv11.jpg")</f>
        <v>https://nematode.unl.edu/crcricobrv11.jpg</v>
      </c>
      <c r="D2113" t="s">
        <v>43</v>
      </c>
      <c r="G2113" t="s">
        <v>28</v>
      </c>
      <c r="I2113" t="s">
        <v>19</v>
      </c>
      <c r="J2113" t="s">
        <v>1525</v>
      </c>
      <c r="L2113" t="s">
        <v>1526</v>
      </c>
      <c r="M2113" t="s">
        <v>1417</v>
      </c>
      <c r="N2113" t="s">
        <v>1417</v>
      </c>
      <c r="O2113" t="s">
        <v>23</v>
      </c>
      <c r="P2113" t="s">
        <v>24</v>
      </c>
      <c r="Q2113" t="s">
        <v>642</v>
      </c>
      <c r="R2113" t="s">
        <v>1417</v>
      </c>
    </row>
    <row r="2114" spans="1:18" x14ac:dyDescent="0.25">
      <c r="A2114" t="s">
        <v>15515</v>
      </c>
      <c r="B2114" t="s">
        <v>9424</v>
      </c>
      <c r="C2114" t="str">
        <f>HYPERLINK("https://nematode.unl.edu/crcricobrv12.jpg")</f>
        <v>https://nematode.unl.edu/crcricobrv12.jpg</v>
      </c>
      <c r="D2114" t="s">
        <v>43</v>
      </c>
      <c r="G2114" t="s">
        <v>51</v>
      </c>
      <c r="I2114" t="s">
        <v>19</v>
      </c>
      <c r="J2114" t="s">
        <v>1525</v>
      </c>
      <c r="L2114" t="s">
        <v>1526</v>
      </c>
      <c r="M2114" t="s">
        <v>1417</v>
      </c>
      <c r="N2114" t="s">
        <v>1417</v>
      </c>
      <c r="O2114" t="s">
        <v>23</v>
      </c>
      <c r="P2114" t="s">
        <v>24</v>
      </c>
      <c r="Q2114" t="s">
        <v>642</v>
      </c>
      <c r="R2114" t="s">
        <v>1417</v>
      </c>
    </row>
    <row r="2115" spans="1:18" x14ac:dyDescent="0.25">
      <c r="A2115" t="s">
        <v>15461</v>
      </c>
      <c r="B2115" t="s">
        <v>9425</v>
      </c>
      <c r="C2115" t="str">
        <f>HYPERLINK("https://nematode.unl.edu/crcricobrv13.jpg")</f>
        <v>https://nematode.unl.edu/crcricobrv13.jpg</v>
      </c>
      <c r="D2115" t="s">
        <v>43</v>
      </c>
      <c r="G2115" t="s">
        <v>44</v>
      </c>
      <c r="I2115" t="s">
        <v>19</v>
      </c>
      <c r="J2115" t="s">
        <v>1525</v>
      </c>
      <c r="L2115" t="s">
        <v>1526</v>
      </c>
      <c r="M2115" t="s">
        <v>1417</v>
      </c>
      <c r="N2115" t="s">
        <v>1417</v>
      </c>
      <c r="O2115" t="s">
        <v>23</v>
      </c>
      <c r="P2115" t="s">
        <v>24</v>
      </c>
      <c r="Q2115" t="s">
        <v>642</v>
      </c>
      <c r="R2115" t="s">
        <v>1417</v>
      </c>
    </row>
    <row r="2116" spans="1:18" x14ac:dyDescent="0.25">
      <c r="A2116" t="s">
        <v>15462</v>
      </c>
      <c r="B2116" t="s">
        <v>9426</v>
      </c>
      <c r="C2116" t="str">
        <f>HYPERLINK("https://nematode.unl.edu/crcricobrv14.jpg")</f>
        <v>https://nematode.unl.edu/crcricobrv14.jpg</v>
      </c>
      <c r="D2116" t="s">
        <v>43</v>
      </c>
      <c r="G2116" t="s">
        <v>44</v>
      </c>
      <c r="I2116" t="s">
        <v>19</v>
      </c>
      <c r="J2116" t="s">
        <v>1525</v>
      </c>
      <c r="L2116" t="s">
        <v>1526</v>
      </c>
      <c r="M2116" t="s">
        <v>1417</v>
      </c>
      <c r="N2116" t="s">
        <v>1417</v>
      </c>
      <c r="O2116" t="s">
        <v>23</v>
      </c>
      <c r="P2116" t="s">
        <v>24</v>
      </c>
      <c r="Q2116" t="s">
        <v>642</v>
      </c>
      <c r="R2116" t="s">
        <v>1417</v>
      </c>
    </row>
    <row r="2117" spans="1:18" x14ac:dyDescent="0.25">
      <c r="A2117" t="s">
        <v>15463</v>
      </c>
      <c r="B2117" t="s">
        <v>9427</v>
      </c>
      <c r="C2117" t="str">
        <f>HYPERLINK("https://nematode.unl.edu/crcricobrv15.jpg")</f>
        <v>https://nematode.unl.edu/crcricobrv15.jpg</v>
      </c>
      <c r="D2117" t="s">
        <v>43</v>
      </c>
      <c r="G2117" t="s">
        <v>44</v>
      </c>
      <c r="I2117" t="s">
        <v>19</v>
      </c>
      <c r="J2117" t="s">
        <v>1525</v>
      </c>
      <c r="L2117" t="s">
        <v>1526</v>
      </c>
      <c r="M2117" t="s">
        <v>1417</v>
      </c>
      <c r="N2117" t="s">
        <v>1417</v>
      </c>
      <c r="O2117" t="s">
        <v>23</v>
      </c>
      <c r="P2117" t="s">
        <v>24</v>
      </c>
      <c r="Q2117" t="s">
        <v>642</v>
      </c>
      <c r="R2117" t="s">
        <v>1417</v>
      </c>
    </row>
    <row r="2118" spans="1:18" x14ac:dyDescent="0.25">
      <c r="A2118" t="s">
        <v>15464</v>
      </c>
      <c r="B2118" t="s">
        <v>9428</v>
      </c>
      <c r="C2118" t="str">
        <f>HYPERLINK("https://nematode.unl.edu/crcricobrv16.jpg")</f>
        <v>https://nematode.unl.edu/crcricobrv16.jpg</v>
      </c>
      <c r="D2118" t="s">
        <v>43</v>
      </c>
      <c r="G2118" t="s">
        <v>44</v>
      </c>
      <c r="I2118" t="s">
        <v>19</v>
      </c>
      <c r="J2118" t="s">
        <v>1525</v>
      </c>
      <c r="L2118" t="s">
        <v>1526</v>
      </c>
      <c r="M2118" t="s">
        <v>1417</v>
      </c>
      <c r="N2118" t="s">
        <v>1417</v>
      </c>
      <c r="O2118" t="s">
        <v>23</v>
      </c>
      <c r="P2118" t="s">
        <v>24</v>
      </c>
      <c r="Q2118" t="s">
        <v>642</v>
      </c>
      <c r="R2118" t="s">
        <v>1417</v>
      </c>
    </row>
    <row r="2119" spans="1:18" x14ac:dyDescent="0.25">
      <c r="A2119" t="s">
        <v>15436</v>
      </c>
      <c r="B2119" t="s">
        <v>9429</v>
      </c>
      <c r="C2119" t="str">
        <f>HYPERLINK("https://nematode.unl.edu/crcricobrv17.jpg")</f>
        <v>https://nematode.unl.edu/crcricobrv17.jpg</v>
      </c>
      <c r="D2119" t="s">
        <v>43</v>
      </c>
      <c r="G2119" t="s">
        <v>34</v>
      </c>
      <c r="H2119" t="s">
        <v>18</v>
      </c>
      <c r="I2119" t="s">
        <v>41</v>
      </c>
      <c r="J2119" t="s">
        <v>1525</v>
      </c>
      <c r="L2119" t="s">
        <v>1526</v>
      </c>
      <c r="M2119" t="s">
        <v>1417</v>
      </c>
      <c r="N2119" t="s">
        <v>1417</v>
      </c>
      <c r="O2119" t="s">
        <v>23</v>
      </c>
      <c r="P2119" t="s">
        <v>24</v>
      </c>
      <c r="Q2119" t="s">
        <v>642</v>
      </c>
      <c r="R2119" t="s">
        <v>1417</v>
      </c>
    </row>
    <row r="2120" spans="1:18" x14ac:dyDescent="0.25">
      <c r="A2120" t="s">
        <v>15484</v>
      </c>
      <c r="B2120" t="s">
        <v>9430</v>
      </c>
      <c r="C2120" t="str">
        <f>HYPERLINK("https://nematode.unl.edu/crcricobrv18.jpg")</f>
        <v>https://nematode.unl.edu/crcricobrv18.jpg</v>
      </c>
      <c r="D2120" t="s">
        <v>43</v>
      </c>
      <c r="G2120" t="s">
        <v>224</v>
      </c>
      <c r="I2120" t="s">
        <v>41</v>
      </c>
      <c r="J2120" t="s">
        <v>1525</v>
      </c>
      <c r="L2120" t="s">
        <v>1526</v>
      </c>
      <c r="M2120" t="s">
        <v>1417</v>
      </c>
      <c r="N2120" t="s">
        <v>1417</v>
      </c>
      <c r="O2120" t="s">
        <v>23</v>
      </c>
      <c r="P2120" t="s">
        <v>24</v>
      </c>
      <c r="Q2120" t="s">
        <v>642</v>
      </c>
      <c r="R2120" t="s">
        <v>1417</v>
      </c>
    </row>
    <row r="2121" spans="1:18" x14ac:dyDescent="0.25">
      <c r="A2121" t="s">
        <v>15502</v>
      </c>
      <c r="B2121" t="s">
        <v>9431</v>
      </c>
      <c r="C2121" t="str">
        <f>HYPERLINK("https://nematode.unl.edu/crcricobrv19.jpg")</f>
        <v>https://nematode.unl.edu/crcricobrv19.jpg</v>
      </c>
      <c r="D2121" t="s">
        <v>43</v>
      </c>
      <c r="G2121" t="s">
        <v>28</v>
      </c>
      <c r="I2121" t="s">
        <v>41</v>
      </c>
      <c r="J2121" t="s">
        <v>1525</v>
      </c>
      <c r="L2121" t="s">
        <v>1526</v>
      </c>
      <c r="M2121" t="s">
        <v>1417</v>
      </c>
      <c r="N2121" t="s">
        <v>1417</v>
      </c>
      <c r="O2121" t="s">
        <v>23</v>
      </c>
      <c r="P2121" t="s">
        <v>24</v>
      </c>
      <c r="Q2121" t="s">
        <v>642</v>
      </c>
      <c r="R2121" t="s">
        <v>1417</v>
      </c>
    </row>
    <row r="2122" spans="1:18" x14ac:dyDescent="0.25">
      <c r="A2122" t="s">
        <v>15437</v>
      </c>
      <c r="B2122" t="s">
        <v>9432</v>
      </c>
      <c r="C2122" t="str">
        <f>HYPERLINK("https://nematode.unl.edu/crcricobrv2.jpg")</f>
        <v>https://nematode.unl.edu/crcricobrv2.jpg</v>
      </c>
      <c r="D2122" t="s">
        <v>43</v>
      </c>
      <c r="G2122" t="s">
        <v>34</v>
      </c>
      <c r="H2122" t="s">
        <v>18</v>
      </c>
      <c r="I2122" t="s">
        <v>41</v>
      </c>
      <c r="J2122" t="s">
        <v>1525</v>
      </c>
      <c r="L2122" t="s">
        <v>1526</v>
      </c>
      <c r="M2122" t="s">
        <v>1417</v>
      </c>
      <c r="N2122" t="s">
        <v>1417</v>
      </c>
      <c r="O2122" t="s">
        <v>23</v>
      </c>
      <c r="P2122" t="s">
        <v>24</v>
      </c>
      <c r="Q2122" t="s">
        <v>642</v>
      </c>
      <c r="R2122" t="s">
        <v>1417</v>
      </c>
    </row>
    <row r="2123" spans="1:18" x14ac:dyDescent="0.25">
      <c r="A2123" t="s">
        <v>15465</v>
      </c>
      <c r="B2123" t="s">
        <v>9433</v>
      </c>
      <c r="C2123" t="str">
        <f>HYPERLINK("https://nematode.unl.edu/crcricobrv20.jpg")</f>
        <v>https://nematode.unl.edu/crcricobrv20.jpg</v>
      </c>
      <c r="D2123" t="s">
        <v>43</v>
      </c>
      <c r="G2123" t="s">
        <v>44</v>
      </c>
      <c r="I2123" t="s">
        <v>41</v>
      </c>
      <c r="J2123" t="s">
        <v>1525</v>
      </c>
      <c r="L2123" t="s">
        <v>1526</v>
      </c>
      <c r="M2123" t="s">
        <v>1417</v>
      </c>
      <c r="N2123" t="s">
        <v>1417</v>
      </c>
      <c r="O2123" t="s">
        <v>23</v>
      </c>
      <c r="P2123" t="s">
        <v>24</v>
      </c>
      <c r="Q2123" t="s">
        <v>642</v>
      </c>
      <c r="R2123" t="s">
        <v>1417</v>
      </c>
    </row>
    <row r="2124" spans="1:18" x14ac:dyDescent="0.25">
      <c r="A2124" t="s">
        <v>15466</v>
      </c>
      <c r="B2124" t="s">
        <v>9434</v>
      </c>
      <c r="C2124" t="str">
        <f>HYPERLINK("https://nematode.unl.edu/crcricobrv21.jpg")</f>
        <v>https://nematode.unl.edu/crcricobrv21.jpg</v>
      </c>
      <c r="D2124" t="s">
        <v>43</v>
      </c>
      <c r="G2124" t="s">
        <v>44</v>
      </c>
      <c r="I2124" t="s">
        <v>19</v>
      </c>
      <c r="J2124" t="s">
        <v>1525</v>
      </c>
      <c r="L2124" t="s">
        <v>1526</v>
      </c>
      <c r="M2124" t="s">
        <v>1417</v>
      </c>
      <c r="N2124" t="s">
        <v>1417</v>
      </c>
      <c r="O2124" t="s">
        <v>23</v>
      </c>
      <c r="P2124" t="s">
        <v>24</v>
      </c>
      <c r="Q2124" t="s">
        <v>642</v>
      </c>
      <c r="R2124" t="s">
        <v>1417</v>
      </c>
    </row>
    <row r="2125" spans="1:18" x14ac:dyDescent="0.25">
      <c r="A2125" t="s">
        <v>15456</v>
      </c>
      <c r="B2125" t="s">
        <v>9435</v>
      </c>
      <c r="C2125" t="str">
        <f>HYPERLINK("https://nematode.unl.edu/crcricobrv22.jpg")</f>
        <v>https://nematode.unl.edu/crcricobrv22.jpg</v>
      </c>
      <c r="D2125" t="s">
        <v>43</v>
      </c>
      <c r="G2125" t="s">
        <v>257</v>
      </c>
      <c r="H2125" t="s">
        <v>18</v>
      </c>
      <c r="I2125" t="s">
        <v>41</v>
      </c>
      <c r="J2125" t="s">
        <v>1525</v>
      </c>
      <c r="L2125" t="s">
        <v>1526</v>
      </c>
      <c r="M2125" t="s">
        <v>1417</v>
      </c>
      <c r="N2125" t="s">
        <v>1417</v>
      </c>
      <c r="O2125" t="s">
        <v>23</v>
      </c>
      <c r="P2125" t="s">
        <v>24</v>
      </c>
      <c r="Q2125" t="s">
        <v>642</v>
      </c>
      <c r="R2125" t="s">
        <v>1417</v>
      </c>
    </row>
    <row r="2126" spans="1:18" x14ac:dyDescent="0.25">
      <c r="A2126" t="s">
        <v>15485</v>
      </c>
      <c r="B2126" t="s">
        <v>9436</v>
      </c>
      <c r="C2126" t="str">
        <f>HYPERLINK("https://nematode.unl.edu/crcricobrv23.jpg")</f>
        <v>https://nematode.unl.edu/crcricobrv23.jpg</v>
      </c>
      <c r="D2126" t="s">
        <v>43</v>
      </c>
      <c r="G2126" t="s">
        <v>224</v>
      </c>
      <c r="I2126" t="s">
        <v>19</v>
      </c>
      <c r="J2126" t="s">
        <v>1525</v>
      </c>
      <c r="L2126" t="s">
        <v>1526</v>
      </c>
      <c r="M2126" t="s">
        <v>1417</v>
      </c>
      <c r="N2126" t="s">
        <v>1417</v>
      </c>
      <c r="O2126" t="s">
        <v>23</v>
      </c>
      <c r="P2126" t="s">
        <v>24</v>
      </c>
      <c r="Q2126" t="s">
        <v>642</v>
      </c>
      <c r="R2126" t="s">
        <v>1417</v>
      </c>
    </row>
    <row r="2127" spans="1:18" x14ac:dyDescent="0.25">
      <c r="A2127" t="s">
        <v>15438</v>
      </c>
      <c r="B2127" t="s">
        <v>9437</v>
      </c>
      <c r="C2127" t="str">
        <f>HYPERLINK("https://nematode.unl.edu/crcricobrv3.jpg")</f>
        <v>https://nematode.unl.edu/crcricobrv3.jpg</v>
      </c>
      <c r="D2127" t="s">
        <v>43</v>
      </c>
      <c r="G2127" t="s">
        <v>34</v>
      </c>
      <c r="H2127" t="s">
        <v>18</v>
      </c>
      <c r="I2127" t="s">
        <v>41</v>
      </c>
      <c r="J2127" t="s">
        <v>1525</v>
      </c>
      <c r="L2127" t="s">
        <v>1526</v>
      </c>
      <c r="M2127" t="s">
        <v>1417</v>
      </c>
      <c r="N2127" t="s">
        <v>1417</v>
      </c>
      <c r="O2127" t="s">
        <v>23</v>
      </c>
      <c r="P2127" t="s">
        <v>24</v>
      </c>
      <c r="Q2127" t="s">
        <v>642</v>
      </c>
      <c r="R2127" t="s">
        <v>1417</v>
      </c>
    </row>
    <row r="2128" spans="1:18" x14ac:dyDescent="0.25">
      <c r="A2128" t="s">
        <v>15439</v>
      </c>
      <c r="B2128" t="s">
        <v>9438</v>
      </c>
      <c r="C2128" t="str">
        <f>HYPERLINK("https://nematode.unl.edu/crcricobrv4.jpg")</f>
        <v>https://nematode.unl.edu/crcricobrv4.jpg</v>
      </c>
      <c r="D2128" t="s">
        <v>43</v>
      </c>
      <c r="G2128" t="s">
        <v>34</v>
      </c>
      <c r="H2128" t="s">
        <v>18</v>
      </c>
      <c r="I2128" t="s">
        <v>41</v>
      </c>
      <c r="J2128" t="s">
        <v>1525</v>
      </c>
      <c r="L2128" t="s">
        <v>1526</v>
      </c>
      <c r="M2128" t="s">
        <v>1417</v>
      </c>
      <c r="N2128" t="s">
        <v>1417</v>
      </c>
      <c r="O2128" t="s">
        <v>23</v>
      </c>
      <c r="P2128" t="s">
        <v>24</v>
      </c>
      <c r="Q2128" t="s">
        <v>642</v>
      </c>
      <c r="R2128" t="s">
        <v>1417</v>
      </c>
    </row>
    <row r="2129" spans="1:18" x14ac:dyDescent="0.25">
      <c r="A2129" t="s">
        <v>15486</v>
      </c>
      <c r="B2129" t="s">
        <v>9439</v>
      </c>
      <c r="C2129" t="str">
        <f>HYPERLINK("https://nematode.unl.edu/crcricobrv5.jpg")</f>
        <v>https://nematode.unl.edu/crcricobrv5.jpg</v>
      </c>
      <c r="D2129" t="s">
        <v>43</v>
      </c>
      <c r="G2129" t="s">
        <v>224</v>
      </c>
      <c r="I2129" t="s">
        <v>41</v>
      </c>
      <c r="J2129" t="s">
        <v>1525</v>
      </c>
      <c r="L2129" t="s">
        <v>1526</v>
      </c>
      <c r="M2129" t="s">
        <v>1417</v>
      </c>
      <c r="N2129" t="s">
        <v>1417</v>
      </c>
      <c r="O2129" t="s">
        <v>23</v>
      </c>
      <c r="P2129" t="s">
        <v>24</v>
      </c>
      <c r="Q2129" t="s">
        <v>642</v>
      </c>
      <c r="R2129" t="s">
        <v>1417</v>
      </c>
    </row>
    <row r="2130" spans="1:18" x14ac:dyDescent="0.25">
      <c r="A2130" t="s">
        <v>15487</v>
      </c>
      <c r="B2130" t="s">
        <v>9440</v>
      </c>
      <c r="C2130" t="str">
        <f>HYPERLINK("https://nematode.unl.edu/crcricobrv6.jpg")</f>
        <v>https://nematode.unl.edu/crcricobrv6.jpg</v>
      </c>
      <c r="D2130" t="s">
        <v>43</v>
      </c>
      <c r="G2130" t="s">
        <v>224</v>
      </c>
      <c r="I2130" t="s">
        <v>19</v>
      </c>
      <c r="J2130" t="s">
        <v>1525</v>
      </c>
      <c r="L2130" t="s">
        <v>1526</v>
      </c>
      <c r="M2130" t="s">
        <v>1417</v>
      </c>
      <c r="N2130" t="s">
        <v>1417</v>
      </c>
      <c r="O2130" t="s">
        <v>23</v>
      </c>
      <c r="P2130" t="s">
        <v>24</v>
      </c>
      <c r="Q2130" t="s">
        <v>642</v>
      </c>
      <c r="R2130" t="s">
        <v>1417</v>
      </c>
    </row>
    <row r="2131" spans="1:18" x14ac:dyDescent="0.25">
      <c r="A2131" t="s">
        <v>15503</v>
      </c>
      <c r="B2131" t="s">
        <v>9441</v>
      </c>
      <c r="C2131" t="str">
        <f>HYPERLINK("https://nematode.unl.edu/crcricobrv7.jpg")</f>
        <v>https://nematode.unl.edu/crcricobrv7.jpg</v>
      </c>
      <c r="D2131" t="s">
        <v>43</v>
      </c>
      <c r="G2131" t="s">
        <v>28</v>
      </c>
      <c r="I2131" t="s">
        <v>19</v>
      </c>
      <c r="J2131" t="s">
        <v>1525</v>
      </c>
      <c r="L2131" t="s">
        <v>1526</v>
      </c>
      <c r="M2131" t="s">
        <v>1417</v>
      </c>
      <c r="N2131" t="s">
        <v>1417</v>
      </c>
      <c r="O2131" t="s">
        <v>23</v>
      </c>
      <c r="P2131" t="s">
        <v>24</v>
      </c>
      <c r="Q2131" t="s">
        <v>642</v>
      </c>
      <c r="R2131" t="s">
        <v>1417</v>
      </c>
    </row>
    <row r="2132" spans="1:18" x14ac:dyDescent="0.25">
      <c r="A2132" t="s">
        <v>15440</v>
      </c>
      <c r="B2132" t="s">
        <v>9442</v>
      </c>
      <c r="C2132" t="str">
        <f>HYPERLINK("https://nematode.unl.edu/crcricobrv8.jpg")</f>
        <v>https://nematode.unl.edu/crcricobrv8.jpg</v>
      </c>
      <c r="D2132" t="s">
        <v>43</v>
      </c>
      <c r="G2132" t="s">
        <v>34</v>
      </c>
      <c r="H2132" t="s">
        <v>18</v>
      </c>
      <c r="I2132" t="s">
        <v>19</v>
      </c>
      <c r="J2132" t="s">
        <v>1525</v>
      </c>
      <c r="L2132" t="s">
        <v>1526</v>
      </c>
      <c r="M2132" t="s">
        <v>1417</v>
      </c>
      <c r="N2132" t="s">
        <v>1417</v>
      </c>
      <c r="O2132" t="s">
        <v>23</v>
      </c>
      <c r="P2132" t="s">
        <v>24</v>
      </c>
      <c r="Q2132" t="s">
        <v>642</v>
      </c>
      <c r="R2132" t="s">
        <v>1417</v>
      </c>
    </row>
    <row r="2133" spans="1:18" x14ac:dyDescent="0.25">
      <c r="A2133" t="s">
        <v>15467</v>
      </c>
      <c r="B2133" t="s">
        <v>9443</v>
      </c>
      <c r="C2133" t="str">
        <f>HYPERLINK("https://nematode.unl.edu/crcricobrv9.jpg")</f>
        <v>https://nematode.unl.edu/crcricobrv9.jpg</v>
      </c>
      <c r="D2133" t="s">
        <v>43</v>
      </c>
      <c r="G2133" t="s">
        <v>44</v>
      </c>
      <c r="I2133" t="s">
        <v>19</v>
      </c>
      <c r="J2133" t="s">
        <v>1525</v>
      </c>
      <c r="L2133" t="s">
        <v>1526</v>
      </c>
      <c r="M2133" t="s">
        <v>1417</v>
      </c>
      <c r="N2133" t="s">
        <v>1417</v>
      </c>
      <c r="O2133" t="s">
        <v>23</v>
      </c>
      <c r="P2133" t="s">
        <v>24</v>
      </c>
      <c r="Q2133" t="s">
        <v>642</v>
      </c>
      <c r="R2133" t="s">
        <v>1417</v>
      </c>
    </row>
    <row r="2134" spans="1:18" x14ac:dyDescent="0.25">
      <c r="A2134" t="s">
        <v>13898</v>
      </c>
      <c r="B2134" t="s">
        <v>4306</v>
      </c>
      <c r="C2134" t="str">
        <f>HYPERLINK("https://nematode.unl.edu/crcricols1.jpg")</f>
        <v>https://nematode.unl.edu/crcricols1.jpg</v>
      </c>
      <c r="D2134" t="s">
        <v>77</v>
      </c>
      <c r="G2134" t="s">
        <v>44</v>
      </c>
      <c r="I2134" t="s">
        <v>45</v>
      </c>
      <c r="J2134" t="s">
        <v>1525</v>
      </c>
      <c r="L2134" t="s">
        <v>1526</v>
      </c>
      <c r="M2134" t="s">
        <v>4307</v>
      </c>
      <c r="N2134" t="s">
        <v>4307</v>
      </c>
      <c r="O2134" t="s">
        <v>23</v>
      </c>
      <c r="P2134" t="s">
        <v>24</v>
      </c>
      <c r="Q2134" t="s">
        <v>642</v>
      </c>
      <c r="R2134" t="s">
        <v>4293</v>
      </c>
    </row>
    <row r="2135" spans="1:18" x14ac:dyDescent="0.25">
      <c r="A2135" t="s">
        <v>15468</v>
      </c>
      <c r="B2135" t="s">
        <v>9444</v>
      </c>
      <c r="C2135" t="str">
        <f>HYPERLINK("https://nematode.unl.edu/crcricols10.jpg")</f>
        <v>https://nematode.unl.edu/crcricols10.jpg</v>
      </c>
      <c r="D2135" t="s">
        <v>43</v>
      </c>
      <c r="G2135" t="s">
        <v>44</v>
      </c>
      <c r="I2135" t="s">
        <v>19</v>
      </c>
      <c r="J2135" t="s">
        <v>1525</v>
      </c>
      <c r="L2135" t="s">
        <v>1526</v>
      </c>
      <c r="M2135" t="s">
        <v>1417</v>
      </c>
      <c r="N2135" t="s">
        <v>1417</v>
      </c>
      <c r="O2135" t="s">
        <v>23</v>
      </c>
      <c r="P2135" t="s">
        <v>24</v>
      </c>
      <c r="Q2135" t="s">
        <v>642</v>
      </c>
      <c r="R2135" t="s">
        <v>1417</v>
      </c>
    </row>
    <row r="2136" spans="1:18" x14ac:dyDescent="0.25">
      <c r="A2136" t="s">
        <v>18486</v>
      </c>
      <c r="B2136" t="s">
        <v>9229</v>
      </c>
      <c r="C2136" t="str">
        <f>HYPERLINK("https://nematode.unl.edu/crcricols3.jpg")</f>
        <v>https://nematode.unl.edu/crcricols3.jpg</v>
      </c>
      <c r="D2136" t="s">
        <v>43</v>
      </c>
      <c r="G2136" t="s">
        <v>44</v>
      </c>
      <c r="I2136" t="s">
        <v>45</v>
      </c>
      <c r="J2136" t="s">
        <v>1525</v>
      </c>
      <c r="L2136" t="s">
        <v>1526</v>
      </c>
      <c r="M2136" t="s">
        <v>9230</v>
      </c>
      <c r="N2136" t="s">
        <v>9230</v>
      </c>
      <c r="O2136" t="s">
        <v>23</v>
      </c>
      <c r="P2136" t="s">
        <v>24</v>
      </c>
      <c r="Q2136" t="s">
        <v>69</v>
      </c>
      <c r="R2136" t="s">
        <v>9231</v>
      </c>
    </row>
    <row r="2137" spans="1:18" x14ac:dyDescent="0.25">
      <c r="A2137" t="s">
        <v>18487</v>
      </c>
      <c r="B2137" t="s">
        <v>9232</v>
      </c>
      <c r="C2137" t="str">
        <f>HYPERLINK("https://nematode.unl.edu/crcricols4.jpg")</f>
        <v>https://nematode.unl.edu/crcricols4.jpg</v>
      </c>
      <c r="D2137" t="s">
        <v>43</v>
      </c>
      <c r="G2137" t="s">
        <v>44</v>
      </c>
      <c r="I2137" t="s">
        <v>45</v>
      </c>
      <c r="J2137" t="s">
        <v>1525</v>
      </c>
      <c r="L2137" t="s">
        <v>1526</v>
      </c>
      <c r="M2137" t="s">
        <v>9230</v>
      </c>
      <c r="N2137" t="s">
        <v>9230</v>
      </c>
      <c r="O2137" t="s">
        <v>23</v>
      </c>
      <c r="P2137" t="s">
        <v>24</v>
      </c>
      <c r="Q2137" t="s">
        <v>69</v>
      </c>
      <c r="R2137" t="s">
        <v>9231</v>
      </c>
    </row>
    <row r="2138" spans="1:18" x14ac:dyDescent="0.25">
      <c r="A2138" t="s">
        <v>15504</v>
      </c>
      <c r="B2138" t="s">
        <v>9445</v>
      </c>
      <c r="C2138" t="str">
        <f>HYPERLINK("https://nematode.unl.edu/crcricols5.jpg")</f>
        <v>https://nematode.unl.edu/crcricols5.jpg</v>
      </c>
      <c r="D2138" t="s">
        <v>43</v>
      </c>
      <c r="G2138" t="s">
        <v>28</v>
      </c>
      <c r="I2138" t="s">
        <v>41</v>
      </c>
      <c r="J2138" t="s">
        <v>1525</v>
      </c>
      <c r="L2138" t="s">
        <v>1526</v>
      </c>
      <c r="M2138" t="s">
        <v>1417</v>
      </c>
      <c r="N2138" t="s">
        <v>1417</v>
      </c>
      <c r="O2138" t="s">
        <v>23</v>
      </c>
      <c r="P2138" t="s">
        <v>24</v>
      </c>
      <c r="Q2138" t="s">
        <v>642</v>
      </c>
      <c r="R2138" t="s">
        <v>1417</v>
      </c>
    </row>
    <row r="2139" spans="1:18" x14ac:dyDescent="0.25">
      <c r="A2139" t="s">
        <v>15441</v>
      </c>
      <c r="B2139" t="s">
        <v>9446</v>
      </c>
      <c r="C2139" t="str">
        <f>HYPERLINK("https://nematode.unl.edu/crcricols6.jpg")</f>
        <v>https://nematode.unl.edu/crcricols6.jpg</v>
      </c>
      <c r="D2139" t="s">
        <v>43</v>
      </c>
      <c r="G2139" t="s">
        <v>34</v>
      </c>
      <c r="H2139" t="s">
        <v>18</v>
      </c>
      <c r="I2139" t="s">
        <v>41</v>
      </c>
      <c r="J2139" t="s">
        <v>1525</v>
      </c>
      <c r="L2139" t="s">
        <v>1526</v>
      </c>
      <c r="M2139" t="s">
        <v>1417</v>
      </c>
      <c r="N2139" t="s">
        <v>1417</v>
      </c>
      <c r="O2139" t="s">
        <v>23</v>
      </c>
      <c r="P2139" t="s">
        <v>24</v>
      </c>
      <c r="Q2139" t="s">
        <v>642</v>
      </c>
      <c r="R2139" t="s">
        <v>1417</v>
      </c>
    </row>
    <row r="2140" spans="1:18" x14ac:dyDescent="0.25">
      <c r="A2140" t="s">
        <v>15442</v>
      </c>
      <c r="B2140" t="s">
        <v>9447</v>
      </c>
      <c r="C2140" t="str">
        <f>HYPERLINK("https://nematode.unl.edu/crcricols7.jpg")</f>
        <v>https://nematode.unl.edu/crcricols7.jpg</v>
      </c>
      <c r="D2140" t="s">
        <v>43</v>
      </c>
      <c r="G2140" t="s">
        <v>34</v>
      </c>
      <c r="H2140" t="s">
        <v>18</v>
      </c>
      <c r="I2140" t="s">
        <v>19</v>
      </c>
      <c r="J2140" t="s">
        <v>1525</v>
      </c>
      <c r="L2140" t="s">
        <v>1526</v>
      </c>
      <c r="M2140" t="s">
        <v>1417</v>
      </c>
      <c r="N2140" t="s">
        <v>1417</v>
      </c>
      <c r="O2140" t="s">
        <v>23</v>
      </c>
      <c r="P2140" t="s">
        <v>24</v>
      </c>
      <c r="Q2140" t="s">
        <v>642</v>
      </c>
      <c r="R2140" t="s">
        <v>1417</v>
      </c>
    </row>
    <row r="2141" spans="1:18" x14ac:dyDescent="0.25">
      <c r="A2141" t="s">
        <v>18488</v>
      </c>
      <c r="B2141" t="s">
        <v>9233</v>
      </c>
      <c r="C2141" t="str">
        <f>HYPERLINK("https://nematode.unl.edu/crcricols8.jpg")</f>
        <v>https://nematode.unl.edu/crcricols8.jpg</v>
      </c>
      <c r="D2141" t="s">
        <v>43</v>
      </c>
      <c r="G2141" t="s">
        <v>44</v>
      </c>
      <c r="I2141" t="s">
        <v>19</v>
      </c>
      <c r="J2141" t="s">
        <v>1525</v>
      </c>
      <c r="L2141" t="s">
        <v>1526</v>
      </c>
      <c r="M2141" t="s">
        <v>9230</v>
      </c>
      <c r="N2141" t="s">
        <v>9230</v>
      </c>
      <c r="O2141" t="s">
        <v>23</v>
      </c>
      <c r="P2141" t="s">
        <v>24</v>
      </c>
      <c r="Q2141" t="s">
        <v>69</v>
      </c>
      <c r="R2141" t="s">
        <v>9231</v>
      </c>
    </row>
    <row r="2142" spans="1:18" x14ac:dyDescent="0.25">
      <c r="A2142" t="s">
        <v>15469</v>
      </c>
      <c r="B2142" t="s">
        <v>9448</v>
      </c>
      <c r="C2142" t="str">
        <f>HYPERLINK("https://nematode.unl.edu/crcricols9.jpg")</f>
        <v>https://nematode.unl.edu/crcricols9.jpg</v>
      </c>
      <c r="D2142" t="s">
        <v>43</v>
      </c>
      <c r="G2142" t="s">
        <v>44</v>
      </c>
      <c r="I2142" t="s">
        <v>19</v>
      </c>
      <c r="J2142" t="s">
        <v>1525</v>
      </c>
      <c r="L2142" t="s">
        <v>1526</v>
      </c>
      <c r="M2142" t="s">
        <v>1417</v>
      </c>
      <c r="N2142" t="s">
        <v>1417</v>
      </c>
      <c r="O2142" t="s">
        <v>23</v>
      </c>
      <c r="P2142" t="s">
        <v>24</v>
      </c>
      <c r="Q2142" t="s">
        <v>642</v>
      </c>
      <c r="R2142" t="s">
        <v>1417</v>
      </c>
    </row>
    <row r="2143" spans="1:18" x14ac:dyDescent="0.25">
      <c r="A2143" t="s">
        <v>14108</v>
      </c>
      <c r="B2143" t="s">
        <v>7369</v>
      </c>
      <c r="C2143" t="str">
        <f>HYPERLINK("https://nematode.unl.edu/crcricopex1.jpg")</f>
        <v>https://nematode.unl.edu/crcricopex1.jpg</v>
      </c>
      <c r="D2143" t="s">
        <v>43</v>
      </c>
      <c r="G2143" t="s">
        <v>44</v>
      </c>
      <c r="I2143" t="s">
        <v>19</v>
      </c>
      <c r="J2143" t="s">
        <v>1525</v>
      </c>
      <c r="L2143" t="s">
        <v>1526</v>
      </c>
      <c r="M2143" t="s">
        <v>1214</v>
      </c>
      <c r="N2143" t="s">
        <v>1214</v>
      </c>
      <c r="O2143" t="s">
        <v>23</v>
      </c>
      <c r="P2143" t="s">
        <v>24</v>
      </c>
      <c r="Q2143" t="s">
        <v>642</v>
      </c>
      <c r="R2143" t="s">
        <v>1214</v>
      </c>
    </row>
    <row r="2144" spans="1:18" x14ac:dyDescent="0.25">
      <c r="A2144" t="s">
        <v>14109</v>
      </c>
      <c r="B2144" t="s">
        <v>7370</v>
      </c>
      <c r="C2144" t="str">
        <f>HYPERLINK("https://nematode.unl.edu/crcricopex2.jpg")</f>
        <v>https://nematode.unl.edu/crcricopex2.jpg</v>
      </c>
      <c r="D2144" t="s">
        <v>43</v>
      </c>
      <c r="G2144" t="s">
        <v>44</v>
      </c>
      <c r="I2144" t="s">
        <v>19</v>
      </c>
      <c r="J2144" t="s">
        <v>1525</v>
      </c>
      <c r="L2144" t="s">
        <v>1526</v>
      </c>
      <c r="M2144" t="s">
        <v>1214</v>
      </c>
      <c r="N2144" t="s">
        <v>1214</v>
      </c>
      <c r="O2144" t="s">
        <v>23</v>
      </c>
      <c r="P2144" t="s">
        <v>24</v>
      </c>
      <c r="Q2144" t="s">
        <v>642</v>
      </c>
      <c r="R2144" t="s">
        <v>1214</v>
      </c>
    </row>
    <row r="2145" spans="1:18" x14ac:dyDescent="0.25">
      <c r="A2145" t="s">
        <v>14167</v>
      </c>
      <c r="B2145" t="s">
        <v>7371</v>
      </c>
      <c r="C2145" t="str">
        <f>HYPERLINK("https://nematode.unl.edu/crcricopex3.jpg")</f>
        <v>https://nematode.unl.edu/crcricopex3.jpg</v>
      </c>
      <c r="D2145" t="s">
        <v>43</v>
      </c>
      <c r="G2145" t="s">
        <v>224</v>
      </c>
      <c r="I2145" t="s">
        <v>19</v>
      </c>
      <c r="J2145" t="s">
        <v>1525</v>
      </c>
      <c r="L2145" t="s">
        <v>1526</v>
      </c>
      <c r="M2145" t="s">
        <v>1214</v>
      </c>
      <c r="N2145" t="s">
        <v>1214</v>
      </c>
      <c r="O2145" t="s">
        <v>23</v>
      </c>
      <c r="P2145" t="s">
        <v>24</v>
      </c>
      <c r="Q2145" t="s">
        <v>642</v>
      </c>
      <c r="R2145" t="s">
        <v>1214</v>
      </c>
    </row>
    <row r="2146" spans="1:18" x14ac:dyDescent="0.25">
      <c r="A2146" t="s">
        <v>14178</v>
      </c>
      <c r="B2146" t="s">
        <v>7372</v>
      </c>
      <c r="C2146" t="str">
        <f>HYPERLINK("https://nematode.unl.edu/crcricopex4.jpg")</f>
        <v>https://nematode.unl.edu/crcricopex4.jpg</v>
      </c>
      <c r="D2146" t="s">
        <v>43</v>
      </c>
      <c r="G2146" t="s">
        <v>181</v>
      </c>
      <c r="I2146" t="s">
        <v>19</v>
      </c>
      <c r="J2146" t="s">
        <v>1525</v>
      </c>
      <c r="L2146" t="s">
        <v>1526</v>
      </c>
      <c r="M2146" t="s">
        <v>1214</v>
      </c>
      <c r="N2146" t="s">
        <v>1214</v>
      </c>
      <c r="O2146" t="s">
        <v>23</v>
      </c>
      <c r="P2146" t="s">
        <v>24</v>
      </c>
      <c r="Q2146" t="s">
        <v>642</v>
      </c>
      <c r="R2146" t="s">
        <v>1214</v>
      </c>
    </row>
    <row r="2147" spans="1:18" x14ac:dyDescent="0.25">
      <c r="A2147" t="s">
        <v>14110</v>
      </c>
      <c r="B2147" t="s">
        <v>7373</v>
      </c>
      <c r="C2147" t="str">
        <f>HYPERLINK("https://nematode.unl.edu/crcricopex5.jpg")</f>
        <v>https://nematode.unl.edu/crcricopex5.jpg</v>
      </c>
      <c r="D2147" t="s">
        <v>16</v>
      </c>
      <c r="G2147" t="s">
        <v>44</v>
      </c>
      <c r="I2147" t="s">
        <v>19</v>
      </c>
      <c r="J2147" t="s">
        <v>1525</v>
      </c>
      <c r="L2147" t="s">
        <v>1526</v>
      </c>
      <c r="M2147" t="s">
        <v>1214</v>
      </c>
      <c r="N2147" t="s">
        <v>1214</v>
      </c>
      <c r="O2147" t="s">
        <v>23</v>
      </c>
      <c r="P2147" t="s">
        <v>24</v>
      </c>
      <c r="Q2147" t="s">
        <v>642</v>
      </c>
      <c r="R2147" t="s">
        <v>1214</v>
      </c>
    </row>
    <row r="2148" spans="1:18" x14ac:dyDescent="0.25">
      <c r="A2148" t="s">
        <v>14111</v>
      </c>
      <c r="B2148" t="s">
        <v>7374</v>
      </c>
      <c r="C2148" t="str">
        <f>HYPERLINK("https://nematode.unl.edu/crcricopex6.jpg")</f>
        <v>https://nematode.unl.edu/crcricopex6.jpg</v>
      </c>
      <c r="D2148" t="s">
        <v>16</v>
      </c>
      <c r="G2148" t="s">
        <v>44</v>
      </c>
      <c r="I2148" t="s">
        <v>19</v>
      </c>
      <c r="J2148" t="s">
        <v>1525</v>
      </c>
      <c r="L2148" t="s">
        <v>1526</v>
      </c>
      <c r="M2148" t="s">
        <v>1214</v>
      </c>
      <c r="N2148" t="s">
        <v>1214</v>
      </c>
      <c r="O2148" t="s">
        <v>23</v>
      </c>
      <c r="P2148" t="s">
        <v>24</v>
      </c>
      <c r="Q2148" t="s">
        <v>642</v>
      </c>
      <c r="R2148" t="s">
        <v>1214</v>
      </c>
    </row>
    <row r="2149" spans="1:18" x14ac:dyDescent="0.25">
      <c r="A2149" t="s">
        <v>14112</v>
      </c>
      <c r="B2149" t="s">
        <v>7375</v>
      </c>
      <c r="C2149" t="str">
        <f>HYPERLINK("https://nematode.unl.edu/crcricopex7.jpg")</f>
        <v>https://nematode.unl.edu/crcricopex7.jpg</v>
      </c>
      <c r="D2149" t="s">
        <v>43</v>
      </c>
      <c r="G2149" t="s">
        <v>44</v>
      </c>
      <c r="I2149" t="s">
        <v>19</v>
      </c>
      <c r="J2149" t="s">
        <v>1525</v>
      </c>
      <c r="L2149" t="s">
        <v>1526</v>
      </c>
      <c r="M2149" t="s">
        <v>1214</v>
      </c>
      <c r="N2149" t="s">
        <v>1214</v>
      </c>
      <c r="O2149" t="s">
        <v>23</v>
      </c>
      <c r="P2149" t="s">
        <v>24</v>
      </c>
      <c r="Q2149" t="s">
        <v>642</v>
      </c>
      <c r="R2149" t="s">
        <v>1214</v>
      </c>
    </row>
    <row r="2150" spans="1:18" x14ac:dyDescent="0.25">
      <c r="A2150" t="s">
        <v>14058</v>
      </c>
      <c r="B2150" t="s">
        <v>7376</v>
      </c>
      <c r="C2150" t="str">
        <f>HYPERLINK("https://nematode.unl.edu/crcricopex8.jpg")</f>
        <v>https://nematode.unl.edu/crcricopex8.jpg</v>
      </c>
      <c r="D2150" t="s">
        <v>43</v>
      </c>
      <c r="G2150" t="s">
        <v>96</v>
      </c>
      <c r="H2150" t="s">
        <v>18</v>
      </c>
      <c r="I2150" t="s">
        <v>19</v>
      </c>
      <c r="J2150" t="s">
        <v>1525</v>
      </c>
      <c r="L2150" t="s">
        <v>1526</v>
      </c>
      <c r="M2150" t="s">
        <v>1214</v>
      </c>
      <c r="N2150" t="s">
        <v>1214</v>
      </c>
      <c r="O2150" t="s">
        <v>23</v>
      </c>
      <c r="P2150" t="s">
        <v>24</v>
      </c>
      <c r="Q2150" t="s">
        <v>642</v>
      </c>
      <c r="R2150" t="s">
        <v>1214</v>
      </c>
    </row>
    <row r="2151" spans="1:18" x14ac:dyDescent="0.25">
      <c r="A2151" t="s">
        <v>14113</v>
      </c>
      <c r="B2151" t="s">
        <v>7377</v>
      </c>
      <c r="C2151" t="str">
        <f>HYPERLINK("https://nematode.unl.edu/crcricopin1.jpg")</f>
        <v>https://nematode.unl.edu/crcricopin1.jpg</v>
      </c>
      <c r="D2151" t="s">
        <v>16</v>
      </c>
      <c r="G2151" t="s">
        <v>44</v>
      </c>
      <c r="I2151" t="s">
        <v>19</v>
      </c>
      <c r="J2151" t="s">
        <v>1525</v>
      </c>
      <c r="L2151" t="s">
        <v>1526</v>
      </c>
      <c r="M2151" t="s">
        <v>1214</v>
      </c>
      <c r="N2151" t="s">
        <v>1214</v>
      </c>
      <c r="O2151" t="s">
        <v>23</v>
      </c>
      <c r="P2151" t="s">
        <v>24</v>
      </c>
      <c r="Q2151" t="s">
        <v>642</v>
      </c>
      <c r="R2151" t="s">
        <v>1214</v>
      </c>
    </row>
    <row r="2152" spans="1:18" x14ac:dyDescent="0.25">
      <c r="A2152" t="s">
        <v>14168</v>
      </c>
      <c r="B2152" t="s">
        <v>7378</v>
      </c>
      <c r="C2152" t="str">
        <f>HYPERLINK("https://nematode.unl.edu/crcricopin2.jpg")</f>
        <v>https://nematode.unl.edu/crcricopin2.jpg</v>
      </c>
      <c r="D2152" t="s">
        <v>16</v>
      </c>
      <c r="G2152" t="s">
        <v>224</v>
      </c>
      <c r="I2152" t="s">
        <v>19</v>
      </c>
      <c r="J2152" t="s">
        <v>1525</v>
      </c>
      <c r="L2152" t="s">
        <v>1526</v>
      </c>
      <c r="M2152" t="s">
        <v>1214</v>
      </c>
      <c r="N2152" t="s">
        <v>1214</v>
      </c>
      <c r="O2152" t="s">
        <v>23</v>
      </c>
      <c r="P2152" t="s">
        <v>24</v>
      </c>
      <c r="Q2152" t="s">
        <v>642</v>
      </c>
      <c r="R2152" t="s">
        <v>1214</v>
      </c>
    </row>
    <row r="2153" spans="1:18" x14ac:dyDescent="0.25">
      <c r="A2153" t="s">
        <v>14228</v>
      </c>
      <c r="B2153" t="s">
        <v>7553</v>
      </c>
      <c r="C2153" t="str">
        <f>HYPERLINK("https://nematode.unl.edu/crcricops1.jpg")</f>
        <v>https://nematode.unl.edu/crcricops1.jpg</v>
      </c>
      <c r="D2153" t="s">
        <v>16</v>
      </c>
      <c r="G2153" t="s">
        <v>44</v>
      </c>
      <c r="I2153" t="s">
        <v>19</v>
      </c>
      <c r="J2153" t="s">
        <v>1525</v>
      </c>
      <c r="L2153" t="s">
        <v>1526</v>
      </c>
      <c r="M2153" t="s">
        <v>7554</v>
      </c>
      <c r="N2153" t="s">
        <v>7554</v>
      </c>
      <c r="O2153" t="s">
        <v>23</v>
      </c>
      <c r="P2153" t="s">
        <v>24</v>
      </c>
      <c r="Q2153" t="s">
        <v>642</v>
      </c>
      <c r="R2153" t="s">
        <v>1214</v>
      </c>
    </row>
    <row r="2154" spans="1:18" x14ac:dyDescent="0.25">
      <c r="A2154" t="s">
        <v>14230</v>
      </c>
      <c r="B2154" t="s">
        <v>7555</v>
      </c>
      <c r="C2154" t="str">
        <f>HYPERLINK("https://nematode.unl.edu/crcricops2.jpg")</f>
        <v>https://nematode.unl.edu/crcricops2.jpg</v>
      </c>
      <c r="D2154" t="s">
        <v>43</v>
      </c>
      <c r="G2154" t="s">
        <v>224</v>
      </c>
      <c r="I2154" t="s">
        <v>19</v>
      </c>
      <c r="J2154" t="s">
        <v>1525</v>
      </c>
      <c r="L2154" t="s">
        <v>1526</v>
      </c>
      <c r="M2154" t="s">
        <v>7554</v>
      </c>
      <c r="N2154" t="s">
        <v>7554</v>
      </c>
      <c r="O2154" t="s">
        <v>23</v>
      </c>
      <c r="P2154" t="s">
        <v>24</v>
      </c>
      <c r="Q2154" t="s">
        <v>642</v>
      </c>
      <c r="R2154" t="s">
        <v>1214</v>
      </c>
    </row>
    <row r="2155" spans="1:18" x14ac:dyDescent="0.25">
      <c r="A2155" t="s">
        <v>14229</v>
      </c>
      <c r="B2155" t="s">
        <v>7556</v>
      </c>
      <c r="C2155" t="str">
        <f>HYPERLINK("https://nematode.unl.edu/crcricops3.jpg")</f>
        <v>https://nematode.unl.edu/crcricops3.jpg</v>
      </c>
      <c r="D2155" t="s">
        <v>43</v>
      </c>
      <c r="G2155" t="s">
        <v>44</v>
      </c>
      <c r="I2155" t="s">
        <v>19</v>
      </c>
      <c r="J2155" t="s">
        <v>1525</v>
      </c>
      <c r="L2155" t="s">
        <v>1526</v>
      </c>
      <c r="M2155" t="s">
        <v>7554</v>
      </c>
      <c r="N2155" t="s">
        <v>7554</v>
      </c>
      <c r="O2155" t="s">
        <v>23</v>
      </c>
      <c r="P2155" t="s">
        <v>24</v>
      </c>
      <c r="Q2155" t="s">
        <v>642</v>
      </c>
      <c r="R2155" t="s">
        <v>1214</v>
      </c>
    </row>
    <row r="2156" spans="1:18" x14ac:dyDescent="0.25">
      <c r="A2156" t="s">
        <v>14231</v>
      </c>
      <c r="B2156" t="s">
        <v>7557</v>
      </c>
      <c r="C2156" t="str">
        <f>HYPERLINK("https://nematode.unl.edu/crcricops4.jpg")</f>
        <v>https://nematode.unl.edu/crcricops4.jpg</v>
      </c>
      <c r="D2156" t="s">
        <v>43</v>
      </c>
      <c r="G2156" t="s">
        <v>224</v>
      </c>
      <c r="I2156" t="s">
        <v>19</v>
      </c>
      <c r="J2156" t="s">
        <v>1525</v>
      </c>
      <c r="L2156" t="s">
        <v>1526</v>
      </c>
      <c r="M2156" t="s">
        <v>7554</v>
      </c>
      <c r="N2156" t="s">
        <v>7554</v>
      </c>
      <c r="O2156" t="s">
        <v>23</v>
      </c>
      <c r="P2156" t="s">
        <v>24</v>
      </c>
      <c r="Q2156" t="s">
        <v>642</v>
      </c>
      <c r="R2156" t="s">
        <v>1214</v>
      </c>
    </row>
    <row r="2157" spans="1:18" x14ac:dyDescent="0.25">
      <c r="A2157" t="s">
        <v>13899</v>
      </c>
      <c r="B2157" t="s">
        <v>4308</v>
      </c>
      <c r="C2157" t="str">
        <f>HYPERLINK("https://nematode.unl.edu/crcricroc1.jpg")</f>
        <v>https://nematode.unl.edu/crcricroc1.jpg</v>
      </c>
      <c r="D2157" t="s">
        <v>43</v>
      </c>
      <c r="G2157" t="s">
        <v>44</v>
      </c>
      <c r="I2157" t="s">
        <v>19</v>
      </c>
      <c r="J2157" t="s">
        <v>1525</v>
      </c>
      <c r="L2157" t="s">
        <v>1526</v>
      </c>
      <c r="M2157" t="s">
        <v>4307</v>
      </c>
      <c r="N2157" t="s">
        <v>4307</v>
      </c>
      <c r="O2157" t="s">
        <v>23</v>
      </c>
      <c r="P2157" t="s">
        <v>24</v>
      </c>
      <c r="Q2157" t="s">
        <v>642</v>
      </c>
      <c r="R2157" t="s">
        <v>4293</v>
      </c>
    </row>
    <row r="2158" spans="1:18" x14ac:dyDescent="0.25">
      <c r="A2158" t="s">
        <v>13900</v>
      </c>
      <c r="B2158" t="s">
        <v>4309</v>
      </c>
      <c r="C2158" t="str">
        <f>HYPERLINK("https://nematode.unl.edu/crcricroc10.jpg")</f>
        <v>https://nematode.unl.edu/crcricroc10.jpg</v>
      </c>
      <c r="D2158" t="s">
        <v>43</v>
      </c>
      <c r="G2158" t="s">
        <v>44</v>
      </c>
      <c r="I2158" t="s">
        <v>19</v>
      </c>
      <c r="J2158" t="s">
        <v>1525</v>
      </c>
      <c r="L2158" t="s">
        <v>1526</v>
      </c>
      <c r="M2158" t="s">
        <v>4307</v>
      </c>
      <c r="N2158" t="s">
        <v>4307</v>
      </c>
      <c r="O2158" t="s">
        <v>23</v>
      </c>
      <c r="P2158" t="s">
        <v>24</v>
      </c>
      <c r="Q2158" t="s">
        <v>642</v>
      </c>
      <c r="R2158" t="s">
        <v>4293</v>
      </c>
    </row>
    <row r="2159" spans="1:18" x14ac:dyDescent="0.25">
      <c r="A2159" t="s">
        <v>13919</v>
      </c>
      <c r="B2159" t="s">
        <v>4310</v>
      </c>
      <c r="C2159" t="str">
        <f>HYPERLINK("https://nematode.unl.edu/crcricroc11.jpg")</f>
        <v>https://nematode.unl.edu/crcricroc11.jpg</v>
      </c>
      <c r="D2159" t="s">
        <v>43</v>
      </c>
      <c r="G2159" t="s">
        <v>28</v>
      </c>
      <c r="I2159" t="s">
        <v>19</v>
      </c>
      <c r="J2159" t="s">
        <v>1525</v>
      </c>
      <c r="L2159" t="s">
        <v>1526</v>
      </c>
      <c r="M2159" t="s">
        <v>4307</v>
      </c>
      <c r="N2159" t="s">
        <v>4307</v>
      </c>
      <c r="O2159" t="s">
        <v>23</v>
      </c>
      <c r="P2159" t="s">
        <v>24</v>
      </c>
      <c r="Q2159" t="s">
        <v>642</v>
      </c>
      <c r="R2159" t="s">
        <v>4293</v>
      </c>
    </row>
    <row r="2160" spans="1:18" x14ac:dyDescent="0.25">
      <c r="A2160" t="s">
        <v>13884</v>
      </c>
      <c r="B2160" t="s">
        <v>4311</v>
      </c>
      <c r="C2160" t="str">
        <f>HYPERLINK("https://nematode.unl.edu/crcricroc12.jpg")</f>
        <v>https://nematode.unl.edu/crcricroc12.jpg</v>
      </c>
      <c r="D2160" t="s">
        <v>43</v>
      </c>
      <c r="G2160" t="s">
        <v>34</v>
      </c>
      <c r="H2160" t="s">
        <v>18</v>
      </c>
      <c r="I2160" t="s">
        <v>19</v>
      </c>
      <c r="J2160" t="s">
        <v>1525</v>
      </c>
      <c r="L2160" t="s">
        <v>1526</v>
      </c>
      <c r="M2160" t="s">
        <v>4307</v>
      </c>
      <c r="N2160" t="s">
        <v>4307</v>
      </c>
      <c r="O2160" t="s">
        <v>23</v>
      </c>
      <c r="P2160" t="s">
        <v>24</v>
      </c>
      <c r="Q2160" t="s">
        <v>642</v>
      </c>
      <c r="R2160" t="s">
        <v>4293</v>
      </c>
    </row>
    <row r="2161" spans="1:18" x14ac:dyDescent="0.25">
      <c r="A2161" t="s">
        <v>13914</v>
      </c>
      <c r="B2161" t="s">
        <v>4312</v>
      </c>
      <c r="C2161" t="str">
        <f>HYPERLINK("https://nematode.unl.edu/crcricroc13.jpg")</f>
        <v>https://nematode.unl.edu/crcricroc13.jpg</v>
      </c>
      <c r="D2161" t="s">
        <v>43</v>
      </c>
      <c r="G2161" t="s">
        <v>224</v>
      </c>
      <c r="I2161" t="s">
        <v>19</v>
      </c>
      <c r="J2161" t="s">
        <v>1525</v>
      </c>
      <c r="L2161" t="s">
        <v>1526</v>
      </c>
      <c r="M2161" t="s">
        <v>4307</v>
      </c>
      <c r="N2161" t="s">
        <v>4307</v>
      </c>
      <c r="O2161" t="s">
        <v>23</v>
      </c>
      <c r="P2161" t="s">
        <v>24</v>
      </c>
      <c r="Q2161" t="s">
        <v>642</v>
      </c>
      <c r="R2161" t="s">
        <v>4293</v>
      </c>
    </row>
    <row r="2162" spans="1:18" x14ac:dyDescent="0.25">
      <c r="A2162" t="s">
        <v>13915</v>
      </c>
      <c r="B2162" t="s">
        <v>4313</v>
      </c>
      <c r="C2162" t="str">
        <f>HYPERLINK("https://nematode.unl.edu/crcricroc14.jpg")</f>
        <v>https://nematode.unl.edu/crcricroc14.jpg</v>
      </c>
      <c r="D2162" t="s">
        <v>43</v>
      </c>
      <c r="G2162" t="s">
        <v>224</v>
      </c>
      <c r="I2162" t="s">
        <v>41</v>
      </c>
      <c r="J2162" t="s">
        <v>1525</v>
      </c>
      <c r="L2162" t="s">
        <v>1526</v>
      </c>
      <c r="M2162" t="s">
        <v>4307</v>
      </c>
      <c r="N2162" t="s">
        <v>4307</v>
      </c>
      <c r="O2162" t="s">
        <v>23</v>
      </c>
      <c r="P2162" t="s">
        <v>24</v>
      </c>
      <c r="Q2162" t="s">
        <v>642</v>
      </c>
      <c r="R2162" t="s">
        <v>4293</v>
      </c>
    </row>
    <row r="2163" spans="1:18" x14ac:dyDescent="0.25">
      <c r="A2163" t="s">
        <v>13920</v>
      </c>
      <c r="B2163" t="s">
        <v>4314</v>
      </c>
      <c r="C2163" t="str">
        <f>HYPERLINK("https://nematode.unl.edu/crcricroc15.jpg")</f>
        <v>https://nematode.unl.edu/crcricroc15.jpg</v>
      </c>
      <c r="D2163" t="s">
        <v>43</v>
      </c>
      <c r="G2163" t="s">
        <v>28</v>
      </c>
      <c r="I2163" t="s">
        <v>41</v>
      </c>
      <c r="J2163" t="s">
        <v>1525</v>
      </c>
      <c r="L2163" t="s">
        <v>1526</v>
      </c>
      <c r="M2163" t="s">
        <v>4307</v>
      </c>
      <c r="N2163" t="s">
        <v>4307</v>
      </c>
      <c r="O2163" t="s">
        <v>23</v>
      </c>
      <c r="P2163" t="s">
        <v>24</v>
      </c>
      <c r="Q2163" t="s">
        <v>642</v>
      </c>
      <c r="R2163" t="s">
        <v>4293</v>
      </c>
    </row>
    <row r="2164" spans="1:18" x14ac:dyDescent="0.25">
      <c r="A2164" t="s">
        <v>13885</v>
      </c>
      <c r="B2164" t="s">
        <v>4315</v>
      </c>
      <c r="C2164" t="str">
        <f>HYPERLINK("https://nematode.unl.edu/crcricroc16.jpg")</f>
        <v>https://nematode.unl.edu/crcricroc16.jpg</v>
      </c>
      <c r="D2164" t="s">
        <v>43</v>
      </c>
      <c r="G2164" t="s">
        <v>34</v>
      </c>
      <c r="H2164" t="s">
        <v>18</v>
      </c>
      <c r="I2164" t="s">
        <v>41</v>
      </c>
      <c r="J2164" t="s">
        <v>1525</v>
      </c>
      <c r="L2164" t="s">
        <v>1526</v>
      </c>
      <c r="M2164" t="s">
        <v>4307</v>
      </c>
      <c r="N2164" t="s">
        <v>4307</v>
      </c>
      <c r="O2164" t="s">
        <v>23</v>
      </c>
      <c r="P2164" t="s">
        <v>24</v>
      </c>
      <c r="Q2164" t="s">
        <v>642</v>
      </c>
      <c r="R2164" t="s">
        <v>4293</v>
      </c>
    </row>
    <row r="2165" spans="1:18" x14ac:dyDescent="0.25">
      <c r="A2165" t="s">
        <v>13916</v>
      </c>
      <c r="B2165" t="s">
        <v>4316</v>
      </c>
      <c r="C2165" t="str">
        <f>HYPERLINK("https://nematode.unl.edu/crcricroc17.jpg")</f>
        <v>https://nematode.unl.edu/crcricroc17.jpg</v>
      </c>
      <c r="D2165" t="s">
        <v>43</v>
      </c>
      <c r="G2165" t="s">
        <v>1469</v>
      </c>
      <c r="I2165" t="s">
        <v>41</v>
      </c>
      <c r="J2165" t="s">
        <v>1525</v>
      </c>
      <c r="L2165" t="s">
        <v>1526</v>
      </c>
      <c r="M2165" t="s">
        <v>4307</v>
      </c>
      <c r="N2165" t="s">
        <v>4307</v>
      </c>
      <c r="O2165" t="s">
        <v>23</v>
      </c>
      <c r="P2165" t="s">
        <v>24</v>
      </c>
      <c r="Q2165" t="s">
        <v>642</v>
      </c>
      <c r="R2165" t="s">
        <v>4293</v>
      </c>
    </row>
    <row r="2166" spans="1:18" x14ac:dyDescent="0.25">
      <c r="A2166" t="s">
        <v>13921</v>
      </c>
      <c r="B2166" t="s">
        <v>4317</v>
      </c>
      <c r="C2166" t="str">
        <f>HYPERLINK("https://nematode.unl.edu/crcricroc18.jpg")</f>
        <v>https://nematode.unl.edu/crcricroc18.jpg</v>
      </c>
      <c r="D2166" t="s">
        <v>43</v>
      </c>
      <c r="G2166" t="s">
        <v>28</v>
      </c>
      <c r="I2166" t="s">
        <v>41</v>
      </c>
      <c r="J2166" t="s">
        <v>1525</v>
      </c>
      <c r="L2166" t="s">
        <v>1526</v>
      </c>
      <c r="M2166" t="s">
        <v>4307</v>
      </c>
      <c r="N2166" t="s">
        <v>4307</v>
      </c>
      <c r="O2166" t="s">
        <v>23</v>
      </c>
      <c r="P2166" t="s">
        <v>24</v>
      </c>
      <c r="Q2166" t="s">
        <v>642</v>
      </c>
      <c r="R2166" t="s">
        <v>4293</v>
      </c>
    </row>
    <row r="2167" spans="1:18" x14ac:dyDescent="0.25">
      <c r="A2167" t="s">
        <v>13886</v>
      </c>
      <c r="B2167" t="s">
        <v>4318</v>
      </c>
      <c r="C2167" t="str">
        <f>HYPERLINK("https://nematode.unl.edu/crcricroc19.jpg")</f>
        <v>https://nematode.unl.edu/crcricroc19.jpg</v>
      </c>
      <c r="D2167" t="s">
        <v>43</v>
      </c>
      <c r="G2167" t="s">
        <v>34</v>
      </c>
      <c r="H2167" t="s">
        <v>18</v>
      </c>
      <c r="I2167" t="s">
        <v>41</v>
      </c>
      <c r="J2167" t="s">
        <v>1525</v>
      </c>
      <c r="L2167" t="s">
        <v>1526</v>
      </c>
      <c r="M2167" t="s">
        <v>4307</v>
      </c>
      <c r="N2167" t="s">
        <v>4307</v>
      </c>
      <c r="O2167" t="s">
        <v>23</v>
      </c>
      <c r="P2167" t="s">
        <v>24</v>
      </c>
      <c r="Q2167" t="s">
        <v>642</v>
      </c>
      <c r="R2167" t="s">
        <v>4293</v>
      </c>
    </row>
    <row r="2168" spans="1:18" x14ac:dyDescent="0.25">
      <c r="A2168" t="s">
        <v>13887</v>
      </c>
      <c r="B2168" t="s">
        <v>4319</v>
      </c>
      <c r="C2168" t="str">
        <f>HYPERLINK("https://nematode.unl.edu/crcricroc2.jpg")</f>
        <v>https://nematode.unl.edu/crcricroc2.jpg</v>
      </c>
      <c r="D2168" t="s">
        <v>43</v>
      </c>
      <c r="G2168" t="s">
        <v>34</v>
      </c>
      <c r="H2168" t="s">
        <v>18</v>
      </c>
      <c r="I2168" t="s">
        <v>19</v>
      </c>
      <c r="J2168" t="s">
        <v>1525</v>
      </c>
      <c r="L2168" t="s">
        <v>1526</v>
      </c>
      <c r="M2168" t="s">
        <v>4307</v>
      </c>
      <c r="N2168" t="s">
        <v>4307</v>
      </c>
      <c r="O2168" t="s">
        <v>23</v>
      </c>
      <c r="P2168" t="s">
        <v>24</v>
      </c>
      <c r="Q2168" t="s">
        <v>642</v>
      </c>
      <c r="R2168" t="s">
        <v>4293</v>
      </c>
    </row>
    <row r="2169" spans="1:18" x14ac:dyDescent="0.25">
      <c r="A2169" t="s">
        <v>13901</v>
      </c>
      <c r="B2169" t="s">
        <v>4320</v>
      </c>
      <c r="C2169" t="str">
        <f>HYPERLINK("https://nematode.unl.edu/crcricroc20.jpg")</f>
        <v>https://nematode.unl.edu/crcricroc20.jpg</v>
      </c>
      <c r="D2169" t="s">
        <v>43</v>
      </c>
      <c r="G2169" t="s">
        <v>44</v>
      </c>
      <c r="I2169" t="s">
        <v>19</v>
      </c>
      <c r="J2169" t="s">
        <v>1525</v>
      </c>
      <c r="L2169" t="s">
        <v>1526</v>
      </c>
      <c r="M2169" t="s">
        <v>4307</v>
      </c>
      <c r="N2169" t="s">
        <v>4307</v>
      </c>
      <c r="O2169" t="s">
        <v>23</v>
      </c>
      <c r="P2169" t="s">
        <v>24</v>
      </c>
      <c r="Q2169" t="s">
        <v>642</v>
      </c>
      <c r="R2169" t="s">
        <v>4293</v>
      </c>
    </row>
    <row r="2170" spans="1:18" x14ac:dyDescent="0.25">
      <c r="A2170" t="s">
        <v>13902</v>
      </c>
      <c r="B2170" t="s">
        <v>4321</v>
      </c>
      <c r="C2170" t="str">
        <f>HYPERLINK("https://nematode.unl.edu/crcricroc23.jpg")</f>
        <v>https://nematode.unl.edu/crcricroc23.jpg</v>
      </c>
      <c r="D2170" t="s">
        <v>43</v>
      </c>
      <c r="G2170" t="s">
        <v>44</v>
      </c>
      <c r="I2170" t="s">
        <v>19</v>
      </c>
      <c r="J2170" t="s">
        <v>1525</v>
      </c>
      <c r="L2170" t="s">
        <v>1526</v>
      </c>
      <c r="M2170" t="s">
        <v>4307</v>
      </c>
      <c r="N2170" t="s">
        <v>4307</v>
      </c>
      <c r="O2170" t="s">
        <v>23</v>
      </c>
      <c r="P2170" t="s">
        <v>24</v>
      </c>
      <c r="Q2170" t="s">
        <v>642</v>
      </c>
      <c r="R2170" t="s">
        <v>4293</v>
      </c>
    </row>
    <row r="2171" spans="1:18" x14ac:dyDescent="0.25">
      <c r="A2171" t="s">
        <v>13903</v>
      </c>
      <c r="B2171" t="s">
        <v>4322</v>
      </c>
      <c r="C2171" t="str">
        <f>HYPERLINK("https://nematode.unl.edu/crcricroc24.jpg")</f>
        <v>https://nematode.unl.edu/crcricroc24.jpg</v>
      </c>
      <c r="D2171" t="s">
        <v>43</v>
      </c>
      <c r="G2171" t="s">
        <v>44</v>
      </c>
      <c r="I2171" t="s">
        <v>19</v>
      </c>
      <c r="J2171" t="s">
        <v>1525</v>
      </c>
      <c r="L2171" t="s">
        <v>1526</v>
      </c>
      <c r="M2171" t="s">
        <v>4307</v>
      </c>
      <c r="N2171" t="s">
        <v>4307</v>
      </c>
      <c r="O2171" t="s">
        <v>23</v>
      </c>
      <c r="P2171" t="s">
        <v>24</v>
      </c>
      <c r="Q2171" t="s">
        <v>642</v>
      </c>
      <c r="R2171" t="s">
        <v>4293</v>
      </c>
    </row>
    <row r="2172" spans="1:18" x14ac:dyDescent="0.25">
      <c r="A2172" t="s">
        <v>13904</v>
      </c>
      <c r="B2172" t="s">
        <v>4323</v>
      </c>
      <c r="C2172" t="str">
        <f>HYPERLINK("https://nematode.unl.edu/crcricroc25.jpg")</f>
        <v>https://nematode.unl.edu/crcricroc25.jpg</v>
      </c>
      <c r="D2172" t="s">
        <v>43</v>
      </c>
      <c r="G2172" t="s">
        <v>44</v>
      </c>
      <c r="I2172" t="s">
        <v>19</v>
      </c>
      <c r="J2172" t="s">
        <v>1525</v>
      </c>
      <c r="L2172" t="s">
        <v>1526</v>
      </c>
      <c r="M2172" t="s">
        <v>4307</v>
      </c>
      <c r="N2172" t="s">
        <v>4307</v>
      </c>
      <c r="O2172" t="s">
        <v>23</v>
      </c>
      <c r="P2172" t="s">
        <v>24</v>
      </c>
      <c r="Q2172" t="s">
        <v>642</v>
      </c>
      <c r="R2172" t="s">
        <v>4293</v>
      </c>
    </row>
    <row r="2173" spans="1:18" x14ac:dyDescent="0.25">
      <c r="A2173" t="s">
        <v>13888</v>
      </c>
      <c r="B2173" t="s">
        <v>4324</v>
      </c>
      <c r="C2173" t="str">
        <f>HYPERLINK("https://nematode.unl.edu/crcricroc26.jpg")</f>
        <v>https://nematode.unl.edu/crcricroc26.jpg</v>
      </c>
      <c r="D2173" t="s">
        <v>43</v>
      </c>
      <c r="G2173" t="s">
        <v>34</v>
      </c>
      <c r="H2173" t="s">
        <v>18</v>
      </c>
      <c r="I2173" t="s">
        <v>41</v>
      </c>
      <c r="J2173" t="s">
        <v>1525</v>
      </c>
      <c r="L2173" t="s">
        <v>1526</v>
      </c>
      <c r="M2173" t="s">
        <v>4307</v>
      </c>
      <c r="N2173" t="s">
        <v>4307</v>
      </c>
      <c r="O2173" t="s">
        <v>23</v>
      </c>
      <c r="P2173" t="s">
        <v>24</v>
      </c>
      <c r="Q2173" t="s">
        <v>642</v>
      </c>
      <c r="R2173" t="s">
        <v>4293</v>
      </c>
    </row>
    <row r="2174" spans="1:18" x14ac:dyDescent="0.25">
      <c r="A2174" t="s">
        <v>13922</v>
      </c>
      <c r="B2174" t="s">
        <v>4325</v>
      </c>
      <c r="C2174" t="str">
        <f>HYPERLINK("https://nematode.unl.edu/crcricroc27.jpg")</f>
        <v>https://nematode.unl.edu/crcricroc27.jpg</v>
      </c>
      <c r="D2174" t="s">
        <v>43</v>
      </c>
      <c r="G2174" t="s">
        <v>28</v>
      </c>
      <c r="I2174" t="s">
        <v>41</v>
      </c>
      <c r="J2174" t="s">
        <v>1525</v>
      </c>
      <c r="L2174" t="s">
        <v>1526</v>
      </c>
      <c r="M2174" t="s">
        <v>4307</v>
      </c>
      <c r="N2174" t="s">
        <v>4307</v>
      </c>
      <c r="O2174" t="s">
        <v>23</v>
      </c>
      <c r="P2174" t="s">
        <v>24</v>
      </c>
      <c r="Q2174" t="s">
        <v>642</v>
      </c>
      <c r="R2174" t="s">
        <v>4293</v>
      </c>
    </row>
    <row r="2175" spans="1:18" x14ac:dyDescent="0.25">
      <c r="A2175" t="s">
        <v>13905</v>
      </c>
      <c r="B2175" t="s">
        <v>4326</v>
      </c>
      <c r="C2175" t="str">
        <f>HYPERLINK("https://nematode.unl.edu/crcricroc28.jpg")</f>
        <v>https://nematode.unl.edu/crcricroc28.jpg</v>
      </c>
      <c r="D2175" t="s">
        <v>16</v>
      </c>
      <c r="G2175" t="s">
        <v>44</v>
      </c>
      <c r="I2175" t="s">
        <v>19</v>
      </c>
      <c r="J2175" t="s">
        <v>1525</v>
      </c>
      <c r="L2175" t="s">
        <v>1526</v>
      </c>
      <c r="M2175" t="s">
        <v>4307</v>
      </c>
      <c r="N2175" t="s">
        <v>4307</v>
      </c>
      <c r="O2175" t="s">
        <v>23</v>
      </c>
      <c r="P2175" t="s">
        <v>24</v>
      </c>
      <c r="Q2175" t="s">
        <v>642</v>
      </c>
      <c r="R2175" t="s">
        <v>4293</v>
      </c>
    </row>
    <row r="2176" spans="1:18" x14ac:dyDescent="0.25">
      <c r="A2176" t="s">
        <v>13889</v>
      </c>
      <c r="B2176" t="s">
        <v>4327</v>
      </c>
      <c r="C2176" t="str">
        <f>HYPERLINK("https://nematode.unl.edu/crcricroc29.jpg")</f>
        <v>https://nematode.unl.edu/crcricroc29.jpg</v>
      </c>
      <c r="D2176" t="s">
        <v>16</v>
      </c>
      <c r="G2176" t="s">
        <v>34</v>
      </c>
      <c r="H2176" t="s">
        <v>18</v>
      </c>
      <c r="I2176" t="s">
        <v>41</v>
      </c>
      <c r="J2176" t="s">
        <v>1525</v>
      </c>
      <c r="L2176" t="s">
        <v>1526</v>
      </c>
      <c r="M2176" t="s">
        <v>4307</v>
      </c>
      <c r="N2176" t="s">
        <v>4307</v>
      </c>
      <c r="O2176" t="s">
        <v>23</v>
      </c>
      <c r="P2176" t="s">
        <v>24</v>
      </c>
      <c r="Q2176" t="s">
        <v>642</v>
      </c>
      <c r="R2176" t="s">
        <v>4293</v>
      </c>
    </row>
    <row r="2177" spans="1:18" x14ac:dyDescent="0.25">
      <c r="A2177" t="s">
        <v>13883</v>
      </c>
      <c r="B2177" t="s">
        <v>4328</v>
      </c>
      <c r="C2177" t="str">
        <f>HYPERLINK("https://nematode.unl.edu/crcricroc3.jpg")</f>
        <v>https://nematode.unl.edu/crcricroc3.jpg</v>
      </c>
      <c r="D2177" t="s">
        <v>43</v>
      </c>
      <c r="G2177" t="s">
        <v>4064</v>
      </c>
      <c r="H2177" t="s">
        <v>18</v>
      </c>
      <c r="I2177" t="s">
        <v>19</v>
      </c>
      <c r="J2177" t="s">
        <v>1525</v>
      </c>
      <c r="L2177" t="s">
        <v>1526</v>
      </c>
      <c r="M2177" t="s">
        <v>4307</v>
      </c>
      <c r="N2177" t="s">
        <v>4307</v>
      </c>
      <c r="O2177" t="s">
        <v>23</v>
      </c>
      <c r="P2177" t="s">
        <v>24</v>
      </c>
      <c r="Q2177" t="s">
        <v>642</v>
      </c>
      <c r="R2177" t="s">
        <v>4293</v>
      </c>
    </row>
    <row r="2178" spans="1:18" x14ac:dyDescent="0.25">
      <c r="A2178" t="s">
        <v>13917</v>
      </c>
      <c r="B2178" t="s">
        <v>4329</v>
      </c>
      <c r="C2178" t="str">
        <f>HYPERLINK("https://nematode.unl.edu/crcricroc30.jpg")</f>
        <v>https://nematode.unl.edu/crcricroc30.jpg</v>
      </c>
      <c r="D2178" t="s">
        <v>16</v>
      </c>
      <c r="G2178" t="s">
        <v>1469</v>
      </c>
      <c r="I2178" t="s">
        <v>41</v>
      </c>
      <c r="J2178" t="s">
        <v>1525</v>
      </c>
      <c r="L2178" t="s">
        <v>1526</v>
      </c>
      <c r="M2178" t="s">
        <v>4307</v>
      </c>
      <c r="N2178" t="s">
        <v>4307</v>
      </c>
      <c r="O2178" t="s">
        <v>23</v>
      </c>
      <c r="P2178" t="s">
        <v>24</v>
      </c>
      <c r="Q2178" t="s">
        <v>642</v>
      </c>
      <c r="R2178" t="s">
        <v>4293</v>
      </c>
    </row>
    <row r="2179" spans="1:18" x14ac:dyDescent="0.25">
      <c r="A2179" t="s">
        <v>13906</v>
      </c>
      <c r="B2179" t="s">
        <v>4330</v>
      </c>
      <c r="C2179" t="str">
        <f>HYPERLINK("https://nematode.unl.edu/crcricroc31.jpg")</f>
        <v>https://nematode.unl.edu/crcricroc31.jpg</v>
      </c>
      <c r="D2179" t="s">
        <v>16</v>
      </c>
      <c r="G2179" t="s">
        <v>44</v>
      </c>
      <c r="I2179" t="s">
        <v>19</v>
      </c>
      <c r="J2179" t="s">
        <v>1525</v>
      </c>
      <c r="L2179" t="s">
        <v>1526</v>
      </c>
      <c r="M2179" t="s">
        <v>4307</v>
      </c>
      <c r="N2179" t="s">
        <v>4307</v>
      </c>
      <c r="O2179" t="s">
        <v>23</v>
      </c>
      <c r="P2179" t="s">
        <v>24</v>
      </c>
      <c r="Q2179" t="s">
        <v>642</v>
      </c>
      <c r="R2179" t="s">
        <v>4293</v>
      </c>
    </row>
    <row r="2180" spans="1:18" x14ac:dyDescent="0.25">
      <c r="A2180" t="s">
        <v>13890</v>
      </c>
      <c r="B2180" t="s">
        <v>4331</v>
      </c>
      <c r="C2180" t="str">
        <f>HYPERLINK("https://nematode.unl.edu/crcricroc32.jpg")</f>
        <v>https://nematode.unl.edu/crcricroc32.jpg</v>
      </c>
      <c r="D2180" t="s">
        <v>16</v>
      </c>
      <c r="G2180" t="s">
        <v>34</v>
      </c>
      <c r="H2180" t="s">
        <v>18</v>
      </c>
      <c r="I2180" t="s">
        <v>41</v>
      </c>
      <c r="J2180" t="s">
        <v>1525</v>
      </c>
      <c r="L2180" t="s">
        <v>1526</v>
      </c>
      <c r="M2180" t="s">
        <v>4307</v>
      </c>
      <c r="N2180" t="s">
        <v>4307</v>
      </c>
      <c r="O2180" t="s">
        <v>23</v>
      </c>
      <c r="P2180" t="s">
        <v>24</v>
      </c>
      <c r="Q2180" t="s">
        <v>642</v>
      </c>
      <c r="R2180" t="s">
        <v>4293</v>
      </c>
    </row>
    <row r="2181" spans="1:18" x14ac:dyDescent="0.25">
      <c r="A2181" t="s">
        <v>13923</v>
      </c>
      <c r="B2181" t="s">
        <v>4332</v>
      </c>
      <c r="C2181" t="str">
        <f>HYPERLINK("https://nematode.unl.edu/crcricroc33.jpg")</f>
        <v>https://nematode.unl.edu/crcricroc33.jpg</v>
      </c>
      <c r="D2181" t="s">
        <v>16</v>
      </c>
      <c r="G2181" t="s">
        <v>28</v>
      </c>
      <c r="I2181" t="s">
        <v>41</v>
      </c>
      <c r="J2181" t="s">
        <v>1525</v>
      </c>
      <c r="L2181" t="s">
        <v>1526</v>
      </c>
      <c r="M2181" t="s">
        <v>4307</v>
      </c>
      <c r="N2181" t="s">
        <v>4307</v>
      </c>
      <c r="O2181" t="s">
        <v>23</v>
      </c>
      <c r="P2181" t="s">
        <v>24</v>
      </c>
      <c r="Q2181" t="s">
        <v>642</v>
      </c>
      <c r="R2181" t="s">
        <v>4293</v>
      </c>
    </row>
    <row r="2182" spans="1:18" x14ac:dyDescent="0.25">
      <c r="A2182" t="s">
        <v>13924</v>
      </c>
      <c r="B2182" t="s">
        <v>4333</v>
      </c>
      <c r="C2182" t="str">
        <f>HYPERLINK("https://nematode.unl.edu/crcricroc4.jpg")</f>
        <v>https://nematode.unl.edu/crcricroc4.jpg</v>
      </c>
      <c r="D2182" t="s">
        <v>43</v>
      </c>
      <c r="G2182" t="s">
        <v>28</v>
      </c>
      <c r="I2182" t="s">
        <v>41</v>
      </c>
      <c r="J2182" t="s">
        <v>1525</v>
      </c>
      <c r="L2182" t="s">
        <v>1526</v>
      </c>
      <c r="M2182" t="s">
        <v>4307</v>
      </c>
      <c r="N2182" t="s">
        <v>4307</v>
      </c>
      <c r="O2182" t="s">
        <v>23</v>
      </c>
      <c r="P2182" t="s">
        <v>24</v>
      </c>
      <c r="Q2182" t="s">
        <v>642</v>
      </c>
      <c r="R2182" t="s">
        <v>4293</v>
      </c>
    </row>
    <row r="2183" spans="1:18" x14ac:dyDescent="0.25">
      <c r="A2183" t="s">
        <v>13925</v>
      </c>
      <c r="B2183" t="s">
        <v>4334</v>
      </c>
      <c r="C2183" t="str">
        <f>HYPERLINK("https://nematode.unl.edu/crcricroc5.jpg")</f>
        <v>https://nematode.unl.edu/crcricroc5.jpg</v>
      </c>
      <c r="D2183" t="s">
        <v>43</v>
      </c>
      <c r="G2183" t="s">
        <v>28</v>
      </c>
      <c r="I2183" t="s">
        <v>41</v>
      </c>
      <c r="J2183" t="s">
        <v>1525</v>
      </c>
      <c r="L2183" t="s">
        <v>1526</v>
      </c>
      <c r="M2183" t="s">
        <v>4307</v>
      </c>
      <c r="N2183" t="s">
        <v>4307</v>
      </c>
      <c r="O2183" t="s">
        <v>23</v>
      </c>
      <c r="P2183" t="s">
        <v>24</v>
      </c>
      <c r="Q2183" t="s">
        <v>642</v>
      </c>
      <c r="R2183" t="s">
        <v>4293</v>
      </c>
    </row>
    <row r="2184" spans="1:18" x14ac:dyDescent="0.25">
      <c r="A2184" t="s">
        <v>13926</v>
      </c>
      <c r="B2184" t="s">
        <v>4335</v>
      </c>
      <c r="C2184" t="str">
        <f>HYPERLINK("https://nematode.unl.edu/crcricroc6.jpg")</f>
        <v>https://nematode.unl.edu/crcricroc6.jpg</v>
      </c>
      <c r="D2184" t="s">
        <v>43</v>
      </c>
      <c r="G2184" t="s">
        <v>28</v>
      </c>
      <c r="I2184" t="s">
        <v>41</v>
      </c>
      <c r="J2184" t="s">
        <v>1525</v>
      </c>
      <c r="L2184" t="s">
        <v>1526</v>
      </c>
      <c r="M2184" t="s">
        <v>4307</v>
      </c>
      <c r="N2184" t="s">
        <v>4307</v>
      </c>
      <c r="O2184" t="s">
        <v>23</v>
      </c>
      <c r="P2184" t="s">
        <v>24</v>
      </c>
      <c r="Q2184" t="s">
        <v>642</v>
      </c>
      <c r="R2184" t="s">
        <v>4293</v>
      </c>
    </row>
    <row r="2185" spans="1:18" x14ac:dyDescent="0.25">
      <c r="A2185" t="s">
        <v>13907</v>
      </c>
      <c r="B2185" t="s">
        <v>4336</v>
      </c>
      <c r="C2185" t="str">
        <f>HYPERLINK("https://nematode.unl.edu/crcricroc7.jpg")</f>
        <v>https://nematode.unl.edu/crcricroc7.jpg</v>
      </c>
      <c r="D2185" t="s">
        <v>43</v>
      </c>
      <c r="G2185" t="s">
        <v>44</v>
      </c>
      <c r="I2185" t="s">
        <v>19</v>
      </c>
      <c r="J2185" t="s">
        <v>1525</v>
      </c>
      <c r="L2185" t="s">
        <v>1526</v>
      </c>
      <c r="M2185" t="s">
        <v>4307</v>
      </c>
      <c r="N2185" t="s">
        <v>4307</v>
      </c>
      <c r="O2185" t="s">
        <v>23</v>
      </c>
      <c r="P2185" t="s">
        <v>24</v>
      </c>
      <c r="Q2185" t="s">
        <v>642</v>
      </c>
      <c r="R2185" t="s">
        <v>4293</v>
      </c>
    </row>
    <row r="2186" spans="1:18" x14ac:dyDescent="0.25">
      <c r="A2186" t="s">
        <v>13908</v>
      </c>
      <c r="B2186" t="s">
        <v>4337</v>
      </c>
      <c r="C2186" t="str">
        <f>HYPERLINK("https://nematode.unl.edu/crcricroc8.jpg")</f>
        <v>https://nematode.unl.edu/crcricroc8.jpg</v>
      </c>
      <c r="D2186" t="s">
        <v>43</v>
      </c>
      <c r="G2186" t="s">
        <v>44</v>
      </c>
      <c r="I2186" t="s">
        <v>19</v>
      </c>
      <c r="J2186" t="s">
        <v>1525</v>
      </c>
      <c r="L2186" t="s">
        <v>1526</v>
      </c>
      <c r="M2186" t="s">
        <v>4307</v>
      </c>
      <c r="N2186" t="s">
        <v>4307</v>
      </c>
      <c r="O2186" t="s">
        <v>23</v>
      </c>
      <c r="P2186" t="s">
        <v>24</v>
      </c>
      <c r="Q2186" t="s">
        <v>642</v>
      </c>
      <c r="R2186" t="s">
        <v>4293</v>
      </c>
    </row>
    <row r="2187" spans="1:18" x14ac:dyDescent="0.25">
      <c r="A2187" t="s">
        <v>13909</v>
      </c>
      <c r="B2187" t="s">
        <v>4338</v>
      </c>
      <c r="C2187" t="str">
        <f>HYPERLINK("https://nematode.unl.edu/crcricroc9.jpg")</f>
        <v>https://nematode.unl.edu/crcricroc9.jpg</v>
      </c>
      <c r="D2187" t="s">
        <v>43</v>
      </c>
      <c r="G2187" t="s">
        <v>44</v>
      </c>
      <c r="I2187" t="s">
        <v>19</v>
      </c>
      <c r="J2187" t="s">
        <v>1525</v>
      </c>
      <c r="L2187" t="s">
        <v>1526</v>
      </c>
      <c r="M2187" t="s">
        <v>4307</v>
      </c>
      <c r="N2187" t="s">
        <v>4307</v>
      </c>
      <c r="O2187" t="s">
        <v>23</v>
      </c>
      <c r="P2187" t="s">
        <v>24</v>
      </c>
      <c r="Q2187" t="s">
        <v>642</v>
      </c>
      <c r="R2187" t="s">
        <v>4293</v>
      </c>
    </row>
    <row r="2188" spans="1:18" x14ac:dyDescent="0.25">
      <c r="A2188" t="s">
        <v>14022</v>
      </c>
      <c r="B2188" t="s">
        <v>7007</v>
      </c>
      <c r="C2188" t="str">
        <f>HYPERLINK("https://nematode.unl.edu/cric1.jpg")</f>
        <v>https://nematode.unl.edu/cric1.jpg</v>
      </c>
      <c r="D2188" t="s">
        <v>43</v>
      </c>
      <c r="G2188" t="s">
        <v>44</v>
      </c>
      <c r="I2188" t="s">
        <v>45</v>
      </c>
      <c r="J2188" t="s">
        <v>116</v>
      </c>
      <c r="L2188" t="s">
        <v>85</v>
      </c>
      <c r="M2188" t="s">
        <v>7008</v>
      </c>
      <c r="N2188" t="s">
        <v>7008</v>
      </c>
      <c r="O2188" t="s">
        <v>23</v>
      </c>
      <c r="P2188" t="s">
        <v>24</v>
      </c>
      <c r="Q2188" t="s">
        <v>642</v>
      </c>
      <c r="R2188" t="s">
        <v>6940</v>
      </c>
    </row>
    <row r="2189" spans="1:18" x14ac:dyDescent="0.25">
      <c r="A2189" t="s">
        <v>14023</v>
      </c>
      <c r="B2189" t="s">
        <v>7009</v>
      </c>
      <c r="C2189" t="str">
        <f>HYPERLINK("https://nematode.unl.edu/cric10.jpg")</f>
        <v>https://nematode.unl.edu/cric10.jpg</v>
      </c>
      <c r="D2189" t="s">
        <v>43</v>
      </c>
      <c r="G2189" t="s">
        <v>44</v>
      </c>
      <c r="I2189" t="s">
        <v>45</v>
      </c>
      <c r="J2189" t="s">
        <v>116</v>
      </c>
      <c r="L2189" t="s">
        <v>105</v>
      </c>
      <c r="M2189" t="s">
        <v>7008</v>
      </c>
      <c r="N2189" t="s">
        <v>7008</v>
      </c>
      <c r="O2189" t="s">
        <v>23</v>
      </c>
      <c r="P2189" t="s">
        <v>24</v>
      </c>
      <c r="Q2189" t="s">
        <v>642</v>
      </c>
      <c r="R2189" t="s">
        <v>6940</v>
      </c>
    </row>
    <row r="2190" spans="1:18" x14ac:dyDescent="0.25">
      <c r="A2190" t="s">
        <v>14010</v>
      </c>
      <c r="B2190" t="s">
        <v>7010</v>
      </c>
      <c r="C2190" t="str">
        <f>HYPERLINK("https://nematode.unl.edu/cric11.jpg")</f>
        <v>https://nematode.unl.edu/cric11.jpg</v>
      </c>
      <c r="D2190" t="s">
        <v>43</v>
      </c>
      <c r="G2190" t="s">
        <v>34</v>
      </c>
      <c r="H2190" t="s">
        <v>18</v>
      </c>
      <c r="I2190" t="s">
        <v>19</v>
      </c>
      <c r="J2190" t="s">
        <v>116</v>
      </c>
      <c r="L2190" t="s">
        <v>105</v>
      </c>
      <c r="M2190" t="s">
        <v>7008</v>
      </c>
      <c r="N2190" t="s">
        <v>7008</v>
      </c>
      <c r="O2190" t="s">
        <v>23</v>
      </c>
      <c r="P2190" t="s">
        <v>24</v>
      </c>
      <c r="Q2190" t="s">
        <v>642</v>
      </c>
      <c r="R2190" t="s">
        <v>6940</v>
      </c>
    </row>
    <row r="2191" spans="1:18" x14ac:dyDescent="0.25">
      <c r="A2191" t="s">
        <v>14033</v>
      </c>
      <c r="B2191" t="s">
        <v>7011</v>
      </c>
      <c r="C2191" t="str">
        <f>HYPERLINK("https://nematode.unl.edu/cric12.jpg")</f>
        <v>https://nematode.unl.edu/cric12.jpg</v>
      </c>
      <c r="D2191" t="s">
        <v>43</v>
      </c>
      <c r="G2191" t="s">
        <v>28</v>
      </c>
      <c r="I2191" t="s">
        <v>19</v>
      </c>
      <c r="J2191" t="s">
        <v>116</v>
      </c>
      <c r="L2191" t="s">
        <v>105</v>
      </c>
      <c r="M2191" t="s">
        <v>7008</v>
      </c>
      <c r="N2191" t="s">
        <v>7008</v>
      </c>
      <c r="O2191" t="s">
        <v>23</v>
      </c>
      <c r="P2191" t="s">
        <v>24</v>
      </c>
      <c r="Q2191" t="s">
        <v>642</v>
      </c>
      <c r="R2191" t="s">
        <v>6940</v>
      </c>
    </row>
    <row r="2192" spans="1:18" x14ac:dyDescent="0.25">
      <c r="A2192" t="s">
        <v>14011</v>
      </c>
      <c r="B2192" t="s">
        <v>7012</v>
      </c>
      <c r="C2192" t="str">
        <f>HYPERLINK("https://nematode.unl.edu/cric13.jpg")</f>
        <v>https://nematode.unl.edu/cric13.jpg</v>
      </c>
      <c r="D2192" t="s">
        <v>43</v>
      </c>
      <c r="G2192" t="s">
        <v>34</v>
      </c>
      <c r="H2192" t="s">
        <v>18</v>
      </c>
      <c r="I2192" t="s">
        <v>41</v>
      </c>
      <c r="J2192" t="s">
        <v>116</v>
      </c>
      <c r="L2192" t="s">
        <v>105</v>
      </c>
      <c r="M2192" t="s">
        <v>7008</v>
      </c>
      <c r="N2192" t="s">
        <v>7008</v>
      </c>
      <c r="O2192" t="s">
        <v>23</v>
      </c>
      <c r="P2192" t="s">
        <v>24</v>
      </c>
      <c r="Q2192" t="s">
        <v>642</v>
      </c>
      <c r="R2192" t="s">
        <v>6940</v>
      </c>
    </row>
    <row r="2193" spans="1:18" x14ac:dyDescent="0.25">
      <c r="A2193" t="s">
        <v>14019</v>
      </c>
      <c r="B2193" t="s">
        <v>7013</v>
      </c>
      <c r="C2193" t="str">
        <f>HYPERLINK("https://nematode.unl.edu/cric14.jpg")</f>
        <v>https://nematode.unl.edu/cric14.jpg</v>
      </c>
      <c r="D2193" t="s">
        <v>43</v>
      </c>
      <c r="G2193" t="s">
        <v>3942</v>
      </c>
      <c r="I2193" t="s">
        <v>41</v>
      </c>
      <c r="J2193" t="s">
        <v>116</v>
      </c>
      <c r="M2193" t="s">
        <v>7008</v>
      </c>
      <c r="N2193" t="s">
        <v>7008</v>
      </c>
      <c r="O2193" t="s">
        <v>23</v>
      </c>
      <c r="P2193" t="s">
        <v>24</v>
      </c>
      <c r="Q2193" t="s">
        <v>642</v>
      </c>
      <c r="R2193" t="s">
        <v>6940</v>
      </c>
    </row>
    <row r="2194" spans="1:18" x14ac:dyDescent="0.25">
      <c r="A2194" t="s">
        <v>14024</v>
      </c>
      <c r="B2194" t="s">
        <v>7014</v>
      </c>
      <c r="C2194" t="str">
        <f>HYPERLINK("https://nematode.unl.edu/cric15.jpg")</f>
        <v>https://nematode.unl.edu/cric15.jpg</v>
      </c>
      <c r="D2194" t="s">
        <v>43</v>
      </c>
      <c r="G2194" t="s">
        <v>44</v>
      </c>
      <c r="I2194" t="s">
        <v>45</v>
      </c>
      <c r="J2194" t="s">
        <v>116</v>
      </c>
      <c r="L2194" t="s">
        <v>105</v>
      </c>
      <c r="M2194" t="s">
        <v>7008</v>
      </c>
      <c r="N2194" t="s">
        <v>7008</v>
      </c>
      <c r="O2194" t="s">
        <v>23</v>
      </c>
      <c r="P2194" t="s">
        <v>24</v>
      </c>
      <c r="Q2194" t="s">
        <v>642</v>
      </c>
      <c r="R2194" t="s">
        <v>6940</v>
      </c>
    </row>
    <row r="2195" spans="1:18" x14ac:dyDescent="0.25">
      <c r="A2195" t="s">
        <v>14012</v>
      </c>
      <c r="B2195" t="s">
        <v>7015</v>
      </c>
      <c r="C2195" t="str">
        <f>HYPERLINK("https://nematode.unl.edu/cric16.jpg")</f>
        <v>https://nematode.unl.edu/cric16.jpg</v>
      </c>
      <c r="D2195" t="s">
        <v>43</v>
      </c>
      <c r="G2195" t="s">
        <v>34</v>
      </c>
      <c r="H2195" t="s">
        <v>18</v>
      </c>
      <c r="I2195" t="s">
        <v>19</v>
      </c>
      <c r="J2195" t="s">
        <v>116</v>
      </c>
      <c r="L2195" t="s">
        <v>105</v>
      </c>
      <c r="M2195" t="s">
        <v>7008</v>
      </c>
      <c r="N2195" t="s">
        <v>7008</v>
      </c>
      <c r="O2195" t="s">
        <v>23</v>
      </c>
      <c r="P2195" t="s">
        <v>24</v>
      </c>
      <c r="Q2195" t="s">
        <v>642</v>
      </c>
      <c r="R2195" t="s">
        <v>6940</v>
      </c>
    </row>
    <row r="2196" spans="1:18" x14ac:dyDescent="0.25">
      <c r="A2196" t="s">
        <v>14034</v>
      </c>
      <c r="B2196" t="s">
        <v>7016</v>
      </c>
      <c r="C2196" t="str">
        <f>HYPERLINK("https://nematode.unl.edu/cric17.jpg")</f>
        <v>https://nematode.unl.edu/cric17.jpg</v>
      </c>
      <c r="D2196" t="s">
        <v>43</v>
      </c>
      <c r="G2196" t="s">
        <v>28</v>
      </c>
      <c r="I2196" t="s">
        <v>19</v>
      </c>
      <c r="J2196" t="s">
        <v>116</v>
      </c>
      <c r="L2196" t="s">
        <v>105</v>
      </c>
      <c r="M2196" t="s">
        <v>7008</v>
      </c>
      <c r="N2196" t="s">
        <v>7008</v>
      </c>
      <c r="O2196" t="s">
        <v>23</v>
      </c>
      <c r="P2196" t="s">
        <v>24</v>
      </c>
      <c r="Q2196" t="s">
        <v>642</v>
      </c>
      <c r="R2196" t="s">
        <v>6940</v>
      </c>
    </row>
    <row r="2197" spans="1:18" x14ac:dyDescent="0.25">
      <c r="A2197" t="s">
        <v>14013</v>
      </c>
      <c r="B2197" t="s">
        <v>7017</v>
      </c>
      <c r="C2197" t="str">
        <f>HYPERLINK("https://nematode.unl.edu/cric2.jpg")</f>
        <v>https://nematode.unl.edu/cric2.jpg</v>
      </c>
      <c r="D2197" t="s">
        <v>43</v>
      </c>
      <c r="G2197" t="s">
        <v>34</v>
      </c>
      <c r="H2197" t="s">
        <v>18</v>
      </c>
      <c r="I2197" t="s">
        <v>19</v>
      </c>
      <c r="J2197" t="s">
        <v>116</v>
      </c>
      <c r="L2197" t="s">
        <v>85</v>
      </c>
      <c r="M2197" t="s">
        <v>7008</v>
      </c>
      <c r="N2197" t="s">
        <v>7008</v>
      </c>
      <c r="O2197" t="s">
        <v>23</v>
      </c>
      <c r="P2197" t="s">
        <v>24</v>
      </c>
      <c r="Q2197" t="s">
        <v>642</v>
      </c>
      <c r="R2197" t="s">
        <v>6940</v>
      </c>
    </row>
    <row r="2198" spans="1:18" x14ac:dyDescent="0.25">
      <c r="A2198" t="s">
        <v>14035</v>
      </c>
      <c r="B2198" t="s">
        <v>7018</v>
      </c>
      <c r="C2198" t="str">
        <f>HYPERLINK("https://nematode.unl.edu/cric3.jpg")</f>
        <v>https://nematode.unl.edu/cric3.jpg</v>
      </c>
      <c r="D2198" t="s">
        <v>43</v>
      </c>
      <c r="G2198" t="s">
        <v>28</v>
      </c>
      <c r="I2198" t="s">
        <v>19</v>
      </c>
      <c r="J2198" t="s">
        <v>116</v>
      </c>
      <c r="L2198" t="s">
        <v>85</v>
      </c>
      <c r="M2198" t="s">
        <v>7008</v>
      </c>
      <c r="N2198" t="s">
        <v>7008</v>
      </c>
      <c r="O2198" t="s">
        <v>23</v>
      </c>
      <c r="P2198" t="s">
        <v>24</v>
      </c>
      <c r="Q2198" t="s">
        <v>642</v>
      </c>
      <c r="R2198" t="s">
        <v>6940</v>
      </c>
    </row>
    <row r="2199" spans="1:18" x14ac:dyDescent="0.25">
      <c r="A2199" t="s">
        <v>14025</v>
      </c>
      <c r="B2199" t="s">
        <v>7019</v>
      </c>
      <c r="C2199" t="str">
        <f>HYPERLINK("https://nematode.unl.edu/cric4.jpg")</f>
        <v>https://nematode.unl.edu/cric4.jpg</v>
      </c>
      <c r="D2199" t="s">
        <v>43</v>
      </c>
      <c r="G2199" t="s">
        <v>44</v>
      </c>
      <c r="I2199" t="s">
        <v>45</v>
      </c>
      <c r="J2199" t="s">
        <v>116</v>
      </c>
      <c r="L2199" t="s">
        <v>105</v>
      </c>
      <c r="M2199" t="s">
        <v>7008</v>
      </c>
      <c r="N2199" t="s">
        <v>7008</v>
      </c>
      <c r="O2199" t="s">
        <v>23</v>
      </c>
      <c r="P2199" t="s">
        <v>24</v>
      </c>
      <c r="Q2199" t="s">
        <v>642</v>
      </c>
      <c r="R2199" t="s">
        <v>6940</v>
      </c>
    </row>
    <row r="2200" spans="1:18" x14ac:dyDescent="0.25">
      <c r="A2200" t="s">
        <v>14014</v>
      </c>
      <c r="B2200" t="s">
        <v>7020</v>
      </c>
      <c r="C2200" t="str">
        <f>HYPERLINK("https://nematode.unl.edu/cric5.jpg")</f>
        <v>https://nematode.unl.edu/cric5.jpg</v>
      </c>
      <c r="D2200" t="s">
        <v>43</v>
      </c>
      <c r="G2200" t="s">
        <v>34</v>
      </c>
      <c r="H2200" t="s">
        <v>18</v>
      </c>
      <c r="I2200" t="s">
        <v>19</v>
      </c>
      <c r="J2200" t="s">
        <v>116</v>
      </c>
      <c r="L2200" t="s">
        <v>105</v>
      </c>
      <c r="M2200" t="s">
        <v>7008</v>
      </c>
      <c r="N2200" t="s">
        <v>7008</v>
      </c>
      <c r="O2200" t="s">
        <v>23</v>
      </c>
      <c r="P2200" t="s">
        <v>24</v>
      </c>
      <c r="Q2200" t="s">
        <v>642</v>
      </c>
      <c r="R2200" t="s">
        <v>6940</v>
      </c>
    </row>
    <row r="2201" spans="1:18" x14ac:dyDescent="0.25">
      <c r="A2201" t="s">
        <v>14036</v>
      </c>
      <c r="B2201" t="s">
        <v>7021</v>
      </c>
      <c r="C2201" t="str">
        <f>HYPERLINK("https://nematode.unl.edu/cric6.jpg")</f>
        <v>https://nematode.unl.edu/cric6.jpg</v>
      </c>
      <c r="D2201" t="s">
        <v>43</v>
      </c>
      <c r="G2201" t="s">
        <v>28</v>
      </c>
      <c r="I2201" t="s">
        <v>19</v>
      </c>
      <c r="J2201" t="s">
        <v>116</v>
      </c>
      <c r="L2201" t="s">
        <v>105</v>
      </c>
      <c r="M2201" t="s">
        <v>7008</v>
      </c>
      <c r="N2201" t="s">
        <v>7008</v>
      </c>
      <c r="O2201" t="s">
        <v>23</v>
      </c>
      <c r="P2201" t="s">
        <v>24</v>
      </c>
      <c r="Q2201" t="s">
        <v>642</v>
      </c>
      <c r="R2201" t="s">
        <v>6940</v>
      </c>
    </row>
    <row r="2202" spans="1:18" x14ac:dyDescent="0.25">
      <c r="A2202" t="s">
        <v>14015</v>
      </c>
      <c r="B2202" t="s">
        <v>7022</v>
      </c>
      <c r="C2202" t="str">
        <f>HYPERLINK("https://nematode.unl.edu/cric7.jpg")</f>
        <v>https://nematode.unl.edu/cric7.jpg</v>
      </c>
      <c r="D2202" t="s">
        <v>43</v>
      </c>
      <c r="G2202" t="s">
        <v>34</v>
      </c>
      <c r="H2202" t="s">
        <v>18</v>
      </c>
      <c r="I2202" t="s">
        <v>41</v>
      </c>
      <c r="J2202" t="s">
        <v>116</v>
      </c>
      <c r="M2202" t="s">
        <v>7008</v>
      </c>
      <c r="N2202" t="s">
        <v>7008</v>
      </c>
      <c r="O2202" t="s">
        <v>23</v>
      </c>
      <c r="P2202" t="s">
        <v>24</v>
      </c>
      <c r="Q2202" t="s">
        <v>642</v>
      </c>
      <c r="R2202" t="s">
        <v>6940</v>
      </c>
    </row>
    <row r="2203" spans="1:18" x14ac:dyDescent="0.25">
      <c r="A2203" t="s">
        <v>14020</v>
      </c>
      <c r="B2203" t="s">
        <v>7023</v>
      </c>
      <c r="C2203" t="str">
        <f>HYPERLINK("https://nematode.unl.edu/cric8.jpg")</f>
        <v>https://nematode.unl.edu/cric8.jpg</v>
      </c>
      <c r="D2203" t="s">
        <v>43</v>
      </c>
      <c r="G2203" t="s">
        <v>3942</v>
      </c>
      <c r="I2203" t="s">
        <v>41</v>
      </c>
      <c r="J2203" t="s">
        <v>116</v>
      </c>
      <c r="L2203" t="s">
        <v>105</v>
      </c>
      <c r="M2203" t="s">
        <v>7008</v>
      </c>
      <c r="N2203" t="s">
        <v>7008</v>
      </c>
      <c r="O2203" t="s">
        <v>23</v>
      </c>
      <c r="P2203" t="s">
        <v>24</v>
      </c>
      <c r="Q2203" t="s">
        <v>642</v>
      </c>
      <c r="R2203" t="s">
        <v>6940</v>
      </c>
    </row>
    <row r="2204" spans="1:18" x14ac:dyDescent="0.25">
      <c r="A2204" t="s">
        <v>14021</v>
      </c>
      <c r="B2204" t="s">
        <v>7024</v>
      </c>
      <c r="C2204" t="str">
        <f>HYPERLINK("https://nematode.unl.edu/cric9.jpg")</f>
        <v>https://nematode.unl.edu/cric9.jpg</v>
      </c>
      <c r="D2204" t="s">
        <v>43</v>
      </c>
      <c r="G2204" t="s">
        <v>3942</v>
      </c>
      <c r="I2204" t="s">
        <v>41</v>
      </c>
      <c r="J2204" t="s">
        <v>116</v>
      </c>
      <c r="M2204" t="s">
        <v>7008</v>
      </c>
      <c r="N2204" t="s">
        <v>7008</v>
      </c>
      <c r="O2204" t="s">
        <v>23</v>
      </c>
      <c r="P2204" t="s">
        <v>24</v>
      </c>
      <c r="Q2204" t="s">
        <v>642</v>
      </c>
      <c r="R2204" t="s">
        <v>6940</v>
      </c>
    </row>
    <row r="2205" spans="1:18" x14ac:dyDescent="0.25">
      <c r="A2205" t="s">
        <v>14833</v>
      </c>
      <c r="B2205" t="s">
        <v>8132</v>
      </c>
      <c r="C2205" t="str">
        <f>HYPERLINK("https://nematode.unl.edu/crickalsow1.jpg")</f>
        <v>https://nematode.unl.edu/crickalsow1.jpg</v>
      </c>
      <c r="D2205" t="s">
        <v>43</v>
      </c>
      <c r="G2205" t="s">
        <v>44</v>
      </c>
      <c r="I2205" t="s">
        <v>137</v>
      </c>
      <c r="J2205" t="s">
        <v>4296</v>
      </c>
      <c r="M2205" t="s">
        <v>8133</v>
      </c>
      <c r="N2205" t="s">
        <v>8133</v>
      </c>
      <c r="O2205" t="s">
        <v>23</v>
      </c>
      <c r="P2205" t="s">
        <v>24</v>
      </c>
      <c r="Q2205" t="s">
        <v>642</v>
      </c>
      <c r="R2205" t="s">
        <v>1214</v>
      </c>
    </row>
    <row r="2206" spans="1:18" x14ac:dyDescent="0.25">
      <c r="A2206" t="s">
        <v>14834</v>
      </c>
      <c r="B2206" t="s">
        <v>8134</v>
      </c>
      <c r="C2206" t="str">
        <f>HYPERLINK("https://nematode.unl.edu/crickalsow10.jpg")</f>
        <v>https://nematode.unl.edu/crickalsow10.jpg</v>
      </c>
      <c r="D2206" t="s">
        <v>43</v>
      </c>
      <c r="G2206" t="s">
        <v>44</v>
      </c>
      <c r="I2206" t="s">
        <v>19</v>
      </c>
      <c r="J2206" t="s">
        <v>4296</v>
      </c>
      <c r="M2206" t="s">
        <v>8133</v>
      </c>
      <c r="N2206" t="s">
        <v>8133</v>
      </c>
      <c r="O2206" t="s">
        <v>23</v>
      </c>
      <c r="P2206" t="s">
        <v>24</v>
      </c>
      <c r="Q2206" t="s">
        <v>642</v>
      </c>
      <c r="R2206" t="s">
        <v>1214</v>
      </c>
    </row>
    <row r="2207" spans="1:18" x14ac:dyDescent="0.25">
      <c r="A2207" t="s">
        <v>14795</v>
      </c>
      <c r="B2207" t="s">
        <v>8135</v>
      </c>
      <c r="C2207" t="str">
        <f>HYPERLINK("https://nematode.unl.edu/crickalsow11.jpg")</f>
        <v>https://nematode.unl.edu/crickalsow11.jpg</v>
      </c>
      <c r="D2207" t="s">
        <v>43</v>
      </c>
      <c r="G2207" t="s">
        <v>34</v>
      </c>
      <c r="H2207" t="s">
        <v>18</v>
      </c>
      <c r="I2207" t="s">
        <v>41</v>
      </c>
      <c r="J2207" t="s">
        <v>4296</v>
      </c>
      <c r="M2207" t="s">
        <v>8133</v>
      </c>
      <c r="N2207" t="s">
        <v>8133</v>
      </c>
      <c r="O2207" t="s">
        <v>23</v>
      </c>
      <c r="P2207" t="s">
        <v>24</v>
      </c>
      <c r="Q2207" t="s">
        <v>642</v>
      </c>
      <c r="R2207" t="s">
        <v>1214</v>
      </c>
    </row>
    <row r="2208" spans="1:18" x14ac:dyDescent="0.25">
      <c r="A2208" t="s">
        <v>14885</v>
      </c>
      <c r="B2208" t="s">
        <v>8136</v>
      </c>
      <c r="C2208" t="str">
        <f>HYPERLINK("https://nematode.unl.edu/crickalsow12.jpg")</f>
        <v>https://nematode.unl.edu/crickalsow12.jpg</v>
      </c>
      <c r="D2208" t="s">
        <v>43</v>
      </c>
      <c r="G2208" t="s">
        <v>1000</v>
      </c>
      <c r="I2208" t="s">
        <v>41</v>
      </c>
      <c r="J2208" t="s">
        <v>4296</v>
      </c>
      <c r="M2208" t="s">
        <v>8133</v>
      </c>
      <c r="N2208" t="s">
        <v>8133</v>
      </c>
      <c r="O2208" t="s">
        <v>23</v>
      </c>
      <c r="P2208" t="s">
        <v>24</v>
      </c>
      <c r="Q2208" t="s">
        <v>642</v>
      </c>
      <c r="R2208" t="s">
        <v>1214</v>
      </c>
    </row>
    <row r="2209" spans="1:18" x14ac:dyDescent="0.25">
      <c r="A2209" t="s">
        <v>14889</v>
      </c>
      <c r="B2209" t="s">
        <v>8137</v>
      </c>
      <c r="C2209" t="str">
        <f>HYPERLINK("https://nematode.unl.edu/crickalsow13.jpg")</f>
        <v>https://nematode.unl.edu/crickalsow13.jpg</v>
      </c>
      <c r="D2209" t="s">
        <v>43</v>
      </c>
      <c r="G2209" t="s">
        <v>28</v>
      </c>
      <c r="I2209" t="s">
        <v>41</v>
      </c>
      <c r="J2209" t="s">
        <v>4296</v>
      </c>
      <c r="M2209" t="s">
        <v>8133</v>
      </c>
      <c r="N2209" t="s">
        <v>8133</v>
      </c>
      <c r="O2209" t="s">
        <v>23</v>
      </c>
      <c r="P2209" t="s">
        <v>24</v>
      </c>
      <c r="Q2209" t="s">
        <v>642</v>
      </c>
      <c r="R2209" t="s">
        <v>1214</v>
      </c>
    </row>
    <row r="2210" spans="1:18" x14ac:dyDescent="0.25">
      <c r="A2210" t="s">
        <v>14835</v>
      </c>
      <c r="B2210" t="s">
        <v>8138</v>
      </c>
      <c r="C2210" t="str">
        <f>HYPERLINK("https://nematode.unl.edu/crickalsow14.jpg")</f>
        <v>https://nematode.unl.edu/crickalsow14.jpg</v>
      </c>
      <c r="D2210" t="s">
        <v>16</v>
      </c>
      <c r="G2210" t="s">
        <v>44</v>
      </c>
      <c r="I2210" t="s">
        <v>19</v>
      </c>
      <c r="J2210" t="s">
        <v>4296</v>
      </c>
      <c r="M2210" t="s">
        <v>8133</v>
      </c>
      <c r="N2210" t="s">
        <v>8133</v>
      </c>
      <c r="O2210" t="s">
        <v>23</v>
      </c>
      <c r="P2210" t="s">
        <v>24</v>
      </c>
      <c r="Q2210" t="s">
        <v>642</v>
      </c>
      <c r="R2210" t="s">
        <v>1214</v>
      </c>
    </row>
    <row r="2211" spans="1:18" x14ac:dyDescent="0.25">
      <c r="A2211" t="s">
        <v>14836</v>
      </c>
      <c r="B2211" t="s">
        <v>8139</v>
      </c>
      <c r="C2211" t="str">
        <f>HYPERLINK("https://nematode.unl.edu/crickalsow15.jpg")</f>
        <v>https://nematode.unl.edu/crickalsow15.jpg</v>
      </c>
      <c r="D2211" t="s">
        <v>43</v>
      </c>
      <c r="G2211" t="s">
        <v>44</v>
      </c>
      <c r="I2211" t="s">
        <v>19</v>
      </c>
      <c r="J2211" t="s">
        <v>4296</v>
      </c>
      <c r="M2211" t="s">
        <v>8133</v>
      </c>
      <c r="N2211" t="s">
        <v>8133</v>
      </c>
      <c r="O2211" t="s">
        <v>23</v>
      </c>
      <c r="P2211" t="s">
        <v>24</v>
      </c>
      <c r="Q2211" t="s">
        <v>642</v>
      </c>
      <c r="R2211" t="s">
        <v>1214</v>
      </c>
    </row>
    <row r="2212" spans="1:18" x14ac:dyDescent="0.25">
      <c r="A2212" t="s">
        <v>14796</v>
      </c>
      <c r="B2212" t="s">
        <v>8140</v>
      </c>
      <c r="C2212" t="str">
        <f>HYPERLINK("https://nematode.unl.edu/crickalsow16.jpg")</f>
        <v>https://nematode.unl.edu/crickalsow16.jpg</v>
      </c>
      <c r="D2212" t="s">
        <v>43</v>
      </c>
      <c r="G2212" t="s">
        <v>34</v>
      </c>
      <c r="H2212" t="s">
        <v>18</v>
      </c>
      <c r="I2212" t="s">
        <v>41</v>
      </c>
      <c r="J2212" t="s">
        <v>4296</v>
      </c>
      <c r="M2212" t="s">
        <v>8133</v>
      </c>
      <c r="N2212" t="s">
        <v>8133</v>
      </c>
      <c r="O2212" t="s">
        <v>23</v>
      </c>
      <c r="P2212" t="s">
        <v>24</v>
      </c>
      <c r="Q2212" t="s">
        <v>642</v>
      </c>
      <c r="R2212" t="s">
        <v>1214</v>
      </c>
    </row>
    <row r="2213" spans="1:18" x14ac:dyDescent="0.25">
      <c r="A2213" t="s">
        <v>14923</v>
      </c>
      <c r="B2213" t="s">
        <v>8141</v>
      </c>
      <c r="C2213" t="str">
        <f>HYPERLINK("https://nematode.unl.edu/crickalsow17.jpg")</f>
        <v>https://nematode.unl.edu/crickalsow17.jpg</v>
      </c>
      <c r="D2213" t="s">
        <v>43</v>
      </c>
      <c r="G2213" t="s">
        <v>8142</v>
      </c>
      <c r="I2213" t="s">
        <v>41</v>
      </c>
      <c r="J2213" t="s">
        <v>4296</v>
      </c>
      <c r="M2213" t="s">
        <v>8133</v>
      </c>
      <c r="N2213" t="s">
        <v>8133</v>
      </c>
      <c r="O2213" t="s">
        <v>23</v>
      </c>
      <c r="P2213" t="s">
        <v>24</v>
      </c>
      <c r="Q2213" t="s">
        <v>642</v>
      </c>
      <c r="R2213" t="s">
        <v>1214</v>
      </c>
    </row>
    <row r="2214" spans="1:18" x14ac:dyDescent="0.25">
      <c r="A2214" t="s">
        <v>14922</v>
      </c>
      <c r="B2214" t="s">
        <v>8143</v>
      </c>
      <c r="C2214" t="str">
        <f>HYPERLINK("https://nematode.unl.edu/crickalsow18.jpg")</f>
        <v>https://nematode.unl.edu/crickalsow18.jpg</v>
      </c>
      <c r="D2214" t="s">
        <v>43</v>
      </c>
      <c r="G2214" t="s">
        <v>8144</v>
      </c>
      <c r="I2214" t="s">
        <v>41</v>
      </c>
      <c r="J2214" t="s">
        <v>4296</v>
      </c>
      <c r="M2214" t="s">
        <v>8133</v>
      </c>
      <c r="N2214" t="s">
        <v>8133</v>
      </c>
      <c r="O2214" t="s">
        <v>23</v>
      </c>
      <c r="P2214" t="s">
        <v>24</v>
      </c>
      <c r="Q2214" t="s">
        <v>642</v>
      </c>
      <c r="R2214" t="s">
        <v>1214</v>
      </c>
    </row>
    <row r="2215" spans="1:18" x14ac:dyDescent="0.25">
      <c r="A2215" t="s">
        <v>14837</v>
      </c>
      <c r="B2215" t="s">
        <v>8145</v>
      </c>
      <c r="C2215" t="str">
        <f>HYPERLINK("https://nematode.unl.edu/crickalsow19.jpg")</f>
        <v>https://nematode.unl.edu/crickalsow19.jpg</v>
      </c>
      <c r="D2215" t="s">
        <v>43</v>
      </c>
      <c r="G2215" t="s">
        <v>44</v>
      </c>
      <c r="I2215" t="s">
        <v>137</v>
      </c>
      <c r="J2215" t="s">
        <v>4296</v>
      </c>
      <c r="M2215" t="s">
        <v>8133</v>
      </c>
      <c r="N2215" t="s">
        <v>8133</v>
      </c>
      <c r="O2215" t="s">
        <v>23</v>
      </c>
      <c r="P2215" t="s">
        <v>24</v>
      </c>
      <c r="Q2215" t="s">
        <v>642</v>
      </c>
      <c r="R2215" t="s">
        <v>1214</v>
      </c>
    </row>
    <row r="2216" spans="1:18" x14ac:dyDescent="0.25">
      <c r="A2216" t="s">
        <v>14838</v>
      </c>
      <c r="B2216" t="s">
        <v>8146</v>
      </c>
      <c r="C2216" t="str">
        <f>HYPERLINK("https://nematode.unl.edu/crickalsow2.jpg")</f>
        <v>https://nematode.unl.edu/crickalsow2.jpg</v>
      </c>
      <c r="D2216" t="s">
        <v>43</v>
      </c>
      <c r="G2216" t="s">
        <v>44</v>
      </c>
      <c r="I2216" t="s">
        <v>19</v>
      </c>
      <c r="J2216" t="s">
        <v>4296</v>
      </c>
      <c r="M2216" t="s">
        <v>8133</v>
      </c>
      <c r="N2216" t="s">
        <v>8133</v>
      </c>
      <c r="O2216" t="s">
        <v>23</v>
      </c>
      <c r="P2216" t="s">
        <v>24</v>
      </c>
      <c r="Q2216" t="s">
        <v>642</v>
      </c>
      <c r="R2216" t="s">
        <v>1214</v>
      </c>
    </row>
    <row r="2217" spans="1:18" x14ac:dyDescent="0.25">
      <c r="A2217" t="s">
        <v>14883</v>
      </c>
      <c r="B2217" t="s">
        <v>8147</v>
      </c>
      <c r="C2217" t="str">
        <f>HYPERLINK("https://nematode.unl.edu/crickalsow20.jpg")</f>
        <v>https://nematode.unl.edu/crickalsow20.jpg</v>
      </c>
      <c r="D2217" t="s">
        <v>43</v>
      </c>
      <c r="G2217" t="s">
        <v>1489</v>
      </c>
      <c r="I2217" t="s">
        <v>19</v>
      </c>
      <c r="J2217" t="s">
        <v>4296</v>
      </c>
      <c r="M2217" t="s">
        <v>8133</v>
      </c>
      <c r="N2217" t="s">
        <v>8133</v>
      </c>
      <c r="O2217" t="s">
        <v>23</v>
      </c>
      <c r="P2217" t="s">
        <v>24</v>
      </c>
      <c r="Q2217" t="s">
        <v>642</v>
      </c>
      <c r="R2217" t="s">
        <v>1214</v>
      </c>
    </row>
    <row r="2218" spans="1:18" x14ac:dyDescent="0.25">
      <c r="A2218" t="s">
        <v>14384</v>
      </c>
      <c r="B2218" t="s">
        <v>7558</v>
      </c>
      <c r="C2218" t="str">
        <f>HYPERLINK("https://nematode.unl.edu/crickalsow21.jpg")</f>
        <v>https://nematode.unl.edu/crickalsow21.jpg</v>
      </c>
      <c r="D2218" t="s">
        <v>43</v>
      </c>
      <c r="G2218" t="s">
        <v>44</v>
      </c>
      <c r="I2218" t="s">
        <v>137</v>
      </c>
      <c r="J2218" t="s">
        <v>4296</v>
      </c>
      <c r="M2218" t="s">
        <v>1233</v>
      </c>
      <c r="N2218" t="s">
        <v>1233</v>
      </c>
      <c r="O2218" t="s">
        <v>23</v>
      </c>
      <c r="P2218" t="s">
        <v>24</v>
      </c>
      <c r="Q2218" t="s">
        <v>642</v>
      </c>
      <c r="R2218" t="s">
        <v>1214</v>
      </c>
    </row>
    <row r="2219" spans="1:18" x14ac:dyDescent="0.25">
      <c r="A2219" t="s">
        <v>14385</v>
      </c>
      <c r="B2219" t="s">
        <v>7559</v>
      </c>
      <c r="C2219" t="str">
        <f>HYPERLINK("https://nematode.unl.edu/crickalsow22.jpg")</f>
        <v>https://nematode.unl.edu/crickalsow22.jpg</v>
      </c>
      <c r="D2219" t="s">
        <v>43</v>
      </c>
      <c r="G2219" t="s">
        <v>44</v>
      </c>
      <c r="I2219" t="s">
        <v>19</v>
      </c>
      <c r="J2219" t="s">
        <v>4296</v>
      </c>
      <c r="M2219" t="s">
        <v>1233</v>
      </c>
      <c r="N2219" t="s">
        <v>1233</v>
      </c>
      <c r="O2219" t="s">
        <v>23</v>
      </c>
      <c r="P2219" t="s">
        <v>24</v>
      </c>
      <c r="Q2219" t="s">
        <v>642</v>
      </c>
      <c r="R2219" t="s">
        <v>1214</v>
      </c>
    </row>
    <row r="2220" spans="1:18" x14ac:dyDescent="0.25">
      <c r="A2220" t="s">
        <v>14533</v>
      </c>
      <c r="B2220" t="s">
        <v>7560</v>
      </c>
      <c r="C2220" t="str">
        <f>HYPERLINK("https://nematode.unl.edu/crickalsow23.jpg")</f>
        <v>https://nematode.unl.edu/crickalsow23.jpg</v>
      </c>
      <c r="D2220" t="s">
        <v>43</v>
      </c>
      <c r="G2220" t="s">
        <v>224</v>
      </c>
      <c r="I2220" t="s">
        <v>19</v>
      </c>
      <c r="J2220" t="s">
        <v>4296</v>
      </c>
      <c r="M2220" t="s">
        <v>1233</v>
      </c>
      <c r="N2220" t="s">
        <v>1233</v>
      </c>
      <c r="O2220" t="s">
        <v>23</v>
      </c>
      <c r="P2220" t="s">
        <v>24</v>
      </c>
      <c r="Q2220" t="s">
        <v>642</v>
      </c>
      <c r="R2220" t="s">
        <v>1214</v>
      </c>
    </row>
    <row r="2221" spans="1:18" x14ac:dyDescent="0.25">
      <c r="A2221" t="s">
        <v>14245</v>
      </c>
      <c r="B2221" t="s">
        <v>7561</v>
      </c>
      <c r="C2221" t="str">
        <f>HYPERLINK("https://nematode.unl.edu/crickalsow24.jpg")</f>
        <v>https://nematode.unl.edu/crickalsow24.jpg</v>
      </c>
      <c r="D2221" t="s">
        <v>43</v>
      </c>
      <c r="G2221" t="s">
        <v>34</v>
      </c>
      <c r="H2221" t="s">
        <v>18</v>
      </c>
      <c r="I2221" t="s">
        <v>19</v>
      </c>
      <c r="J2221" t="s">
        <v>4296</v>
      </c>
      <c r="M2221" t="s">
        <v>1233</v>
      </c>
      <c r="N2221" t="s">
        <v>1233</v>
      </c>
      <c r="O2221" t="s">
        <v>23</v>
      </c>
      <c r="P2221" t="s">
        <v>24</v>
      </c>
      <c r="Q2221" t="s">
        <v>642</v>
      </c>
      <c r="R2221" t="s">
        <v>1214</v>
      </c>
    </row>
    <row r="2222" spans="1:18" x14ac:dyDescent="0.25">
      <c r="A2222" t="s">
        <v>14839</v>
      </c>
      <c r="B2222" t="s">
        <v>8148</v>
      </c>
      <c r="C2222" t="str">
        <f>HYPERLINK("https://nematode.unl.edu/crickalsow25.jpg")</f>
        <v>https://nematode.unl.edu/crickalsow25.jpg</v>
      </c>
      <c r="D2222" t="s">
        <v>43</v>
      </c>
      <c r="G2222" t="s">
        <v>44</v>
      </c>
      <c r="I2222" t="s">
        <v>19</v>
      </c>
      <c r="J2222" t="s">
        <v>4296</v>
      </c>
      <c r="M2222" t="s">
        <v>8133</v>
      </c>
      <c r="N2222" t="s">
        <v>8133</v>
      </c>
      <c r="O2222" t="s">
        <v>23</v>
      </c>
      <c r="P2222" t="s">
        <v>24</v>
      </c>
      <c r="Q2222" t="s">
        <v>642</v>
      </c>
      <c r="R2222" t="s">
        <v>1214</v>
      </c>
    </row>
    <row r="2223" spans="1:18" x14ac:dyDescent="0.25">
      <c r="A2223" t="s">
        <v>14797</v>
      </c>
      <c r="B2223" t="s">
        <v>8149</v>
      </c>
      <c r="C2223" t="str">
        <f>HYPERLINK("https://nematode.unl.edu/crickalsow26.jpg")</f>
        <v>https://nematode.unl.edu/crickalsow26.jpg</v>
      </c>
      <c r="D2223" t="s">
        <v>43</v>
      </c>
      <c r="G2223" t="s">
        <v>34</v>
      </c>
      <c r="H2223" t="s">
        <v>18</v>
      </c>
      <c r="I2223" t="s">
        <v>41</v>
      </c>
      <c r="J2223" t="s">
        <v>4296</v>
      </c>
      <c r="M2223" t="s">
        <v>8133</v>
      </c>
      <c r="N2223" t="s">
        <v>8133</v>
      </c>
      <c r="O2223" t="s">
        <v>23</v>
      </c>
      <c r="P2223" t="s">
        <v>24</v>
      </c>
      <c r="Q2223" t="s">
        <v>642</v>
      </c>
      <c r="R2223" t="s">
        <v>1214</v>
      </c>
    </row>
    <row r="2224" spans="1:18" x14ac:dyDescent="0.25">
      <c r="A2224" t="s">
        <v>14890</v>
      </c>
      <c r="B2224" t="s">
        <v>8150</v>
      </c>
      <c r="C2224" t="str">
        <f>HYPERLINK("https://nematode.unl.edu/crickalsow27.jpg")</f>
        <v>https://nematode.unl.edu/crickalsow27.jpg</v>
      </c>
      <c r="D2224" t="s">
        <v>43</v>
      </c>
      <c r="G2224" t="s">
        <v>28</v>
      </c>
      <c r="I2224" t="s">
        <v>41</v>
      </c>
      <c r="J2224" t="s">
        <v>4296</v>
      </c>
      <c r="M2224" t="s">
        <v>8133</v>
      </c>
      <c r="N2224" t="s">
        <v>8133</v>
      </c>
      <c r="O2224" t="s">
        <v>23</v>
      </c>
      <c r="P2224" t="s">
        <v>24</v>
      </c>
      <c r="Q2224" t="s">
        <v>642</v>
      </c>
      <c r="R2224" t="s">
        <v>1214</v>
      </c>
    </row>
    <row r="2225" spans="1:18" x14ac:dyDescent="0.25">
      <c r="A2225" t="s">
        <v>14798</v>
      </c>
      <c r="B2225" t="s">
        <v>8151</v>
      </c>
      <c r="C2225" t="str">
        <f>HYPERLINK("https://nematode.unl.edu/crickalsow3.jpg")</f>
        <v>https://nematode.unl.edu/crickalsow3.jpg</v>
      </c>
      <c r="D2225" t="s">
        <v>43</v>
      </c>
      <c r="G2225" t="s">
        <v>34</v>
      </c>
      <c r="H2225" t="s">
        <v>18</v>
      </c>
      <c r="I2225" t="s">
        <v>41</v>
      </c>
      <c r="J2225" t="s">
        <v>4296</v>
      </c>
      <c r="M2225" t="s">
        <v>8133</v>
      </c>
      <c r="N2225" t="s">
        <v>8133</v>
      </c>
      <c r="O2225" t="s">
        <v>23</v>
      </c>
      <c r="P2225" t="s">
        <v>24</v>
      </c>
      <c r="Q2225" t="s">
        <v>642</v>
      </c>
      <c r="R2225" t="s">
        <v>1214</v>
      </c>
    </row>
    <row r="2226" spans="1:18" x14ac:dyDescent="0.25">
      <c r="A2226" t="s">
        <v>14891</v>
      </c>
      <c r="B2226" t="s">
        <v>8152</v>
      </c>
      <c r="C2226" t="str">
        <f>HYPERLINK("https://nematode.unl.edu/crickalsow4.jpg")</f>
        <v>https://nematode.unl.edu/crickalsow4.jpg</v>
      </c>
      <c r="D2226" t="s">
        <v>43</v>
      </c>
      <c r="G2226" t="s">
        <v>28</v>
      </c>
      <c r="I2226" t="s">
        <v>41</v>
      </c>
      <c r="J2226" t="s">
        <v>4296</v>
      </c>
      <c r="M2226" t="s">
        <v>8133</v>
      </c>
      <c r="N2226" t="s">
        <v>8133</v>
      </c>
      <c r="O2226" t="s">
        <v>23</v>
      </c>
      <c r="P2226" t="s">
        <v>24</v>
      </c>
      <c r="Q2226" t="s">
        <v>642</v>
      </c>
      <c r="R2226" t="s">
        <v>1214</v>
      </c>
    </row>
    <row r="2227" spans="1:18" x14ac:dyDescent="0.25">
      <c r="A2227" t="s">
        <v>14840</v>
      </c>
      <c r="B2227" t="s">
        <v>8153</v>
      </c>
      <c r="C2227" t="str">
        <f>HYPERLINK("https://nematode.unl.edu/crickalsow6.jpg")</f>
        <v>https://nematode.unl.edu/crickalsow6.jpg</v>
      </c>
      <c r="D2227" t="s">
        <v>43</v>
      </c>
      <c r="G2227" t="s">
        <v>44</v>
      </c>
      <c r="I2227" t="s">
        <v>19</v>
      </c>
      <c r="J2227" t="s">
        <v>4296</v>
      </c>
      <c r="M2227" t="s">
        <v>8133</v>
      </c>
      <c r="N2227" t="s">
        <v>8133</v>
      </c>
      <c r="O2227" t="s">
        <v>23</v>
      </c>
      <c r="P2227" t="s">
        <v>24</v>
      </c>
      <c r="Q2227" t="s">
        <v>642</v>
      </c>
      <c r="R2227" t="s">
        <v>1214</v>
      </c>
    </row>
    <row r="2228" spans="1:18" x14ac:dyDescent="0.25">
      <c r="A2228" t="s">
        <v>14799</v>
      </c>
      <c r="B2228" t="s">
        <v>8154</v>
      </c>
      <c r="C2228" t="str">
        <f>HYPERLINK("https://nematode.unl.edu/crickalsow7.jpg")</f>
        <v>https://nematode.unl.edu/crickalsow7.jpg</v>
      </c>
      <c r="D2228" t="s">
        <v>43</v>
      </c>
      <c r="G2228" t="s">
        <v>34</v>
      </c>
      <c r="H2228" t="s">
        <v>18</v>
      </c>
      <c r="I2228" t="s">
        <v>41</v>
      </c>
      <c r="J2228" t="s">
        <v>4296</v>
      </c>
      <c r="M2228" t="s">
        <v>8133</v>
      </c>
      <c r="N2228" t="s">
        <v>8133</v>
      </c>
      <c r="O2228" t="s">
        <v>23</v>
      </c>
      <c r="P2228" t="s">
        <v>24</v>
      </c>
      <c r="Q2228" t="s">
        <v>642</v>
      </c>
      <c r="R2228" t="s">
        <v>1214</v>
      </c>
    </row>
    <row r="2229" spans="1:18" x14ac:dyDescent="0.25">
      <c r="A2229" t="s">
        <v>14892</v>
      </c>
      <c r="B2229" t="s">
        <v>8155</v>
      </c>
      <c r="C2229" t="str">
        <f>HYPERLINK("https://nematode.unl.edu/crickalsow8.jpg")</f>
        <v>https://nematode.unl.edu/crickalsow8.jpg</v>
      </c>
      <c r="D2229" t="s">
        <v>43</v>
      </c>
      <c r="G2229" t="s">
        <v>28</v>
      </c>
      <c r="I2229" t="s">
        <v>41</v>
      </c>
      <c r="J2229" t="s">
        <v>4296</v>
      </c>
      <c r="M2229" t="s">
        <v>8133</v>
      </c>
      <c r="N2229" t="s">
        <v>8133</v>
      </c>
      <c r="O2229" t="s">
        <v>23</v>
      </c>
      <c r="P2229" t="s">
        <v>24</v>
      </c>
      <c r="Q2229" t="s">
        <v>642</v>
      </c>
      <c r="R2229" t="s">
        <v>1214</v>
      </c>
    </row>
    <row r="2230" spans="1:18" x14ac:dyDescent="0.25">
      <c r="A2230" t="s">
        <v>14841</v>
      </c>
      <c r="B2230" t="s">
        <v>8156</v>
      </c>
      <c r="C2230" t="str">
        <f>HYPERLINK("https://nematode.unl.edu/crickalsow9.jpg")</f>
        <v>https://nematode.unl.edu/crickalsow9.jpg</v>
      </c>
      <c r="D2230" t="s">
        <v>43</v>
      </c>
      <c r="G2230" t="s">
        <v>44</v>
      </c>
      <c r="I2230" t="s">
        <v>137</v>
      </c>
      <c r="J2230" t="s">
        <v>4296</v>
      </c>
      <c r="M2230" t="s">
        <v>8133</v>
      </c>
      <c r="N2230" t="s">
        <v>8133</v>
      </c>
      <c r="O2230" t="s">
        <v>23</v>
      </c>
      <c r="P2230" t="s">
        <v>24</v>
      </c>
      <c r="Q2230" t="s">
        <v>642</v>
      </c>
      <c r="R2230" t="s">
        <v>1214</v>
      </c>
    </row>
    <row r="2231" spans="1:18" x14ac:dyDescent="0.25">
      <c r="A2231" t="s">
        <v>13770</v>
      </c>
      <c r="B2231" t="s">
        <v>654</v>
      </c>
      <c r="C2231" t="str">
        <f>HYPERLINK("https://nematode.unl.edu/cricodel1.jpg")</f>
        <v>https://nematode.unl.edu/cricodel1.jpg</v>
      </c>
      <c r="D2231" t="s">
        <v>16</v>
      </c>
      <c r="G2231" t="s">
        <v>34</v>
      </c>
      <c r="H2231" t="s">
        <v>18</v>
      </c>
      <c r="I2231" t="s">
        <v>41</v>
      </c>
      <c r="J2231" t="s">
        <v>655</v>
      </c>
      <c r="L2231" t="s">
        <v>656</v>
      </c>
      <c r="M2231" t="s">
        <v>657</v>
      </c>
      <c r="N2231" t="s">
        <v>658</v>
      </c>
      <c r="O2231" t="s">
        <v>23</v>
      </c>
      <c r="P2231" t="s">
        <v>24</v>
      </c>
      <c r="Q2231" t="s">
        <v>642</v>
      </c>
      <c r="R2231" t="s">
        <v>651</v>
      </c>
    </row>
    <row r="2232" spans="1:18" x14ac:dyDescent="0.25">
      <c r="A2232" t="s">
        <v>13777</v>
      </c>
      <c r="B2232" t="s">
        <v>659</v>
      </c>
      <c r="C2232" t="str">
        <f>HYPERLINK("https://nematode.unl.edu/cricodel2.jpg")</f>
        <v>https://nematode.unl.edu/cricodel2.jpg</v>
      </c>
      <c r="D2232" t="s">
        <v>16</v>
      </c>
      <c r="G2232" t="s">
        <v>178</v>
      </c>
      <c r="I2232" t="s">
        <v>41</v>
      </c>
      <c r="J2232" t="s">
        <v>655</v>
      </c>
      <c r="L2232" t="s">
        <v>656</v>
      </c>
      <c r="M2232" t="s">
        <v>657</v>
      </c>
      <c r="N2232" t="s">
        <v>658</v>
      </c>
      <c r="O2232" t="s">
        <v>23</v>
      </c>
      <c r="P2232" t="s">
        <v>24</v>
      </c>
      <c r="Q2232" t="s">
        <v>642</v>
      </c>
      <c r="R2232" t="s">
        <v>651</v>
      </c>
    </row>
    <row r="2233" spans="1:18" x14ac:dyDescent="0.25">
      <c r="A2233" t="s">
        <v>13779</v>
      </c>
      <c r="B2233" t="s">
        <v>660</v>
      </c>
      <c r="C2233" t="str">
        <f>HYPERLINK("https://nematode.unl.edu/cricodel3.jpg")</f>
        <v>https://nematode.unl.edu/cricodel3.jpg</v>
      </c>
      <c r="D2233" t="s">
        <v>16</v>
      </c>
      <c r="G2233" t="s">
        <v>28</v>
      </c>
      <c r="I2233" t="s">
        <v>41</v>
      </c>
      <c r="J2233" t="s">
        <v>655</v>
      </c>
      <c r="L2233" t="s">
        <v>656</v>
      </c>
      <c r="M2233" t="s">
        <v>657</v>
      </c>
      <c r="N2233" t="s">
        <v>658</v>
      </c>
      <c r="O2233" t="s">
        <v>23</v>
      </c>
      <c r="P2233" t="s">
        <v>24</v>
      </c>
      <c r="Q2233" t="s">
        <v>642</v>
      </c>
      <c r="R2233" t="s">
        <v>651</v>
      </c>
    </row>
    <row r="2234" spans="1:18" x14ac:dyDescent="0.25">
      <c r="A2234" t="s">
        <v>13775</v>
      </c>
      <c r="B2234" t="s">
        <v>661</v>
      </c>
      <c r="C2234" t="str">
        <f>HYPERLINK("https://nematode.unl.edu/cricoide1.jpg")</f>
        <v>https://nematode.unl.edu/cricoide1.jpg</v>
      </c>
      <c r="D2234" t="s">
        <v>43</v>
      </c>
      <c r="G2234" t="s">
        <v>44</v>
      </c>
      <c r="I2234" t="s">
        <v>19</v>
      </c>
      <c r="J2234" t="s">
        <v>662</v>
      </c>
      <c r="M2234" t="s">
        <v>657</v>
      </c>
      <c r="N2234" t="s">
        <v>658</v>
      </c>
      <c r="O2234" t="s">
        <v>23</v>
      </c>
      <c r="P2234" t="s">
        <v>24</v>
      </c>
      <c r="Q2234" t="s">
        <v>642</v>
      </c>
      <c r="R2234" t="s">
        <v>651</v>
      </c>
    </row>
    <row r="2235" spans="1:18" x14ac:dyDescent="0.25">
      <c r="A2235" t="s">
        <v>13771</v>
      </c>
      <c r="B2235" t="s">
        <v>663</v>
      </c>
      <c r="C2235" t="str">
        <f>HYPERLINK("https://nematode.unl.edu/cricoide10.jpg")</f>
        <v>https://nematode.unl.edu/cricoide10.jpg</v>
      </c>
      <c r="D2235" t="s">
        <v>43</v>
      </c>
      <c r="G2235" t="s">
        <v>34</v>
      </c>
      <c r="H2235" t="s">
        <v>18</v>
      </c>
      <c r="I2235" t="s">
        <v>41</v>
      </c>
      <c r="J2235" t="s">
        <v>662</v>
      </c>
      <c r="M2235" t="s">
        <v>657</v>
      </c>
      <c r="N2235" t="s">
        <v>658</v>
      </c>
      <c r="O2235" t="s">
        <v>23</v>
      </c>
      <c r="P2235" t="s">
        <v>24</v>
      </c>
      <c r="Q2235" t="s">
        <v>642</v>
      </c>
      <c r="R2235" t="s">
        <v>651</v>
      </c>
    </row>
    <row r="2236" spans="1:18" x14ac:dyDescent="0.25">
      <c r="A2236" t="s">
        <v>13785</v>
      </c>
      <c r="B2236" t="s">
        <v>664</v>
      </c>
      <c r="C2236" t="str">
        <f>HYPERLINK("https://nematode.unl.edu/cricoide11.jpg")</f>
        <v>https://nematode.unl.edu/cricoide11.jpg</v>
      </c>
      <c r="D2236" t="s">
        <v>43</v>
      </c>
      <c r="G2236" t="s">
        <v>51</v>
      </c>
      <c r="I2236" t="s">
        <v>41</v>
      </c>
      <c r="J2236" t="s">
        <v>662</v>
      </c>
      <c r="M2236" t="s">
        <v>657</v>
      </c>
      <c r="N2236" t="s">
        <v>658</v>
      </c>
      <c r="O2236" t="s">
        <v>23</v>
      </c>
      <c r="P2236" t="s">
        <v>24</v>
      </c>
      <c r="Q2236" t="s">
        <v>642</v>
      </c>
      <c r="R2236" t="s">
        <v>651</v>
      </c>
    </row>
    <row r="2237" spans="1:18" x14ac:dyDescent="0.25">
      <c r="A2237" t="s">
        <v>13776</v>
      </c>
      <c r="B2237" t="s">
        <v>665</v>
      </c>
      <c r="C2237" t="str">
        <f>HYPERLINK("https://nematode.unl.edu/cricoide12.jpg")</f>
        <v>https://nematode.unl.edu/cricoide12.jpg</v>
      </c>
      <c r="D2237" t="s">
        <v>43</v>
      </c>
      <c r="G2237" t="s">
        <v>44</v>
      </c>
      <c r="I2237" t="s">
        <v>41</v>
      </c>
      <c r="J2237" t="s">
        <v>662</v>
      </c>
      <c r="M2237" t="s">
        <v>657</v>
      </c>
      <c r="N2237" t="s">
        <v>658</v>
      </c>
      <c r="O2237" t="s">
        <v>23</v>
      </c>
      <c r="P2237" t="s">
        <v>24</v>
      </c>
      <c r="Q2237" t="s">
        <v>642</v>
      </c>
      <c r="R2237" t="s">
        <v>651</v>
      </c>
    </row>
    <row r="2238" spans="1:18" x14ac:dyDescent="0.25">
      <c r="A2238" t="s">
        <v>13780</v>
      </c>
      <c r="B2238" t="s">
        <v>666</v>
      </c>
      <c r="C2238" t="str">
        <f>HYPERLINK("https://nematode.unl.edu/cricoide13.jpg")</f>
        <v>https://nematode.unl.edu/cricoide13.jpg</v>
      </c>
      <c r="D2238" t="s">
        <v>43</v>
      </c>
      <c r="G2238" t="s">
        <v>28</v>
      </c>
      <c r="I2238" t="s">
        <v>41</v>
      </c>
      <c r="J2238" t="s">
        <v>662</v>
      </c>
      <c r="M2238" t="s">
        <v>657</v>
      </c>
      <c r="N2238" t="s">
        <v>658</v>
      </c>
      <c r="O2238" t="s">
        <v>23</v>
      </c>
      <c r="P2238" t="s">
        <v>24</v>
      </c>
      <c r="Q2238" t="s">
        <v>642</v>
      </c>
      <c r="R2238" t="s">
        <v>651</v>
      </c>
    </row>
    <row r="2239" spans="1:18" x14ac:dyDescent="0.25">
      <c r="A2239" t="s">
        <v>13781</v>
      </c>
      <c r="B2239" t="s">
        <v>667</v>
      </c>
      <c r="C2239" t="str">
        <f>HYPERLINK("https://nematode.unl.edu/cricoide14.jpg")</f>
        <v>https://nematode.unl.edu/cricoide14.jpg</v>
      </c>
      <c r="D2239" t="s">
        <v>43</v>
      </c>
      <c r="G2239" t="s">
        <v>28</v>
      </c>
      <c r="I2239" t="s">
        <v>41</v>
      </c>
      <c r="J2239" t="s">
        <v>662</v>
      </c>
      <c r="M2239" t="s">
        <v>657</v>
      </c>
      <c r="N2239" t="s">
        <v>658</v>
      </c>
      <c r="O2239" t="s">
        <v>23</v>
      </c>
      <c r="P2239" t="s">
        <v>24</v>
      </c>
      <c r="Q2239" t="s">
        <v>642</v>
      </c>
      <c r="R2239" t="s">
        <v>651</v>
      </c>
    </row>
    <row r="2240" spans="1:18" x14ac:dyDescent="0.25">
      <c r="A2240" t="s">
        <v>13774</v>
      </c>
      <c r="B2240" t="s">
        <v>668</v>
      </c>
      <c r="C2240" t="str">
        <f>HYPERLINK("https://nematode.unl.edu/cricoide2.jpg")</f>
        <v>https://nematode.unl.edu/cricoide2.jpg</v>
      </c>
      <c r="D2240" t="s">
        <v>43</v>
      </c>
      <c r="G2240" t="s">
        <v>257</v>
      </c>
      <c r="H2240" t="s">
        <v>18</v>
      </c>
      <c r="I2240" t="s">
        <v>41</v>
      </c>
      <c r="J2240" t="s">
        <v>662</v>
      </c>
      <c r="M2240" t="s">
        <v>657</v>
      </c>
      <c r="N2240" t="s">
        <v>658</v>
      </c>
      <c r="O2240" t="s">
        <v>23</v>
      </c>
      <c r="P2240" t="s">
        <v>24</v>
      </c>
      <c r="Q2240" t="s">
        <v>642</v>
      </c>
      <c r="R2240" t="s">
        <v>651</v>
      </c>
    </row>
    <row r="2241" spans="1:18" x14ac:dyDescent="0.25">
      <c r="A2241" t="s">
        <v>13769</v>
      </c>
      <c r="B2241" t="s">
        <v>669</v>
      </c>
      <c r="C2241" t="str">
        <f>HYPERLINK("https://nematode.unl.edu/cricoide3.jpg")</f>
        <v>https://nematode.unl.edu/cricoide3.jpg</v>
      </c>
      <c r="D2241" t="s">
        <v>43</v>
      </c>
      <c r="G2241" t="s">
        <v>96</v>
      </c>
      <c r="H2241" t="s">
        <v>18</v>
      </c>
      <c r="I2241" t="s">
        <v>41</v>
      </c>
      <c r="J2241" t="s">
        <v>662</v>
      </c>
      <c r="M2241" t="s">
        <v>657</v>
      </c>
      <c r="N2241" t="s">
        <v>658</v>
      </c>
      <c r="O2241" t="s">
        <v>23</v>
      </c>
      <c r="P2241" t="s">
        <v>24</v>
      </c>
      <c r="Q2241" t="s">
        <v>642</v>
      </c>
      <c r="R2241" t="s">
        <v>651</v>
      </c>
    </row>
    <row r="2242" spans="1:18" x14ac:dyDescent="0.25">
      <c r="A2242" t="s">
        <v>13782</v>
      </c>
      <c r="B2242" t="s">
        <v>670</v>
      </c>
      <c r="C2242" t="str">
        <f>HYPERLINK("https://nematode.unl.edu/cricoide4.jpg")</f>
        <v>https://nematode.unl.edu/cricoide4.jpg</v>
      </c>
      <c r="D2242" t="s">
        <v>43</v>
      </c>
      <c r="G2242" t="s">
        <v>28</v>
      </c>
      <c r="I2242" t="s">
        <v>41</v>
      </c>
      <c r="J2242" t="s">
        <v>662</v>
      </c>
      <c r="M2242" t="s">
        <v>657</v>
      </c>
      <c r="N2242" t="s">
        <v>658</v>
      </c>
      <c r="O2242" t="s">
        <v>23</v>
      </c>
      <c r="P2242" t="s">
        <v>24</v>
      </c>
      <c r="Q2242" t="s">
        <v>642</v>
      </c>
      <c r="R2242" t="s">
        <v>651</v>
      </c>
    </row>
    <row r="2243" spans="1:18" x14ac:dyDescent="0.25">
      <c r="A2243" t="s">
        <v>13772</v>
      </c>
      <c r="B2243" t="s">
        <v>671</v>
      </c>
      <c r="C2243" t="str">
        <f>HYPERLINK("https://nematode.unl.edu/cricoide5.jpg")</f>
        <v>https://nematode.unl.edu/cricoide5.jpg</v>
      </c>
      <c r="D2243" t="s">
        <v>43</v>
      </c>
      <c r="G2243" t="s">
        <v>34</v>
      </c>
      <c r="H2243" t="s">
        <v>18</v>
      </c>
      <c r="I2243" t="s">
        <v>41</v>
      </c>
      <c r="J2243" t="s">
        <v>662</v>
      </c>
      <c r="M2243" t="s">
        <v>657</v>
      </c>
      <c r="N2243" t="s">
        <v>658</v>
      </c>
      <c r="O2243" t="s">
        <v>23</v>
      </c>
      <c r="P2243" t="s">
        <v>24</v>
      </c>
      <c r="Q2243" t="s">
        <v>642</v>
      </c>
      <c r="R2243" t="s">
        <v>651</v>
      </c>
    </row>
    <row r="2244" spans="1:18" x14ac:dyDescent="0.25">
      <c r="A2244" t="s">
        <v>13773</v>
      </c>
      <c r="B2244" t="s">
        <v>672</v>
      </c>
      <c r="C2244" t="str">
        <f>HYPERLINK("https://nematode.unl.edu/cricoide6.jpg")</f>
        <v>https://nematode.unl.edu/cricoide6.jpg</v>
      </c>
      <c r="D2244" t="s">
        <v>43</v>
      </c>
      <c r="G2244" t="s">
        <v>34</v>
      </c>
      <c r="H2244" t="s">
        <v>18</v>
      </c>
      <c r="I2244" t="s">
        <v>41</v>
      </c>
      <c r="J2244" t="s">
        <v>662</v>
      </c>
      <c r="M2244" t="s">
        <v>657</v>
      </c>
      <c r="N2244" t="s">
        <v>658</v>
      </c>
      <c r="O2244" t="s">
        <v>23</v>
      </c>
      <c r="P2244" t="s">
        <v>24</v>
      </c>
      <c r="Q2244" t="s">
        <v>642</v>
      </c>
      <c r="R2244" t="s">
        <v>651</v>
      </c>
    </row>
    <row r="2245" spans="1:18" x14ac:dyDescent="0.25">
      <c r="A2245" t="s">
        <v>13778</v>
      </c>
      <c r="B2245" t="s">
        <v>673</v>
      </c>
      <c r="C2245" t="str">
        <f>HYPERLINK("https://nematode.unl.edu/cricoide7.jpg")</f>
        <v>https://nematode.unl.edu/cricoide7.jpg</v>
      </c>
      <c r="D2245" t="s">
        <v>43</v>
      </c>
      <c r="G2245" t="s">
        <v>674</v>
      </c>
      <c r="I2245" t="s">
        <v>41</v>
      </c>
      <c r="J2245" t="s">
        <v>662</v>
      </c>
      <c r="M2245" t="s">
        <v>657</v>
      </c>
      <c r="N2245" t="s">
        <v>658</v>
      </c>
      <c r="O2245" t="s">
        <v>23</v>
      </c>
      <c r="P2245" t="s">
        <v>24</v>
      </c>
      <c r="Q2245" t="s">
        <v>642</v>
      </c>
      <c r="R2245" t="s">
        <v>651</v>
      </c>
    </row>
    <row r="2246" spans="1:18" x14ac:dyDescent="0.25">
      <c r="A2246" t="s">
        <v>13783</v>
      </c>
      <c r="B2246" t="s">
        <v>675</v>
      </c>
      <c r="C2246" t="str">
        <f>HYPERLINK("https://nematode.unl.edu/cricoide8.jpg")</f>
        <v>https://nematode.unl.edu/cricoide8.jpg</v>
      </c>
      <c r="D2246" t="s">
        <v>43</v>
      </c>
      <c r="G2246" t="s">
        <v>28</v>
      </c>
      <c r="I2246" t="s">
        <v>41</v>
      </c>
      <c r="J2246" t="s">
        <v>662</v>
      </c>
      <c r="M2246" t="s">
        <v>657</v>
      </c>
      <c r="N2246" t="s">
        <v>658</v>
      </c>
      <c r="O2246" t="s">
        <v>23</v>
      </c>
      <c r="P2246" t="s">
        <v>24</v>
      </c>
      <c r="Q2246" t="s">
        <v>642</v>
      </c>
      <c r="R2246" t="s">
        <v>651</v>
      </c>
    </row>
    <row r="2247" spans="1:18" x14ac:dyDescent="0.25">
      <c r="A2247" t="s">
        <v>13784</v>
      </c>
      <c r="B2247" t="s">
        <v>676</v>
      </c>
      <c r="C2247" t="str">
        <f>HYPERLINK("https://nematode.unl.edu/cricoide9.jpg")</f>
        <v>https://nematode.unl.edu/cricoide9.jpg</v>
      </c>
      <c r="D2247" t="s">
        <v>43</v>
      </c>
      <c r="G2247" t="s">
        <v>677</v>
      </c>
      <c r="I2247" t="s">
        <v>41</v>
      </c>
      <c r="J2247" t="s">
        <v>662</v>
      </c>
      <c r="M2247" t="s">
        <v>657</v>
      </c>
      <c r="N2247" t="s">
        <v>658</v>
      </c>
      <c r="O2247" t="s">
        <v>23</v>
      </c>
      <c r="P2247" t="s">
        <v>24</v>
      </c>
      <c r="Q2247" t="s">
        <v>642</v>
      </c>
      <c r="R2247" t="s">
        <v>651</v>
      </c>
    </row>
    <row r="2248" spans="1:18" x14ac:dyDescent="0.25">
      <c r="A2248" t="s">
        <v>15119</v>
      </c>
      <c r="B2248" t="s">
        <v>8452</v>
      </c>
      <c r="C2248" t="str">
        <f>HYPERLINK("https://nematode.unl.edu/cricome1.jpg")</f>
        <v>https://nematode.unl.edu/cricome1.jpg</v>
      </c>
      <c r="D2248" t="s">
        <v>43</v>
      </c>
      <c r="G2248" t="s">
        <v>44</v>
      </c>
      <c r="I2248" t="s">
        <v>137</v>
      </c>
      <c r="J2248" t="s">
        <v>8453</v>
      </c>
      <c r="M2248" t="s">
        <v>8448</v>
      </c>
      <c r="N2248" t="s">
        <v>8448</v>
      </c>
      <c r="O2248" t="s">
        <v>23</v>
      </c>
      <c r="P2248" t="s">
        <v>24</v>
      </c>
      <c r="Q2248" t="s">
        <v>642</v>
      </c>
      <c r="R2248" t="s">
        <v>1214</v>
      </c>
    </row>
    <row r="2249" spans="1:18" x14ac:dyDescent="0.25">
      <c r="A2249" t="s">
        <v>15120</v>
      </c>
      <c r="B2249" t="s">
        <v>8454</v>
      </c>
      <c r="C2249" t="str">
        <f>HYPERLINK("https://nematode.unl.edu/cricome2.jpg")</f>
        <v>https://nematode.unl.edu/cricome2.jpg</v>
      </c>
      <c r="D2249" t="s">
        <v>43</v>
      </c>
      <c r="G2249" t="s">
        <v>44</v>
      </c>
      <c r="I2249" t="s">
        <v>19</v>
      </c>
      <c r="J2249" t="s">
        <v>8453</v>
      </c>
      <c r="M2249" t="s">
        <v>8448</v>
      </c>
      <c r="N2249" t="s">
        <v>8448</v>
      </c>
      <c r="O2249" t="s">
        <v>23</v>
      </c>
      <c r="P2249" t="s">
        <v>24</v>
      </c>
      <c r="Q2249" t="s">
        <v>642</v>
      </c>
      <c r="R2249" t="s">
        <v>1214</v>
      </c>
    </row>
    <row r="2250" spans="1:18" x14ac:dyDescent="0.25">
      <c r="A2250" t="s">
        <v>15095</v>
      </c>
      <c r="B2250" t="s">
        <v>8455</v>
      </c>
      <c r="C2250" t="str">
        <f>HYPERLINK("https://nematode.unl.edu/cricome3.jpg")</f>
        <v>https://nematode.unl.edu/cricome3.jpg</v>
      </c>
      <c r="D2250" t="s">
        <v>43</v>
      </c>
      <c r="G2250" t="s">
        <v>34</v>
      </c>
      <c r="H2250" t="s">
        <v>18</v>
      </c>
      <c r="I2250" t="s">
        <v>41</v>
      </c>
      <c r="J2250" t="s">
        <v>8453</v>
      </c>
      <c r="M2250" t="s">
        <v>8448</v>
      </c>
      <c r="N2250" t="s">
        <v>8448</v>
      </c>
      <c r="O2250" t="s">
        <v>23</v>
      </c>
      <c r="P2250" t="s">
        <v>24</v>
      </c>
      <c r="Q2250" t="s">
        <v>642</v>
      </c>
      <c r="R2250" t="s">
        <v>1214</v>
      </c>
    </row>
    <row r="2251" spans="1:18" x14ac:dyDescent="0.25">
      <c r="A2251" t="s">
        <v>15149</v>
      </c>
      <c r="B2251" t="s">
        <v>8456</v>
      </c>
      <c r="C2251" t="str">
        <f>HYPERLINK("https://nematode.unl.edu/cricome4.jpg")</f>
        <v>https://nematode.unl.edu/cricome4.jpg</v>
      </c>
      <c r="D2251" t="s">
        <v>43</v>
      </c>
      <c r="G2251" t="s">
        <v>28</v>
      </c>
      <c r="I2251" t="s">
        <v>41</v>
      </c>
      <c r="J2251" t="s">
        <v>8453</v>
      </c>
      <c r="M2251" t="s">
        <v>8448</v>
      </c>
      <c r="N2251" t="s">
        <v>8448</v>
      </c>
      <c r="O2251" t="s">
        <v>23</v>
      </c>
      <c r="P2251" t="s">
        <v>24</v>
      </c>
      <c r="Q2251" t="s">
        <v>642</v>
      </c>
      <c r="R2251" t="s">
        <v>1214</v>
      </c>
    </row>
    <row r="2252" spans="1:18" x14ac:dyDescent="0.25">
      <c r="A2252" t="s">
        <v>13717</v>
      </c>
      <c r="B2252" t="s">
        <v>3992</v>
      </c>
      <c r="C2252" t="str">
        <f>HYPERLINK("https://nematode.unl.edu/cricomex1.jpg")</f>
        <v>https://nematode.unl.edu/cricomex1.jpg</v>
      </c>
      <c r="D2252" t="s">
        <v>43</v>
      </c>
      <c r="G2252" t="s">
        <v>44</v>
      </c>
      <c r="I2252" t="s">
        <v>19</v>
      </c>
      <c r="J2252" t="s">
        <v>3993</v>
      </c>
      <c r="M2252" t="s">
        <v>651</v>
      </c>
      <c r="N2252" t="s">
        <v>651</v>
      </c>
      <c r="O2252" t="s">
        <v>23</v>
      </c>
      <c r="P2252" t="s">
        <v>24</v>
      </c>
      <c r="Q2252" t="s">
        <v>642</v>
      </c>
      <c r="R2252" t="s">
        <v>651</v>
      </c>
    </row>
    <row r="2253" spans="1:18" x14ac:dyDescent="0.25">
      <c r="A2253" t="s">
        <v>13709</v>
      </c>
      <c r="B2253" t="s">
        <v>3994</v>
      </c>
      <c r="C2253" t="str">
        <f>HYPERLINK("https://nematode.unl.edu/cricomex2.jpg")</f>
        <v>https://nematode.unl.edu/cricomex2.jpg</v>
      </c>
      <c r="D2253" t="s">
        <v>43</v>
      </c>
      <c r="G2253" t="s">
        <v>34</v>
      </c>
      <c r="H2253" t="s">
        <v>18</v>
      </c>
      <c r="I2253" t="s">
        <v>41</v>
      </c>
      <c r="J2253" t="s">
        <v>3993</v>
      </c>
      <c r="M2253" t="s">
        <v>651</v>
      </c>
      <c r="N2253" t="s">
        <v>651</v>
      </c>
      <c r="O2253" t="s">
        <v>23</v>
      </c>
      <c r="P2253" t="s">
        <v>24</v>
      </c>
      <c r="Q2253" t="s">
        <v>642</v>
      </c>
      <c r="R2253" t="s">
        <v>651</v>
      </c>
    </row>
    <row r="2254" spans="1:18" x14ac:dyDescent="0.25">
      <c r="A2254" t="s">
        <v>13728</v>
      </c>
      <c r="B2254" t="s">
        <v>3995</v>
      </c>
      <c r="C2254" t="str">
        <f>HYPERLINK("https://nematode.unl.edu/cricomex3.jpg")</f>
        <v>https://nematode.unl.edu/cricomex3.jpg</v>
      </c>
      <c r="D2254" t="s">
        <v>43</v>
      </c>
      <c r="G2254" t="s">
        <v>224</v>
      </c>
      <c r="I2254" t="s">
        <v>41</v>
      </c>
      <c r="J2254" t="s">
        <v>3993</v>
      </c>
      <c r="M2254" t="s">
        <v>651</v>
      </c>
      <c r="N2254" t="s">
        <v>651</v>
      </c>
      <c r="O2254" t="s">
        <v>23</v>
      </c>
      <c r="P2254" t="s">
        <v>24</v>
      </c>
      <c r="Q2254" t="s">
        <v>642</v>
      </c>
      <c r="R2254" t="s">
        <v>651</v>
      </c>
    </row>
    <row r="2255" spans="1:18" x14ac:dyDescent="0.25">
      <c r="A2255" t="s">
        <v>13718</v>
      </c>
      <c r="B2255" t="s">
        <v>3996</v>
      </c>
      <c r="C2255" t="str">
        <f>HYPERLINK("https://nematode.unl.edu/cricomex4.jpg")</f>
        <v>https://nematode.unl.edu/cricomex4.jpg</v>
      </c>
      <c r="D2255" t="s">
        <v>43</v>
      </c>
      <c r="G2255" t="s">
        <v>44</v>
      </c>
      <c r="I2255" t="s">
        <v>19</v>
      </c>
      <c r="J2255" t="s">
        <v>3993</v>
      </c>
      <c r="M2255" t="s">
        <v>651</v>
      </c>
      <c r="N2255" t="s">
        <v>651</v>
      </c>
      <c r="O2255" t="s">
        <v>23</v>
      </c>
      <c r="P2255" t="s">
        <v>24</v>
      </c>
      <c r="Q2255" t="s">
        <v>642</v>
      </c>
      <c r="R2255" t="s">
        <v>651</v>
      </c>
    </row>
    <row r="2256" spans="1:18" x14ac:dyDescent="0.25">
      <c r="A2256" t="s">
        <v>13710</v>
      </c>
      <c r="B2256" t="s">
        <v>3997</v>
      </c>
      <c r="C2256" t="str">
        <f>HYPERLINK("https://nematode.unl.edu/cricomex5.jpg")</f>
        <v>https://nematode.unl.edu/cricomex5.jpg</v>
      </c>
      <c r="D2256" t="s">
        <v>43</v>
      </c>
      <c r="G2256" t="s">
        <v>34</v>
      </c>
      <c r="H2256" t="s">
        <v>18</v>
      </c>
      <c r="I2256" t="s">
        <v>41</v>
      </c>
      <c r="J2256" t="s">
        <v>3993</v>
      </c>
      <c r="M2256" t="s">
        <v>651</v>
      </c>
      <c r="N2256" t="s">
        <v>651</v>
      </c>
      <c r="O2256" t="s">
        <v>23</v>
      </c>
      <c r="P2256" t="s">
        <v>24</v>
      </c>
      <c r="Q2256" t="s">
        <v>642</v>
      </c>
      <c r="R2256" t="s">
        <v>651</v>
      </c>
    </row>
    <row r="2257" spans="1:18" x14ac:dyDescent="0.25">
      <c r="A2257" t="s">
        <v>13734</v>
      </c>
      <c r="B2257" t="s">
        <v>3998</v>
      </c>
      <c r="C2257" t="str">
        <f>HYPERLINK("https://nematode.unl.edu/cricomex6.jpg")</f>
        <v>https://nematode.unl.edu/cricomex6.jpg</v>
      </c>
      <c r="D2257" t="s">
        <v>43</v>
      </c>
      <c r="G2257" t="s">
        <v>28</v>
      </c>
      <c r="I2257" t="s">
        <v>41</v>
      </c>
      <c r="J2257" t="s">
        <v>3993</v>
      </c>
      <c r="M2257" t="s">
        <v>651</v>
      </c>
      <c r="N2257" t="s">
        <v>651</v>
      </c>
      <c r="O2257" t="s">
        <v>23</v>
      </c>
      <c r="P2257" t="s">
        <v>24</v>
      </c>
      <c r="Q2257" t="s">
        <v>642</v>
      </c>
      <c r="R2257" t="s">
        <v>651</v>
      </c>
    </row>
    <row r="2258" spans="1:18" x14ac:dyDescent="0.25">
      <c r="A2258" t="s">
        <v>13786</v>
      </c>
      <c r="B2258" t="s">
        <v>4070</v>
      </c>
      <c r="C2258" t="str">
        <f>HYPERLINK("https://nematode.unl.edu/cricomo1.jpg")</f>
        <v>https://nematode.unl.edu/cricomo1.jpg</v>
      </c>
      <c r="D2258" t="s">
        <v>16</v>
      </c>
      <c r="G2258" t="s">
        <v>34</v>
      </c>
      <c r="H2258" t="s">
        <v>18</v>
      </c>
      <c r="I2258" t="s">
        <v>41</v>
      </c>
      <c r="J2258" t="s">
        <v>1504</v>
      </c>
      <c r="M2258" t="s">
        <v>4071</v>
      </c>
      <c r="N2258" t="s">
        <v>4071</v>
      </c>
      <c r="O2258" t="s">
        <v>23</v>
      </c>
      <c r="P2258" t="s">
        <v>24</v>
      </c>
      <c r="Q2258" t="s">
        <v>642</v>
      </c>
      <c r="R2258" t="s">
        <v>4071</v>
      </c>
    </row>
    <row r="2259" spans="1:18" x14ac:dyDescent="0.25">
      <c r="A2259" t="s">
        <v>15427</v>
      </c>
      <c r="B2259" t="s">
        <v>1503</v>
      </c>
      <c r="C2259" t="str">
        <f>HYPERLINK("https://nematode.unl.edu/cricomo10.jpg")</f>
        <v>https://nematode.unl.edu/cricomo10.jpg</v>
      </c>
      <c r="D2259" t="s">
        <v>43</v>
      </c>
      <c r="G2259" t="s">
        <v>44</v>
      </c>
      <c r="I2259" t="s">
        <v>19</v>
      </c>
      <c r="J2259" t="s">
        <v>1504</v>
      </c>
      <c r="M2259" t="s">
        <v>1505</v>
      </c>
      <c r="N2259" t="s">
        <v>1506</v>
      </c>
      <c r="O2259" t="s">
        <v>23</v>
      </c>
      <c r="P2259" t="s">
        <v>24</v>
      </c>
      <c r="Q2259" t="s">
        <v>642</v>
      </c>
      <c r="R2259" t="s">
        <v>1417</v>
      </c>
    </row>
    <row r="2260" spans="1:18" x14ac:dyDescent="0.25">
      <c r="A2260" t="s">
        <v>15426</v>
      </c>
      <c r="B2260" t="s">
        <v>1507</v>
      </c>
      <c r="C2260" t="str">
        <f>HYPERLINK("https://nematode.unl.edu/cricomo11.jpg")</f>
        <v>https://nematode.unl.edu/cricomo11.jpg</v>
      </c>
      <c r="D2260" t="s">
        <v>43</v>
      </c>
      <c r="G2260" t="s">
        <v>34</v>
      </c>
      <c r="H2260" t="s">
        <v>18</v>
      </c>
      <c r="I2260" t="s">
        <v>41</v>
      </c>
      <c r="J2260" t="s">
        <v>1504</v>
      </c>
      <c r="M2260" t="s">
        <v>1505</v>
      </c>
      <c r="N2260" t="s">
        <v>1506</v>
      </c>
      <c r="O2260" t="s">
        <v>23</v>
      </c>
      <c r="P2260" t="s">
        <v>24</v>
      </c>
      <c r="Q2260" t="s">
        <v>642</v>
      </c>
      <c r="R2260" t="s">
        <v>1417</v>
      </c>
    </row>
    <row r="2261" spans="1:18" x14ac:dyDescent="0.25">
      <c r="A2261" t="s">
        <v>15431</v>
      </c>
      <c r="B2261" t="s">
        <v>1508</v>
      </c>
      <c r="C2261" t="str">
        <f>HYPERLINK("https://nematode.unl.edu/cricomo12.jpg")</f>
        <v>https://nematode.unl.edu/cricomo12.jpg</v>
      </c>
      <c r="D2261" t="s">
        <v>43</v>
      </c>
      <c r="G2261" t="s">
        <v>647</v>
      </c>
      <c r="I2261" t="s">
        <v>41</v>
      </c>
      <c r="J2261" t="s">
        <v>1504</v>
      </c>
      <c r="M2261" t="s">
        <v>1505</v>
      </c>
      <c r="N2261" t="s">
        <v>1506</v>
      </c>
      <c r="O2261" t="s">
        <v>23</v>
      </c>
      <c r="P2261" t="s">
        <v>24</v>
      </c>
      <c r="Q2261" t="s">
        <v>642</v>
      </c>
      <c r="R2261" t="s">
        <v>1417</v>
      </c>
    </row>
    <row r="2262" spans="1:18" x14ac:dyDescent="0.25">
      <c r="A2262" t="s">
        <v>15433</v>
      </c>
      <c r="B2262" t="s">
        <v>1509</v>
      </c>
      <c r="C2262" t="str">
        <f>HYPERLINK("https://nematode.unl.edu/cricomo13.jpg")</f>
        <v>https://nematode.unl.edu/cricomo13.jpg</v>
      </c>
      <c r="D2262" t="s">
        <v>43</v>
      </c>
      <c r="G2262" t="s">
        <v>28</v>
      </c>
      <c r="I2262" t="s">
        <v>41</v>
      </c>
      <c r="J2262" t="s">
        <v>1504</v>
      </c>
      <c r="M2262" t="s">
        <v>1505</v>
      </c>
      <c r="N2262" t="s">
        <v>1506</v>
      </c>
      <c r="O2262" t="s">
        <v>23</v>
      </c>
      <c r="P2262" t="s">
        <v>24</v>
      </c>
      <c r="Q2262" t="s">
        <v>642</v>
      </c>
      <c r="R2262" t="s">
        <v>1417</v>
      </c>
    </row>
    <row r="2263" spans="1:18" x14ac:dyDescent="0.25">
      <c r="A2263" t="s">
        <v>13789</v>
      </c>
      <c r="B2263" t="s">
        <v>4072</v>
      </c>
      <c r="C2263" t="str">
        <f>HYPERLINK("https://nematode.unl.edu/cricomo2.jpg")</f>
        <v>https://nematode.unl.edu/cricomo2.jpg</v>
      </c>
      <c r="D2263" t="s">
        <v>16</v>
      </c>
      <c r="G2263" t="s">
        <v>224</v>
      </c>
      <c r="I2263" t="s">
        <v>41</v>
      </c>
      <c r="J2263" t="s">
        <v>1504</v>
      </c>
      <c r="M2263" t="s">
        <v>4071</v>
      </c>
      <c r="N2263" t="s">
        <v>4071</v>
      </c>
      <c r="O2263" t="s">
        <v>23</v>
      </c>
      <c r="P2263" t="s">
        <v>24</v>
      </c>
      <c r="Q2263" t="s">
        <v>642</v>
      </c>
      <c r="R2263" t="s">
        <v>4071</v>
      </c>
    </row>
    <row r="2264" spans="1:18" x14ac:dyDescent="0.25">
      <c r="A2264" t="s">
        <v>13790</v>
      </c>
      <c r="B2264" t="s">
        <v>4073</v>
      </c>
      <c r="C2264" t="str">
        <f>HYPERLINK("https://nematode.unl.edu/cricomo3.jpg")</f>
        <v>https://nematode.unl.edu/cricomo3.jpg</v>
      </c>
      <c r="D2264" t="s">
        <v>16</v>
      </c>
      <c r="G2264" t="s">
        <v>224</v>
      </c>
      <c r="I2264" t="s">
        <v>41</v>
      </c>
      <c r="J2264" t="s">
        <v>1504</v>
      </c>
      <c r="M2264" t="s">
        <v>4071</v>
      </c>
      <c r="N2264" t="s">
        <v>4071</v>
      </c>
      <c r="O2264" t="s">
        <v>23</v>
      </c>
      <c r="P2264" t="s">
        <v>24</v>
      </c>
      <c r="Q2264" t="s">
        <v>642</v>
      </c>
      <c r="R2264" t="s">
        <v>4071</v>
      </c>
    </row>
    <row r="2265" spans="1:18" x14ac:dyDescent="0.25">
      <c r="A2265" t="s">
        <v>13791</v>
      </c>
      <c r="B2265" t="s">
        <v>4074</v>
      </c>
      <c r="C2265" t="str">
        <f>HYPERLINK("https://nematode.unl.edu/cricomo4.jpg")</f>
        <v>https://nematode.unl.edu/cricomo4.jpg</v>
      </c>
      <c r="D2265" t="s">
        <v>16</v>
      </c>
      <c r="G2265" t="s">
        <v>224</v>
      </c>
      <c r="I2265" t="s">
        <v>41</v>
      </c>
      <c r="J2265" t="s">
        <v>1504</v>
      </c>
      <c r="M2265" t="s">
        <v>4071</v>
      </c>
      <c r="N2265" t="s">
        <v>4071</v>
      </c>
      <c r="O2265" t="s">
        <v>23</v>
      </c>
      <c r="P2265" t="s">
        <v>24</v>
      </c>
      <c r="Q2265" t="s">
        <v>642</v>
      </c>
      <c r="R2265" t="s">
        <v>4071</v>
      </c>
    </row>
    <row r="2266" spans="1:18" x14ac:dyDescent="0.25">
      <c r="A2266" t="s">
        <v>13788</v>
      </c>
      <c r="B2266" t="s">
        <v>4075</v>
      </c>
      <c r="C2266" t="str">
        <f>HYPERLINK("https://nematode.unl.edu/cricomo5.jpg")</f>
        <v>https://nematode.unl.edu/cricomo5.jpg</v>
      </c>
      <c r="D2266" t="s">
        <v>16</v>
      </c>
      <c r="G2266" t="s">
        <v>44</v>
      </c>
      <c r="I2266" t="s">
        <v>19</v>
      </c>
      <c r="J2266" t="s">
        <v>1504</v>
      </c>
      <c r="M2266" t="s">
        <v>4071</v>
      </c>
      <c r="N2266" t="s">
        <v>4071</v>
      </c>
      <c r="O2266" t="s">
        <v>23</v>
      </c>
      <c r="P2266" t="s">
        <v>24</v>
      </c>
      <c r="Q2266" t="s">
        <v>642</v>
      </c>
      <c r="R2266" t="s">
        <v>4071</v>
      </c>
    </row>
    <row r="2267" spans="1:18" x14ac:dyDescent="0.25">
      <c r="A2267" t="s">
        <v>13787</v>
      </c>
      <c r="B2267" t="s">
        <v>4076</v>
      </c>
      <c r="C2267" t="str">
        <f>HYPERLINK("https://nematode.unl.edu/cricomo6.jpg")</f>
        <v>https://nematode.unl.edu/cricomo6.jpg</v>
      </c>
      <c r="D2267" t="s">
        <v>16</v>
      </c>
      <c r="G2267" t="s">
        <v>34</v>
      </c>
      <c r="H2267" t="s">
        <v>18</v>
      </c>
      <c r="I2267" t="s">
        <v>41</v>
      </c>
      <c r="J2267" t="s">
        <v>1504</v>
      </c>
      <c r="M2267" t="s">
        <v>4071</v>
      </c>
      <c r="N2267" t="s">
        <v>4071</v>
      </c>
      <c r="O2267" t="s">
        <v>23</v>
      </c>
      <c r="P2267" t="s">
        <v>24</v>
      </c>
      <c r="Q2267" t="s">
        <v>642</v>
      </c>
      <c r="R2267" t="s">
        <v>4071</v>
      </c>
    </row>
    <row r="2268" spans="1:18" x14ac:dyDescent="0.25">
      <c r="A2268" t="s">
        <v>13792</v>
      </c>
      <c r="B2268" t="s">
        <v>4077</v>
      </c>
      <c r="C2268" t="str">
        <f>HYPERLINK("https://nematode.unl.edu/cricomo7.jpg")</f>
        <v>https://nematode.unl.edu/cricomo7.jpg</v>
      </c>
      <c r="D2268" t="s">
        <v>16</v>
      </c>
      <c r="G2268" t="s">
        <v>224</v>
      </c>
      <c r="I2268" t="s">
        <v>41</v>
      </c>
      <c r="J2268" t="s">
        <v>1504</v>
      </c>
      <c r="M2268" t="s">
        <v>4071</v>
      </c>
      <c r="N2268" t="s">
        <v>4071</v>
      </c>
      <c r="O2268" t="s">
        <v>23</v>
      </c>
      <c r="P2268" t="s">
        <v>24</v>
      </c>
      <c r="Q2268" t="s">
        <v>642</v>
      </c>
      <c r="R2268" t="s">
        <v>4071</v>
      </c>
    </row>
    <row r="2269" spans="1:18" x14ac:dyDescent="0.25">
      <c r="A2269" t="s">
        <v>13793</v>
      </c>
      <c r="B2269" t="s">
        <v>4078</v>
      </c>
      <c r="C2269" t="str">
        <f>HYPERLINK("https://nematode.unl.edu/cricomo8.jpg")</f>
        <v>https://nematode.unl.edu/cricomo8.jpg</v>
      </c>
      <c r="D2269" t="s">
        <v>16</v>
      </c>
      <c r="G2269" t="s">
        <v>4079</v>
      </c>
      <c r="I2269" t="s">
        <v>41</v>
      </c>
      <c r="J2269" t="s">
        <v>1504</v>
      </c>
      <c r="M2269" t="s">
        <v>4071</v>
      </c>
      <c r="N2269" t="s">
        <v>4071</v>
      </c>
      <c r="O2269" t="s">
        <v>23</v>
      </c>
      <c r="P2269" t="s">
        <v>24</v>
      </c>
      <c r="Q2269" t="s">
        <v>642</v>
      </c>
      <c r="R2269" t="s">
        <v>4071</v>
      </c>
    </row>
    <row r="2270" spans="1:18" x14ac:dyDescent="0.25">
      <c r="A2270" t="s">
        <v>15428</v>
      </c>
      <c r="B2270" t="s">
        <v>1510</v>
      </c>
      <c r="C2270" t="str">
        <f>HYPERLINK("https://nematode.unl.edu/cricomo9.jpg")</f>
        <v>https://nematode.unl.edu/cricomo9.jpg</v>
      </c>
      <c r="D2270" t="s">
        <v>43</v>
      </c>
      <c r="G2270" t="s">
        <v>44</v>
      </c>
      <c r="I2270" t="s">
        <v>137</v>
      </c>
      <c r="J2270" t="s">
        <v>1504</v>
      </c>
      <c r="M2270" t="s">
        <v>1505</v>
      </c>
      <c r="N2270" t="s">
        <v>1506</v>
      </c>
      <c r="O2270" t="s">
        <v>23</v>
      </c>
      <c r="P2270" t="s">
        <v>24</v>
      </c>
      <c r="Q2270" t="s">
        <v>642</v>
      </c>
      <c r="R2270" t="s">
        <v>1417</v>
      </c>
    </row>
    <row r="2271" spans="1:18" x14ac:dyDescent="0.25">
      <c r="A2271" t="s">
        <v>13655</v>
      </c>
      <c r="B2271" t="s">
        <v>3924</v>
      </c>
      <c r="C2271" t="str">
        <f>HYPERLINK("https://nematode.unl.edu/cricomosno1.jpg")</f>
        <v>https://nematode.unl.edu/cricomosno1.jpg</v>
      </c>
      <c r="D2271" t="s">
        <v>43</v>
      </c>
      <c r="G2271" t="s">
        <v>44</v>
      </c>
      <c r="I2271" t="s">
        <v>19</v>
      </c>
      <c r="J2271" t="s">
        <v>3925</v>
      </c>
      <c r="K2271" t="s">
        <v>22855</v>
      </c>
      <c r="L2271" t="s">
        <v>22856</v>
      </c>
      <c r="M2271" t="s">
        <v>643</v>
      </c>
      <c r="N2271" t="s">
        <v>643</v>
      </c>
      <c r="O2271" t="s">
        <v>23</v>
      </c>
      <c r="P2271" t="s">
        <v>24</v>
      </c>
      <c r="Q2271" t="s">
        <v>642</v>
      </c>
      <c r="R2271" t="s">
        <v>643</v>
      </c>
    </row>
    <row r="2272" spans="1:18" x14ac:dyDescent="0.25">
      <c r="A2272" t="s">
        <v>13647</v>
      </c>
      <c r="B2272" t="s">
        <v>3926</v>
      </c>
      <c r="C2272" t="str">
        <f>HYPERLINK("https://nematode.unl.edu/cricomosno2.jpg")</f>
        <v>https://nematode.unl.edu/cricomosno2.jpg</v>
      </c>
      <c r="D2272" t="s">
        <v>43</v>
      </c>
      <c r="G2272" t="s">
        <v>34</v>
      </c>
      <c r="H2272" t="s">
        <v>18</v>
      </c>
      <c r="I2272" t="s">
        <v>41</v>
      </c>
      <c r="J2272" t="s">
        <v>3925</v>
      </c>
      <c r="K2272" t="s">
        <v>22855</v>
      </c>
      <c r="L2272" t="s">
        <v>22856</v>
      </c>
      <c r="M2272" t="s">
        <v>643</v>
      </c>
      <c r="N2272" t="s">
        <v>643</v>
      </c>
      <c r="O2272" t="s">
        <v>23</v>
      </c>
      <c r="P2272" t="s">
        <v>24</v>
      </c>
      <c r="Q2272" t="s">
        <v>642</v>
      </c>
      <c r="R2272" t="s">
        <v>643</v>
      </c>
    </row>
    <row r="2273" spans="1:18" x14ac:dyDescent="0.25">
      <c r="A2273" t="s">
        <v>13652</v>
      </c>
      <c r="B2273" t="s">
        <v>3927</v>
      </c>
      <c r="C2273" t="str">
        <f>HYPERLINK("https://nematode.unl.edu/cricomosno3.jpg")</f>
        <v>https://nematode.unl.edu/cricomosno3.jpg</v>
      </c>
      <c r="D2273" t="s">
        <v>43</v>
      </c>
      <c r="G2273" t="s">
        <v>3928</v>
      </c>
      <c r="H2273" t="s">
        <v>18</v>
      </c>
      <c r="I2273" t="s">
        <v>41</v>
      </c>
      <c r="J2273" t="s">
        <v>3925</v>
      </c>
      <c r="K2273" t="s">
        <v>22855</v>
      </c>
      <c r="L2273" t="s">
        <v>22856</v>
      </c>
      <c r="M2273" t="s">
        <v>643</v>
      </c>
      <c r="N2273" t="s">
        <v>643</v>
      </c>
      <c r="O2273" t="s">
        <v>23</v>
      </c>
      <c r="P2273" t="s">
        <v>24</v>
      </c>
      <c r="Q2273" t="s">
        <v>642</v>
      </c>
      <c r="R2273" t="s">
        <v>643</v>
      </c>
    </row>
    <row r="2274" spans="1:18" x14ac:dyDescent="0.25">
      <c r="A2274" t="s">
        <v>13668</v>
      </c>
      <c r="B2274" t="s">
        <v>3929</v>
      </c>
      <c r="C2274" t="str">
        <f>HYPERLINK("https://nematode.unl.edu/cricomosno4.jpg")</f>
        <v>https://nematode.unl.edu/cricomosno4.jpg</v>
      </c>
      <c r="D2274" t="s">
        <v>43</v>
      </c>
      <c r="G2274" t="s">
        <v>28</v>
      </c>
      <c r="I2274" t="s">
        <v>41</v>
      </c>
      <c r="J2274" t="s">
        <v>3925</v>
      </c>
      <c r="K2274" t="s">
        <v>22855</v>
      </c>
      <c r="L2274" t="s">
        <v>22856</v>
      </c>
      <c r="M2274" t="s">
        <v>643</v>
      </c>
      <c r="N2274" t="s">
        <v>643</v>
      </c>
      <c r="O2274" t="s">
        <v>23</v>
      </c>
      <c r="P2274" t="s">
        <v>24</v>
      </c>
      <c r="Q2274" t="s">
        <v>642</v>
      </c>
      <c r="R2274" t="s">
        <v>643</v>
      </c>
    </row>
    <row r="2275" spans="1:18" x14ac:dyDescent="0.25">
      <c r="A2275" t="s">
        <v>13664</v>
      </c>
      <c r="B2275" t="s">
        <v>3930</v>
      </c>
      <c r="C2275" t="str">
        <f>HYPERLINK("https://nematode.unl.edu/cricomosno5.jpg")</f>
        <v>https://nematode.unl.edu/cricomosno5.jpg</v>
      </c>
      <c r="D2275" t="s">
        <v>43</v>
      </c>
      <c r="G2275" t="s">
        <v>3931</v>
      </c>
      <c r="I2275" t="s">
        <v>41</v>
      </c>
      <c r="J2275" t="s">
        <v>3925</v>
      </c>
      <c r="K2275" t="s">
        <v>22855</v>
      </c>
      <c r="L2275" t="s">
        <v>22856</v>
      </c>
      <c r="M2275" t="s">
        <v>643</v>
      </c>
      <c r="N2275" t="s">
        <v>643</v>
      </c>
      <c r="O2275" t="s">
        <v>23</v>
      </c>
      <c r="P2275" t="s">
        <v>24</v>
      </c>
      <c r="Q2275" t="s">
        <v>642</v>
      </c>
      <c r="R2275" t="s">
        <v>643</v>
      </c>
    </row>
    <row r="2276" spans="1:18" x14ac:dyDescent="0.25">
      <c r="A2276" t="s">
        <v>13719</v>
      </c>
      <c r="B2276" t="s">
        <v>3999</v>
      </c>
      <c r="C2276" t="str">
        <f>HYPERLINK("https://nematode.unl.edu/cricomt1.jpg")</f>
        <v>https://nematode.unl.edu/cricomt1.jpg</v>
      </c>
      <c r="D2276" t="s">
        <v>43</v>
      </c>
      <c r="G2276" t="s">
        <v>44</v>
      </c>
      <c r="I2276" t="s">
        <v>19</v>
      </c>
      <c r="J2276" t="s">
        <v>4000</v>
      </c>
      <c r="M2276" t="s">
        <v>651</v>
      </c>
      <c r="N2276" t="s">
        <v>651</v>
      </c>
      <c r="O2276" t="s">
        <v>23</v>
      </c>
      <c r="P2276" t="s">
        <v>24</v>
      </c>
      <c r="Q2276" t="s">
        <v>642</v>
      </c>
      <c r="R2276" t="s">
        <v>651</v>
      </c>
    </row>
    <row r="2277" spans="1:18" x14ac:dyDescent="0.25">
      <c r="A2277" t="s">
        <v>13711</v>
      </c>
      <c r="B2277" t="s">
        <v>4001</v>
      </c>
      <c r="C2277" t="str">
        <f>HYPERLINK("https://nematode.unl.edu/cricomt10.jpg")</f>
        <v>https://nematode.unl.edu/cricomt10.jpg</v>
      </c>
      <c r="D2277" t="s">
        <v>43</v>
      </c>
      <c r="G2277" t="s">
        <v>34</v>
      </c>
      <c r="H2277" t="s">
        <v>18</v>
      </c>
      <c r="I2277" t="s">
        <v>41</v>
      </c>
      <c r="J2277" t="s">
        <v>4000</v>
      </c>
      <c r="M2277" t="s">
        <v>651</v>
      </c>
      <c r="N2277" t="s">
        <v>651</v>
      </c>
      <c r="O2277" t="s">
        <v>23</v>
      </c>
      <c r="P2277" t="s">
        <v>24</v>
      </c>
      <c r="Q2277" t="s">
        <v>642</v>
      </c>
      <c r="R2277" t="s">
        <v>651</v>
      </c>
    </row>
    <row r="2278" spans="1:18" x14ac:dyDescent="0.25">
      <c r="A2278" t="s">
        <v>13735</v>
      </c>
      <c r="B2278" t="s">
        <v>4002</v>
      </c>
      <c r="C2278" t="str">
        <f>HYPERLINK("https://nematode.unl.edu/cricomt11.jpg")</f>
        <v>https://nematode.unl.edu/cricomt11.jpg</v>
      </c>
      <c r="D2278" t="s">
        <v>43</v>
      </c>
      <c r="G2278" t="s">
        <v>28</v>
      </c>
      <c r="I2278" t="s">
        <v>41</v>
      </c>
      <c r="J2278" t="s">
        <v>4000</v>
      </c>
      <c r="M2278" t="s">
        <v>651</v>
      </c>
      <c r="N2278" t="s">
        <v>651</v>
      </c>
      <c r="O2278" t="s">
        <v>23</v>
      </c>
      <c r="P2278" t="s">
        <v>24</v>
      </c>
      <c r="Q2278" t="s">
        <v>642</v>
      </c>
      <c r="R2278" t="s">
        <v>651</v>
      </c>
    </row>
    <row r="2279" spans="1:18" x14ac:dyDescent="0.25">
      <c r="A2279" t="s">
        <v>13729</v>
      </c>
      <c r="B2279" t="s">
        <v>4003</v>
      </c>
      <c r="C2279" t="str">
        <f>HYPERLINK("https://nematode.unl.edu/cricomt12.jpg")</f>
        <v>https://nematode.unl.edu/cricomt12.jpg</v>
      </c>
      <c r="D2279" t="s">
        <v>43</v>
      </c>
      <c r="G2279" t="s">
        <v>647</v>
      </c>
      <c r="I2279" t="s">
        <v>41</v>
      </c>
      <c r="J2279" t="s">
        <v>4000</v>
      </c>
      <c r="M2279" t="s">
        <v>651</v>
      </c>
      <c r="N2279" t="s">
        <v>651</v>
      </c>
      <c r="O2279" t="s">
        <v>23</v>
      </c>
      <c r="P2279" t="s">
        <v>24</v>
      </c>
      <c r="Q2279" t="s">
        <v>642</v>
      </c>
      <c r="R2279" t="s">
        <v>651</v>
      </c>
    </row>
    <row r="2280" spans="1:18" x14ac:dyDescent="0.25">
      <c r="A2280" t="s">
        <v>13720</v>
      </c>
      <c r="B2280" t="s">
        <v>4004</v>
      </c>
      <c r="C2280" t="str">
        <f>HYPERLINK("https://nematode.unl.edu/cricomt13.jpg")</f>
        <v>https://nematode.unl.edu/cricomt13.jpg</v>
      </c>
      <c r="D2280" t="s">
        <v>43</v>
      </c>
      <c r="G2280" t="s">
        <v>44</v>
      </c>
      <c r="I2280" t="s">
        <v>19</v>
      </c>
      <c r="J2280" t="s">
        <v>4000</v>
      </c>
      <c r="M2280" t="s">
        <v>651</v>
      </c>
      <c r="N2280" t="s">
        <v>651</v>
      </c>
      <c r="O2280" t="s">
        <v>23</v>
      </c>
      <c r="P2280" t="s">
        <v>24</v>
      </c>
      <c r="Q2280" t="s">
        <v>642</v>
      </c>
      <c r="R2280" t="s">
        <v>651</v>
      </c>
    </row>
    <row r="2281" spans="1:18" x14ac:dyDescent="0.25">
      <c r="A2281" t="s">
        <v>13712</v>
      </c>
      <c r="B2281" t="s">
        <v>4005</v>
      </c>
      <c r="C2281" t="str">
        <f>HYPERLINK("https://nematode.unl.edu/cricomt14.jpg")</f>
        <v>https://nematode.unl.edu/cricomt14.jpg</v>
      </c>
      <c r="D2281" t="s">
        <v>43</v>
      </c>
      <c r="G2281" t="s">
        <v>34</v>
      </c>
      <c r="H2281" t="s">
        <v>18</v>
      </c>
      <c r="I2281" t="s">
        <v>41</v>
      </c>
      <c r="J2281" t="s">
        <v>4000</v>
      </c>
      <c r="M2281" t="s">
        <v>651</v>
      </c>
      <c r="N2281" t="s">
        <v>651</v>
      </c>
      <c r="O2281" t="s">
        <v>23</v>
      </c>
      <c r="P2281" t="s">
        <v>24</v>
      </c>
      <c r="Q2281" t="s">
        <v>642</v>
      </c>
      <c r="R2281" t="s">
        <v>651</v>
      </c>
    </row>
    <row r="2282" spans="1:18" x14ac:dyDescent="0.25">
      <c r="A2282" t="s">
        <v>13736</v>
      </c>
      <c r="B2282" t="s">
        <v>4006</v>
      </c>
      <c r="C2282" t="str">
        <f>HYPERLINK("https://nematode.unl.edu/cricomt15.jpg")</f>
        <v>https://nematode.unl.edu/cricomt15.jpg</v>
      </c>
      <c r="D2282" t="s">
        <v>43</v>
      </c>
      <c r="G2282" t="s">
        <v>28</v>
      </c>
      <c r="I2282" t="s">
        <v>41</v>
      </c>
      <c r="J2282" t="s">
        <v>4000</v>
      </c>
      <c r="M2282" t="s">
        <v>651</v>
      </c>
      <c r="N2282" t="s">
        <v>651</v>
      </c>
      <c r="O2282" t="s">
        <v>23</v>
      </c>
      <c r="P2282" t="s">
        <v>24</v>
      </c>
      <c r="Q2282" t="s">
        <v>642</v>
      </c>
      <c r="R2282" t="s">
        <v>651</v>
      </c>
    </row>
    <row r="2283" spans="1:18" x14ac:dyDescent="0.25">
      <c r="A2283" t="s">
        <v>13730</v>
      </c>
      <c r="B2283" t="s">
        <v>4007</v>
      </c>
      <c r="C2283" t="str">
        <f>HYPERLINK("https://nematode.unl.edu/cricomt16.jpg")</f>
        <v>https://nematode.unl.edu/cricomt16.jpg</v>
      </c>
      <c r="D2283" t="s">
        <v>43</v>
      </c>
      <c r="G2283" t="s">
        <v>647</v>
      </c>
      <c r="I2283" t="s">
        <v>41</v>
      </c>
      <c r="J2283" t="s">
        <v>4000</v>
      </c>
      <c r="M2283" t="s">
        <v>651</v>
      </c>
      <c r="N2283" t="s">
        <v>651</v>
      </c>
      <c r="O2283" t="s">
        <v>23</v>
      </c>
      <c r="P2283" t="s">
        <v>24</v>
      </c>
      <c r="Q2283" t="s">
        <v>642</v>
      </c>
      <c r="R2283" t="s">
        <v>651</v>
      </c>
    </row>
    <row r="2284" spans="1:18" x14ac:dyDescent="0.25">
      <c r="A2284" t="s">
        <v>13721</v>
      </c>
      <c r="B2284" t="s">
        <v>4008</v>
      </c>
      <c r="C2284" t="str">
        <f>HYPERLINK("https://nematode.unl.edu/cricomt17.jpg")</f>
        <v>https://nematode.unl.edu/cricomt17.jpg</v>
      </c>
      <c r="D2284" t="s">
        <v>43</v>
      </c>
      <c r="G2284" t="s">
        <v>44</v>
      </c>
      <c r="I2284" t="s">
        <v>19</v>
      </c>
      <c r="J2284" t="s">
        <v>4000</v>
      </c>
      <c r="M2284" t="s">
        <v>651</v>
      </c>
      <c r="N2284" t="s">
        <v>651</v>
      </c>
      <c r="O2284" t="s">
        <v>23</v>
      </c>
      <c r="P2284" t="s">
        <v>24</v>
      </c>
      <c r="Q2284" t="s">
        <v>642</v>
      </c>
      <c r="R2284" t="s">
        <v>651</v>
      </c>
    </row>
    <row r="2285" spans="1:18" x14ac:dyDescent="0.25">
      <c r="A2285" t="s">
        <v>13713</v>
      </c>
      <c r="B2285" t="s">
        <v>4009</v>
      </c>
      <c r="C2285" t="str">
        <f>HYPERLINK("https://nematode.unl.edu/cricomt18.jpg")</f>
        <v>https://nematode.unl.edu/cricomt18.jpg</v>
      </c>
      <c r="D2285" t="s">
        <v>43</v>
      </c>
      <c r="G2285" t="s">
        <v>34</v>
      </c>
      <c r="H2285" t="s">
        <v>18</v>
      </c>
      <c r="I2285" t="s">
        <v>41</v>
      </c>
      <c r="J2285" t="s">
        <v>4000</v>
      </c>
      <c r="M2285" t="s">
        <v>651</v>
      </c>
      <c r="N2285" t="s">
        <v>651</v>
      </c>
      <c r="O2285" t="s">
        <v>23</v>
      </c>
      <c r="P2285" t="s">
        <v>24</v>
      </c>
      <c r="Q2285" t="s">
        <v>642</v>
      </c>
      <c r="R2285" t="s">
        <v>651</v>
      </c>
    </row>
    <row r="2286" spans="1:18" x14ac:dyDescent="0.25">
      <c r="A2286" t="s">
        <v>13731</v>
      </c>
      <c r="B2286" t="s">
        <v>4010</v>
      </c>
      <c r="C2286" t="str">
        <f>HYPERLINK("https://nematode.unl.edu/cricomt19.jpg")</f>
        <v>https://nematode.unl.edu/cricomt19.jpg</v>
      </c>
      <c r="D2286" t="s">
        <v>43</v>
      </c>
      <c r="G2286" t="s">
        <v>647</v>
      </c>
      <c r="I2286" t="s">
        <v>41</v>
      </c>
      <c r="J2286" t="s">
        <v>4000</v>
      </c>
      <c r="M2286" t="s">
        <v>651</v>
      </c>
      <c r="N2286" t="s">
        <v>651</v>
      </c>
      <c r="O2286" t="s">
        <v>23</v>
      </c>
      <c r="P2286" t="s">
        <v>24</v>
      </c>
      <c r="Q2286" t="s">
        <v>642</v>
      </c>
      <c r="R2286" t="s">
        <v>651</v>
      </c>
    </row>
    <row r="2287" spans="1:18" x14ac:dyDescent="0.25">
      <c r="A2287" t="s">
        <v>13714</v>
      </c>
      <c r="B2287" t="s">
        <v>4011</v>
      </c>
      <c r="C2287" t="str">
        <f>HYPERLINK("https://nematode.unl.edu/cricomt2.jpg")</f>
        <v>https://nematode.unl.edu/cricomt2.jpg</v>
      </c>
      <c r="D2287" t="s">
        <v>43</v>
      </c>
      <c r="G2287" t="s">
        <v>34</v>
      </c>
      <c r="H2287" t="s">
        <v>18</v>
      </c>
      <c r="I2287" t="s">
        <v>41</v>
      </c>
      <c r="J2287" t="s">
        <v>4000</v>
      </c>
      <c r="M2287" t="s">
        <v>651</v>
      </c>
      <c r="N2287" t="s">
        <v>651</v>
      </c>
      <c r="O2287" t="s">
        <v>23</v>
      </c>
      <c r="P2287" t="s">
        <v>24</v>
      </c>
      <c r="Q2287" t="s">
        <v>642</v>
      </c>
      <c r="R2287" t="s">
        <v>651</v>
      </c>
    </row>
    <row r="2288" spans="1:18" x14ac:dyDescent="0.25">
      <c r="A2288" t="s">
        <v>13737</v>
      </c>
      <c r="B2288" t="s">
        <v>4012</v>
      </c>
      <c r="C2288" t="str">
        <f>HYPERLINK("https://nematode.unl.edu/cricomt3.jpg")</f>
        <v>https://nematode.unl.edu/cricomt3.jpg</v>
      </c>
      <c r="D2288" t="s">
        <v>43</v>
      </c>
      <c r="G2288" t="s">
        <v>28</v>
      </c>
      <c r="I2288" t="s">
        <v>41</v>
      </c>
      <c r="J2288" t="s">
        <v>4000</v>
      </c>
      <c r="M2288" t="s">
        <v>651</v>
      </c>
      <c r="N2288" t="s">
        <v>651</v>
      </c>
      <c r="O2288" t="s">
        <v>23</v>
      </c>
      <c r="P2288" t="s">
        <v>24</v>
      </c>
      <c r="Q2288" t="s">
        <v>642</v>
      </c>
      <c r="R2288" t="s">
        <v>651</v>
      </c>
    </row>
    <row r="2289" spans="1:18" x14ac:dyDescent="0.25">
      <c r="A2289" t="s">
        <v>13732</v>
      </c>
      <c r="B2289" t="s">
        <v>4013</v>
      </c>
      <c r="C2289" t="str">
        <f>HYPERLINK("https://nematode.unl.edu/cricomt4.jpg")</f>
        <v>https://nematode.unl.edu/cricomt4.jpg</v>
      </c>
      <c r="D2289" t="s">
        <v>43</v>
      </c>
      <c r="G2289" t="s">
        <v>647</v>
      </c>
      <c r="I2289" t="s">
        <v>41</v>
      </c>
      <c r="J2289" t="s">
        <v>4000</v>
      </c>
      <c r="M2289" t="s">
        <v>651</v>
      </c>
      <c r="N2289" t="s">
        <v>651</v>
      </c>
      <c r="O2289" t="s">
        <v>23</v>
      </c>
      <c r="P2289" t="s">
        <v>24</v>
      </c>
      <c r="Q2289" t="s">
        <v>642</v>
      </c>
      <c r="R2289" t="s">
        <v>651</v>
      </c>
    </row>
    <row r="2290" spans="1:18" x14ac:dyDescent="0.25">
      <c r="A2290" t="s">
        <v>13722</v>
      </c>
      <c r="B2290" t="s">
        <v>4014</v>
      </c>
      <c r="C2290" t="str">
        <f>HYPERLINK("https://nematode.unl.edu/cricomt5.jpg")</f>
        <v>https://nematode.unl.edu/cricomt5.jpg</v>
      </c>
      <c r="D2290" t="s">
        <v>16</v>
      </c>
      <c r="G2290" t="s">
        <v>44</v>
      </c>
      <c r="I2290" t="s">
        <v>19</v>
      </c>
      <c r="J2290" t="s">
        <v>4000</v>
      </c>
      <c r="M2290" t="s">
        <v>651</v>
      </c>
      <c r="N2290" t="s">
        <v>651</v>
      </c>
      <c r="O2290" t="s">
        <v>23</v>
      </c>
      <c r="P2290" t="s">
        <v>24</v>
      </c>
      <c r="Q2290" t="s">
        <v>642</v>
      </c>
      <c r="R2290" t="s">
        <v>651</v>
      </c>
    </row>
    <row r="2291" spans="1:18" x14ac:dyDescent="0.25">
      <c r="A2291" t="s">
        <v>13715</v>
      </c>
      <c r="B2291" t="s">
        <v>4015</v>
      </c>
      <c r="C2291" t="str">
        <f>HYPERLINK("https://nematode.unl.edu/cricomt6.jpg")</f>
        <v>https://nematode.unl.edu/cricomt6.jpg</v>
      </c>
      <c r="D2291" t="s">
        <v>16</v>
      </c>
      <c r="G2291" t="s">
        <v>34</v>
      </c>
      <c r="H2291" t="s">
        <v>18</v>
      </c>
      <c r="I2291" t="s">
        <v>41</v>
      </c>
      <c r="J2291" t="s">
        <v>4000</v>
      </c>
      <c r="M2291" t="s">
        <v>651</v>
      </c>
      <c r="N2291" t="s">
        <v>651</v>
      </c>
      <c r="O2291" t="s">
        <v>23</v>
      </c>
      <c r="P2291" t="s">
        <v>24</v>
      </c>
      <c r="Q2291" t="s">
        <v>642</v>
      </c>
      <c r="R2291" t="s">
        <v>651</v>
      </c>
    </row>
    <row r="2292" spans="1:18" x14ac:dyDescent="0.25">
      <c r="A2292" t="s">
        <v>13738</v>
      </c>
      <c r="B2292" t="s">
        <v>4016</v>
      </c>
      <c r="C2292" t="str">
        <f>HYPERLINK("https://nematode.unl.edu/cricomt7.jpg")</f>
        <v>https://nematode.unl.edu/cricomt7.jpg</v>
      </c>
      <c r="D2292" t="s">
        <v>16</v>
      </c>
      <c r="G2292" t="s">
        <v>28</v>
      </c>
      <c r="I2292" t="s">
        <v>41</v>
      </c>
      <c r="J2292" t="s">
        <v>4000</v>
      </c>
      <c r="M2292" t="s">
        <v>651</v>
      </c>
      <c r="N2292" t="s">
        <v>651</v>
      </c>
      <c r="O2292" t="s">
        <v>23</v>
      </c>
      <c r="P2292" t="s">
        <v>24</v>
      </c>
      <c r="Q2292" t="s">
        <v>642</v>
      </c>
      <c r="R2292" t="s">
        <v>651</v>
      </c>
    </row>
    <row r="2293" spans="1:18" x14ac:dyDescent="0.25">
      <c r="A2293" t="s">
        <v>13733</v>
      </c>
      <c r="B2293" t="s">
        <v>4017</v>
      </c>
      <c r="C2293" t="str">
        <f>HYPERLINK("https://nematode.unl.edu/cricomt8.jpg")</f>
        <v>https://nematode.unl.edu/cricomt8.jpg</v>
      </c>
      <c r="D2293" t="s">
        <v>16</v>
      </c>
      <c r="G2293" t="s">
        <v>647</v>
      </c>
      <c r="I2293" t="s">
        <v>41</v>
      </c>
      <c r="J2293" t="s">
        <v>4000</v>
      </c>
      <c r="M2293" t="s">
        <v>651</v>
      </c>
      <c r="N2293" t="s">
        <v>651</v>
      </c>
      <c r="O2293" t="s">
        <v>23</v>
      </c>
      <c r="P2293" t="s">
        <v>24</v>
      </c>
      <c r="Q2293" t="s">
        <v>642</v>
      </c>
      <c r="R2293" t="s">
        <v>651</v>
      </c>
    </row>
    <row r="2294" spans="1:18" x14ac:dyDescent="0.25">
      <c r="A2294" t="s">
        <v>13723</v>
      </c>
      <c r="B2294" t="s">
        <v>4018</v>
      </c>
      <c r="C2294" t="str">
        <f>HYPERLINK("https://nematode.unl.edu/cricomt9.jpg")</f>
        <v>https://nematode.unl.edu/cricomt9.jpg</v>
      </c>
      <c r="D2294" t="s">
        <v>43</v>
      </c>
      <c r="G2294" t="s">
        <v>44</v>
      </c>
      <c r="I2294" t="s">
        <v>19</v>
      </c>
      <c r="J2294" t="s">
        <v>4000</v>
      </c>
      <c r="M2294" t="s">
        <v>651</v>
      </c>
      <c r="N2294" t="s">
        <v>651</v>
      </c>
      <c r="O2294" t="s">
        <v>23</v>
      </c>
      <c r="P2294" t="s">
        <v>24</v>
      </c>
      <c r="Q2294" t="s">
        <v>642</v>
      </c>
      <c r="R2294" t="s">
        <v>651</v>
      </c>
    </row>
    <row r="2295" spans="1:18" x14ac:dyDescent="0.25">
      <c r="A2295" t="s">
        <v>14386</v>
      </c>
      <c r="B2295" t="s">
        <v>7562</v>
      </c>
      <c r="C2295" t="str">
        <f>HYPERLINK("https://nematode.unl.edu/cricone1.jpg")</f>
        <v>https://nematode.unl.edu/cricone1.jpg</v>
      </c>
      <c r="D2295" t="s">
        <v>43</v>
      </c>
      <c r="G2295" t="s">
        <v>44</v>
      </c>
      <c r="I2295" t="s">
        <v>19</v>
      </c>
      <c r="J2295" t="s">
        <v>7563</v>
      </c>
      <c r="M2295" t="s">
        <v>1233</v>
      </c>
      <c r="N2295" t="s">
        <v>1233</v>
      </c>
      <c r="O2295" t="s">
        <v>23</v>
      </c>
      <c r="P2295" t="s">
        <v>24</v>
      </c>
      <c r="Q2295" t="s">
        <v>642</v>
      </c>
      <c r="R2295" t="s">
        <v>1214</v>
      </c>
    </row>
    <row r="2296" spans="1:18" x14ac:dyDescent="0.25">
      <c r="A2296" t="s">
        <v>14387</v>
      </c>
      <c r="B2296" t="s">
        <v>7564</v>
      </c>
      <c r="C2296" t="str">
        <f>HYPERLINK("https://nematode.unl.edu/cricone10.jpg")</f>
        <v>https://nematode.unl.edu/cricone10.jpg</v>
      </c>
      <c r="D2296" t="s">
        <v>43</v>
      </c>
      <c r="G2296" t="s">
        <v>44</v>
      </c>
      <c r="I2296" t="s">
        <v>19</v>
      </c>
      <c r="J2296" t="s">
        <v>7563</v>
      </c>
      <c r="M2296" t="s">
        <v>1233</v>
      </c>
      <c r="N2296" t="s">
        <v>1233</v>
      </c>
      <c r="O2296" t="s">
        <v>23</v>
      </c>
      <c r="P2296" t="s">
        <v>24</v>
      </c>
      <c r="Q2296" t="s">
        <v>642</v>
      </c>
      <c r="R2296" t="s">
        <v>1214</v>
      </c>
    </row>
    <row r="2297" spans="1:18" x14ac:dyDescent="0.25">
      <c r="A2297" t="s">
        <v>14562</v>
      </c>
      <c r="B2297" t="s">
        <v>7565</v>
      </c>
      <c r="C2297" t="str">
        <f>HYPERLINK("https://nematode.unl.edu/cricone11.jpg")</f>
        <v>https://nematode.unl.edu/cricone11.jpg</v>
      </c>
      <c r="D2297" t="s">
        <v>43</v>
      </c>
      <c r="G2297" t="s">
        <v>7566</v>
      </c>
      <c r="I2297" t="s">
        <v>19</v>
      </c>
      <c r="J2297" t="s">
        <v>7563</v>
      </c>
      <c r="M2297" t="s">
        <v>1233</v>
      </c>
      <c r="N2297" t="s">
        <v>1233</v>
      </c>
      <c r="O2297" t="s">
        <v>23</v>
      </c>
      <c r="P2297" t="s">
        <v>24</v>
      </c>
      <c r="Q2297" t="s">
        <v>642</v>
      </c>
      <c r="R2297" t="s">
        <v>1214</v>
      </c>
    </row>
    <row r="2298" spans="1:18" x14ac:dyDescent="0.25">
      <c r="A2298" t="s">
        <v>14232</v>
      </c>
      <c r="B2298" t="s">
        <v>7567</v>
      </c>
      <c r="C2298" t="str">
        <f>HYPERLINK("https://nematode.unl.edu/cricone12.jpg")</f>
        <v>https://nematode.unl.edu/cricone12.jpg</v>
      </c>
      <c r="D2298" t="s">
        <v>43</v>
      </c>
      <c r="G2298" t="s">
        <v>96</v>
      </c>
      <c r="H2298" t="s">
        <v>18</v>
      </c>
      <c r="I2298" t="s">
        <v>41</v>
      </c>
      <c r="J2298" t="s">
        <v>7563</v>
      </c>
      <c r="M2298" t="s">
        <v>1233</v>
      </c>
      <c r="N2298" t="s">
        <v>1233</v>
      </c>
      <c r="O2298" t="s">
        <v>23</v>
      </c>
      <c r="P2298" t="s">
        <v>24</v>
      </c>
      <c r="Q2298" t="s">
        <v>642</v>
      </c>
      <c r="R2298" t="s">
        <v>1214</v>
      </c>
    </row>
    <row r="2299" spans="1:18" x14ac:dyDescent="0.25">
      <c r="A2299" t="s">
        <v>14563</v>
      </c>
      <c r="B2299" t="s">
        <v>7568</v>
      </c>
      <c r="C2299" t="str">
        <f>HYPERLINK("https://nematode.unl.edu/cricone13.jpg")</f>
        <v>https://nematode.unl.edu/cricone13.jpg</v>
      </c>
      <c r="D2299" t="s">
        <v>43</v>
      </c>
      <c r="G2299" t="s">
        <v>674</v>
      </c>
      <c r="I2299" t="s">
        <v>41</v>
      </c>
      <c r="J2299" t="s">
        <v>7563</v>
      </c>
      <c r="M2299" t="s">
        <v>1233</v>
      </c>
      <c r="N2299" t="s">
        <v>1233</v>
      </c>
      <c r="O2299" t="s">
        <v>23</v>
      </c>
      <c r="P2299" t="s">
        <v>24</v>
      </c>
      <c r="Q2299" t="s">
        <v>642</v>
      </c>
      <c r="R2299" t="s">
        <v>1214</v>
      </c>
    </row>
    <row r="2300" spans="1:18" x14ac:dyDescent="0.25">
      <c r="A2300" t="s">
        <v>14548</v>
      </c>
      <c r="B2300" t="s">
        <v>7569</v>
      </c>
      <c r="C2300" t="str">
        <f>HYPERLINK("https://nematode.unl.edu/cricone14.jpg")</f>
        <v>https://nematode.unl.edu/cricone14.jpg</v>
      </c>
      <c r="D2300" t="s">
        <v>43</v>
      </c>
      <c r="G2300" t="s">
        <v>181</v>
      </c>
      <c r="I2300" t="s">
        <v>41</v>
      </c>
      <c r="J2300" t="s">
        <v>7563</v>
      </c>
      <c r="M2300" t="s">
        <v>1233</v>
      </c>
      <c r="N2300" t="s">
        <v>1233</v>
      </c>
      <c r="O2300" t="s">
        <v>23</v>
      </c>
      <c r="P2300" t="s">
        <v>24</v>
      </c>
      <c r="Q2300" t="s">
        <v>642</v>
      </c>
      <c r="R2300" t="s">
        <v>1214</v>
      </c>
    </row>
    <row r="2301" spans="1:18" x14ac:dyDescent="0.25">
      <c r="A2301" t="s">
        <v>14388</v>
      </c>
      <c r="B2301" t="s">
        <v>7570</v>
      </c>
      <c r="C2301" t="str">
        <f>HYPERLINK("https://nematode.unl.edu/cricone15.jpg")</f>
        <v>https://nematode.unl.edu/cricone15.jpg</v>
      </c>
      <c r="D2301" t="s">
        <v>43</v>
      </c>
      <c r="G2301" t="s">
        <v>44</v>
      </c>
      <c r="I2301" t="s">
        <v>19</v>
      </c>
      <c r="J2301" t="s">
        <v>7563</v>
      </c>
      <c r="M2301" t="s">
        <v>1233</v>
      </c>
      <c r="N2301" t="s">
        <v>1233</v>
      </c>
      <c r="O2301" t="s">
        <v>23</v>
      </c>
      <c r="P2301" t="s">
        <v>24</v>
      </c>
      <c r="Q2301" t="s">
        <v>642</v>
      </c>
      <c r="R2301" t="s">
        <v>1214</v>
      </c>
    </row>
    <row r="2302" spans="1:18" x14ac:dyDescent="0.25">
      <c r="A2302" t="s">
        <v>14246</v>
      </c>
      <c r="B2302" t="s">
        <v>7571</v>
      </c>
      <c r="C2302" t="str">
        <f>HYPERLINK("https://nematode.unl.edu/cricone16.jpg")</f>
        <v>https://nematode.unl.edu/cricone16.jpg</v>
      </c>
      <c r="D2302" t="s">
        <v>43</v>
      </c>
      <c r="G2302" t="s">
        <v>34</v>
      </c>
      <c r="H2302" t="s">
        <v>18</v>
      </c>
      <c r="I2302" t="s">
        <v>41</v>
      </c>
      <c r="J2302" t="s">
        <v>7563</v>
      </c>
      <c r="M2302" t="s">
        <v>1233</v>
      </c>
      <c r="N2302" t="s">
        <v>1233</v>
      </c>
      <c r="O2302" t="s">
        <v>23</v>
      </c>
      <c r="P2302" t="s">
        <v>24</v>
      </c>
      <c r="Q2302" t="s">
        <v>642</v>
      </c>
      <c r="R2302" t="s">
        <v>1214</v>
      </c>
    </row>
    <row r="2303" spans="1:18" x14ac:dyDescent="0.25">
      <c r="A2303" t="s">
        <v>14567</v>
      </c>
      <c r="B2303" t="s">
        <v>7572</v>
      </c>
      <c r="C2303" t="str">
        <f>HYPERLINK("https://nematode.unl.edu/cricone17.jpg")</f>
        <v>https://nematode.unl.edu/cricone17.jpg</v>
      </c>
      <c r="D2303" t="s">
        <v>43</v>
      </c>
      <c r="G2303" t="s">
        <v>28</v>
      </c>
      <c r="I2303" t="s">
        <v>41</v>
      </c>
      <c r="J2303" t="s">
        <v>7563</v>
      </c>
      <c r="M2303" t="s">
        <v>1233</v>
      </c>
      <c r="N2303" t="s">
        <v>1233</v>
      </c>
      <c r="O2303" t="s">
        <v>23</v>
      </c>
      <c r="P2303" t="s">
        <v>24</v>
      </c>
      <c r="Q2303" t="s">
        <v>642</v>
      </c>
      <c r="R2303" t="s">
        <v>1214</v>
      </c>
    </row>
    <row r="2304" spans="1:18" x14ac:dyDescent="0.25">
      <c r="A2304" t="s">
        <v>14389</v>
      </c>
      <c r="B2304" t="s">
        <v>7573</v>
      </c>
      <c r="C2304" t="str">
        <f>HYPERLINK("https://nematode.unl.edu/cricone18.jpg")</f>
        <v>https://nematode.unl.edu/cricone18.jpg</v>
      </c>
      <c r="D2304" t="s">
        <v>43</v>
      </c>
      <c r="G2304" t="s">
        <v>44</v>
      </c>
      <c r="I2304" t="s">
        <v>19</v>
      </c>
      <c r="J2304" t="s">
        <v>7563</v>
      </c>
      <c r="M2304" t="s">
        <v>1233</v>
      </c>
      <c r="N2304" t="s">
        <v>1233</v>
      </c>
      <c r="O2304" t="s">
        <v>23</v>
      </c>
      <c r="P2304" t="s">
        <v>24</v>
      </c>
      <c r="Q2304" t="s">
        <v>642</v>
      </c>
      <c r="R2304" t="s">
        <v>1214</v>
      </c>
    </row>
    <row r="2305" spans="1:18" x14ac:dyDescent="0.25">
      <c r="A2305" t="s">
        <v>14247</v>
      </c>
      <c r="B2305" t="s">
        <v>7574</v>
      </c>
      <c r="C2305" t="str">
        <f>HYPERLINK("https://nematode.unl.edu/cricone19.jpg")</f>
        <v>https://nematode.unl.edu/cricone19.jpg</v>
      </c>
      <c r="D2305" t="s">
        <v>43</v>
      </c>
      <c r="G2305" t="s">
        <v>34</v>
      </c>
      <c r="H2305" t="s">
        <v>18</v>
      </c>
      <c r="I2305" t="s">
        <v>41</v>
      </c>
      <c r="J2305" t="s">
        <v>7563</v>
      </c>
      <c r="M2305" t="s">
        <v>1233</v>
      </c>
      <c r="N2305" t="s">
        <v>1233</v>
      </c>
      <c r="O2305" t="s">
        <v>23</v>
      </c>
      <c r="P2305" t="s">
        <v>24</v>
      </c>
      <c r="Q2305" t="s">
        <v>642</v>
      </c>
      <c r="R2305" t="s">
        <v>1214</v>
      </c>
    </row>
    <row r="2306" spans="1:18" x14ac:dyDescent="0.25">
      <c r="A2306" t="s">
        <v>14390</v>
      </c>
      <c r="B2306" t="s">
        <v>7575</v>
      </c>
      <c r="C2306" t="str">
        <f>HYPERLINK("https://nematode.unl.edu/cricone2.jpg")</f>
        <v>https://nematode.unl.edu/cricone2.jpg</v>
      </c>
      <c r="D2306" t="s">
        <v>43</v>
      </c>
      <c r="G2306" t="s">
        <v>44</v>
      </c>
      <c r="I2306" t="s">
        <v>19</v>
      </c>
      <c r="J2306" t="s">
        <v>7563</v>
      </c>
      <c r="M2306" t="s">
        <v>1233</v>
      </c>
      <c r="N2306" t="s">
        <v>1233</v>
      </c>
      <c r="O2306" t="s">
        <v>23</v>
      </c>
      <c r="P2306" t="s">
        <v>24</v>
      </c>
      <c r="Q2306" t="s">
        <v>642</v>
      </c>
      <c r="R2306" t="s">
        <v>1214</v>
      </c>
    </row>
    <row r="2307" spans="1:18" x14ac:dyDescent="0.25">
      <c r="A2307" t="s">
        <v>14568</v>
      </c>
      <c r="B2307" t="s">
        <v>7576</v>
      </c>
      <c r="C2307" t="str">
        <f>HYPERLINK("https://nematode.unl.edu/cricone20.jpg")</f>
        <v>https://nematode.unl.edu/cricone20.jpg</v>
      </c>
      <c r="D2307" t="s">
        <v>43</v>
      </c>
      <c r="G2307" t="s">
        <v>28</v>
      </c>
      <c r="I2307" t="s">
        <v>41</v>
      </c>
      <c r="J2307" t="s">
        <v>7563</v>
      </c>
      <c r="M2307" t="s">
        <v>1233</v>
      </c>
      <c r="N2307" t="s">
        <v>1233</v>
      </c>
      <c r="O2307" t="s">
        <v>23</v>
      </c>
      <c r="P2307" t="s">
        <v>24</v>
      </c>
      <c r="Q2307" t="s">
        <v>642</v>
      </c>
      <c r="R2307" t="s">
        <v>1214</v>
      </c>
    </row>
    <row r="2308" spans="1:18" x14ac:dyDescent="0.25">
      <c r="A2308" t="s">
        <v>14248</v>
      </c>
      <c r="B2308" t="s">
        <v>7577</v>
      </c>
      <c r="C2308" t="str">
        <f>HYPERLINK("https://nematode.unl.edu/cricone21.jpg")</f>
        <v>https://nematode.unl.edu/cricone21.jpg</v>
      </c>
      <c r="D2308" t="s">
        <v>43</v>
      </c>
      <c r="G2308" t="s">
        <v>34</v>
      </c>
      <c r="H2308" t="s">
        <v>18</v>
      </c>
      <c r="I2308" t="s">
        <v>41</v>
      </c>
      <c r="J2308" t="s">
        <v>7563</v>
      </c>
      <c r="M2308" t="s">
        <v>1233</v>
      </c>
      <c r="N2308" t="s">
        <v>1233</v>
      </c>
      <c r="O2308" t="s">
        <v>23</v>
      </c>
      <c r="P2308" t="s">
        <v>24</v>
      </c>
      <c r="Q2308" t="s">
        <v>642</v>
      </c>
      <c r="R2308" t="s">
        <v>1214</v>
      </c>
    </row>
    <row r="2309" spans="1:18" x14ac:dyDescent="0.25">
      <c r="A2309" t="s">
        <v>14569</v>
      </c>
      <c r="B2309" t="s">
        <v>7578</v>
      </c>
      <c r="C2309" t="str">
        <f>HYPERLINK("https://nematode.unl.edu/cricone22.jpg")</f>
        <v>https://nematode.unl.edu/cricone22.jpg</v>
      </c>
      <c r="D2309" t="s">
        <v>43</v>
      </c>
      <c r="G2309" t="s">
        <v>28</v>
      </c>
      <c r="I2309" t="s">
        <v>41</v>
      </c>
      <c r="J2309" t="s">
        <v>7563</v>
      </c>
      <c r="M2309" t="s">
        <v>1233</v>
      </c>
      <c r="N2309" t="s">
        <v>1233</v>
      </c>
      <c r="O2309" t="s">
        <v>23</v>
      </c>
      <c r="P2309" t="s">
        <v>24</v>
      </c>
      <c r="Q2309" t="s">
        <v>642</v>
      </c>
      <c r="R2309" t="s">
        <v>1214</v>
      </c>
    </row>
    <row r="2310" spans="1:18" x14ac:dyDescent="0.25">
      <c r="A2310" t="s">
        <v>14391</v>
      </c>
      <c r="B2310" t="s">
        <v>7579</v>
      </c>
      <c r="C2310" t="str">
        <f>HYPERLINK("https://nematode.unl.edu/cricone23.jpg")</f>
        <v>https://nematode.unl.edu/cricone23.jpg</v>
      </c>
      <c r="D2310" t="s">
        <v>43</v>
      </c>
      <c r="G2310" t="s">
        <v>44</v>
      </c>
      <c r="I2310" t="s">
        <v>19</v>
      </c>
      <c r="J2310" t="s">
        <v>7563</v>
      </c>
      <c r="M2310" t="s">
        <v>1233</v>
      </c>
      <c r="N2310" t="s">
        <v>1233</v>
      </c>
      <c r="O2310" t="s">
        <v>23</v>
      </c>
      <c r="P2310" t="s">
        <v>24</v>
      </c>
      <c r="Q2310" t="s">
        <v>642</v>
      </c>
      <c r="R2310" t="s">
        <v>1214</v>
      </c>
    </row>
    <row r="2311" spans="1:18" x14ac:dyDescent="0.25">
      <c r="A2311" t="s">
        <v>14249</v>
      </c>
      <c r="B2311" t="s">
        <v>7580</v>
      </c>
      <c r="C2311" t="str">
        <f>HYPERLINK("https://nematode.unl.edu/cricone24.jpg")</f>
        <v>https://nematode.unl.edu/cricone24.jpg</v>
      </c>
      <c r="D2311" t="s">
        <v>16</v>
      </c>
      <c r="G2311" t="s">
        <v>34</v>
      </c>
      <c r="H2311" t="s">
        <v>18</v>
      </c>
      <c r="I2311" t="s">
        <v>41</v>
      </c>
      <c r="J2311" t="s">
        <v>7563</v>
      </c>
      <c r="M2311" t="s">
        <v>1233</v>
      </c>
      <c r="N2311" t="s">
        <v>1233</v>
      </c>
      <c r="O2311" t="s">
        <v>23</v>
      </c>
      <c r="P2311" t="s">
        <v>24</v>
      </c>
      <c r="Q2311" t="s">
        <v>642</v>
      </c>
      <c r="R2311" t="s">
        <v>1214</v>
      </c>
    </row>
    <row r="2312" spans="1:18" x14ac:dyDescent="0.25">
      <c r="A2312" t="s">
        <v>14570</v>
      </c>
      <c r="B2312" t="s">
        <v>7581</v>
      </c>
      <c r="C2312" t="str">
        <f>HYPERLINK("https://nematode.unl.edu/cricone25.jpg")</f>
        <v>https://nematode.unl.edu/cricone25.jpg</v>
      </c>
      <c r="D2312" t="s">
        <v>16</v>
      </c>
      <c r="G2312" t="s">
        <v>28</v>
      </c>
      <c r="I2312" t="s">
        <v>41</v>
      </c>
      <c r="J2312" t="s">
        <v>7563</v>
      </c>
      <c r="M2312" t="s">
        <v>1233</v>
      </c>
      <c r="N2312" t="s">
        <v>1233</v>
      </c>
      <c r="O2312" t="s">
        <v>23</v>
      </c>
      <c r="P2312" t="s">
        <v>24</v>
      </c>
      <c r="Q2312" t="s">
        <v>642</v>
      </c>
      <c r="R2312" t="s">
        <v>1214</v>
      </c>
    </row>
    <row r="2313" spans="1:18" x14ac:dyDescent="0.25">
      <c r="A2313" t="s">
        <v>14250</v>
      </c>
      <c r="B2313" t="s">
        <v>7582</v>
      </c>
      <c r="C2313" t="str">
        <f>HYPERLINK("https://nematode.unl.edu/cricone3.jpg")</f>
        <v>https://nematode.unl.edu/cricone3.jpg</v>
      </c>
      <c r="D2313" t="s">
        <v>43</v>
      </c>
      <c r="G2313" t="s">
        <v>34</v>
      </c>
      <c r="H2313" t="s">
        <v>18</v>
      </c>
      <c r="I2313" t="s">
        <v>41</v>
      </c>
      <c r="J2313" t="s">
        <v>7563</v>
      </c>
      <c r="M2313" t="s">
        <v>1233</v>
      </c>
      <c r="N2313" t="s">
        <v>1233</v>
      </c>
      <c r="O2313" t="s">
        <v>23</v>
      </c>
      <c r="P2313" t="s">
        <v>24</v>
      </c>
      <c r="Q2313" t="s">
        <v>642</v>
      </c>
      <c r="R2313" t="s">
        <v>1214</v>
      </c>
    </row>
    <row r="2314" spans="1:18" x14ac:dyDescent="0.25">
      <c r="A2314" t="s">
        <v>14571</v>
      </c>
      <c r="B2314" t="s">
        <v>7583</v>
      </c>
      <c r="C2314" t="str">
        <f>HYPERLINK("https://nematode.unl.edu/cricone4.jpg")</f>
        <v>https://nematode.unl.edu/cricone4.jpg</v>
      </c>
      <c r="D2314" t="s">
        <v>43</v>
      </c>
      <c r="G2314" t="s">
        <v>28</v>
      </c>
      <c r="I2314" t="s">
        <v>41</v>
      </c>
      <c r="J2314" t="s">
        <v>7563</v>
      </c>
      <c r="M2314" t="s">
        <v>1233</v>
      </c>
      <c r="N2314" t="s">
        <v>1233</v>
      </c>
      <c r="O2314" t="s">
        <v>23</v>
      </c>
      <c r="P2314" t="s">
        <v>24</v>
      </c>
      <c r="Q2314" t="s">
        <v>642</v>
      </c>
      <c r="R2314" t="s">
        <v>1214</v>
      </c>
    </row>
    <row r="2315" spans="1:18" x14ac:dyDescent="0.25">
      <c r="A2315" t="s">
        <v>14392</v>
      </c>
      <c r="B2315" t="s">
        <v>7584</v>
      </c>
      <c r="C2315" t="str">
        <f>HYPERLINK("https://nematode.unl.edu/cricone5.jpg")</f>
        <v>https://nematode.unl.edu/cricone5.jpg</v>
      </c>
      <c r="D2315" t="s">
        <v>43</v>
      </c>
      <c r="G2315" t="s">
        <v>44</v>
      </c>
      <c r="I2315" t="s">
        <v>137</v>
      </c>
      <c r="J2315" t="s">
        <v>7563</v>
      </c>
      <c r="M2315" t="s">
        <v>1233</v>
      </c>
      <c r="N2315" t="s">
        <v>1233</v>
      </c>
      <c r="O2315" t="s">
        <v>23</v>
      </c>
      <c r="P2315" t="s">
        <v>24</v>
      </c>
      <c r="Q2315" t="s">
        <v>642</v>
      </c>
      <c r="R2315" t="s">
        <v>1214</v>
      </c>
    </row>
    <row r="2316" spans="1:18" x14ac:dyDescent="0.25">
      <c r="A2316" t="s">
        <v>14393</v>
      </c>
      <c r="B2316" t="s">
        <v>7585</v>
      </c>
      <c r="C2316" t="str">
        <f>HYPERLINK("https://nematode.unl.edu/cricone6.jpg")</f>
        <v>https://nematode.unl.edu/cricone6.jpg</v>
      </c>
      <c r="D2316" t="s">
        <v>43</v>
      </c>
      <c r="G2316" t="s">
        <v>44</v>
      </c>
      <c r="I2316" t="s">
        <v>19</v>
      </c>
      <c r="J2316" t="s">
        <v>7563</v>
      </c>
      <c r="M2316" t="s">
        <v>1233</v>
      </c>
      <c r="N2316" t="s">
        <v>1233</v>
      </c>
      <c r="O2316" t="s">
        <v>23</v>
      </c>
      <c r="P2316" t="s">
        <v>24</v>
      </c>
      <c r="Q2316" t="s">
        <v>642</v>
      </c>
      <c r="R2316" t="s">
        <v>1214</v>
      </c>
    </row>
    <row r="2317" spans="1:18" x14ac:dyDescent="0.25">
      <c r="A2317" t="s">
        <v>14251</v>
      </c>
      <c r="B2317" t="s">
        <v>7586</v>
      </c>
      <c r="C2317" t="str">
        <f>HYPERLINK("https://nematode.unl.edu/cricone7.jpg")</f>
        <v>https://nematode.unl.edu/cricone7.jpg</v>
      </c>
      <c r="D2317" t="s">
        <v>43</v>
      </c>
      <c r="G2317" t="s">
        <v>34</v>
      </c>
      <c r="H2317" t="s">
        <v>18</v>
      </c>
      <c r="I2317" t="s">
        <v>41</v>
      </c>
      <c r="J2317" t="s">
        <v>7563</v>
      </c>
      <c r="M2317" t="s">
        <v>1233</v>
      </c>
      <c r="N2317" t="s">
        <v>1233</v>
      </c>
      <c r="O2317" t="s">
        <v>23</v>
      </c>
      <c r="P2317" t="s">
        <v>24</v>
      </c>
      <c r="Q2317" t="s">
        <v>642</v>
      </c>
      <c r="R2317" t="s">
        <v>1214</v>
      </c>
    </row>
    <row r="2318" spans="1:18" x14ac:dyDescent="0.25">
      <c r="A2318" t="s">
        <v>14572</v>
      </c>
      <c r="B2318" t="s">
        <v>7587</v>
      </c>
      <c r="C2318" t="str">
        <f>HYPERLINK("https://nematode.unl.edu/cricone8.jpg")</f>
        <v>https://nematode.unl.edu/cricone8.jpg</v>
      </c>
      <c r="D2318" t="s">
        <v>43</v>
      </c>
      <c r="G2318" t="s">
        <v>28</v>
      </c>
      <c r="I2318" t="s">
        <v>41</v>
      </c>
      <c r="J2318" t="s">
        <v>7563</v>
      </c>
      <c r="M2318" t="s">
        <v>1233</v>
      </c>
      <c r="N2318" t="s">
        <v>1233</v>
      </c>
      <c r="O2318" t="s">
        <v>23</v>
      </c>
      <c r="P2318" t="s">
        <v>24</v>
      </c>
      <c r="Q2318" t="s">
        <v>642</v>
      </c>
      <c r="R2318" t="s">
        <v>1214</v>
      </c>
    </row>
    <row r="2319" spans="1:18" x14ac:dyDescent="0.25">
      <c r="A2319" t="s">
        <v>14547</v>
      </c>
      <c r="B2319" t="s">
        <v>7588</v>
      </c>
      <c r="C2319" t="str">
        <f>HYPERLINK("https://nematode.unl.edu/cricone9.jpg")</f>
        <v>https://nematode.unl.edu/cricone9.jpg</v>
      </c>
      <c r="D2319" t="s">
        <v>43</v>
      </c>
      <c r="G2319" t="s">
        <v>7589</v>
      </c>
      <c r="I2319" t="s">
        <v>19</v>
      </c>
      <c r="J2319" t="s">
        <v>7563</v>
      </c>
      <c r="M2319" t="s">
        <v>1233</v>
      </c>
      <c r="N2319" t="s">
        <v>1233</v>
      </c>
      <c r="O2319" t="s">
        <v>23</v>
      </c>
      <c r="P2319" t="s">
        <v>24</v>
      </c>
      <c r="Q2319" t="s">
        <v>642</v>
      </c>
      <c r="R2319" t="s">
        <v>1214</v>
      </c>
    </row>
    <row r="2320" spans="1:18" x14ac:dyDescent="0.25">
      <c r="A2320" t="s">
        <v>14114</v>
      </c>
      <c r="B2320" t="s">
        <v>7379</v>
      </c>
      <c r="C2320" t="str">
        <f>HYPERLINK("https://nematode.unl.edu/criconms1.jpg")</f>
        <v>https://nematode.unl.edu/criconms1.jpg</v>
      </c>
      <c r="D2320" t="s">
        <v>16</v>
      </c>
      <c r="G2320" t="s">
        <v>44</v>
      </c>
      <c r="I2320" t="s">
        <v>19</v>
      </c>
      <c r="J2320" t="s">
        <v>7380</v>
      </c>
      <c r="M2320" t="s">
        <v>1214</v>
      </c>
      <c r="N2320" t="s">
        <v>1214</v>
      </c>
      <c r="O2320" t="s">
        <v>23</v>
      </c>
      <c r="P2320" t="s">
        <v>24</v>
      </c>
      <c r="Q2320" t="s">
        <v>642</v>
      </c>
      <c r="R2320" t="s">
        <v>1214</v>
      </c>
    </row>
    <row r="2321" spans="1:18" x14ac:dyDescent="0.25">
      <c r="A2321" t="s">
        <v>14063</v>
      </c>
      <c r="B2321" t="s">
        <v>7381</v>
      </c>
      <c r="C2321" t="str">
        <f>HYPERLINK("https://nematode.unl.edu/criconms10.jpg")</f>
        <v>https://nematode.unl.edu/criconms10.jpg</v>
      </c>
      <c r="D2321" t="s">
        <v>43</v>
      </c>
      <c r="G2321" t="s">
        <v>34</v>
      </c>
      <c r="H2321" t="s">
        <v>18</v>
      </c>
      <c r="I2321" t="s">
        <v>41</v>
      </c>
      <c r="J2321" t="s">
        <v>7380</v>
      </c>
      <c r="M2321" t="s">
        <v>1214</v>
      </c>
      <c r="N2321" t="s">
        <v>1214</v>
      </c>
      <c r="O2321" t="s">
        <v>23</v>
      </c>
      <c r="P2321" t="s">
        <v>24</v>
      </c>
      <c r="Q2321" t="s">
        <v>642</v>
      </c>
      <c r="R2321" t="s">
        <v>1214</v>
      </c>
    </row>
    <row r="2322" spans="1:18" x14ac:dyDescent="0.25">
      <c r="A2322" t="s">
        <v>14185</v>
      </c>
      <c r="B2322" t="s">
        <v>7382</v>
      </c>
      <c r="C2322" t="str">
        <f>HYPERLINK("https://nematode.unl.edu/criconms11.jpg")</f>
        <v>https://nematode.unl.edu/criconms11.jpg</v>
      </c>
      <c r="D2322" t="s">
        <v>43</v>
      </c>
      <c r="G2322" t="s">
        <v>28</v>
      </c>
      <c r="I2322" t="s">
        <v>41</v>
      </c>
      <c r="J2322" t="s">
        <v>7380</v>
      </c>
      <c r="M2322" t="s">
        <v>1214</v>
      </c>
      <c r="N2322" t="s">
        <v>1214</v>
      </c>
      <c r="O2322" t="s">
        <v>23</v>
      </c>
      <c r="P2322" t="s">
        <v>24</v>
      </c>
      <c r="Q2322" t="s">
        <v>642</v>
      </c>
      <c r="R2322" t="s">
        <v>1214</v>
      </c>
    </row>
    <row r="2323" spans="1:18" x14ac:dyDescent="0.25">
      <c r="A2323" t="s">
        <v>14115</v>
      </c>
      <c r="B2323" t="s">
        <v>7383</v>
      </c>
      <c r="C2323" t="str">
        <f>HYPERLINK("https://nematode.unl.edu/criconms12.jpg")</f>
        <v>https://nematode.unl.edu/criconms12.jpg</v>
      </c>
      <c r="D2323" t="s">
        <v>16</v>
      </c>
      <c r="G2323" t="s">
        <v>44</v>
      </c>
      <c r="I2323" t="s">
        <v>19</v>
      </c>
      <c r="J2323" t="s">
        <v>7380</v>
      </c>
      <c r="M2323" t="s">
        <v>1214</v>
      </c>
      <c r="N2323" t="s">
        <v>1214</v>
      </c>
      <c r="O2323" t="s">
        <v>23</v>
      </c>
      <c r="P2323" t="s">
        <v>24</v>
      </c>
      <c r="Q2323" t="s">
        <v>642</v>
      </c>
      <c r="R2323" t="s">
        <v>1214</v>
      </c>
    </row>
    <row r="2324" spans="1:18" x14ac:dyDescent="0.25">
      <c r="A2324" t="s">
        <v>14064</v>
      </c>
      <c r="B2324" t="s">
        <v>7384</v>
      </c>
      <c r="C2324" t="str">
        <f>HYPERLINK("https://nematode.unl.edu/criconms13.jpg")</f>
        <v>https://nematode.unl.edu/criconms13.jpg</v>
      </c>
      <c r="D2324" t="s">
        <v>16</v>
      </c>
      <c r="G2324" t="s">
        <v>34</v>
      </c>
      <c r="H2324" t="s">
        <v>18</v>
      </c>
      <c r="I2324" t="s">
        <v>41</v>
      </c>
      <c r="J2324" t="s">
        <v>7380</v>
      </c>
      <c r="M2324" t="s">
        <v>1214</v>
      </c>
      <c r="N2324" t="s">
        <v>1214</v>
      </c>
      <c r="O2324" t="s">
        <v>23</v>
      </c>
      <c r="P2324" t="s">
        <v>24</v>
      </c>
      <c r="Q2324" t="s">
        <v>642</v>
      </c>
      <c r="R2324" t="s">
        <v>1214</v>
      </c>
    </row>
    <row r="2325" spans="1:18" x14ac:dyDescent="0.25">
      <c r="A2325" t="s">
        <v>14186</v>
      </c>
      <c r="B2325" t="s">
        <v>7385</v>
      </c>
      <c r="C2325" t="str">
        <f>HYPERLINK("https://nematode.unl.edu/criconms14.jpg")</f>
        <v>https://nematode.unl.edu/criconms14.jpg</v>
      </c>
      <c r="D2325" t="s">
        <v>16</v>
      </c>
      <c r="G2325" t="s">
        <v>28</v>
      </c>
      <c r="I2325" t="s">
        <v>41</v>
      </c>
      <c r="J2325" t="s">
        <v>7380</v>
      </c>
      <c r="M2325" t="s">
        <v>1214</v>
      </c>
      <c r="N2325" t="s">
        <v>1214</v>
      </c>
      <c r="O2325" t="s">
        <v>23</v>
      </c>
      <c r="P2325" t="s">
        <v>24</v>
      </c>
      <c r="Q2325" t="s">
        <v>642</v>
      </c>
      <c r="R2325" t="s">
        <v>1214</v>
      </c>
    </row>
    <row r="2326" spans="1:18" x14ac:dyDescent="0.25">
      <c r="A2326" t="s">
        <v>14169</v>
      </c>
      <c r="B2326" t="s">
        <v>7386</v>
      </c>
      <c r="C2326" t="str">
        <f>HYPERLINK("https://nematode.unl.edu/criconms15.jpg")</f>
        <v>https://nematode.unl.edu/criconms15.jpg</v>
      </c>
      <c r="D2326" t="s">
        <v>16</v>
      </c>
      <c r="G2326" t="s">
        <v>224</v>
      </c>
      <c r="I2326" t="s">
        <v>41</v>
      </c>
      <c r="J2326" t="s">
        <v>7380</v>
      </c>
      <c r="M2326" t="s">
        <v>1214</v>
      </c>
      <c r="N2326" t="s">
        <v>1214</v>
      </c>
      <c r="O2326" t="s">
        <v>23</v>
      </c>
      <c r="P2326" t="s">
        <v>24</v>
      </c>
      <c r="Q2326" t="s">
        <v>642</v>
      </c>
      <c r="R2326" t="s">
        <v>1214</v>
      </c>
    </row>
    <row r="2327" spans="1:18" x14ac:dyDescent="0.25">
      <c r="A2327" t="s">
        <v>14170</v>
      </c>
      <c r="B2327" t="s">
        <v>7387</v>
      </c>
      <c r="C2327" t="str">
        <f>HYPERLINK("https://nematode.unl.edu/criconms16.jpg")</f>
        <v>https://nematode.unl.edu/criconms16.jpg</v>
      </c>
      <c r="D2327" t="s">
        <v>16</v>
      </c>
      <c r="G2327" t="s">
        <v>224</v>
      </c>
      <c r="I2327" t="s">
        <v>41</v>
      </c>
      <c r="J2327" t="s">
        <v>7380</v>
      </c>
      <c r="M2327" t="s">
        <v>1214</v>
      </c>
      <c r="N2327" t="s">
        <v>1214</v>
      </c>
      <c r="O2327" t="s">
        <v>23</v>
      </c>
      <c r="P2327" t="s">
        <v>24</v>
      </c>
      <c r="Q2327" t="s">
        <v>642</v>
      </c>
      <c r="R2327" t="s">
        <v>1214</v>
      </c>
    </row>
    <row r="2328" spans="1:18" x14ac:dyDescent="0.25">
      <c r="A2328" t="s">
        <v>14065</v>
      </c>
      <c r="B2328" t="s">
        <v>7388</v>
      </c>
      <c r="C2328" t="str">
        <f>HYPERLINK("https://nematode.unl.edu/criconms2.jpg")</f>
        <v>https://nematode.unl.edu/criconms2.jpg</v>
      </c>
      <c r="D2328" t="s">
        <v>16</v>
      </c>
      <c r="G2328" t="s">
        <v>34</v>
      </c>
      <c r="H2328" t="s">
        <v>18</v>
      </c>
      <c r="I2328" t="s">
        <v>41</v>
      </c>
      <c r="J2328" t="s">
        <v>7380</v>
      </c>
      <c r="M2328" t="s">
        <v>1214</v>
      </c>
      <c r="N2328" t="s">
        <v>1214</v>
      </c>
      <c r="O2328" t="s">
        <v>23</v>
      </c>
      <c r="P2328" t="s">
        <v>24</v>
      </c>
      <c r="Q2328" t="s">
        <v>642</v>
      </c>
      <c r="R2328" t="s">
        <v>1214</v>
      </c>
    </row>
    <row r="2329" spans="1:18" x14ac:dyDescent="0.25">
      <c r="A2329" t="s">
        <v>14166</v>
      </c>
      <c r="B2329" t="s">
        <v>7389</v>
      </c>
      <c r="C2329" t="str">
        <f>HYPERLINK("https://nematode.unl.edu/criconms3.jpg")</f>
        <v>https://nematode.unl.edu/criconms3.jpg</v>
      </c>
      <c r="D2329" t="s">
        <v>16</v>
      </c>
      <c r="G2329" t="s">
        <v>7390</v>
      </c>
      <c r="I2329" t="s">
        <v>41</v>
      </c>
      <c r="J2329" t="s">
        <v>7380</v>
      </c>
      <c r="M2329" t="s">
        <v>1214</v>
      </c>
      <c r="N2329" t="s">
        <v>1214</v>
      </c>
      <c r="O2329" t="s">
        <v>23</v>
      </c>
      <c r="P2329" t="s">
        <v>24</v>
      </c>
      <c r="Q2329" t="s">
        <v>642</v>
      </c>
      <c r="R2329" t="s">
        <v>1214</v>
      </c>
    </row>
    <row r="2330" spans="1:18" x14ac:dyDescent="0.25">
      <c r="A2330" t="s">
        <v>14116</v>
      </c>
      <c r="B2330" t="s">
        <v>7391</v>
      </c>
      <c r="C2330" t="str">
        <f>HYPERLINK("https://nematode.unl.edu/criconms4.jpg")</f>
        <v>https://nematode.unl.edu/criconms4.jpg</v>
      </c>
      <c r="D2330" t="s">
        <v>43</v>
      </c>
      <c r="G2330" t="s">
        <v>44</v>
      </c>
      <c r="I2330" t="s">
        <v>19</v>
      </c>
      <c r="J2330" t="s">
        <v>7380</v>
      </c>
      <c r="M2330" t="s">
        <v>1214</v>
      </c>
      <c r="N2330" t="s">
        <v>1214</v>
      </c>
      <c r="O2330" t="s">
        <v>23</v>
      </c>
      <c r="P2330" t="s">
        <v>24</v>
      </c>
      <c r="Q2330" t="s">
        <v>642</v>
      </c>
      <c r="R2330" t="s">
        <v>1214</v>
      </c>
    </row>
    <row r="2331" spans="1:18" x14ac:dyDescent="0.25">
      <c r="A2331" t="s">
        <v>14066</v>
      </c>
      <c r="B2331" t="s">
        <v>7392</v>
      </c>
      <c r="C2331" t="str">
        <f>HYPERLINK("https://nematode.unl.edu/criconms5.jpg")</f>
        <v>https://nematode.unl.edu/criconms5.jpg</v>
      </c>
      <c r="D2331" t="s">
        <v>43</v>
      </c>
      <c r="G2331" t="s">
        <v>34</v>
      </c>
      <c r="H2331" t="s">
        <v>18</v>
      </c>
      <c r="I2331" t="s">
        <v>41</v>
      </c>
      <c r="J2331" t="s">
        <v>7380</v>
      </c>
      <c r="M2331" t="s">
        <v>1214</v>
      </c>
      <c r="N2331" t="s">
        <v>1214</v>
      </c>
      <c r="O2331" t="s">
        <v>23</v>
      </c>
      <c r="P2331" t="s">
        <v>24</v>
      </c>
      <c r="Q2331" t="s">
        <v>642</v>
      </c>
      <c r="R2331" t="s">
        <v>1214</v>
      </c>
    </row>
    <row r="2332" spans="1:18" x14ac:dyDescent="0.25">
      <c r="A2332" t="s">
        <v>14183</v>
      </c>
      <c r="B2332" t="s">
        <v>7393</v>
      </c>
      <c r="C2332" t="str">
        <f>HYPERLINK("https://nematode.unl.edu/criconms6.jpg")</f>
        <v>https://nematode.unl.edu/criconms6.jpg</v>
      </c>
      <c r="D2332" t="s">
        <v>43</v>
      </c>
      <c r="G2332" t="s">
        <v>674</v>
      </c>
      <c r="I2332" t="s">
        <v>41</v>
      </c>
      <c r="J2332" t="s">
        <v>7380</v>
      </c>
      <c r="M2332" t="s">
        <v>1214</v>
      </c>
      <c r="N2332" t="s">
        <v>1214</v>
      </c>
      <c r="O2332" t="s">
        <v>23</v>
      </c>
      <c r="P2332" t="s">
        <v>24</v>
      </c>
      <c r="Q2332" t="s">
        <v>642</v>
      </c>
      <c r="R2332" t="s">
        <v>1214</v>
      </c>
    </row>
    <row r="2333" spans="1:18" x14ac:dyDescent="0.25">
      <c r="A2333" t="s">
        <v>14187</v>
      </c>
      <c r="B2333" t="s">
        <v>7394</v>
      </c>
      <c r="C2333" t="str">
        <f>HYPERLINK("https://nematode.unl.edu/criconms7.jpg")</f>
        <v>https://nematode.unl.edu/criconms7.jpg</v>
      </c>
      <c r="D2333" t="s">
        <v>43</v>
      </c>
      <c r="G2333" t="s">
        <v>28</v>
      </c>
      <c r="I2333" t="s">
        <v>41</v>
      </c>
      <c r="J2333" t="s">
        <v>7380</v>
      </c>
      <c r="M2333" t="s">
        <v>1214</v>
      </c>
      <c r="N2333" t="s">
        <v>1214</v>
      </c>
      <c r="O2333" t="s">
        <v>23</v>
      </c>
      <c r="P2333" t="s">
        <v>24</v>
      </c>
      <c r="Q2333" t="s">
        <v>642</v>
      </c>
      <c r="R2333" t="s">
        <v>1214</v>
      </c>
    </row>
    <row r="2334" spans="1:18" x14ac:dyDescent="0.25">
      <c r="A2334" t="s">
        <v>14103</v>
      </c>
      <c r="B2334" t="s">
        <v>7395</v>
      </c>
      <c r="C2334" t="str">
        <f>HYPERLINK("https://nematode.unl.edu/criconms8.jpg")</f>
        <v>https://nematode.unl.edu/criconms8.jpg</v>
      </c>
      <c r="D2334" t="s">
        <v>43</v>
      </c>
      <c r="G2334" t="s">
        <v>3942</v>
      </c>
      <c r="I2334" t="s">
        <v>41</v>
      </c>
      <c r="J2334" t="s">
        <v>7380</v>
      </c>
      <c r="M2334" t="s">
        <v>1214</v>
      </c>
      <c r="N2334" t="s">
        <v>1214</v>
      </c>
      <c r="O2334" t="s">
        <v>23</v>
      </c>
      <c r="P2334" t="s">
        <v>24</v>
      </c>
      <c r="Q2334" t="s">
        <v>642</v>
      </c>
      <c r="R2334" t="s">
        <v>1214</v>
      </c>
    </row>
    <row r="2335" spans="1:18" x14ac:dyDescent="0.25">
      <c r="A2335" t="s">
        <v>14117</v>
      </c>
      <c r="B2335" t="s">
        <v>7396</v>
      </c>
      <c r="C2335" t="str">
        <f>HYPERLINK("https://nematode.unl.edu/criconms9.jpg")</f>
        <v>https://nematode.unl.edu/criconms9.jpg</v>
      </c>
      <c r="D2335" t="s">
        <v>43</v>
      </c>
      <c r="G2335" t="s">
        <v>44</v>
      </c>
      <c r="I2335" t="s">
        <v>19</v>
      </c>
      <c r="J2335" t="s">
        <v>7380</v>
      </c>
      <c r="M2335" t="s">
        <v>1214</v>
      </c>
      <c r="N2335" t="s">
        <v>1214</v>
      </c>
      <c r="O2335" t="s">
        <v>23</v>
      </c>
      <c r="P2335" t="s">
        <v>24</v>
      </c>
      <c r="Q2335" t="s">
        <v>642</v>
      </c>
      <c r="R2335" t="s">
        <v>1214</v>
      </c>
    </row>
    <row r="2336" spans="1:18" x14ac:dyDescent="0.25">
      <c r="A2336" t="s">
        <v>13705</v>
      </c>
      <c r="B2336" t="s">
        <v>648</v>
      </c>
      <c r="C2336" t="str">
        <f>HYPERLINK("https://nematode.unl.edu/cricoo1.jpg")</f>
        <v>https://nematode.unl.edu/cricoo1.jpg</v>
      </c>
      <c r="D2336" t="s">
        <v>43</v>
      </c>
      <c r="G2336" t="s">
        <v>44</v>
      </c>
      <c r="I2336" t="s">
        <v>19</v>
      </c>
      <c r="J2336" t="s">
        <v>649</v>
      </c>
      <c r="M2336" t="s">
        <v>650</v>
      </c>
      <c r="N2336" t="s">
        <v>651</v>
      </c>
      <c r="O2336" t="s">
        <v>23</v>
      </c>
      <c r="P2336" t="s">
        <v>24</v>
      </c>
      <c r="Q2336" t="s">
        <v>642</v>
      </c>
      <c r="R2336" t="s">
        <v>651</v>
      </c>
    </row>
    <row r="2337" spans="1:18" x14ac:dyDescent="0.25">
      <c r="A2337" t="s">
        <v>13704</v>
      </c>
      <c r="B2337" t="s">
        <v>652</v>
      </c>
      <c r="C2337" t="str">
        <f>HYPERLINK("https://nematode.unl.edu/cricoo2.jpg")</f>
        <v>https://nematode.unl.edu/cricoo2.jpg</v>
      </c>
      <c r="D2337" t="s">
        <v>43</v>
      </c>
      <c r="G2337" t="s">
        <v>34</v>
      </c>
      <c r="H2337" t="s">
        <v>18</v>
      </c>
      <c r="I2337" t="s">
        <v>41</v>
      </c>
      <c r="J2337" t="s">
        <v>649</v>
      </c>
      <c r="M2337" t="s">
        <v>650</v>
      </c>
      <c r="N2337" t="s">
        <v>651</v>
      </c>
      <c r="O2337" t="s">
        <v>23</v>
      </c>
      <c r="P2337" t="s">
        <v>24</v>
      </c>
      <c r="Q2337" t="s">
        <v>642</v>
      </c>
      <c r="R2337" t="s">
        <v>651</v>
      </c>
    </row>
    <row r="2338" spans="1:18" x14ac:dyDescent="0.25">
      <c r="A2338" t="s">
        <v>13706</v>
      </c>
      <c r="B2338" t="s">
        <v>653</v>
      </c>
      <c r="C2338" t="str">
        <f>HYPERLINK("https://nematode.unl.edu/cricoo3.jpg")</f>
        <v>https://nematode.unl.edu/cricoo3.jpg</v>
      </c>
      <c r="D2338" t="s">
        <v>43</v>
      </c>
      <c r="G2338" t="s">
        <v>28</v>
      </c>
      <c r="I2338" t="s">
        <v>41</v>
      </c>
      <c r="J2338" t="s">
        <v>649</v>
      </c>
      <c r="M2338" t="s">
        <v>650</v>
      </c>
      <c r="N2338" t="s">
        <v>651</v>
      </c>
      <c r="O2338" t="s">
        <v>23</v>
      </c>
      <c r="P2338" t="s">
        <v>24</v>
      </c>
      <c r="Q2338" t="s">
        <v>642</v>
      </c>
      <c r="R2338" t="s">
        <v>651</v>
      </c>
    </row>
    <row r="2339" spans="1:18" x14ac:dyDescent="0.25">
      <c r="A2339" t="s">
        <v>13965</v>
      </c>
      <c r="B2339" t="s">
        <v>6939</v>
      </c>
      <c r="C2339" t="str">
        <f>HYPERLINK("https://nematode.unl.edu/cricos1.jpg")</f>
        <v>https://nematode.unl.edu/cricos1.jpg</v>
      </c>
      <c r="D2339" t="s">
        <v>43</v>
      </c>
      <c r="G2339" t="s">
        <v>44</v>
      </c>
      <c r="I2339" t="s">
        <v>45</v>
      </c>
      <c r="J2339" t="s">
        <v>20</v>
      </c>
      <c r="M2339" t="s">
        <v>6940</v>
      </c>
      <c r="N2339" t="s">
        <v>6940</v>
      </c>
      <c r="O2339" t="s">
        <v>23</v>
      </c>
      <c r="P2339" t="s">
        <v>24</v>
      </c>
      <c r="Q2339" t="s">
        <v>642</v>
      </c>
      <c r="R2339" t="s">
        <v>6940</v>
      </c>
    </row>
    <row r="2340" spans="1:18" x14ac:dyDescent="0.25">
      <c r="A2340" t="s">
        <v>13954</v>
      </c>
      <c r="B2340" t="s">
        <v>6941</v>
      </c>
      <c r="C2340" t="str">
        <f>HYPERLINK("https://nematode.unl.edu/cricos2.jpg")</f>
        <v>https://nematode.unl.edu/cricos2.jpg</v>
      </c>
      <c r="D2340" t="s">
        <v>43</v>
      </c>
      <c r="G2340" t="s">
        <v>34</v>
      </c>
      <c r="H2340" t="s">
        <v>18</v>
      </c>
      <c r="I2340" t="s">
        <v>19</v>
      </c>
      <c r="J2340" t="s">
        <v>20</v>
      </c>
      <c r="M2340" t="s">
        <v>6940</v>
      </c>
      <c r="N2340" t="s">
        <v>6940</v>
      </c>
      <c r="O2340" t="s">
        <v>23</v>
      </c>
      <c r="P2340" t="s">
        <v>24</v>
      </c>
      <c r="Q2340" t="s">
        <v>642</v>
      </c>
      <c r="R2340" t="s">
        <v>6940</v>
      </c>
    </row>
    <row r="2341" spans="1:18" x14ac:dyDescent="0.25">
      <c r="A2341" t="s">
        <v>13989</v>
      </c>
      <c r="B2341" t="s">
        <v>6942</v>
      </c>
      <c r="C2341" t="str">
        <f>HYPERLINK("https://nematode.unl.edu/cricos3.jpg")</f>
        <v>https://nematode.unl.edu/cricos3.jpg</v>
      </c>
      <c r="D2341" t="s">
        <v>43</v>
      </c>
      <c r="G2341" t="s">
        <v>28</v>
      </c>
      <c r="I2341" t="s">
        <v>19</v>
      </c>
      <c r="J2341" t="s">
        <v>20</v>
      </c>
      <c r="M2341" t="s">
        <v>6940</v>
      </c>
      <c r="N2341" t="s">
        <v>6940</v>
      </c>
      <c r="O2341" t="s">
        <v>23</v>
      </c>
      <c r="P2341" t="s">
        <v>24</v>
      </c>
      <c r="Q2341" t="s">
        <v>642</v>
      </c>
      <c r="R2341" t="s">
        <v>6940</v>
      </c>
    </row>
    <row r="2342" spans="1:18" x14ac:dyDescent="0.25">
      <c r="A2342" t="s">
        <v>13978</v>
      </c>
      <c r="B2342" t="s">
        <v>6943</v>
      </c>
      <c r="C2342" t="str">
        <f>HYPERLINK("https://nematode.unl.edu/cricos4.jpg")</f>
        <v>https://nematode.unl.edu/cricos4.jpg</v>
      </c>
      <c r="D2342" t="s">
        <v>43</v>
      </c>
      <c r="G2342" t="s">
        <v>224</v>
      </c>
      <c r="I2342" t="s">
        <v>19</v>
      </c>
      <c r="J2342" t="s">
        <v>20</v>
      </c>
      <c r="M2342" t="s">
        <v>6940</v>
      </c>
      <c r="N2342" t="s">
        <v>6940</v>
      </c>
      <c r="O2342" t="s">
        <v>23</v>
      </c>
      <c r="P2342" t="s">
        <v>24</v>
      </c>
      <c r="Q2342" t="s">
        <v>642</v>
      </c>
      <c r="R2342" t="s">
        <v>6940</v>
      </c>
    </row>
    <row r="2343" spans="1:18" x14ac:dyDescent="0.25">
      <c r="A2343" t="s">
        <v>13955</v>
      </c>
      <c r="B2343" t="s">
        <v>6944</v>
      </c>
      <c r="C2343" t="str">
        <f>HYPERLINK("https://nematode.unl.edu/cricos5.jpg")</f>
        <v>https://nematode.unl.edu/cricos5.jpg</v>
      </c>
      <c r="D2343" t="s">
        <v>43</v>
      </c>
      <c r="G2343" t="s">
        <v>34</v>
      </c>
      <c r="H2343" t="s">
        <v>18</v>
      </c>
      <c r="I2343" t="s">
        <v>41</v>
      </c>
      <c r="J2343" t="s">
        <v>20</v>
      </c>
      <c r="M2343" t="s">
        <v>6940</v>
      </c>
      <c r="N2343" t="s">
        <v>6940</v>
      </c>
      <c r="O2343" t="s">
        <v>23</v>
      </c>
      <c r="P2343" t="s">
        <v>24</v>
      </c>
      <c r="Q2343" t="s">
        <v>642</v>
      </c>
      <c r="R2343" t="s">
        <v>6940</v>
      </c>
    </row>
    <row r="2344" spans="1:18" x14ac:dyDescent="0.25">
      <c r="A2344" t="s">
        <v>13990</v>
      </c>
      <c r="B2344" t="s">
        <v>6945</v>
      </c>
      <c r="C2344" t="str">
        <f>HYPERLINK("https://nematode.unl.edu/cricos6.jpg")</f>
        <v>https://nematode.unl.edu/cricos6.jpg</v>
      </c>
      <c r="D2344" t="s">
        <v>43</v>
      </c>
      <c r="G2344" t="s">
        <v>28</v>
      </c>
      <c r="I2344" t="s">
        <v>41</v>
      </c>
      <c r="J2344" t="s">
        <v>20</v>
      </c>
      <c r="M2344" t="s">
        <v>6940</v>
      </c>
      <c r="N2344" t="s">
        <v>6940</v>
      </c>
      <c r="O2344" t="s">
        <v>23</v>
      </c>
      <c r="P2344" t="s">
        <v>24</v>
      </c>
      <c r="Q2344" t="s">
        <v>642</v>
      </c>
      <c r="R2344" t="s">
        <v>6940</v>
      </c>
    </row>
    <row r="2345" spans="1:18" x14ac:dyDescent="0.25">
      <c r="A2345" t="s">
        <v>13979</v>
      </c>
      <c r="B2345" t="s">
        <v>6946</v>
      </c>
      <c r="C2345" t="str">
        <f>HYPERLINK("https://nematode.unl.edu/cricos7.jpg")</f>
        <v>https://nematode.unl.edu/cricos7.jpg</v>
      </c>
      <c r="D2345" t="s">
        <v>43</v>
      </c>
      <c r="G2345" t="s">
        <v>224</v>
      </c>
      <c r="I2345" t="s">
        <v>41</v>
      </c>
      <c r="J2345" t="s">
        <v>20</v>
      </c>
      <c r="M2345" t="s">
        <v>6940</v>
      </c>
      <c r="N2345" t="s">
        <v>6940</v>
      </c>
      <c r="O2345" t="s">
        <v>23</v>
      </c>
      <c r="P2345" t="s">
        <v>24</v>
      </c>
      <c r="Q2345" t="s">
        <v>642</v>
      </c>
      <c r="R2345" t="s">
        <v>6940</v>
      </c>
    </row>
    <row r="2346" spans="1:18" x14ac:dyDescent="0.25">
      <c r="A2346" t="s">
        <v>13980</v>
      </c>
      <c r="B2346" t="s">
        <v>6947</v>
      </c>
      <c r="C2346" t="str">
        <f>HYPERLINK("https://nematode.unl.edu/cricos8.jpg")</f>
        <v>https://nematode.unl.edu/cricos8.jpg</v>
      </c>
      <c r="D2346" t="s">
        <v>43</v>
      </c>
      <c r="G2346" t="s">
        <v>224</v>
      </c>
      <c r="I2346" t="s">
        <v>41</v>
      </c>
      <c r="J2346" t="s">
        <v>20</v>
      </c>
      <c r="M2346" t="s">
        <v>6940</v>
      </c>
      <c r="N2346" t="s">
        <v>6940</v>
      </c>
      <c r="O2346" t="s">
        <v>23</v>
      </c>
      <c r="P2346" t="s">
        <v>24</v>
      </c>
      <c r="Q2346" t="s">
        <v>642</v>
      </c>
      <c r="R2346" t="s">
        <v>6940</v>
      </c>
    </row>
    <row r="2347" spans="1:18" x14ac:dyDescent="0.25">
      <c r="A2347" t="s">
        <v>13765</v>
      </c>
      <c r="B2347" t="s">
        <v>4049</v>
      </c>
      <c r="C2347" t="str">
        <f>HYPERLINK("https://nematode.unl.edu/cricostamm1.jpg")</f>
        <v>https://nematode.unl.edu/cricostamm1.jpg</v>
      </c>
      <c r="D2347" t="s">
        <v>43</v>
      </c>
      <c r="G2347" t="s">
        <v>224</v>
      </c>
      <c r="I2347" t="s">
        <v>19</v>
      </c>
      <c r="J2347" t="s">
        <v>4050</v>
      </c>
      <c r="M2347" t="s">
        <v>4051</v>
      </c>
      <c r="N2347" t="s">
        <v>4051</v>
      </c>
      <c r="O2347" t="s">
        <v>23</v>
      </c>
      <c r="P2347" t="s">
        <v>24</v>
      </c>
      <c r="Q2347" t="s">
        <v>642</v>
      </c>
      <c r="R2347" t="s">
        <v>651</v>
      </c>
    </row>
    <row r="2348" spans="1:18" x14ac:dyDescent="0.25">
      <c r="A2348" t="s">
        <v>13762</v>
      </c>
      <c r="B2348" t="s">
        <v>4052</v>
      </c>
      <c r="C2348" t="str">
        <f>HYPERLINK("https://nematode.unl.edu/cricostamm2.jpg")</f>
        <v>https://nematode.unl.edu/cricostamm2.jpg</v>
      </c>
      <c r="D2348" t="s">
        <v>43</v>
      </c>
      <c r="G2348" t="s">
        <v>44</v>
      </c>
      <c r="I2348" t="s">
        <v>19</v>
      </c>
      <c r="J2348" t="s">
        <v>4050</v>
      </c>
      <c r="M2348" t="s">
        <v>4051</v>
      </c>
      <c r="N2348" t="s">
        <v>4051</v>
      </c>
      <c r="O2348" t="s">
        <v>23</v>
      </c>
      <c r="P2348" t="s">
        <v>24</v>
      </c>
      <c r="Q2348" t="s">
        <v>642</v>
      </c>
      <c r="R2348" t="s">
        <v>651</v>
      </c>
    </row>
    <row r="2349" spans="1:18" x14ac:dyDescent="0.25">
      <c r="A2349" t="s">
        <v>13755</v>
      </c>
      <c r="B2349" t="s">
        <v>4053</v>
      </c>
      <c r="C2349" t="str">
        <f>HYPERLINK("https://nematode.unl.edu/cricostamm3.jpg")</f>
        <v>https://nematode.unl.edu/cricostamm3.jpg</v>
      </c>
      <c r="D2349" t="s">
        <v>43</v>
      </c>
      <c r="G2349" t="s">
        <v>34</v>
      </c>
      <c r="H2349" t="s">
        <v>18</v>
      </c>
      <c r="I2349" t="s">
        <v>41</v>
      </c>
      <c r="J2349" t="s">
        <v>4050</v>
      </c>
      <c r="M2349" t="s">
        <v>4051</v>
      </c>
      <c r="N2349" t="s">
        <v>4051</v>
      </c>
      <c r="O2349" t="s">
        <v>23</v>
      </c>
      <c r="P2349" t="s">
        <v>24</v>
      </c>
      <c r="Q2349" t="s">
        <v>642</v>
      </c>
      <c r="R2349" t="s">
        <v>651</v>
      </c>
    </row>
    <row r="2350" spans="1:18" x14ac:dyDescent="0.25">
      <c r="A2350" t="s">
        <v>13766</v>
      </c>
      <c r="B2350" t="s">
        <v>4054</v>
      </c>
      <c r="C2350" t="str">
        <f>HYPERLINK("https://nematode.unl.edu/cricostamm4.jpg")</f>
        <v>https://nematode.unl.edu/cricostamm4.jpg</v>
      </c>
      <c r="D2350" t="s">
        <v>43</v>
      </c>
      <c r="G2350" t="s">
        <v>28</v>
      </c>
      <c r="I2350" t="s">
        <v>41</v>
      </c>
      <c r="J2350" t="s">
        <v>4050</v>
      </c>
      <c r="M2350" t="s">
        <v>4051</v>
      </c>
      <c r="N2350" t="s">
        <v>4051</v>
      </c>
      <c r="O2350" t="s">
        <v>23</v>
      </c>
      <c r="P2350" t="s">
        <v>24</v>
      </c>
      <c r="Q2350" t="s">
        <v>642</v>
      </c>
      <c r="R2350" t="s">
        <v>651</v>
      </c>
    </row>
    <row r="2351" spans="1:18" x14ac:dyDescent="0.25">
      <c r="A2351" t="s">
        <v>15121</v>
      </c>
      <c r="B2351" t="s">
        <v>8457</v>
      </c>
      <c r="C2351" t="str">
        <f>HYPERLINK("https://nematode.unl.edu/cricout10.jpg")</f>
        <v>https://nematode.unl.edu/cricout10.jpg</v>
      </c>
      <c r="D2351" t="s">
        <v>43</v>
      </c>
      <c r="G2351" t="s">
        <v>44</v>
      </c>
      <c r="I2351" t="s">
        <v>137</v>
      </c>
      <c r="J2351" t="s">
        <v>8458</v>
      </c>
      <c r="M2351" t="s">
        <v>8448</v>
      </c>
      <c r="N2351" t="s">
        <v>8448</v>
      </c>
      <c r="O2351" t="s">
        <v>23</v>
      </c>
      <c r="P2351" t="s">
        <v>24</v>
      </c>
      <c r="Q2351" t="s">
        <v>642</v>
      </c>
      <c r="R2351" t="s">
        <v>1214</v>
      </c>
    </row>
    <row r="2352" spans="1:18" x14ac:dyDescent="0.25">
      <c r="A2352" t="s">
        <v>15122</v>
      </c>
      <c r="B2352" t="s">
        <v>8459</v>
      </c>
      <c r="C2352" t="str">
        <f>HYPERLINK("https://nematode.unl.edu/cricout11.jpg")</f>
        <v>https://nematode.unl.edu/cricout11.jpg</v>
      </c>
      <c r="D2352" t="s">
        <v>43</v>
      </c>
      <c r="G2352" t="s">
        <v>44</v>
      </c>
      <c r="I2352" t="s">
        <v>19</v>
      </c>
      <c r="J2352" t="s">
        <v>8458</v>
      </c>
      <c r="M2352" t="s">
        <v>8448</v>
      </c>
      <c r="N2352" t="s">
        <v>8448</v>
      </c>
      <c r="O2352" t="s">
        <v>23</v>
      </c>
      <c r="P2352" t="s">
        <v>24</v>
      </c>
      <c r="Q2352" t="s">
        <v>642</v>
      </c>
      <c r="R2352" t="s">
        <v>1214</v>
      </c>
    </row>
    <row r="2353" spans="1:18" x14ac:dyDescent="0.25">
      <c r="A2353" t="s">
        <v>15150</v>
      </c>
      <c r="B2353" t="s">
        <v>8460</v>
      </c>
      <c r="C2353" t="str">
        <f>HYPERLINK("https://nematode.unl.edu/cricout6.jpg")</f>
        <v>https://nematode.unl.edu/cricout6.jpg</v>
      </c>
      <c r="D2353" t="s">
        <v>43</v>
      </c>
      <c r="G2353" t="s">
        <v>28</v>
      </c>
      <c r="I2353" t="s">
        <v>41</v>
      </c>
      <c r="J2353" t="s">
        <v>8458</v>
      </c>
      <c r="M2353" t="s">
        <v>8448</v>
      </c>
      <c r="N2353" t="s">
        <v>8448</v>
      </c>
      <c r="O2353" t="s">
        <v>23</v>
      </c>
      <c r="P2353" t="s">
        <v>24</v>
      </c>
      <c r="Q2353" t="s">
        <v>642</v>
      </c>
      <c r="R2353" t="s">
        <v>1214</v>
      </c>
    </row>
    <row r="2354" spans="1:18" x14ac:dyDescent="0.25">
      <c r="A2354" t="s">
        <v>15090</v>
      </c>
      <c r="B2354" t="s">
        <v>8461</v>
      </c>
      <c r="C2354" t="str">
        <f>HYPERLINK("https://nematode.unl.edu/cricout7.jpg")</f>
        <v>https://nematode.unl.edu/cricout7.jpg</v>
      </c>
      <c r="D2354" t="s">
        <v>43</v>
      </c>
      <c r="G2354" t="s">
        <v>96</v>
      </c>
      <c r="H2354" t="s">
        <v>18</v>
      </c>
      <c r="I2354" t="s">
        <v>41</v>
      </c>
      <c r="J2354" t="s">
        <v>8458</v>
      </c>
      <c r="M2354" t="s">
        <v>8448</v>
      </c>
      <c r="N2354" t="s">
        <v>8448</v>
      </c>
      <c r="O2354" t="s">
        <v>23</v>
      </c>
      <c r="P2354" t="s">
        <v>24</v>
      </c>
      <c r="Q2354" t="s">
        <v>642</v>
      </c>
      <c r="R2354" t="s">
        <v>1214</v>
      </c>
    </row>
    <row r="2355" spans="1:18" x14ac:dyDescent="0.25">
      <c r="A2355" t="s">
        <v>15123</v>
      </c>
      <c r="B2355" t="s">
        <v>8462</v>
      </c>
      <c r="C2355" t="str">
        <f>HYPERLINK("https://nematode.unl.edu/cricout8.jpg")</f>
        <v>https://nematode.unl.edu/cricout8.jpg</v>
      </c>
      <c r="D2355" t="s">
        <v>43</v>
      </c>
      <c r="G2355" t="s">
        <v>44</v>
      </c>
      <c r="I2355" t="s">
        <v>19</v>
      </c>
      <c r="J2355" t="s">
        <v>8458</v>
      </c>
      <c r="M2355" t="s">
        <v>8448</v>
      </c>
      <c r="N2355" t="s">
        <v>8448</v>
      </c>
      <c r="O2355" t="s">
        <v>23</v>
      </c>
      <c r="P2355" t="s">
        <v>24</v>
      </c>
      <c r="Q2355" t="s">
        <v>642</v>
      </c>
      <c r="R2355" t="s">
        <v>1214</v>
      </c>
    </row>
    <row r="2356" spans="1:18" x14ac:dyDescent="0.25">
      <c r="A2356" t="s">
        <v>15141</v>
      </c>
      <c r="B2356" t="s">
        <v>8463</v>
      </c>
      <c r="C2356" t="str">
        <f>HYPERLINK("https://nematode.unl.edu/cricout9.jpg")</f>
        <v>https://nematode.unl.edu/cricout9.jpg</v>
      </c>
      <c r="D2356" t="s">
        <v>43</v>
      </c>
      <c r="G2356" t="s">
        <v>224</v>
      </c>
      <c r="I2356" t="s">
        <v>19</v>
      </c>
      <c r="J2356" t="s">
        <v>8458</v>
      </c>
      <c r="M2356" t="s">
        <v>8448</v>
      </c>
      <c r="N2356" t="s">
        <v>8448</v>
      </c>
      <c r="O2356" t="s">
        <v>23</v>
      </c>
      <c r="P2356" t="s">
        <v>24</v>
      </c>
      <c r="Q2356" t="s">
        <v>642</v>
      </c>
      <c r="R2356" t="s">
        <v>1214</v>
      </c>
    </row>
    <row r="2357" spans="1:18" x14ac:dyDescent="0.25">
      <c r="A2357" t="s">
        <v>15124</v>
      </c>
      <c r="B2357" t="s">
        <v>8464</v>
      </c>
      <c r="C2357" t="str">
        <f>HYPERLINK("https://nematode.unl.edu/cricov1.jpg")</f>
        <v>https://nematode.unl.edu/cricov1.jpg</v>
      </c>
      <c r="D2357" t="s">
        <v>43</v>
      </c>
      <c r="G2357" t="s">
        <v>44</v>
      </c>
      <c r="I2357" t="s">
        <v>19</v>
      </c>
      <c r="J2357" t="s">
        <v>8465</v>
      </c>
      <c r="M2357" t="s">
        <v>8448</v>
      </c>
      <c r="N2357" t="s">
        <v>8448</v>
      </c>
      <c r="O2357" t="s">
        <v>23</v>
      </c>
      <c r="P2357" t="s">
        <v>24</v>
      </c>
      <c r="Q2357" t="s">
        <v>642</v>
      </c>
      <c r="R2357" t="s">
        <v>1214</v>
      </c>
    </row>
    <row r="2358" spans="1:18" x14ac:dyDescent="0.25">
      <c r="A2358" t="s">
        <v>15091</v>
      </c>
      <c r="B2358" t="s">
        <v>8466</v>
      </c>
      <c r="C2358" t="str">
        <f>HYPERLINK("https://nematode.unl.edu/cricov2.jpg")</f>
        <v>https://nematode.unl.edu/cricov2.jpg</v>
      </c>
      <c r="D2358" t="s">
        <v>8467</v>
      </c>
      <c r="G2358" t="s">
        <v>96</v>
      </c>
      <c r="H2358" t="s">
        <v>18</v>
      </c>
      <c r="I2358" t="s">
        <v>41</v>
      </c>
      <c r="J2358" t="s">
        <v>8465</v>
      </c>
      <c r="M2358" t="s">
        <v>8448</v>
      </c>
      <c r="N2358" t="s">
        <v>8448</v>
      </c>
      <c r="O2358" t="s">
        <v>23</v>
      </c>
      <c r="P2358" t="s">
        <v>24</v>
      </c>
      <c r="Q2358" t="s">
        <v>642</v>
      </c>
      <c r="R2358" t="s">
        <v>1214</v>
      </c>
    </row>
    <row r="2359" spans="1:18" x14ac:dyDescent="0.25">
      <c r="A2359" t="s">
        <v>15151</v>
      </c>
      <c r="B2359" t="s">
        <v>8468</v>
      </c>
      <c r="C2359" t="str">
        <f>HYPERLINK("https://nematode.unl.edu/cricov3.jpg")</f>
        <v>https://nematode.unl.edu/cricov3.jpg</v>
      </c>
      <c r="D2359" t="s">
        <v>43</v>
      </c>
      <c r="G2359" t="s">
        <v>28</v>
      </c>
      <c r="I2359" t="s">
        <v>41</v>
      </c>
      <c r="J2359" t="s">
        <v>8465</v>
      </c>
      <c r="M2359" t="s">
        <v>8448</v>
      </c>
      <c r="N2359" t="s">
        <v>8448</v>
      </c>
      <c r="O2359" t="s">
        <v>23</v>
      </c>
      <c r="P2359" t="s">
        <v>24</v>
      </c>
      <c r="Q2359" t="s">
        <v>642</v>
      </c>
      <c r="R2359" t="s">
        <v>1214</v>
      </c>
    </row>
    <row r="2360" spans="1:18" x14ac:dyDescent="0.25">
      <c r="A2360" t="s">
        <v>15142</v>
      </c>
      <c r="B2360" t="s">
        <v>8469</v>
      </c>
      <c r="C2360" t="str">
        <f>HYPERLINK("https://nematode.unl.edu/cricov4.jpg")</f>
        <v>https://nematode.unl.edu/cricov4.jpg</v>
      </c>
      <c r="D2360" t="s">
        <v>43</v>
      </c>
      <c r="G2360" t="s">
        <v>224</v>
      </c>
      <c r="I2360" t="s">
        <v>41</v>
      </c>
      <c r="J2360" t="s">
        <v>8465</v>
      </c>
      <c r="M2360" t="s">
        <v>8448</v>
      </c>
      <c r="N2360" t="s">
        <v>8448</v>
      </c>
      <c r="O2360" t="s">
        <v>23</v>
      </c>
      <c r="P2360" t="s">
        <v>24</v>
      </c>
      <c r="Q2360" t="s">
        <v>642</v>
      </c>
      <c r="R2360" t="s">
        <v>1214</v>
      </c>
    </row>
    <row r="2361" spans="1:18" x14ac:dyDescent="0.25">
      <c r="A2361" t="s">
        <v>13656</v>
      </c>
      <c r="B2361" t="s">
        <v>3932</v>
      </c>
      <c r="C2361" t="str">
        <f>HYPERLINK("https://nematode.unl.edu/cricowar1.jpg")</f>
        <v>https://nematode.unl.edu/cricowar1.jpg</v>
      </c>
      <c r="D2361" t="s">
        <v>43</v>
      </c>
      <c r="G2361" t="s">
        <v>44</v>
      </c>
      <c r="I2361" t="s">
        <v>137</v>
      </c>
      <c r="J2361" t="s">
        <v>3933</v>
      </c>
      <c r="M2361" t="s">
        <v>643</v>
      </c>
      <c r="N2361" t="s">
        <v>643</v>
      </c>
      <c r="O2361" t="s">
        <v>23</v>
      </c>
      <c r="P2361" t="s">
        <v>24</v>
      </c>
      <c r="Q2361" t="s">
        <v>642</v>
      </c>
      <c r="R2361" t="s">
        <v>643</v>
      </c>
    </row>
    <row r="2362" spans="1:18" x14ac:dyDescent="0.25">
      <c r="A2362" t="s">
        <v>13657</v>
      </c>
      <c r="B2362" t="s">
        <v>3934</v>
      </c>
      <c r="C2362" t="str">
        <f>HYPERLINK("https://nematode.unl.edu/cricowar2.jpg")</f>
        <v>https://nematode.unl.edu/cricowar2.jpg</v>
      </c>
      <c r="D2362" t="s">
        <v>43</v>
      </c>
      <c r="G2362" t="s">
        <v>44</v>
      </c>
      <c r="I2362" t="s">
        <v>19</v>
      </c>
      <c r="J2362" t="s">
        <v>3933</v>
      </c>
      <c r="M2362" t="s">
        <v>643</v>
      </c>
      <c r="N2362" t="s">
        <v>643</v>
      </c>
      <c r="O2362" t="s">
        <v>23</v>
      </c>
      <c r="P2362" t="s">
        <v>24</v>
      </c>
      <c r="Q2362" t="s">
        <v>642</v>
      </c>
      <c r="R2362" t="s">
        <v>643</v>
      </c>
    </row>
    <row r="2363" spans="1:18" x14ac:dyDescent="0.25">
      <c r="A2363" t="s">
        <v>13648</v>
      </c>
      <c r="B2363" t="s">
        <v>3935</v>
      </c>
      <c r="C2363" t="str">
        <f>HYPERLINK("https://nematode.unl.edu/cricowar3.jpg")</f>
        <v>https://nematode.unl.edu/cricowar3.jpg</v>
      </c>
      <c r="D2363" t="s">
        <v>43</v>
      </c>
      <c r="G2363" t="s">
        <v>34</v>
      </c>
      <c r="H2363" t="s">
        <v>18</v>
      </c>
      <c r="I2363" t="s">
        <v>41</v>
      </c>
      <c r="J2363" t="s">
        <v>3933</v>
      </c>
      <c r="M2363" t="s">
        <v>643</v>
      </c>
      <c r="N2363" t="s">
        <v>643</v>
      </c>
      <c r="O2363" t="s">
        <v>23</v>
      </c>
      <c r="P2363" t="s">
        <v>24</v>
      </c>
      <c r="Q2363" t="s">
        <v>642</v>
      </c>
      <c r="R2363" t="s">
        <v>643</v>
      </c>
    </row>
    <row r="2364" spans="1:18" x14ac:dyDescent="0.25">
      <c r="A2364" t="s">
        <v>13669</v>
      </c>
      <c r="B2364" t="s">
        <v>3936</v>
      </c>
      <c r="C2364" t="str">
        <f>HYPERLINK("https://nematode.unl.edu/cricowar4.jpg")</f>
        <v>https://nematode.unl.edu/cricowar4.jpg</v>
      </c>
      <c r="D2364" t="s">
        <v>43</v>
      </c>
      <c r="G2364" t="s">
        <v>28</v>
      </c>
      <c r="I2364" t="s">
        <v>41</v>
      </c>
      <c r="J2364" t="s">
        <v>3933</v>
      </c>
      <c r="M2364" t="s">
        <v>643</v>
      </c>
      <c r="N2364" t="s">
        <v>643</v>
      </c>
      <c r="O2364" t="s">
        <v>23</v>
      </c>
      <c r="P2364" t="s">
        <v>24</v>
      </c>
      <c r="Q2364" t="s">
        <v>642</v>
      </c>
      <c r="R2364" t="s">
        <v>643</v>
      </c>
    </row>
    <row r="2365" spans="1:18" x14ac:dyDescent="0.25">
      <c r="A2365" t="s">
        <v>13658</v>
      </c>
      <c r="B2365" t="s">
        <v>3937</v>
      </c>
      <c r="C2365" t="str">
        <f>HYPERLINK("https://nematode.unl.edu/cricsilver1.jpg")</f>
        <v>https://nematode.unl.edu/cricsilver1.jpg</v>
      </c>
      <c r="D2365" t="s">
        <v>16</v>
      </c>
      <c r="G2365" t="s">
        <v>44</v>
      </c>
      <c r="I2365" t="s">
        <v>19</v>
      </c>
      <c r="J2365" t="s">
        <v>3938</v>
      </c>
      <c r="M2365" t="s">
        <v>643</v>
      </c>
      <c r="N2365" t="s">
        <v>643</v>
      </c>
      <c r="O2365" t="s">
        <v>23</v>
      </c>
      <c r="P2365" t="s">
        <v>24</v>
      </c>
      <c r="Q2365" t="s">
        <v>642</v>
      </c>
      <c r="R2365" t="s">
        <v>643</v>
      </c>
    </row>
    <row r="2366" spans="1:18" x14ac:dyDescent="0.25">
      <c r="A2366" t="s">
        <v>13665</v>
      </c>
      <c r="B2366" t="s">
        <v>3939</v>
      </c>
      <c r="C2366" t="str">
        <f>HYPERLINK("https://nematode.unl.edu/cricsilver10.jpg")</f>
        <v>https://nematode.unl.edu/cricsilver10.jpg</v>
      </c>
      <c r="D2366" t="s">
        <v>43</v>
      </c>
      <c r="G2366" t="s">
        <v>181</v>
      </c>
      <c r="I2366" t="s">
        <v>19</v>
      </c>
      <c r="J2366" t="s">
        <v>3938</v>
      </c>
      <c r="M2366" t="s">
        <v>643</v>
      </c>
      <c r="N2366" t="s">
        <v>643</v>
      </c>
      <c r="O2366" t="s">
        <v>23</v>
      </c>
      <c r="P2366" t="s">
        <v>24</v>
      </c>
      <c r="Q2366" t="s">
        <v>642</v>
      </c>
      <c r="R2366" t="s">
        <v>643</v>
      </c>
    </row>
    <row r="2367" spans="1:18" x14ac:dyDescent="0.25">
      <c r="A2367" t="s">
        <v>13643</v>
      </c>
      <c r="B2367" t="s">
        <v>3940</v>
      </c>
      <c r="C2367" t="str">
        <f>HYPERLINK("https://nematode.unl.edu/cricsilver11.jpg")</f>
        <v>https://nematode.unl.edu/cricsilver11.jpg</v>
      </c>
      <c r="D2367" t="s">
        <v>43</v>
      </c>
      <c r="G2367" t="s">
        <v>96</v>
      </c>
      <c r="H2367" t="s">
        <v>18</v>
      </c>
      <c r="I2367" t="s">
        <v>19</v>
      </c>
      <c r="J2367" t="s">
        <v>3938</v>
      </c>
      <c r="M2367" t="s">
        <v>643</v>
      </c>
      <c r="N2367" t="s">
        <v>643</v>
      </c>
      <c r="O2367" t="s">
        <v>23</v>
      </c>
      <c r="P2367" t="s">
        <v>24</v>
      </c>
      <c r="Q2367" t="s">
        <v>642</v>
      </c>
      <c r="R2367" t="s">
        <v>643</v>
      </c>
    </row>
    <row r="2368" spans="1:18" x14ac:dyDescent="0.25">
      <c r="A2368" t="s">
        <v>13653</v>
      </c>
      <c r="B2368" t="s">
        <v>3941</v>
      </c>
      <c r="C2368" t="str">
        <f>HYPERLINK("https://nematode.unl.edu/cricsilver12.jpg")</f>
        <v>https://nematode.unl.edu/cricsilver12.jpg</v>
      </c>
      <c r="D2368" t="s">
        <v>43</v>
      </c>
      <c r="G2368" t="s">
        <v>3942</v>
      </c>
      <c r="I2368" t="s">
        <v>19</v>
      </c>
      <c r="J2368" t="s">
        <v>3938</v>
      </c>
      <c r="M2368" t="s">
        <v>643</v>
      </c>
      <c r="N2368" t="s">
        <v>643</v>
      </c>
      <c r="O2368" t="s">
        <v>23</v>
      </c>
      <c r="P2368" t="s">
        <v>24</v>
      </c>
      <c r="Q2368" t="s">
        <v>642</v>
      </c>
      <c r="R2368" t="s">
        <v>643</v>
      </c>
    </row>
    <row r="2369" spans="1:18" x14ac:dyDescent="0.25">
      <c r="A2369" t="s">
        <v>13659</v>
      </c>
      <c r="B2369" t="s">
        <v>3943</v>
      </c>
      <c r="C2369" t="str">
        <f>HYPERLINK("https://nematode.unl.edu/cricsilver2.jpg")</f>
        <v>https://nematode.unl.edu/cricsilver2.jpg</v>
      </c>
      <c r="D2369" t="s">
        <v>16</v>
      </c>
      <c r="G2369" t="s">
        <v>44</v>
      </c>
      <c r="I2369" t="s">
        <v>19</v>
      </c>
      <c r="J2369" t="s">
        <v>3938</v>
      </c>
      <c r="M2369" t="s">
        <v>643</v>
      </c>
      <c r="N2369" t="s">
        <v>643</v>
      </c>
      <c r="O2369" t="s">
        <v>23</v>
      </c>
      <c r="P2369" t="s">
        <v>24</v>
      </c>
      <c r="Q2369" t="s">
        <v>642</v>
      </c>
      <c r="R2369" t="s">
        <v>643</v>
      </c>
    </row>
    <row r="2370" spans="1:18" x14ac:dyDescent="0.25">
      <c r="A2370" t="s">
        <v>13667</v>
      </c>
      <c r="B2370" t="s">
        <v>3944</v>
      </c>
      <c r="C2370" t="str">
        <f>HYPERLINK("https://nematode.unl.edu/cricsilver3.jpg")</f>
        <v>https://nematode.unl.edu/cricsilver3.jpg</v>
      </c>
      <c r="D2370" t="s">
        <v>16</v>
      </c>
      <c r="G2370" t="s">
        <v>1469</v>
      </c>
      <c r="I2370" t="s">
        <v>41</v>
      </c>
      <c r="J2370" t="s">
        <v>3938</v>
      </c>
      <c r="M2370" t="s">
        <v>643</v>
      </c>
      <c r="N2370" t="s">
        <v>643</v>
      </c>
      <c r="O2370" t="s">
        <v>23</v>
      </c>
      <c r="P2370" t="s">
        <v>24</v>
      </c>
      <c r="Q2370" t="s">
        <v>642</v>
      </c>
      <c r="R2370" t="s">
        <v>643</v>
      </c>
    </row>
    <row r="2371" spans="1:18" x14ac:dyDescent="0.25">
      <c r="A2371" t="s">
        <v>13660</v>
      </c>
      <c r="B2371" t="s">
        <v>3945</v>
      </c>
      <c r="C2371" t="str">
        <f>HYPERLINK("https://nematode.unl.edu/cricsilver4.jpg")</f>
        <v>https://nematode.unl.edu/cricsilver4.jpg</v>
      </c>
      <c r="D2371" t="s">
        <v>43</v>
      </c>
      <c r="G2371" t="s">
        <v>44</v>
      </c>
      <c r="I2371" t="s">
        <v>137</v>
      </c>
      <c r="J2371" t="s">
        <v>3938</v>
      </c>
      <c r="M2371" t="s">
        <v>643</v>
      </c>
      <c r="N2371" t="s">
        <v>643</v>
      </c>
      <c r="O2371" t="s">
        <v>23</v>
      </c>
      <c r="P2371" t="s">
        <v>24</v>
      </c>
      <c r="Q2371" t="s">
        <v>642</v>
      </c>
      <c r="R2371" t="s">
        <v>643</v>
      </c>
    </row>
    <row r="2372" spans="1:18" x14ac:dyDescent="0.25">
      <c r="A2372" t="s">
        <v>13661</v>
      </c>
      <c r="B2372" t="s">
        <v>3946</v>
      </c>
      <c r="C2372" t="str">
        <f>HYPERLINK("https://nematode.unl.edu/cricsilver5.jpg")</f>
        <v>https://nematode.unl.edu/cricsilver5.jpg</v>
      </c>
      <c r="D2372" t="s">
        <v>43</v>
      </c>
      <c r="G2372" t="s">
        <v>44</v>
      </c>
      <c r="I2372" t="s">
        <v>19</v>
      </c>
      <c r="J2372" t="s">
        <v>3938</v>
      </c>
      <c r="M2372" t="s">
        <v>643</v>
      </c>
      <c r="N2372" t="s">
        <v>643</v>
      </c>
      <c r="O2372" t="s">
        <v>23</v>
      </c>
      <c r="P2372" t="s">
        <v>24</v>
      </c>
      <c r="Q2372" t="s">
        <v>642</v>
      </c>
      <c r="R2372" t="s">
        <v>643</v>
      </c>
    </row>
    <row r="2373" spans="1:18" x14ac:dyDescent="0.25">
      <c r="A2373" t="s">
        <v>13644</v>
      </c>
      <c r="B2373" t="s">
        <v>3947</v>
      </c>
      <c r="C2373" t="str">
        <f>HYPERLINK("https://nematode.unl.edu/cricsilver6.jpg")</f>
        <v>https://nematode.unl.edu/cricsilver6.jpg</v>
      </c>
      <c r="D2373" t="s">
        <v>43</v>
      </c>
      <c r="G2373" t="s">
        <v>96</v>
      </c>
      <c r="H2373" t="s">
        <v>18</v>
      </c>
      <c r="I2373" t="s">
        <v>19</v>
      </c>
      <c r="J2373" t="s">
        <v>3938</v>
      </c>
      <c r="M2373" t="s">
        <v>643</v>
      </c>
      <c r="N2373" t="s">
        <v>643</v>
      </c>
      <c r="O2373" t="s">
        <v>23</v>
      </c>
      <c r="P2373" t="s">
        <v>24</v>
      </c>
      <c r="Q2373" t="s">
        <v>642</v>
      </c>
      <c r="R2373" t="s">
        <v>643</v>
      </c>
    </row>
    <row r="2374" spans="1:18" x14ac:dyDescent="0.25">
      <c r="A2374" t="s">
        <v>13645</v>
      </c>
      <c r="B2374" t="s">
        <v>3948</v>
      </c>
      <c r="C2374" t="str">
        <f>HYPERLINK("https://nematode.unl.edu/cricsilver7.jpg")</f>
        <v>https://nematode.unl.edu/cricsilver7.jpg</v>
      </c>
      <c r="D2374" t="s">
        <v>43</v>
      </c>
      <c r="G2374" t="s">
        <v>96</v>
      </c>
      <c r="H2374" t="s">
        <v>18</v>
      </c>
      <c r="I2374" t="s">
        <v>19</v>
      </c>
      <c r="J2374" t="s">
        <v>3938</v>
      </c>
      <c r="M2374" t="s">
        <v>643</v>
      </c>
      <c r="N2374" t="s">
        <v>643</v>
      </c>
      <c r="O2374" t="s">
        <v>23</v>
      </c>
      <c r="P2374" t="s">
        <v>24</v>
      </c>
      <c r="Q2374" t="s">
        <v>642</v>
      </c>
      <c r="R2374" t="s">
        <v>643</v>
      </c>
    </row>
    <row r="2375" spans="1:18" x14ac:dyDescent="0.25">
      <c r="A2375" t="s">
        <v>13666</v>
      </c>
      <c r="B2375" t="s">
        <v>3949</v>
      </c>
      <c r="C2375" t="str">
        <f>HYPERLINK("https://nematode.unl.edu/cricsilver8.jpg")</f>
        <v>https://nematode.unl.edu/cricsilver8.jpg</v>
      </c>
      <c r="D2375" t="s">
        <v>43</v>
      </c>
      <c r="G2375" t="s">
        <v>181</v>
      </c>
      <c r="I2375" t="s">
        <v>19</v>
      </c>
      <c r="J2375" t="s">
        <v>3938</v>
      </c>
      <c r="M2375" t="s">
        <v>643</v>
      </c>
      <c r="N2375" t="s">
        <v>643</v>
      </c>
      <c r="O2375" t="s">
        <v>23</v>
      </c>
      <c r="P2375" t="s">
        <v>24</v>
      </c>
      <c r="Q2375" t="s">
        <v>642</v>
      </c>
      <c r="R2375" t="s">
        <v>643</v>
      </c>
    </row>
    <row r="2376" spans="1:18" x14ac:dyDescent="0.25">
      <c r="A2376" t="s">
        <v>13646</v>
      </c>
      <c r="B2376" t="s">
        <v>3950</v>
      </c>
      <c r="C2376" t="str">
        <f>HYPERLINK("https://nematode.unl.edu/cricsilver9.jpg")</f>
        <v>https://nematode.unl.edu/cricsilver9.jpg</v>
      </c>
      <c r="D2376" t="s">
        <v>43</v>
      </c>
      <c r="G2376" t="s">
        <v>1496</v>
      </c>
      <c r="H2376" t="s">
        <v>18</v>
      </c>
      <c r="I2376" t="s">
        <v>41</v>
      </c>
      <c r="J2376" t="s">
        <v>3938</v>
      </c>
      <c r="M2376" t="s">
        <v>643</v>
      </c>
      <c r="N2376" t="s">
        <v>643</v>
      </c>
      <c r="O2376" t="s">
        <v>23</v>
      </c>
      <c r="P2376" t="s">
        <v>24</v>
      </c>
      <c r="Q2376" t="s">
        <v>642</v>
      </c>
      <c r="R2376" t="s">
        <v>643</v>
      </c>
    </row>
    <row r="2377" spans="1:18" x14ac:dyDescent="0.25">
      <c r="A2377" t="s">
        <v>13662</v>
      </c>
      <c r="B2377" t="s">
        <v>3951</v>
      </c>
      <c r="C2377" t="str">
        <f>HYPERLINK("https://nematode.unl.edu/criloup1.jpg")</f>
        <v>https://nematode.unl.edu/criloup1.jpg</v>
      </c>
      <c r="D2377" t="s">
        <v>43</v>
      </c>
      <c r="G2377" t="s">
        <v>44</v>
      </c>
      <c r="I2377" t="s">
        <v>19</v>
      </c>
      <c r="J2377" t="s">
        <v>3952</v>
      </c>
      <c r="M2377" t="s">
        <v>643</v>
      </c>
      <c r="N2377" t="s">
        <v>643</v>
      </c>
      <c r="O2377" t="s">
        <v>23</v>
      </c>
      <c r="P2377" t="s">
        <v>24</v>
      </c>
      <c r="Q2377" t="s">
        <v>642</v>
      </c>
      <c r="R2377" t="s">
        <v>643</v>
      </c>
    </row>
    <row r="2378" spans="1:18" x14ac:dyDescent="0.25">
      <c r="A2378" t="s">
        <v>13649</v>
      </c>
      <c r="B2378" t="s">
        <v>3953</v>
      </c>
      <c r="C2378" t="str">
        <f>HYPERLINK("https://nematode.unl.edu/criloup2.jpg")</f>
        <v>https://nematode.unl.edu/criloup2.jpg</v>
      </c>
      <c r="D2378" t="s">
        <v>43</v>
      </c>
      <c r="G2378" t="s">
        <v>34</v>
      </c>
      <c r="H2378" t="s">
        <v>18</v>
      </c>
      <c r="I2378" t="s">
        <v>41</v>
      </c>
      <c r="J2378" t="s">
        <v>3952</v>
      </c>
      <c r="M2378" t="s">
        <v>643</v>
      </c>
      <c r="N2378" t="s">
        <v>643</v>
      </c>
      <c r="O2378" t="s">
        <v>23</v>
      </c>
      <c r="P2378" t="s">
        <v>24</v>
      </c>
      <c r="Q2378" t="s">
        <v>642</v>
      </c>
      <c r="R2378" t="s">
        <v>643</v>
      </c>
    </row>
    <row r="2379" spans="1:18" x14ac:dyDescent="0.25">
      <c r="A2379" t="s">
        <v>13670</v>
      </c>
      <c r="B2379" t="s">
        <v>3954</v>
      </c>
      <c r="C2379" t="str">
        <f>HYPERLINK("https://nematode.unl.edu/criloup3.jpg")</f>
        <v>https://nematode.unl.edu/criloup3.jpg</v>
      </c>
      <c r="D2379" t="s">
        <v>43</v>
      </c>
      <c r="G2379" t="s">
        <v>28</v>
      </c>
      <c r="I2379" t="s">
        <v>41</v>
      </c>
      <c r="J2379" t="s">
        <v>3952</v>
      </c>
      <c r="M2379" t="s">
        <v>643</v>
      </c>
      <c r="N2379" t="s">
        <v>643</v>
      </c>
      <c r="O2379" t="s">
        <v>23</v>
      </c>
      <c r="P2379" t="s">
        <v>24</v>
      </c>
      <c r="Q2379" t="s">
        <v>642</v>
      </c>
      <c r="R2379" t="s">
        <v>643</v>
      </c>
    </row>
    <row r="2380" spans="1:18" x14ac:dyDescent="0.25">
      <c r="A2380" t="s">
        <v>13763</v>
      </c>
      <c r="B2380" t="s">
        <v>4055</v>
      </c>
      <c r="C2380" t="str">
        <f>HYPERLINK("https://nematode.unl.edu/crinfo1.jpg")</f>
        <v>https://nematode.unl.edu/crinfo1.jpg</v>
      </c>
      <c r="D2380" t="s">
        <v>43</v>
      </c>
      <c r="G2380" t="s">
        <v>44</v>
      </c>
      <c r="I2380" t="s">
        <v>19</v>
      </c>
      <c r="J2380" t="s">
        <v>1432</v>
      </c>
      <c r="M2380" t="s">
        <v>4051</v>
      </c>
      <c r="N2380" t="s">
        <v>4051</v>
      </c>
      <c r="O2380" t="s">
        <v>23</v>
      </c>
      <c r="P2380" t="s">
        <v>24</v>
      </c>
      <c r="Q2380" t="s">
        <v>642</v>
      </c>
      <c r="R2380" t="s">
        <v>651</v>
      </c>
    </row>
    <row r="2381" spans="1:18" x14ac:dyDescent="0.25">
      <c r="A2381" t="s">
        <v>13756</v>
      </c>
      <c r="B2381" t="s">
        <v>4056</v>
      </c>
      <c r="C2381" t="str">
        <f>HYPERLINK("https://nematode.unl.edu/crinfo2.jpg")</f>
        <v>https://nematode.unl.edu/crinfo2.jpg</v>
      </c>
      <c r="D2381" t="s">
        <v>43</v>
      </c>
      <c r="G2381" t="s">
        <v>34</v>
      </c>
      <c r="H2381" t="s">
        <v>18</v>
      </c>
      <c r="I2381" t="s">
        <v>41</v>
      </c>
      <c r="J2381" t="s">
        <v>1432</v>
      </c>
      <c r="M2381" t="s">
        <v>4051</v>
      </c>
      <c r="N2381" t="s">
        <v>4051</v>
      </c>
      <c r="O2381" t="s">
        <v>23</v>
      </c>
      <c r="P2381" t="s">
        <v>24</v>
      </c>
      <c r="Q2381" t="s">
        <v>642</v>
      </c>
      <c r="R2381" t="s">
        <v>651</v>
      </c>
    </row>
    <row r="2382" spans="1:18" x14ac:dyDescent="0.25">
      <c r="A2382" t="s">
        <v>13767</v>
      </c>
      <c r="B2382" t="s">
        <v>4057</v>
      </c>
      <c r="C2382" t="str">
        <f>HYPERLINK("https://nematode.unl.edu/crinfo3.jpg")</f>
        <v>https://nematode.unl.edu/crinfo3.jpg</v>
      </c>
      <c r="D2382" t="s">
        <v>43</v>
      </c>
      <c r="G2382" t="s">
        <v>28</v>
      </c>
      <c r="I2382" t="s">
        <v>41</v>
      </c>
      <c r="J2382" t="s">
        <v>1432</v>
      </c>
      <c r="M2382" t="s">
        <v>4051</v>
      </c>
      <c r="N2382" t="s">
        <v>4051</v>
      </c>
      <c r="O2382" t="s">
        <v>23</v>
      </c>
      <c r="P2382" t="s">
        <v>24</v>
      </c>
      <c r="Q2382" t="s">
        <v>642</v>
      </c>
      <c r="R2382" t="s">
        <v>651</v>
      </c>
    </row>
    <row r="2383" spans="1:18" x14ac:dyDescent="0.25">
      <c r="A2383" t="s">
        <v>13758</v>
      </c>
      <c r="B2383" t="s">
        <v>4058</v>
      </c>
      <c r="C2383" t="str">
        <f>HYPERLINK("https://nematode.unl.edu/crinfo4.jpg")</f>
        <v>https://nematode.unl.edu/crinfo4.jpg</v>
      </c>
      <c r="D2383" t="s">
        <v>43</v>
      </c>
      <c r="G2383" t="s">
        <v>4059</v>
      </c>
      <c r="H2383" t="s">
        <v>18</v>
      </c>
      <c r="I2383" t="s">
        <v>41</v>
      </c>
      <c r="J2383" t="s">
        <v>1432</v>
      </c>
      <c r="M2383" t="s">
        <v>4051</v>
      </c>
      <c r="N2383" t="s">
        <v>4051</v>
      </c>
      <c r="O2383" t="s">
        <v>23</v>
      </c>
      <c r="P2383" t="s">
        <v>24</v>
      </c>
      <c r="Q2383" t="s">
        <v>642</v>
      </c>
      <c r="R2383" t="s">
        <v>651</v>
      </c>
    </row>
    <row r="2384" spans="1:18" x14ac:dyDescent="0.25">
      <c r="A2384" t="s">
        <v>13684</v>
      </c>
      <c r="B2384" t="s">
        <v>637</v>
      </c>
      <c r="C2384" t="str">
        <f>HYPERLINK("https://nematode.unl.edu/cripavo1.jpg")</f>
        <v>https://nematode.unl.edu/cripavo1.jpg</v>
      </c>
      <c r="D2384" t="s">
        <v>43</v>
      </c>
      <c r="G2384" t="s">
        <v>44</v>
      </c>
      <c r="I2384" t="s">
        <v>19</v>
      </c>
      <c r="J2384" t="s">
        <v>638</v>
      </c>
      <c r="K2384" t="s">
        <v>22854</v>
      </c>
      <c r="L2384" t="s">
        <v>639</v>
      </c>
      <c r="M2384" t="s">
        <v>640</v>
      </c>
      <c r="N2384" t="s">
        <v>641</v>
      </c>
      <c r="O2384" t="s">
        <v>23</v>
      </c>
      <c r="P2384" t="s">
        <v>24</v>
      </c>
      <c r="Q2384" t="s">
        <v>642</v>
      </c>
      <c r="R2384" t="s">
        <v>643</v>
      </c>
    </row>
    <row r="2385" spans="1:18" x14ac:dyDescent="0.25">
      <c r="A2385" t="s">
        <v>13683</v>
      </c>
      <c r="B2385" t="s">
        <v>644</v>
      </c>
      <c r="C2385" t="str">
        <f>HYPERLINK("https://nematode.unl.edu/cripavo2.jpg")</f>
        <v>https://nematode.unl.edu/cripavo2.jpg</v>
      </c>
      <c r="D2385" t="s">
        <v>43</v>
      </c>
      <c r="G2385" t="s">
        <v>34</v>
      </c>
      <c r="H2385" t="s">
        <v>18</v>
      </c>
      <c r="I2385" t="s">
        <v>41</v>
      </c>
      <c r="J2385" t="s">
        <v>638</v>
      </c>
      <c r="K2385" t="s">
        <v>22854</v>
      </c>
      <c r="L2385" t="s">
        <v>639</v>
      </c>
      <c r="M2385" t="s">
        <v>640</v>
      </c>
      <c r="N2385" t="s">
        <v>641</v>
      </c>
      <c r="O2385" t="s">
        <v>23</v>
      </c>
      <c r="P2385" t="s">
        <v>24</v>
      </c>
      <c r="Q2385" t="s">
        <v>642</v>
      </c>
      <c r="R2385" t="s">
        <v>643</v>
      </c>
    </row>
    <row r="2386" spans="1:18" x14ac:dyDescent="0.25">
      <c r="A2386" t="s">
        <v>13686</v>
      </c>
      <c r="B2386" t="s">
        <v>645</v>
      </c>
      <c r="C2386" t="str">
        <f>HYPERLINK("https://nematode.unl.edu/cripavo3.jpg")</f>
        <v>https://nematode.unl.edu/cripavo3.jpg</v>
      </c>
      <c r="D2386" t="s">
        <v>43</v>
      </c>
      <c r="G2386" t="s">
        <v>28</v>
      </c>
      <c r="I2386" t="s">
        <v>41</v>
      </c>
      <c r="J2386" t="s">
        <v>638</v>
      </c>
      <c r="K2386" t="s">
        <v>22854</v>
      </c>
      <c r="L2386" t="s">
        <v>639</v>
      </c>
      <c r="M2386" t="s">
        <v>640</v>
      </c>
      <c r="N2386" t="s">
        <v>641</v>
      </c>
      <c r="O2386" t="s">
        <v>23</v>
      </c>
      <c r="P2386" t="s">
        <v>24</v>
      </c>
      <c r="Q2386" t="s">
        <v>642</v>
      </c>
      <c r="R2386" t="s">
        <v>643</v>
      </c>
    </row>
    <row r="2387" spans="1:18" x14ac:dyDescent="0.25">
      <c r="A2387" t="s">
        <v>13685</v>
      </c>
      <c r="B2387" t="s">
        <v>646</v>
      </c>
      <c r="C2387" t="str">
        <f>HYPERLINK("https://nematode.unl.edu/cripavo4.jpg")</f>
        <v>https://nematode.unl.edu/cripavo4.jpg</v>
      </c>
      <c r="D2387" t="s">
        <v>43</v>
      </c>
      <c r="G2387" t="s">
        <v>647</v>
      </c>
      <c r="I2387" t="s">
        <v>41</v>
      </c>
      <c r="J2387" t="s">
        <v>638</v>
      </c>
      <c r="K2387" t="s">
        <v>22854</v>
      </c>
      <c r="L2387" t="s">
        <v>639</v>
      </c>
      <c r="M2387" t="s">
        <v>640</v>
      </c>
      <c r="N2387" t="s">
        <v>641</v>
      </c>
      <c r="O2387" t="s">
        <v>23</v>
      </c>
      <c r="P2387" t="s">
        <v>24</v>
      </c>
      <c r="Q2387" t="s">
        <v>642</v>
      </c>
      <c r="R2387" t="s">
        <v>643</v>
      </c>
    </row>
    <row r="2388" spans="1:18" x14ac:dyDescent="0.25">
      <c r="A2388" t="s">
        <v>13676</v>
      </c>
      <c r="B2388" t="s">
        <v>3961</v>
      </c>
      <c r="C2388" t="str">
        <f>HYPERLINK("https://nematode.unl.edu/cripew1.jpg")</f>
        <v>https://nematode.unl.edu/cripew1.jpg</v>
      </c>
      <c r="D2388" t="s">
        <v>43</v>
      </c>
      <c r="G2388" t="s">
        <v>44</v>
      </c>
      <c r="I2388" t="s">
        <v>19</v>
      </c>
      <c r="J2388" t="s">
        <v>1229</v>
      </c>
      <c r="M2388" t="s">
        <v>641</v>
      </c>
      <c r="N2388" t="s">
        <v>641</v>
      </c>
      <c r="O2388" t="s">
        <v>23</v>
      </c>
      <c r="P2388" t="s">
        <v>24</v>
      </c>
      <c r="Q2388" t="s">
        <v>642</v>
      </c>
      <c r="R2388" t="s">
        <v>643</v>
      </c>
    </row>
    <row r="2389" spans="1:18" x14ac:dyDescent="0.25">
      <c r="A2389" t="s">
        <v>13677</v>
      </c>
      <c r="B2389" t="s">
        <v>3962</v>
      </c>
      <c r="C2389" t="str">
        <f>HYPERLINK("https://nematode.unl.edu/cripew2.jpg")</f>
        <v>https://nematode.unl.edu/cripew2.jpg</v>
      </c>
      <c r="D2389" t="s">
        <v>43</v>
      </c>
      <c r="G2389" t="s">
        <v>44</v>
      </c>
      <c r="I2389" t="s">
        <v>19</v>
      </c>
      <c r="J2389" t="s">
        <v>1229</v>
      </c>
      <c r="M2389" t="s">
        <v>641</v>
      </c>
      <c r="N2389" t="s">
        <v>641</v>
      </c>
      <c r="O2389" t="s">
        <v>23</v>
      </c>
      <c r="P2389" t="s">
        <v>24</v>
      </c>
      <c r="Q2389" t="s">
        <v>642</v>
      </c>
      <c r="R2389" t="s">
        <v>643</v>
      </c>
    </row>
    <row r="2390" spans="1:18" x14ac:dyDescent="0.25">
      <c r="A2390" t="s">
        <v>13672</v>
      </c>
      <c r="B2390" t="s">
        <v>3963</v>
      </c>
      <c r="C2390" t="str">
        <f>HYPERLINK("https://nematode.unl.edu/cripew3.jpg")</f>
        <v>https://nematode.unl.edu/cripew3.jpg</v>
      </c>
      <c r="D2390" t="s">
        <v>43</v>
      </c>
      <c r="G2390" t="s">
        <v>34</v>
      </c>
      <c r="H2390" t="s">
        <v>18</v>
      </c>
      <c r="I2390" t="s">
        <v>41</v>
      </c>
      <c r="J2390" t="s">
        <v>1229</v>
      </c>
      <c r="M2390" t="s">
        <v>641</v>
      </c>
      <c r="N2390" t="s">
        <v>641</v>
      </c>
      <c r="O2390" t="s">
        <v>23</v>
      </c>
      <c r="P2390" t="s">
        <v>24</v>
      </c>
      <c r="Q2390" t="s">
        <v>642</v>
      </c>
      <c r="R2390" t="s">
        <v>643</v>
      </c>
    </row>
    <row r="2391" spans="1:18" x14ac:dyDescent="0.25">
      <c r="A2391" t="s">
        <v>13680</v>
      </c>
      <c r="B2391" t="s">
        <v>3964</v>
      </c>
      <c r="C2391" t="str">
        <f>HYPERLINK("https://nematode.unl.edu/cripew4.jpg")</f>
        <v>https://nematode.unl.edu/cripew4.jpg</v>
      </c>
      <c r="D2391" t="s">
        <v>43</v>
      </c>
      <c r="G2391" t="s">
        <v>28</v>
      </c>
      <c r="I2391" t="s">
        <v>41</v>
      </c>
      <c r="J2391" t="s">
        <v>1229</v>
      </c>
      <c r="M2391" t="s">
        <v>641</v>
      </c>
      <c r="N2391" t="s">
        <v>641</v>
      </c>
      <c r="O2391" t="s">
        <v>23</v>
      </c>
      <c r="P2391" t="s">
        <v>24</v>
      </c>
      <c r="Q2391" t="s">
        <v>642</v>
      </c>
      <c r="R2391" t="s">
        <v>643</v>
      </c>
    </row>
    <row r="2392" spans="1:18" x14ac:dyDescent="0.25">
      <c r="A2392" t="s">
        <v>14026</v>
      </c>
      <c r="B2392" t="s">
        <v>7025</v>
      </c>
      <c r="C2392" t="str">
        <f>HYPERLINK("https://nematode.unl.edu/crisp1.jpg")</f>
        <v>https://nematode.unl.edu/crisp1.jpg</v>
      </c>
      <c r="D2392" t="s">
        <v>43</v>
      </c>
      <c r="G2392" t="s">
        <v>44</v>
      </c>
      <c r="I2392" t="s">
        <v>45</v>
      </c>
      <c r="J2392" t="s">
        <v>46</v>
      </c>
      <c r="L2392" t="s">
        <v>105</v>
      </c>
      <c r="M2392" t="s">
        <v>7008</v>
      </c>
      <c r="N2392" t="s">
        <v>7008</v>
      </c>
      <c r="O2392" t="s">
        <v>23</v>
      </c>
      <c r="P2392" t="s">
        <v>24</v>
      </c>
      <c r="Q2392" t="s">
        <v>642</v>
      </c>
      <c r="R2392" t="s">
        <v>6940</v>
      </c>
    </row>
    <row r="2393" spans="1:18" x14ac:dyDescent="0.25">
      <c r="A2393" t="s">
        <v>14016</v>
      </c>
      <c r="B2393" t="s">
        <v>7026</v>
      </c>
      <c r="C2393" t="str">
        <f>HYPERLINK("https://nematode.unl.edu/crisp2.jpg")</f>
        <v>https://nematode.unl.edu/crisp2.jpg</v>
      </c>
      <c r="D2393" t="s">
        <v>43</v>
      </c>
      <c r="G2393" t="s">
        <v>34</v>
      </c>
      <c r="H2393" t="s">
        <v>18</v>
      </c>
      <c r="I2393" t="s">
        <v>19</v>
      </c>
      <c r="J2393" t="s">
        <v>46</v>
      </c>
      <c r="L2393" t="s">
        <v>105</v>
      </c>
      <c r="M2393" t="s">
        <v>7008</v>
      </c>
      <c r="N2393" t="s">
        <v>7008</v>
      </c>
      <c r="O2393" t="s">
        <v>23</v>
      </c>
      <c r="P2393" t="s">
        <v>24</v>
      </c>
      <c r="Q2393" t="s">
        <v>642</v>
      </c>
      <c r="R2393" t="s">
        <v>6940</v>
      </c>
    </row>
    <row r="2394" spans="1:18" x14ac:dyDescent="0.25">
      <c r="A2394" t="s">
        <v>14037</v>
      </c>
      <c r="B2394" t="s">
        <v>7027</v>
      </c>
      <c r="C2394" t="str">
        <f>HYPERLINK("https://nematode.unl.edu/crisp3.jpg")</f>
        <v>https://nematode.unl.edu/crisp3.jpg</v>
      </c>
      <c r="D2394" t="s">
        <v>43</v>
      </c>
      <c r="G2394" t="s">
        <v>28</v>
      </c>
      <c r="I2394" t="s">
        <v>19</v>
      </c>
      <c r="J2394" t="s">
        <v>46</v>
      </c>
      <c r="L2394" t="s">
        <v>105</v>
      </c>
      <c r="M2394" t="s">
        <v>7008</v>
      </c>
      <c r="N2394" t="s">
        <v>7008</v>
      </c>
      <c r="O2394" t="s">
        <v>23</v>
      </c>
      <c r="P2394" t="s">
        <v>24</v>
      </c>
      <c r="Q2394" t="s">
        <v>642</v>
      </c>
      <c r="R2394" t="s">
        <v>6940</v>
      </c>
    </row>
    <row r="2395" spans="1:18" x14ac:dyDescent="0.25">
      <c r="A2395" t="s">
        <v>14031</v>
      </c>
      <c r="B2395" t="s">
        <v>7028</v>
      </c>
      <c r="C2395" t="str">
        <f>HYPERLINK("https://nematode.unl.edu/crisp4.jpg")</f>
        <v>https://nematode.unl.edu/crisp4.jpg</v>
      </c>
      <c r="D2395" t="s">
        <v>43</v>
      </c>
      <c r="G2395" t="s">
        <v>224</v>
      </c>
      <c r="I2395" t="s">
        <v>41</v>
      </c>
      <c r="J2395" t="s">
        <v>46</v>
      </c>
      <c r="M2395" t="s">
        <v>7008</v>
      </c>
      <c r="N2395" t="s">
        <v>7008</v>
      </c>
      <c r="O2395" t="s">
        <v>23</v>
      </c>
      <c r="P2395" t="s">
        <v>24</v>
      </c>
      <c r="Q2395" t="s">
        <v>642</v>
      </c>
      <c r="R2395" t="s">
        <v>6940</v>
      </c>
    </row>
    <row r="2396" spans="1:18" x14ac:dyDescent="0.25">
      <c r="A2396" t="s">
        <v>14017</v>
      </c>
      <c r="B2396" t="s">
        <v>7029</v>
      </c>
      <c r="C2396" t="str">
        <f>HYPERLINK("https://nematode.unl.edu/crisp5.jpg")</f>
        <v>https://nematode.unl.edu/crisp5.jpg</v>
      </c>
      <c r="D2396" t="s">
        <v>43</v>
      </c>
      <c r="G2396" t="s">
        <v>34</v>
      </c>
      <c r="H2396" t="s">
        <v>18</v>
      </c>
      <c r="I2396" t="s">
        <v>41</v>
      </c>
      <c r="J2396" t="s">
        <v>46</v>
      </c>
      <c r="L2396" t="s">
        <v>105</v>
      </c>
      <c r="M2396" t="s">
        <v>7008</v>
      </c>
      <c r="N2396" t="s">
        <v>7008</v>
      </c>
      <c r="O2396" t="s">
        <v>23</v>
      </c>
      <c r="P2396" t="s">
        <v>24</v>
      </c>
      <c r="Q2396" t="s">
        <v>642</v>
      </c>
      <c r="R2396" t="s">
        <v>6940</v>
      </c>
    </row>
    <row r="2397" spans="1:18" x14ac:dyDescent="0.25">
      <c r="A2397" t="s">
        <v>13694</v>
      </c>
      <c r="B2397" t="s">
        <v>3972</v>
      </c>
      <c r="C2397" t="str">
        <f>HYPERLINK("https://nematode.unl.edu/crispha1.jpg")</f>
        <v>https://nematode.unl.edu/crispha1.jpg</v>
      </c>
      <c r="D2397" t="s">
        <v>43</v>
      </c>
      <c r="G2397" t="s">
        <v>44</v>
      </c>
      <c r="I2397" t="s">
        <v>19</v>
      </c>
      <c r="J2397" t="s">
        <v>1498</v>
      </c>
      <c r="L2397" t="s">
        <v>3973</v>
      </c>
      <c r="M2397" t="s">
        <v>3974</v>
      </c>
      <c r="N2397" t="s">
        <v>3974</v>
      </c>
      <c r="O2397" t="s">
        <v>23</v>
      </c>
      <c r="P2397" t="s">
        <v>24</v>
      </c>
      <c r="Q2397" t="s">
        <v>642</v>
      </c>
      <c r="R2397" t="s">
        <v>643</v>
      </c>
    </row>
    <row r="2398" spans="1:18" x14ac:dyDescent="0.25">
      <c r="A2398" t="s">
        <v>13695</v>
      </c>
      <c r="B2398" t="s">
        <v>3975</v>
      </c>
      <c r="C2398" t="str">
        <f>HYPERLINK("https://nematode.unl.edu/crispha10.jpg")</f>
        <v>https://nematode.unl.edu/crispha10.jpg</v>
      </c>
      <c r="D2398" t="s">
        <v>43</v>
      </c>
      <c r="G2398" t="s">
        <v>44</v>
      </c>
      <c r="I2398" t="s">
        <v>19</v>
      </c>
      <c r="J2398" t="s">
        <v>1498</v>
      </c>
      <c r="L2398" t="s">
        <v>3973</v>
      </c>
      <c r="M2398" t="s">
        <v>3974</v>
      </c>
      <c r="N2398" t="s">
        <v>3974</v>
      </c>
      <c r="O2398" t="s">
        <v>23</v>
      </c>
      <c r="P2398" t="s">
        <v>24</v>
      </c>
      <c r="Q2398" t="s">
        <v>642</v>
      </c>
      <c r="R2398" t="s">
        <v>643</v>
      </c>
    </row>
    <row r="2399" spans="1:18" x14ac:dyDescent="0.25">
      <c r="A2399" t="s">
        <v>13687</v>
      </c>
      <c r="B2399" t="s">
        <v>3976</v>
      </c>
      <c r="C2399" t="str">
        <f>HYPERLINK("https://nematode.unl.edu/crispha11.jpg")</f>
        <v>https://nematode.unl.edu/crispha11.jpg</v>
      </c>
      <c r="D2399" t="s">
        <v>43</v>
      </c>
      <c r="G2399" t="s">
        <v>34</v>
      </c>
      <c r="H2399" t="s">
        <v>18</v>
      </c>
      <c r="I2399" t="s">
        <v>41</v>
      </c>
      <c r="J2399" t="s">
        <v>1498</v>
      </c>
      <c r="L2399" t="s">
        <v>3973</v>
      </c>
      <c r="M2399" t="s">
        <v>3974</v>
      </c>
      <c r="N2399" t="s">
        <v>3974</v>
      </c>
      <c r="O2399" t="s">
        <v>23</v>
      </c>
      <c r="P2399" t="s">
        <v>24</v>
      </c>
      <c r="Q2399" t="s">
        <v>642</v>
      </c>
      <c r="R2399" t="s">
        <v>643</v>
      </c>
    </row>
    <row r="2400" spans="1:18" x14ac:dyDescent="0.25">
      <c r="A2400" t="s">
        <v>13699</v>
      </c>
      <c r="B2400" t="s">
        <v>3977</v>
      </c>
      <c r="C2400" t="str">
        <f>HYPERLINK("https://nematode.unl.edu/crispha12.jpg")</f>
        <v>https://nematode.unl.edu/crispha12.jpg</v>
      </c>
      <c r="D2400" t="s">
        <v>43</v>
      </c>
      <c r="G2400" t="s">
        <v>1401</v>
      </c>
      <c r="I2400" t="s">
        <v>41</v>
      </c>
      <c r="J2400" t="s">
        <v>1498</v>
      </c>
      <c r="L2400" t="s">
        <v>3973</v>
      </c>
      <c r="M2400" t="s">
        <v>3974</v>
      </c>
      <c r="N2400" t="s">
        <v>3974</v>
      </c>
      <c r="O2400" t="s">
        <v>23</v>
      </c>
      <c r="P2400" t="s">
        <v>24</v>
      </c>
      <c r="Q2400" t="s">
        <v>642</v>
      </c>
      <c r="R2400" t="s">
        <v>643</v>
      </c>
    </row>
    <row r="2401" spans="1:18" x14ac:dyDescent="0.25">
      <c r="A2401" t="s">
        <v>13701</v>
      </c>
      <c r="B2401" t="s">
        <v>3978</v>
      </c>
      <c r="C2401" t="str">
        <f>HYPERLINK("https://nematode.unl.edu/crispha13.jpg")</f>
        <v>https://nematode.unl.edu/crispha13.jpg</v>
      </c>
      <c r="D2401" t="s">
        <v>43</v>
      </c>
      <c r="G2401" t="s">
        <v>28</v>
      </c>
      <c r="I2401" t="s">
        <v>41</v>
      </c>
      <c r="J2401" t="s">
        <v>1498</v>
      </c>
      <c r="L2401" t="s">
        <v>3973</v>
      </c>
      <c r="M2401" t="s">
        <v>3974</v>
      </c>
      <c r="N2401" t="s">
        <v>3974</v>
      </c>
      <c r="O2401" t="s">
        <v>23</v>
      </c>
      <c r="P2401" t="s">
        <v>24</v>
      </c>
      <c r="Q2401" t="s">
        <v>642</v>
      </c>
      <c r="R2401" t="s">
        <v>643</v>
      </c>
    </row>
    <row r="2402" spans="1:18" x14ac:dyDescent="0.25">
      <c r="A2402" t="s">
        <v>13691</v>
      </c>
      <c r="B2402" t="s">
        <v>3979</v>
      </c>
      <c r="C2402" t="str">
        <f>HYPERLINK("https://nematode.unl.edu/crispha14.jpg")</f>
        <v>https://nematode.unl.edu/crispha14.jpg</v>
      </c>
      <c r="D2402" t="s">
        <v>43</v>
      </c>
      <c r="G2402" t="s">
        <v>3942</v>
      </c>
      <c r="I2402" t="s">
        <v>41</v>
      </c>
      <c r="J2402" t="s">
        <v>1498</v>
      </c>
      <c r="L2402" t="s">
        <v>3973</v>
      </c>
      <c r="M2402" t="s">
        <v>3974</v>
      </c>
      <c r="N2402" t="s">
        <v>3974</v>
      </c>
      <c r="O2402" t="s">
        <v>23</v>
      </c>
      <c r="P2402" t="s">
        <v>24</v>
      </c>
      <c r="Q2402" t="s">
        <v>642</v>
      </c>
      <c r="R2402" t="s">
        <v>643</v>
      </c>
    </row>
    <row r="2403" spans="1:18" x14ac:dyDescent="0.25">
      <c r="A2403" t="s">
        <v>13688</v>
      </c>
      <c r="B2403" t="s">
        <v>3980</v>
      </c>
      <c r="C2403" t="str">
        <f>HYPERLINK("https://nematode.unl.edu/crispha2.jpg")</f>
        <v>https://nematode.unl.edu/crispha2.jpg</v>
      </c>
      <c r="D2403" t="s">
        <v>43</v>
      </c>
      <c r="G2403" t="s">
        <v>34</v>
      </c>
      <c r="H2403" t="s">
        <v>18</v>
      </c>
      <c r="I2403" t="s">
        <v>41</v>
      </c>
      <c r="J2403" t="s">
        <v>1498</v>
      </c>
      <c r="L2403" t="s">
        <v>3973</v>
      </c>
      <c r="M2403" t="s">
        <v>3974</v>
      </c>
      <c r="N2403" t="s">
        <v>3974</v>
      </c>
      <c r="O2403" t="s">
        <v>23</v>
      </c>
      <c r="P2403" t="s">
        <v>24</v>
      </c>
      <c r="Q2403" t="s">
        <v>642</v>
      </c>
      <c r="R2403" t="s">
        <v>643</v>
      </c>
    </row>
    <row r="2404" spans="1:18" x14ac:dyDescent="0.25">
      <c r="A2404" t="s">
        <v>13702</v>
      </c>
      <c r="B2404" t="s">
        <v>3981</v>
      </c>
      <c r="C2404" t="str">
        <f>HYPERLINK("https://nematode.unl.edu/crispha3.jpg")</f>
        <v>https://nematode.unl.edu/crispha3.jpg</v>
      </c>
      <c r="D2404" t="s">
        <v>43</v>
      </c>
      <c r="G2404" t="s">
        <v>28</v>
      </c>
      <c r="I2404" t="s">
        <v>41</v>
      </c>
      <c r="J2404" t="s">
        <v>1498</v>
      </c>
      <c r="L2404" t="s">
        <v>3973</v>
      </c>
      <c r="M2404" t="s">
        <v>3974</v>
      </c>
      <c r="N2404" t="s">
        <v>3974</v>
      </c>
      <c r="O2404" t="s">
        <v>23</v>
      </c>
      <c r="P2404" t="s">
        <v>24</v>
      </c>
      <c r="Q2404" t="s">
        <v>642</v>
      </c>
      <c r="R2404" t="s">
        <v>643</v>
      </c>
    </row>
    <row r="2405" spans="1:18" x14ac:dyDescent="0.25">
      <c r="A2405" t="s">
        <v>13700</v>
      </c>
      <c r="B2405" t="s">
        <v>3982</v>
      </c>
      <c r="C2405" t="str">
        <f>HYPERLINK("https://nematode.unl.edu/crispha4.jpg")</f>
        <v>https://nematode.unl.edu/crispha4.jpg</v>
      </c>
      <c r="D2405" t="s">
        <v>43</v>
      </c>
      <c r="G2405" t="s">
        <v>674</v>
      </c>
      <c r="I2405" t="s">
        <v>41</v>
      </c>
      <c r="J2405" t="s">
        <v>1498</v>
      </c>
      <c r="L2405" t="s">
        <v>3973</v>
      </c>
      <c r="M2405" t="s">
        <v>3974</v>
      </c>
      <c r="N2405" t="s">
        <v>3974</v>
      </c>
      <c r="O2405" t="s">
        <v>23</v>
      </c>
      <c r="P2405" t="s">
        <v>24</v>
      </c>
      <c r="Q2405" t="s">
        <v>642</v>
      </c>
      <c r="R2405" t="s">
        <v>643</v>
      </c>
    </row>
    <row r="2406" spans="1:18" x14ac:dyDescent="0.25">
      <c r="A2406" t="s">
        <v>13692</v>
      </c>
      <c r="B2406" t="s">
        <v>3983</v>
      </c>
      <c r="C2406" t="str">
        <f>HYPERLINK("https://nematode.unl.edu/crispha5.jpg")</f>
        <v>https://nematode.unl.edu/crispha5.jpg</v>
      </c>
      <c r="D2406" t="s">
        <v>43</v>
      </c>
      <c r="G2406" t="s">
        <v>3942</v>
      </c>
      <c r="I2406" t="s">
        <v>41</v>
      </c>
      <c r="J2406" t="s">
        <v>1498</v>
      </c>
      <c r="L2406" t="s">
        <v>3973</v>
      </c>
      <c r="M2406" t="s">
        <v>3974</v>
      </c>
      <c r="N2406" t="s">
        <v>3974</v>
      </c>
      <c r="O2406" t="s">
        <v>23</v>
      </c>
      <c r="P2406" t="s">
        <v>24</v>
      </c>
      <c r="Q2406" t="s">
        <v>642</v>
      </c>
      <c r="R2406" t="s">
        <v>643</v>
      </c>
    </row>
    <row r="2407" spans="1:18" x14ac:dyDescent="0.25">
      <c r="A2407" t="s">
        <v>13696</v>
      </c>
      <c r="B2407" t="s">
        <v>3984</v>
      </c>
      <c r="C2407" t="str">
        <f>HYPERLINK("https://nematode.unl.edu/crispha6.jpg")</f>
        <v>https://nematode.unl.edu/crispha6.jpg</v>
      </c>
      <c r="D2407" t="s">
        <v>16</v>
      </c>
      <c r="G2407" t="s">
        <v>44</v>
      </c>
      <c r="I2407" t="s">
        <v>19</v>
      </c>
      <c r="J2407" t="s">
        <v>1498</v>
      </c>
      <c r="L2407" t="s">
        <v>3973</v>
      </c>
      <c r="M2407" t="s">
        <v>3974</v>
      </c>
      <c r="N2407" t="s">
        <v>3974</v>
      </c>
      <c r="O2407" t="s">
        <v>23</v>
      </c>
      <c r="P2407" t="s">
        <v>24</v>
      </c>
      <c r="Q2407" t="s">
        <v>642</v>
      </c>
      <c r="R2407" t="s">
        <v>643</v>
      </c>
    </row>
    <row r="2408" spans="1:18" x14ac:dyDescent="0.25">
      <c r="A2408" t="s">
        <v>13689</v>
      </c>
      <c r="B2408" t="s">
        <v>3985</v>
      </c>
      <c r="C2408" t="str">
        <f>HYPERLINK("https://nematode.unl.edu/crispha7.jpg")</f>
        <v>https://nematode.unl.edu/crispha7.jpg</v>
      </c>
      <c r="D2408" t="s">
        <v>16</v>
      </c>
      <c r="G2408" t="s">
        <v>34</v>
      </c>
      <c r="H2408" t="s">
        <v>18</v>
      </c>
      <c r="I2408" t="s">
        <v>41</v>
      </c>
      <c r="J2408" t="s">
        <v>1498</v>
      </c>
      <c r="L2408" t="s">
        <v>3973</v>
      </c>
      <c r="M2408" t="s">
        <v>3974</v>
      </c>
      <c r="N2408" t="s">
        <v>3974</v>
      </c>
      <c r="O2408" t="s">
        <v>23</v>
      </c>
      <c r="P2408" t="s">
        <v>24</v>
      </c>
      <c r="Q2408" t="s">
        <v>642</v>
      </c>
      <c r="R2408" t="s">
        <v>643</v>
      </c>
    </row>
    <row r="2409" spans="1:18" x14ac:dyDescent="0.25">
      <c r="A2409" t="s">
        <v>13703</v>
      </c>
      <c r="B2409" t="s">
        <v>3986</v>
      </c>
      <c r="C2409" t="str">
        <f>HYPERLINK("https://nematode.unl.edu/crispha8.jpg")</f>
        <v>https://nematode.unl.edu/crispha8.jpg</v>
      </c>
      <c r="D2409" t="s">
        <v>16</v>
      </c>
      <c r="G2409" t="s">
        <v>28</v>
      </c>
      <c r="I2409" t="s">
        <v>41</v>
      </c>
      <c r="J2409" t="s">
        <v>1498</v>
      </c>
      <c r="L2409" t="s">
        <v>3973</v>
      </c>
      <c r="M2409" t="s">
        <v>3974</v>
      </c>
      <c r="N2409" t="s">
        <v>3974</v>
      </c>
      <c r="O2409" t="s">
        <v>23</v>
      </c>
      <c r="P2409" t="s">
        <v>24</v>
      </c>
      <c r="Q2409" t="s">
        <v>642</v>
      </c>
      <c r="R2409" t="s">
        <v>643</v>
      </c>
    </row>
    <row r="2410" spans="1:18" x14ac:dyDescent="0.25">
      <c r="A2410" t="s">
        <v>13693</v>
      </c>
      <c r="B2410" t="s">
        <v>3987</v>
      </c>
      <c r="C2410" t="str">
        <f>HYPERLINK("https://nematode.unl.edu/crispha9.jpg")</f>
        <v>https://nematode.unl.edu/crispha9.jpg</v>
      </c>
      <c r="D2410" t="s">
        <v>16</v>
      </c>
      <c r="G2410" t="s">
        <v>3942</v>
      </c>
      <c r="I2410" t="s">
        <v>41</v>
      </c>
      <c r="J2410" t="s">
        <v>1498</v>
      </c>
      <c r="L2410" t="s">
        <v>3973</v>
      </c>
      <c r="M2410" t="s">
        <v>3974</v>
      </c>
      <c r="N2410" t="s">
        <v>3974</v>
      </c>
      <c r="O2410" t="s">
        <v>23</v>
      </c>
      <c r="P2410" t="s">
        <v>24</v>
      </c>
      <c r="Q2410" t="s">
        <v>642</v>
      </c>
      <c r="R2410" t="s">
        <v>643</v>
      </c>
    </row>
    <row r="2411" spans="1:18" x14ac:dyDescent="0.25">
      <c r="A2411" t="s">
        <v>13697</v>
      </c>
      <c r="B2411" t="s">
        <v>3988</v>
      </c>
      <c r="C2411" t="str">
        <f>HYPERLINK("https://nematode.unl.edu/crispi1.jpg")</f>
        <v>https://nematode.unl.edu/crispi1.jpg</v>
      </c>
      <c r="D2411" t="s">
        <v>43</v>
      </c>
      <c r="G2411" t="s">
        <v>44</v>
      </c>
      <c r="I2411" t="s">
        <v>19</v>
      </c>
      <c r="J2411" t="s">
        <v>3989</v>
      </c>
      <c r="M2411" t="s">
        <v>3974</v>
      </c>
      <c r="N2411" t="s">
        <v>3974</v>
      </c>
      <c r="O2411" t="s">
        <v>23</v>
      </c>
      <c r="P2411" t="s">
        <v>24</v>
      </c>
      <c r="Q2411" t="s">
        <v>642</v>
      </c>
      <c r="R2411" t="s">
        <v>643</v>
      </c>
    </row>
    <row r="2412" spans="1:18" x14ac:dyDescent="0.25">
      <c r="A2412" t="s">
        <v>13690</v>
      </c>
      <c r="B2412" t="s">
        <v>3990</v>
      </c>
      <c r="C2412" t="str">
        <f>HYPERLINK("https://nematode.unl.edu/crispi2.jpg")</f>
        <v>https://nematode.unl.edu/crispi2.jpg</v>
      </c>
      <c r="D2412" t="s">
        <v>43</v>
      </c>
      <c r="G2412" t="s">
        <v>34</v>
      </c>
      <c r="H2412" t="s">
        <v>18</v>
      </c>
      <c r="I2412" t="s">
        <v>41</v>
      </c>
      <c r="J2412" t="s">
        <v>3989</v>
      </c>
      <c r="M2412" t="s">
        <v>3974</v>
      </c>
      <c r="N2412" t="s">
        <v>3974</v>
      </c>
      <c r="O2412" t="s">
        <v>23</v>
      </c>
      <c r="P2412" t="s">
        <v>24</v>
      </c>
      <c r="Q2412" t="s">
        <v>642</v>
      </c>
      <c r="R2412" t="s">
        <v>643</v>
      </c>
    </row>
    <row r="2413" spans="1:18" x14ac:dyDescent="0.25">
      <c r="A2413" t="s">
        <v>13698</v>
      </c>
      <c r="B2413" t="s">
        <v>3991</v>
      </c>
      <c r="C2413" t="str">
        <f>HYPERLINK("https://nematode.unl.edu/crispi3.jpg")</f>
        <v>https://nematode.unl.edu/crispi3.jpg</v>
      </c>
      <c r="D2413" t="s">
        <v>43</v>
      </c>
      <c r="G2413" t="s">
        <v>224</v>
      </c>
      <c r="I2413" t="s">
        <v>41</v>
      </c>
      <c r="J2413" t="s">
        <v>3989</v>
      </c>
      <c r="M2413" t="s">
        <v>3974</v>
      </c>
      <c r="N2413" t="s">
        <v>3974</v>
      </c>
      <c r="O2413" t="s">
        <v>23</v>
      </c>
      <c r="P2413" t="s">
        <v>24</v>
      </c>
      <c r="Q2413" t="s">
        <v>642</v>
      </c>
      <c r="R2413" t="s">
        <v>643</v>
      </c>
    </row>
    <row r="2414" spans="1:18" x14ac:dyDescent="0.25">
      <c r="A2414" t="s">
        <v>15274</v>
      </c>
      <c r="B2414" t="s">
        <v>8557</v>
      </c>
      <c r="C2414" t="str">
        <f>HYPERLINK("https://nematode.unl.edu/crixen1.jpg")</f>
        <v>https://nematode.unl.edu/crixen1.jpg</v>
      </c>
      <c r="D2414" t="s">
        <v>43</v>
      </c>
      <c r="G2414" t="s">
        <v>44</v>
      </c>
      <c r="I2414" t="s">
        <v>45</v>
      </c>
      <c r="J2414" t="s">
        <v>8558</v>
      </c>
      <c r="M2414" t="s">
        <v>8559</v>
      </c>
      <c r="N2414" t="s">
        <v>8559</v>
      </c>
      <c r="O2414" t="s">
        <v>23</v>
      </c>
      <c r="P2414" t="s">
        <v>24</v>
      </c>
      <c r="Q2414" t="s">
        <v>642</v>
      </c>
      <c r="R2414" t="s">
        <v>1214</v>
      </c>
    </row>
    <row r="2415" spans="1:18" x14ac:dyDescent="0.25">
      <c r="A2415" t="s">
        <v>15210</v>
      </c>
      <c r="B2415" t="s">
        <v>8560</v>
      </c>
      <c r="C2415" t="str">
        <f>HYPERLINK("https://nematode.unl.edu/crixen2.jpg")</f>
        <v>https://nematode.unl.edu/crixen2.jpg</v>
      </c>
      <c r="D2415" t="s">
        <v>43</v>
      </c>
      <c r="G2415" t="s">
        <v>34</v>
      </c>
      <c r="H2415" t="s">
        <v>18</v>
      </c>
      <c r="I2415" t="s">
        <v>19</v>
      </c>
      <c r="J2415" t="s">
        <v>8558</v>
      </c>
      <c r="M2415" t="s">
        <v>8559</v>
      </c>
      <c r="N2415" t="s">
        <v>8559</v>
      </c>
      <c r="O2415" t="s">
        <v>23</v>
      </c>
      <c r="P2415" t="s">
        <v>24</v>
      </c>
      <c r="Q2415" t="s">
        <v>642</v>
      </c>
      <c r="R2415" t="s">
        <v>1214</v>
      </c>
    </row>
    <row r="2416" spans="1:18" x14ac:dyDescent="0.25">
      <c r="A2416" t="s">
        <v>15369</v>
      </c>
      <c r="B2416" t="s">
        <v>8561</v>
      </c>
      <c r="C2416" t="str">
        <f>HYPERLINK("https://nematode.unl.edu/crixen3.jpg")</f>
        <v>https://nematode.unl.edu/crixen3.jpg</v>
      </c>
      <c r="D2416" t="s">
        <v>43</v>
      </c>
      <c r="G2416" t="s">
        <v>28</v>
      </c>
      <c r="I2416" t="s">
        <v>19</v>
      </c>
      <c r="J2416" t="s">
        <v>8558</v>
      </c>
      <c r="M2416" t="s">
        <v>8559</v>
      </c>
      <c r="N2416" t="s">
        <v>8559</v>
      </c>
      <c r="O2416" t="s">
        <v>23</v>
      </c>
      <c r="P2416" t="s">
        <v>24</v>
      </c>
      <c r="Q2416" t="s">
        <v>642</v>
      </c>
      <c r="R2416" t="s">
        <v>1214</v>
      </c>
    </row>
    <row r="2417" spans="1:18" x14ac:dyDescent="0.25">
      <c r="A2417" t="s">
        <v>15211</v>
      </c>
      <c r="B2417" t="s">
        <v>8562</v>
      </c>
      <c r="C2417" t="str">
        <f>HYPERLINK("https://nematode.unl.edu/crixen4.jpg")</f>
        <v>https://nematode.unl.edu/crixen4.jpg</v>
      </c>
      <c r="D2417" t="s">
        <v>43</v>
      </c>
      <c r="G2417" t="s">
        <v>34</v>
      </c>
      <c r="H2417" t="s">
        <v>18</v>
      </c>
      <c r="I2417" t="s">
        <v>19</v>
      </c>
      <c r="J2417" t="s">
        <v>8558</v>
      </c>
      <c r="M2417" t="s">
        <v>8559</v>
      </c>
      <c r="N2417" t="s">
        <v>8559</v>
      </c>
      <c r="O2417" t="s">
        <v>23</v>
      </c>
      <c r="P2417" t="s">
        <v>24</v>
      </c>
      <c r="Q2417" t="s">
        <v>642</v>
      </c>
      <c r="R2417" t="s">
        <v>1214</v>
      </c>
    </row>
    <row r="2418" spans="1:18" x14ac:dyDescent="0.25">
      <c r="A2418" t="s">
        <v>19831</v>
      </c>
      <c r="B2418" t="s">
        <v>4080</v>
      </c>
      <c r="C2418" t="str">
        <f>HYPERLINK("https://nematode.unl.edu/crocop1.jpg")</f>
        <v>https://nematode.unl.edu/crocop1.jpg</v>
      </c>
      <c r="D2418" t="s">
        <v>43</v>
      </c>
      <c r="G2418" t="s">
        <v>34</v>
      </c>
      <c r="H2418" t="s">
        <v>18</v>
      </c>
      <c r="I2418" t="s">
        <v>19</v>
      </c>
      <c r="J2418" t="s">
        <v>46</v>
      </c>
      <c r="L2418" t="s">
        <v>4081</v>
      </c>
      <c r="M2418" t="s">
        <v>4082</v>
      </c>
      <c r="N2418" t="s">
        <v>4082</v>
      </c>
      <c r="O2418" t="s">
        <v>73</v>
      </c>
      <c r="P2418" t="s">
        <v>81</v>
      </c>
      <c r="Q2418" t="s">
        <v>489</v>
      </c>
      <c r="R2418" t="s">
        <v>4083</v>
      </c>
    </row>
    <row r="2419" spans="1:18" x14ac:dyDescent="0.25">
      <c r="A2419" t="s">
        <v>19832</v>
      </c>
      <c r="B2419" t="s">
        <v>4084</v>
      </c>
      <c r="C2419" t="str">
        <f>HYPERLINK("https://nematode.unl.edu/crocop2.jpg")</f>
        <v>https://nematode.unl.edu/crocop2.jpg</v>
      </c>
      <c r="D2419" t="s">
        <v>43</v>
      </c>
      <c r="G2419" t="s">
        <v>34</v>
      </c>
      <c r="H2419" t="s">
        <v>18</v>
      </c>
      <c r="I2419" t="s">
        <v>19</v>
      </c>
      <c r="J2419" t="s">
        <v>46</v>
      </c>
      <c r="L2419" t="s">
        <v>4081</v>
      </c>
      <c r="M2419" t="s">
        <v>4082</v>
      </c>
      <c r="N2419" t="s">
        <v>4082</v>
      </c>
      <c r="O2419" t="s">
        <v>73</v>
      </c>
      <c r="P2419" t="s">
        <v>81</v>
      </c>
      <c r="Q2419" t="s">
        <v>489</v>
      </c>
      <c r="R2419" t="s">
        <v>4083</v>
      </c>
    </row>
    <row r="2420" spans="1:18" x14ac:dyDescent="0.25">
      <c r="A2420" t="s">
        <v>19836</v>
      </c>
      <c r="B2420" t="s">
        <v>4085</v>
      </c>
      <c r="C2420" t="str">
        <f>HYPERLINK("https://nematode.unl.edu/crocop3.jpg")</f>
        <v>https://nematode.unl.edu/crocop3.jpg</v>
      </c>
      <c r="D2420" t="s">
        <v>43</v>
      </c>
      <c r="G2420" t="s">
        <v>51</v>
      </c>
      <c r="I2420" t="s">
        <v>19</v>
      </c>
      <c r="J2420" t="s">
        <v>46</v>
      </c>
      <c r="L2420" t="s">
        <v>4081</v>
      </c>
      <c r="M2420" t="s">
        <v>4082</v>
      </c>
      <c r="N2420" t="s">
        <v>4082</v>
      </c>
      <c r="O2420" t="s">
        <v>73</v>
      </c>
      <c r="P2420" t="s">
        <v>81</v>
      </c>
      <c r="Q2420" t="s">
        <v>489</v>
      </c>
      <c r="R2420" t="s">
        <v>4083</v>
      </c>
    </row>
    <row r="2421" spans="1:18" x14ac:dyDescent="0.25">
      <c r="A2421" t="s">
        <v>19837</v>
      </c>
      <c r="B2421" t="s">
        <v>4086</v>
      </c>
      <c r="C2421" t="str">
        <f>HYPERLINK("https://nematode.unl.edu/crocop4.jpg")</f>
        <v>https://nematode.unl.edu/crocop4.jpg</v>
      </c>
      <c r="D2421" t="s">
        <v>43</v>
      </c>
      <c r="G2421" t="s">
        <v>51</v>
      </c>
      <c r="I2421" t="s">
        <v>19</v>
      </c>
      <c r="J2421" t="s">
        <v>46</v>
      </c>
      <c r="L2421" t="s">
        <v>4081</v>
      </c>
      <c r="M2421" t="s">
        <v>4082</v>
      </c>
      <c r="N2421" t="s">
        <v>4082</v>
      </c>
      <c r="O2421" t="s">
        <v>73</v>
      </c>
      <c r="P2421" t="s">
        <v>81</v>
      </c>
      <c r="Q2421" t="s">
        <v>489</v>
      </c>
      <c r="R2421" t="s">
        <v>4083</v>
      </c>
    </row>
    <row r="2422" spans="1:18" x14ac:dyDescent="0.25">
      <c r="A2422" t="s">
        <v>19834</v>
      </c>
      <c r="B2422" t="s">
        <v>4087</v>
      </c>
      <c r="C2422" t="str">
        <f>HYPERLINK("https://nematode.unl.edu/crocop5.jpg")</f>
        <v>https://nematode.unl.edu/crocop5.jpg</v>
      </c>
      <c r="D2422" t="s">
        <v>43</v>
      </c>
      <c r="G2422" t="s">
        <v>905</v>
      </c>
      <c r="I2422" t="s">
        <v>19</v>
      </c>
      <c r="J2422" t="s">
        <v>46</v>
      </c>
      <c r="L2422" t="s">
        <v>4081</v>
      </c>
      <c r="M2422" t="s">
        <v>4082</v>
      </c>
      <c r="N2422" t="s">
        <v>4082</v>
      </c>
      <c r="O2422" t="s">
        <v>73</v>
      </c>
      <c r="P2422" t="s">
        <v>81</v>
      </c>
      <c r="Q2422" t="s">
        <v>489</v>
      </c>
      <c r="R2422" t="s">
        <v>4083</v>
      </c>
    </row>
    <row r="2423" spans="1:18" x14ac:dyDescent="0.25">
      <c r="A2423" t="s">
        <v>19835</v>
      </c>
      <c r="B2423" t="s">
        <v>4088</v>
      </c>
      <c r="C2423" t="str">
        <f>HYPERLINK("https://nematode.unl.edu/crocop6.jpg")</f>
        <v>https://nematode.unl.edu/crocop6.jpg</v>
      </c>
      <c r="D2423" t="s">
        <v>43</v>
      </c>
      <c r="G2423" t="s">
        <v>422</v>
      </c>
      <c r="I2423" t="s">
        <v>19</v>
      </c>
      <c r="J2423" t="s">
        <v>46</v>
      </c>
      <c r="L2423" t="s">
        <v>4081</v>
      </c>
      <c r="M2423" t="s">
        <v>4082</v>
      </c>
      <c r="N2423" t="s">
        <v>4082</v>
      </c>
      <c r="O2423" t="s">
        <v>73</v>
      </c>
      <c r="P2423" t="s">
        <v>81</v>
      </c>
      <c r="Q2423" t="s">
        <v>489</v>
      </c>
      <c r="R2423" t="s">
        <v>4083</v>
      </c>
    </row>
    <row r="2424" spans="1:18" x14ac:dyDescent="0.25">
      <c r="A2424" t="s">
        <v>19833</v>
      </c>
      <c r="B2424" t="s">
        <v>4089</v>
      </c>
      <c r="C2424" t="str">
        <f>HYPERLINK("https://nematode.unl.edu/crocop7.jpg")</f>
        <v>https://nematode.unl.edu/crocop7.jpg</v>
      </c>
      <c r="D2424" t="s">
        <v>43</v>
      </c>
      <c r="G2424" t="s">
        <v>34</v>
      </c>
      <c r="H2424" t="s">
        <v>18</v>
      </c>
      <c r="I2424" t="s">
        <v>41</v>
      </c>
      <c r="J2424" t="s">
        <v>46</v>
      </c>
      <c r="L2424" t="s">
        <v>4081</v>
      </c>
      <c r="M2424" t="s">
        <v>4082</v>
      </c>
      <c r="N2424" t="s">
        <v>4082</v>
      </c>
      <c r="O2424" t="s">
        <v>73</v>
      </c>
      <c r="P2424" t="s">
        <v>81</v>
      </c>
      <c r="Q2424" t="s">
        <v>489</v>
      </c>
      <c r="R2424" t="s">
        <v>4083</v>
      </c>
    </row>
    <row r="2425" spans="1:18" x14ac:dyDescent="0.25">
      <c r="A2425" t="s">
        <v>13745</v>
      </c>
      <c r="B2425" t="s">
        <v>4031</v>
      </c>
      <c r="C2425" t="str">
        <f>HYPERLINK("https://nematode.unl.edu/croidan1.jpg")</f>
        <v>https://nematode.unl.edu/croidan1.jpg</v>
      </c>
      <c r="D2425" t="s">
        <v>43</v>
      </c>
      <c r="G2425" t="s">
        <v>44</v>
      </c>
      <c r="I2425" t="s">
        <v>19</v>
      </c>
      <c r="J2425" t="s">
        <v>4032</v>
      </c>
      <c r="L2425" t="s">
        <v>4033</v>
      </c>
      <c r="M2425" t="s">
        <v>4034</v>
      </c>
      <c r="N2425" t="s">
        <v>4034</v>
      </c>
      <c r="O2425" t="s">
        <v>23</v>
      </c>
      <c r="P2425" t="s">
        <v>24</v>
      </c>
      <c r="Q2425" t="s">
        <v>642</v>
      </c>
      <c r="R2425" t="s">
        <v>651</v>
      </c>
    </row>
    <row r="2426" spans="1:18" x14ac:dyDescent="0.25">
      <c r="A2426" t="s">
        <v>13744</v>
      </c>
      <c r="B2426" t="s">
        <v>4035</v>
      </c>
      <c r="C2426" t="str">
        <f>HYPERLINK("https://nematode.unl.edu/croidan10.jpg")</f>
        <v>https://nematode.unl.edu/croidan10.jpg</v>
      </c>
      <c r="D2426" t="s">
        <v>43</v>
      </c>
      <c r="G2426" t="s">
        <v>4036</v>
      </c>
      <c r="I2426" t="s">
        <v>41</v>
      </c>
      <c r="J2426" t="s">
        <v>4032</v>
      </c>
      <c r="L2426" t="s">
        <v>4033</v>
      </c>
      <c r="M2426" t="s">
        <v>4034</v>
      </c>
      <c r="N2426" t="s">
        <v>4034</v>
      </c>
      <c r="O2426" t="s">
        <v>23</v>
      </c>
      <c r="P2426" t="s">
        <v>24</v>
      </c>
      <c r="Q2426" t="s">
        <v>642</v>
      </c>
      <c r="R2426" t="s">
        <v>651</v>
      </c>
    </row>
    <row r="2427" spans="1:18" x14ac:dyDescent="0.25">
      <c r="A2427" t="s">
        <v>13748</v>
      </c>
      <c r="B2427" t="s">
        <v>4037</v>
      </c>
      <c r="C2427" t="str">
        <f>HYPERLINK("https://nematode.unl.edu/croidan11.jpg")</f>
        <v>https://nematode.unl.edu/croidan11.jpg</v>
      </c>
      <c r="D2427" t="s">
        <v>43</v>
      </c>
      <c r="G2427" t="s">
        <v>674</v>
      </c>
      <c r="I2427" t="s">
        <v>41</v>
      </c>
      <c r="J2427" t="s">
        <v>4032</v>
      </c>
      <c r="L2427" t="s">
        <v>4033</v>
      </c>
      <c r="M2427" t="s">
        <v>4034</v>
      </c>
      <c r="N2427" t="s">
        <v>4034</v>
      </c>
      <c r="O2427" t="s">
        <v>23</v>
      </c>
      <c r="P2427" t="s">
        <v>24</v>
      </c>
      <c r="Q2427" t="s">
        <v>642</v>
      </c>
      <c r="R2427" t="s">
        <v>651</v>
      </c>
    </row>
    <row r="2428" spans="1:18" x14ac:dyDescent="0.25">
      <c r="A2428" t="s">
        <v>13750</v>
      </c>
      <c r="B2428" t="s">
        <v>4038</v>
      </c>
      <c r="C2428" t="str">
        <f>HYPERLINK("https://nematode.unl.edu/croidan12.jpg")</f>
        <v>https://nematode.unl.edu/croidan12.jpg</v>
      </c>
      <c r="D2428" t="s">
        <v>43</v>
      </c>
      <c r="G2428" t="s">
        <v>51</v>
      </c>
      <c r="I2428" t="s">
        <v>41</v>
      </c>
      <c r="J2428" t="s">
        <v>4032</v>
      </c>
      <c r="L2428" t="s">
        <v>4033</v>
      </c>
      <c r="M2428" t="s">
        <v>4034</v>
      </c>
      <c r="N2428" t="s">
        <v>4034</v>
      </c>
      <c r="O2428" t="s">
        <v>23</v>
      </c>
      <c r="P2428" t="s">
        <v>24</v>
      </c>
      <c r="Q2428" t="s">
        <v>642</v>
      </c>
      <c r="R2428" t="s">
        <v>651</v>
      </c>
    </row>
    <row r="2429" spans="1:18" x14ac:dyDescent="0.25">
      <c r="A2429" t="s">
        <v>13742</v>
      </c>
      <c r="B2429" t="s">
        <v>4039</v>
      </c>
      <c r="C2429" t="str">
        <f>HYPERLINK("https://nematode.unl.edu/croidan2.jpg")</f>
        <v>https://nematode.unl.edu/croidan2.jpg</v>
      </c>
      <c r="D2429" t="s">
        <v>43</v>
      </c>
      <c r="G2429" t="s">
        <v>34</v>
      </c>
      <c r="H2429" t="s">
        <v>18</v>
      </c>
      <c r="I2429" t="s">
        <v>41</v>
      </c>
      <c r="J2429" t="s">
        <v>4032</v>
      </c>
      <c r="L2429" t="s">
        <v>4033</v>
      </c>
      <c r="M2429" t="s">
        <v>4034</v>
      </c>
      <c r="N2429" t="s">
        <v>4034</v>
      </c>
      <c r="O2429" t="s">
        <v>23</v>
      </c>
      <c r="P2429" t="s">
        <v>24</v>
      </c>
      <c r="Q2429" t="s">
        <v>642</v>
      </c>
      <c r="R2429" t="s">
        <v>651</v>
      </c>
    </row>
    <row r="2430" spans="1:18" x14ac:dyDescent="0.25">
      <c r="A2430" t="s">
        <v>13747</v>
      </c>
      <c r="B2430" t="s">
        <v>4040</v>
      </c>
      <c r="C2430" t="str">
        <f>HYPERLINK("https://nematode.unl.edu/croidan3.jpg")</f>
        <v>https://nematode.unl.edu/croidan3.jpg</v>
      </c>
      <c r="D2430" t="s">
        <v>43</v>
      </c>
      <c r="G2430" t="s">
        <v>4041</v>
      </c>
      <c r="I2430" t="s">
        <v>41</v>
      </c>
      <c r="J2430" t="s">
        <v>4032</v>
      </c>
      <c r="L2430" t="s">
        <v>4033</v>
      </c>
      <c r="M2430" t="s">
        <v>4034</v>
      </c>
      <c r="N2430" t="s">
        <v>4034</v>
      </c>
      <c r="O2430" t="s">
        <v>23</v>
      </c>
      <c r="P2430" t="s">
        <v>24</v>
      </c>
      <c r="Q2430" t="s">
        <v>642</v>
      </c>
      <c r="R2430" t="s">
        <v>651</v>
      </c>
    </row>
    <row r="2431" spans="1:18" x14ac:dyDescent="0.25">
      <c r="A2431" t="s">
        <v>13743</v>
      </c>
      <c r="B2431" t="s">
        <v>4042</v>
      </c>
      <c r="C2431" t="str">
        <f>HYPERLINK("https://nematode.unl.edu/croidan4.jpg")</f>
        <v>https://nematode.unl.edu/croidan4.jpg</v>
      </c>
      <c r="D2431" t="s">
        <v>43</v>
      </c>
      <c r="G2431" t="s">
        <v>4043</v>
      </c>
      <c r="I2431" t="s">
        <v>41</v>
      </c>
      <c r="J2431" t="s">
        <v>4032</v>
      </c>
      <c r="L2431" t="s">
        <v>4033</v>
      </c>
      <c r="M2431" t="s">
        <v>4034</v>
      </c>
      <c r="N2431" t="s">
        <v>4034</v>
      </c>
      <c r="O2431" t="s">
        <v>23</v>
      </c>
      <c r="P2431" t="s">
        <v>24</v>
      </c>
      <c r="Q2431" t="s">
        <v>642</v>
      </c>
      <c r="R2431" t="s">
        <v>651</v>
      </c>
    </row>
    <row r="2432" spans="1:18" x14ac:dyDescent="0.25">
      <c r="A2432" t="s">
        <v>13751</v>
      </c>
      <c r="B2432" t="s">
        <v>4044</v>
      </c>
      <c r="C2432" t="str">
        <f>HYPERLINK("https://nematode.unl.edu/croidan5.jpg")</f>
        <v>https://nematode.unl.edu/croidan5.jpg</v>
      </c>
      <c r="D2432" t="s">
        <v>43</v>
      </c>
      <c r="G2432" t="s">
        <v>51</v>
      </c>
      <c r="I2432" t="s">
        <v>41</v>
      </c>
      <c r="J2432" t="s">
        <v>4032</v>
      </c>
      <c r="L2432" t="s">
        <v>4033</v>
      </c>
      <c r="M2432" t="s">
        <v>4034</v>
      </c>
      <c r="N2432" t="s">
        <v>4034</v>
      </c>
      <c r="O2432" t="s">
        <v>23</v>
      </c>
      <c r="P2432" t="s">
        <v>24</v>
      </c>
      <c r="Q2432" t="s">
        <v>642</v>
      </c>
      <c r="R2432" t="s">
        <v>651</v>
      </c>
    </row>
    <row r="2433" spans="1:18" x14ac:dyDescent="0.25">
      <c r="A2433" t="s">
        <v>13752</v>
      </c>
      <c r="B2433" t="s">
        <v>4045</v>
      </c>
      <c r="C2433" t="str">
        <f>HYPERLINK("https://nematode.unl.edu/croidan6.jpg")</f>
        <v>https://nematode.unl.edu/croidan6.jpg</v>
      </c>
      <c r="D2433" t="s">
        <v>43</v>
      </c>
      <c r="G2433" t="s">
        <v>51</v>
      </c>
      <c r="I2433" t="s">
        <v>41</v>
      </c>
      <c r="J2433" t="s">
        <v>4032</v>
      </c>
      <c r="L2433" t="s">
        <v>4033</v>
      </c>
      <c r="M2433" t="s">
        <v>4034</v>
      </c>
      <c r="N2433" t="s">
        <v>4034</v>
      </c>
      <c r="O2433" t="s">
        <v>23</v>
      </c>
      <c r="P2433" t="s">
        <v>24</v>
      </c>
      <c r="Q2433" t="s">
        <v>642</v>
      </c>
      <c r="R2433" t="s">
        <v>651</v>
      </c>
    </row>
    <row r="2434" spans="1:18" x14ac:dyDescent="0.25">
      <c r="A2434" t="s">
        <v>13749</v>
      </c>
      <c r="B2434" t="s">
        <v>4046</v>
      </c>
      <c r="C2434" t="str">
        <f>HYPERLINK("https://nematode.unl.edu/croidan7.jpg")</f>
        <v>https://nematode.unl.edu/croidan7.jpg</v>
      </c>
      <c r="D2434" t="s">
        <v>43</v>
      </c>
      <c r="G2434" t="s">
        <v>28</v>
      </c>
      <c r="I2434" t="s">
        <v>41</v>
      </c>
      <c r="J2434" t="s">
        <v>4032</v>
      </c>
      <c r="L2434" t="s">
        <v>4033</v>
      </c>
      <c r="M2434" t="s">
        <v>4034</v>
      </c>
      <c r="N2434" t="s">
        <v>4034</v>
      </c>
      <c r="O2434" t="s">
        <v>23</v>
      </c>
      <c r="P2434" t="s">
        <v>24</v>
      </c>
      <c r="Q2434" t="s">
        <v>642</v>
      </c>
      <c r="R2434" t="s">
        <v>651</v>
      </c>
    </row>
    <row r="2435" spans="1:18" x14ac:dyDescent="0.25">
      <c r="A2435" t="s">
        <v>13746</v>
      </c>
      <c r="B2435" t="s">
        <v>4047</v>
      </c>
      <c r="C2435" t="str">
        <f>HYPERLINK("https://nematode.unl.edu/croidan8.jpg")</f>
        <v>https://nematode.unl.edu/croidan8.jpg</v>
      </c>
      <c r="D2435" t="s">
        <v>43</v>
      </c>
      <c r="G2435" t="s">
        <v>44</v>
      </c>
      <c r="I2435" t="s">
        <v>19</v>
      </c>
      <c r="J2435" t="s">
        <v>4032</v>
      </c>
      <c r="L2435" t="s">
        <v>4033</v>
      </c>
      <c r="M2435" t="s">
        <v>4034</v>
      </c>
      <c r="N2435" t="s">
        <v>4034</v>
      </c>
      <c r="O2435" t="s">
        <v>23</v>
      </c>
      <c r="P2435" t="s">
        <v>24</v>
      </c>
      <c r="Q2435" t="s">
        <v>642</v>
      </c>
      <c r="R2435" t="s">
        <v>651</v>
      </c>
    </row>
    <row r="2436" spans="1:18" x14ac:dyDescent="0.25">
      <c r="A2436" t="s">
        <v>13741</v>
      </c>
      <c r="B2436" t="s">
        <v>4048</v>
      </c>
      <c r="C2436" t="str">
        <f>HYPERLINK("https://nematode.unl.edu/croidan9.jpg")</f>
        <v>https://nematode.unl.edu/croidan9.jpg</v>
      </c>
      <c r="D2436" t="s">
        <v>43</v>
      </c>
      <c r="G2436" t="s">
        <v>17</v>
      </c>
      <c r="H2436" t="s">
        <v>18</v>
      </c>
      <c r="I2436" t="s">
        <v>41</v>
      </c>
      <c r="J2436" t="s">
        <v>4032</v>
      </c>
      <c r="L2436" t="s">
        <v>4033</v>
      </c>
      <c r="M2436" t="s">
        <v>4034</v>
      </c>
      <c r="N2436" t="s">
        <v>4034</v>
      </c>
      <c r="O2436" t="s">
        <v>23</v>
      </c>
      <c r="P2436" t="s">
        <v>24</v>
      </c>
      <c r="Q2436" t="s">
        <v>642</v>
      </c>
      <c r="R2436" t="s">
        <v>651</v>
      </c>
    </row>
    <row r="2437" spans="1:18" x14ac:dyDescent="0.25">
      <c r="A2437" t="s">
        <v>13764</v>
      </c>
      <c r="B2437" t="s">
        <v>4060</v>
      </c>
      <c r="C2437" t="str">
        <f>HYPERLINK("https://nematode.unl.edu/croidinfo1.jpg")</f>
        <v>https://nematode.unl.edu/croidinfo1.jpg</v>
      </c>
      <c r="D2437" t="s">
        <v>43</v>
      </c>
      <c r="G2437" t="s">
        <v>44</v>
      </c>
      <c r="I2437" t="s">
        <v>19</v>
      </c>
      <c r="J2437" t="s">
        <v>440</v>
      </c>
      <c r="L2437" t="s">
        <v>4061</v>
      </c>
      <c r="M2437" t="s">
        <v>4051</v>
      </c>
      <c r="N2437" t="s">
        <v>4051</v>
      </c>
      <c r="O2437" t="s">
        <v>23</v>
      </c>
      <c r="P2437" t="s">
        <v>24</v>
      </c>
      <c r="Q2437" t="s">
        <v>642</v>
      </c>
      <c r="R2437" t="s">
        <v>651</v>
      </c>
    </row>
    <row r="2438" spans="1:18" x14ac:dyDescent="0.25">
      <c r="A2438" t="s">
        <v>13757</v>
      </c>
      <c r="B2438" t="s">
        <v>4062</v>
      </c>
      <c r="C2438" t="str">
        <f>HYPERLINK("https://nematode.unl.edu/croidinfo2.jpg")</f>
        <v>https://nematode.unl.edu/croidinfo2.jpg</v>
      </c>
      <c r="D2438" t="s">
        <v>43</v>
      </c>
      <c r="G2438" t="s">
        <v>34</v>
      </c>
      <c r="H2438" t="s">
        <v>18</v>
      </c>
      <c r="I2438" t="s">
        <v>41</v>
      </c>
      <c r="J2438" t="s">
        <v>440</v>
      </c>
      <c r="L2438" t="s">
        <v>4061</v>
      </c>
      <c r="M2438" t="s">
        <v>4051</v>
      </c>
      <c r="N2438" t="s">
        <v>4051</v>
      </c>
      <c r="O2438" t="s">
        <v>23</v>
      </c>
      <c r="P2438" t="s">
        <v>24</v>
      </c>
      <c r="Q2438" t="s">
        <v>642</v>
      </c>
      <c r="R2438" t="s">
        <v>651</v>
      </c>
    </row>
    <row r="2439" spans="1:18" x14ac:dyDescent="0.25">
      <c r="A2439" t="s">
        <v>13753</v>
      </c>
      <c r="B2439" t="s">
        <v>4063</v>
      </c>
      <c r="C2439" t="str">
        <f>HYPERLINK("https://nematode.unl.edu/croidinfo3.jpg")</f>
        <v>https://nematode.unl.edu/croidinfo3.jpg</v>
      </c>
      <c r="D2439" t="s">
        <v>43</v>
      </c>
      <c r="G2439" t="s">
        <v>4064</v>
      </c>
      <c r="H2439" t="s">
        <v>18</v>
      </c>
      <c r="I2439" t="s">
        <v>41</v>
      </c>
      <c r="J2439" t="s">
        <v>440</v>
      </c>
      <c r="L2439" t="s">
        <v>4061</v>
      </c>
      <c r="M2439" t="s">
        <v>4051</v>
      </c>
      <c r="N2439" t="s">
        <v>4051</v>
      </c>
      <c r="O2439" t="s">
        <v>23</v>
      </c>
      <c r="P2439" t="s">
        <v>24</v>
      </c>
      <c r="Q2439" t="s">
        <v>642</v>
      </c>
      <c r="R2439" t="s">
        <v>651</v>
      </c>
    </row>
    <row r="2440" spans="1:18" x14ac:dyDescent="0.25">
      <c r="A2440" t="s">
        <v>13754</v>
      </c>
      <c r="B2440" t="s">
        <v>4065</v>
      </c>
      <c r="C2440" t="str">
        <f>HYPERLINK("https://nematode.unl.edu/croidinfo4.jpg")</f>
        <v>https://nematode.unl.edu/croidinfo4.jpg</v>
      </c>
      <c r="D2440" t="s">
        <v>43</v>
      </c>
      <c r="G2440" t="s">
        <v>4064</v>
      </c>
      <c r="H2440" t="s">
        <v>18</v>
      </c>
      <c r="I2440" t="s">
        <v>41</v>
      </c>
      <c r="J2440" t="s">
        <v>440</v>
      </c>
      <c r="L2440" t="s">
        <v>4061</v>
      </c>
      <c r="M2440" t="s">
        <v>4051</v>
      </c>
      <c r="N2440" t="s">
        <v>4051</v>
      </c>
      <c r="O2440" t="s">
        <v>23</v>
      </c>
      <c r="P2440" t="s">
        <v>24</v>
      </c>
      <c r="Q2440" t="s">
        <v>642</v>
      </c>
      <c r="R2440" t="s">
        <v>651</v>
      </c>
    </row>
    <row r="2441" spans="1:18" x14ac:dyDescent="0.25">
      <c r="A2441" t="s">
        <v>13759</v>
      </c>
      <c r="B2441" t="s">
        <v>4066</v>
      </c>
      <c r="C2441" t="str">
        <f>HYPERLINK("https://nematode.unl.edu/croidinfo5.jpg")</f>
        <v>https://nematode.unl.edu/croidinfo5.jpg</v>
      </c>
      <c r="D2441" t="s">
        <v>43</v>
      </c>
      <c r="G2441" t="s">
        <v>4059</v>
      </c>
      <c r="H2441" t="s">
        <v>18</v>
      </c>
      <c r="I2441" t="s">
        <v>41</v>
      </c>
      <c r="J2441" t="s">
        <v>440</v>
      </c>
      <c r="L2441" t="s">
        <v>4061</v>
      </c>
      <c r="M2441" t="s">
        <v>4051</v>
      </c>
      <c r="N2441" t="s">
        <v>4051</v>
      </c>
      <c r="O2441" t="s">
        <v>23</v>
      </c>
      <c r="P2441" t="s">
        <v>24</v>
      </c>
      <c r="Q2441" t="s">
        <v>642</v>
      </c>
      <c r="R2441" t="s">
        <v>651</v>
      </c>
    </row>
    <row r="2442" spans="1:18" x14ac:dyDescent="0.25">
      <c r="A2442" t="s">
        <v>13768</v>
      </c>
      <c r="B2442" t="s">
        <v>4067</v>
      </c>
      <c r="C2442" t="str">
        <f>HYPERLINK("https://nematode.unl.edu/croidinfo6.jpg")</f>
        <v>https://nematode.unl.edu/croidinfo6.jpg</v>
      </c>
      <c r="D2442" t="s">
        <v>43</v>
      </c>
      <c r="G2442" t="s">
        <v>28</v>
      </c>
      <c r="I2442" t="s">
        <v>41</v>
      </c>
      <c r="J2442" t="s">
        <v>440</v>
      </c>
      <c r="L2442" t="s">
        <v>4061</v>
      </c>
      <c r="M2442" t="s">
        <v>4051</v>
      </c>
      <c r="N2442" t="s">
        <v>4051</v>
      </c>
      <c r="O2442" t="s">
        <v>23</v>
      </c>
      <c r="P2442" t="s">
        <v>24</v>
      </c>
      <c r="Q2442" t="s">
        <v>642</v>
      </c>
      <c r="R2442" t="s">
        <v>651</v>
      </c>
    </row>
    <row r="2443" spans="1:18" x14ac:dyDescent="0.25">
      <c r="A2443" t="s">
        <v>13760</v>
      </c>
      <c r="B2443" t="s">
        <v>4068</v>
      </c>
      <c r="C2443" t="str">
        <f>HYPERLINK("https://nematode.unl.edu/croidinfo7.jpg")</f>
        <v>https://nematode.unl.edu/croidinfo7.jpg</v>
      </c>
      <c r="D2443" t="s">
        <v>43</v>
      </c>
      <c r="G2443" t="s">
        <v>3942</v>
      </c>
      <c r="I2443" t="s">
        <v>41</v>
      </c>
      <c r="J2443" t="s">
        <v>440</v>
      </c>
      <c r="L2443" t="s">
        <v>4061</v>
      </c>
      <c r="M2443" t="s">
        <v>4051</v>
      </c>
      <c r="N2443" t="s">
        <v>4051</v>
      </c>
      <c r="O2443" t="s">
        <v>23</v>
      </c>
      <c r="P2443" t="s">
        <v>24</v>
      </c>
      <c r="Q2443" t="s">
        <v>642</v>
      </c>
      <c r="R2443" t="s">
        <v>651</v>
      </c>
    </row>
    <row r="2444" spans="1:18" x14ac:dyDescent="0.25">
      <c r="A2444" t="s">
        <v>13761</v>
      </c>
      <c r="B2444" t="s">
        <v>4069</v>
      </c>
      <c r="C2444" t="str">
        <f>HYPERLINK("https://nematode.unl.edu/croidinfo8.jpg")</f>
        <v>https://nematode.unl.edu/croidinfo8.jpg</v>
      </c>
      <c r="D2444" t="s">
        <v>43</v>
      </c>
      <c r="G2444" t="s">
        <v>3942</v>
      </c>
      <c r="I2444" t="s">
        <v>41</v>
      </c>
      <c r="J2444" t="s">
        <v>440</v>
      </c>
      <c r="L2444" t="s">
        <v>4061</v>
      </c>
      <c r="M2444" t="s">
        <v>4051</v>
      </c>
      <c r="N2444" t="s">
        <v>4051</v>
      </c>
      <c r="O2444" t="s">
        <v>23</v>
      </c>
      <c r="P2444" t="s">
        <v>24</v>
      </c>
      <c r="Q2444" t="s">
        <v>642</v>
      </c>
      <c r="R2444" t="s">
        <v>651</v>
      </c>
    </row>
    <row r="2445" spans="1:18" x14ac:dyDescent="0.25">
      <c r="A2445" t="s">
        <v>15470</v>
      </c>
      <c r="B2445" t="s">
        <v>9449</v>
      </c>
      <c r="C2445" t="str">
        <f>HYPERLINK("https://nematode.unl.edu/crosp1.jpg")</f>
        <v>https://nematode.unl.edu/crosp1.jpg</v>
      </c>
      <c r="D2445" t="s">
        <v>43</v>
      </c>
      <c r="G2445" t="s">
        <v>44</v>
      </c>
      <c r="I2445" t="s">
        <v>19</v>
      </c>
      <c r="J2445" t="s">
        <v>9450</v>
      </c>
      <c r="M2445" t="s">
        <v>1417</v>
      </c>
      <c r="N2445" t="s">
        <v>1417</v>
      </c>
      <c r="O2445" t="s">
        <v>23</v>
      </c>
      <c r="P2445" t="s">
        <v>24</v>
      </c>
      <c r="Q2445" t="s">
        <v>642</v>
      </c>
      <c r="R2445" t="s">
        <v>1417</v>
      </c>
    </row>
    <row r="2446" spans="1:18" x14ac:dyDescent="0.25">
      <c r="A2446" t="s">
        <v>15471</v>
      </c>
      <c r="B2446" t="s">
        <v>9451</v>
      </c>
      <c r="C2446" t="str">
        <f>HYPERLINK("https://nematode.unl.edu/crosscruces1.jpg")</f>
        <v>https://nematode.unl.edu/crosscruces1.jpg</v>
      </c>
      <c r="D2446" t="s">
        <v>16</v>
      </c>
      <c r="G2446" t="s">
        <v>44</v>
      </c>
      <c r="I2446" t="s">
        <v>19</v>
      </c>
      <c r="J2446" t="s">
        <v>9452</v>
      </c>
      <c r="M2446" t="s">
        <v>1417</v>
      </c>
      <c r="N2446" t="s">
        <v>1417</v>
      </c>
      <c r="O2446" t="s">
        <v>23</v>
      </c>
      <c r="P2446" t="s">
        <v>24</v>
      </c>
      <c r="Q2446" t="s">
        <v>642</v>
      </c>
      <c r="R2446" t="s">
        <v>1417</v>
      </c>
    </row>
    <row r="2447" spans="1:18" x14ac:dyDescent="0.25">
      <c r="A2447" t="s">
        <v>13800</v>
      </c>
      <c r="B2447" t="s">
        <v>4090</v>
      </c>
      <c r="C2447" t="str">
        <f>HYPERLINK("https://nematode.unl.edu/crosson1.jpg")</f>
        <v>https://nematode.unl.edu/crosson1.jpg</v>
      </c>
      <c r="D2447" t="s">
        <v>43</v>
      </c>
      <c r="G2447" t="s">
        <v>44</v>
      </c>
      <c r="I2447" t="s">
        <v>41</v>
      </c>
      <c r="J2447" t="s">
        <v>4091</v>
      </c>
      <c r="M2447" t="s">
        <v>682</v>
      </c>
      <c r="N2447" t="s">
        <v>682</v>
      </c>
      <c r="O2447" t="s">
        <v>23</v>
      </c>
      <c r="P2447" t="s">
        <v>24</v>
      </c>
      <c r="Q2447" t="s">
        <v>642</v>
      </c>
      <c r="R2447" t="s">
        <v>683</v>
      </c>
    </row>
    <row r="2448" spans="1:18" x14ac:dyDescent="0.25">
      <c r="A2448" t="s">
        <v>13808</v>
      </c>
      <c r="B2448" t="s">
        <v>4092</v>
      </c>
      <c r="C2448" t="str">
        <f>HYPERLINK("https://nematode.unl.edu/crosson10.jpg")</f>
        <v>https://nematode.unl.edu/crosson10.jpg</v>
      </c>
      <c r="D2448" t="s">
        <v>43</v>
      </c>
      <c r="G2448" t="s">
        <v>224</v>
      </c>
      <c r="I2448" t="s">
        <v>41</v>
      </c>
      <c r="J2448" t="s">
        <v>4091</v>
      </c>
      <c r="M2448" t="s">
        <v>682</v>
      </c>
      <c r="N2448" t="s">
        <v>682</v>
      </c>
      <c r="O2448" t="s">
        <v>23</v>
      </c>
      <c r="P2448" t="s">
        <v>24</v>
      </c>
      <c r="Q2448" t="s">
        <v>642</v>
      </c>
      <c r="R2448" t="s">
        <v>683</v>
      </c>
    </row>
    <row r="2449" spans="1:18" x14ac:dyDescent="0.25">
      <c r="A2449" t="s">
        <v>13809</v>
      </c>
      <c r="B2449" t="s">
        <v>4093</v>
      </c>
      <c r="C2449" t="str">
        <f>HYPERLINK("https://nematode.unl.edu/crosson11.jpg")</f>
        <v>https://nematode.unl.edu/crosson11.jpg</v>
      </c>
      <c r="D2449" t="s">
        <v>43</v>
      </c>
      <c r="G2449" t="s">
        <v>224</v>
      </c>
      <c r="I2449" t="s">
        <v>41</v>
      </c>
      <c r="J2449" t="s">
        <v>4091</v>
      </c>
      <c r="M2449" t="s">
        <v>682</v>
      </c>
      <c r="N2449" t="s">
        <v>682</v>
      </c>
      <c r="O2449" t="s">
        <v>23</v>
      </c>
      <c r="P2449" t="s">
        <v>24</v>
      </c>
      <c r="Q2449" t="s">
        <v>642</v>
      </c>
      <c r="R2449" t="s">
        <v>683</v>
      </c>
    </row>
    <row r="2450" spans="1:18" x14ac:dyDescent="0.25">
      <c r="A2450" t="s">
        <v>13795</v>
      </c>
      <c r="B2450" t="s">
        <v>4094</v>
      </c>
      <c r="C2450" t="str">
        <f>HYPERLINK("https://nematode.unl.edu/crosson2.jpg")</f>
        <v>https://nematode.unl.edu/crosson2.jpg</v>
      </c>
      <c r="D2450" t="s">
        <v>43</v>
      </c>
      <c r="G2450" t="s">
        <v>34</v>
      </c>
      <c r="H2450" t="s">
        <v>18</v>
      </c>
      <c r="I2450" t="s">
        <v>19</v>
      </c>
      <c r="J2450" t="s">
        <v>4091</v>
      </c>
      <c r="M2450" t="s">
        <v>682</v>
      </c>
      <c r="N2450" t="s">
        <v>682</v>
      </c>
      <c r="O2450" t="s">
        <v>23</v>
      </c>
      <c r="P2450" t="s">
        <v>24</v>
      </c>
      <c r="Q2450" t="s">
        <v>642</v>
      </c>
      <c r="R2450" t="s">
        <v>683</v>
      </c>
    </row>
    <row r="2451" spans="1:18" x14ac:dyDescent="0.25">
      <c r="A2451" t="s">
        <v>13813</v>
      </c>
      <c r="B2451" t="s">
        <v>4095</v>
      </c>
      <c r="C2451" t="str">
        <f>HYPERLINK("https://nematode.unl.edu/crosson3.jpg")</f>
        <v>https://nematode.unl.edu/crosson3.jpg</v>
      </c>
      <c r="D2451" t="s">
        <v>43</v>
      </c>
      <c r="G2451" t="s">
        <v>1469</v>
      </c>
      <c r="I2451" t="s">
        <v>19</v>
      </c>
      <c r="J2451" t="s">
        <v>4091</v>
      </c>
      <c r="M2451" t="s">
        <v>682</v>
      </c>
      <c r="N2451" t="s">
        <v>682</v>
      </c>
      <c r="O2451" t="s">
        <v>23</v>
      </c>
      <c r="P2451" t="s">
        <v>24</v>
      </c>
      <c r="Q2451" t="s">
        <v>642</v>
      </c>
      <c r="R2451" t="s">
        <v>683</v>
      </c>
    </row>
    <row r="2452" spans="1:18" x14ac:dyDescent="0.25">
      <c r="A2452" t="s">
        <v>13815</v>
      </c>
      <c r="B2452" t="s">
        <v>4096</v>
      </c>
      <c r="C2452" t="str">
        <f>HYPERLINK("https://nematode.unl.edu/crosson4.jpg")</f>
        <v>https://nematode.unl.edu/crosson4.jpg</v>
      </c>
      <c r="D2452" t="s">
        <v>43</v>
      </c>
      <c r="G2452" t="s">
        <v>28</v>
      </c>
      <c r="I2452" t="s">
        <v>19</v>
      </c>
      <c r="J2452" t="s">
        <v>4091</v>
      </c>
      <c r="M2452" t="s">
        <v>682</v>
      </c>
      <c r="N2452" t="s">
        <v>682</v>
      </c>
      <c r="O2452" t="s">
        <v>23</v>
      </c>
      <c r="P2452" t="s">
        <v>24</v>
      </c>
      <c r="Q2452" t="s">
        <v>642</v>
      </c>
      <c r="R2452" t="s">
        <v>683</v>
      </c>
    </row>
    <row r="2453" spans="1:18" x14ac:dyDescent="0.25">
      <c r="A2453" t="s">
        <v>13814</v>
      </c>
      <c r="B2453" t="s">
        <v>4097</v>
      </c>
      <c r="C2453" t="str">
        <f>HYPERLINK("https://nematode.unl.edu/crosson5.jpg")</f>
        <v>https://nematode.unl.edu/crosson5.jpg</v>
      </c>
      <c r="D2453" t="s">
        <v>43</v>
      </c>
      <c r="G2453" t="s">
        <v>4098</v>
      </c>
      <c r="I2453" t="s">
        <v>19</v>
      </c>
      <c r="J2453" t="s">
        <v>4091</v>
      </c>
      <c r="M2453" t="s">
        <v>682</v>
      </c>
      <c r="N2453" t="s">
        <v>682</v>
      </c>
      <c r="O2453" t="s">
        <v>23</v>
      </c>
      <c r="P2453" t="s">
        <v>24</v>
      </c>
      <c r="Q2453" t="s">
        <v>642</v>
      </c>
      <c r="R2453" t="s">
        <v>683</v>
      </c>
    </row>
    <row r="2454" spans="1:18" x14ac:dyDescent="0.25">
      <c r="A2454" t="s">
        <v>13796</v>
      </c>
      <c r="B2454" t="s">
        <v>4099</v>
      </c>
      <c r="C2454" t="str">
        <f>HYPERLINK("https://nematode.unl.edu/crosson6.jpg")</f>
        <v>https://nematode.unl.edu/crosson6.jpg</v>
      </c>
      <c r="D2454" t="s">
        <v>43</v>
      </c>
      <c r="G2454" t="s">
        <v>34</v>
      </c>
      <c r="H2454" t="s">
        <v>18</v>
      </c>
      <c r="I2454" t="s">
        <v>41</v>
      </c>
      <c r="J2454" t="s">
        <v>4091</v>
      </c>
      <c r="M2454" t="s">
        <v>682</v>
      </c>
      <c r="N2454" t="s">
        <v>682</v>
      </c>
      <c r="O2454" t="s">
        <v>23</v>
      </c>
      <c r="P2454" t="s">
        <v>24</v>
      </c>
      <c r="Q2454" t="s">
        <v>642</v>
      </c>
      <c r="R2454" t="s">
        <v>683</v>
      </c>
    </row>
    <row r="2455" spans="1:18" x14ac:dyDescent="0.25">
      <c r="A2455" t="s">
        <v>13810</v>
      </c>
      <c r="B2455" t="s">
        <v>4100</v>
      </c>
      <c r="C2455" t="str">
        <f>HYPERLINK("https://nematode.unl.edu/crosson7.jpg")</f>
        <v>https://nematode.unl.edu/crosson7.jpg</v>
      </c>
      <c r="D2455" t="s">
        <v>43</v>
      </c>
      <c r="G2455" t="s">
        <v>224</v>
      </c>
      <c r="I2455" t="s">
        <v>41</v>
      </c>
      <c r="J2455" t="s">
        <v>4091</v>
      </c>
      <c r="M2455" t="s">
        <v>682</v>
      </c>
      <c r="N2455" t="s">
        <v>682</v>
      </c>
      <c r="O2455" t="s">
        <v>23</v>
      </c>
      <c r="P2455" t="s">
        <v>24</v>
      </c>
      <c r="Q2455" t="s">
        <v>642</v>
      </c>
      <c r="R2455" t="s">
        <v>683</v>
      </c>
    </row>
    <row r="2456" spans="1:18" x14ac:dyDescent="0.25">
      <c r="A2456" t="s">
        <v>13811</v>
      </c>
      <c r="B2456" t="s">
        <v>4101</v>
      </c>
      <c r="C2456" t="str">
        <f>HYPERLINK("https://nematode.unl.edu/crosson8.jpg")</f>
        <v>https://nematode.unl.edu/crosson8.jpg</v>
      </c>
      <c r="D2456" t="s">
        <v>43</v>
      </c>
      <c r="G2456" t="s">
        <v>224</v>
      </c>
      <c r="I2456" t="s">
        <v>41</v>
      </c>
      <c r="J2456" t="s">
        <v>4091</v>
      </c>
      <c r="M2456" t="s">
        <v>682</v>
      </c>
      <c r="N2456" t="s">
        <v>682</v>
      </c>
      <c r="O2456" t="s">
        <v>23</v>
      </c>
      <c r="P2456" t="s">
        <v>24</v>
      </c>
      <c r="Q2456" t="s">
        <v>642</v>
      </c>
      <c r="R2456" t="s">
        <v>683</v>
      </c>
    </row>
    <row r="2457" spans="1:18" x14ac:dyDescent="0.25">
      <c r="A2457" t="s">
        <v>13812</v>
      </c>
      <c r="B2457" t="s">
        <v>4102</v>
      </c>
      <c r="C2457" t="str">
        <f>HYPERLINK("https://nematode.unl.edu/crosson9.jpg")</f>
        <v>https://nematode.unl.edu/crosson9.jpg</v>
      </c>
      <c r="D2457" t="s">
        <v>43</v>
      </c>
      <c r="G2457" t="s">
        <v>224</v>
      </c>
      <c r="I2457" t="s">
        <v>41</v>
      </c>
      <c r="J2457" t="s">
        <v>4091</v>
      </c>
      <c r="M2457" t="s">
        <v>682</v>
      </c>
      <c r="N2457" t="s">
        <v>682</v>
      </c>
      <c r="O2457" t="s">
        <v>23</v>
      </c>
      <c r="P2457" t="s">
        <v>24</v>
      </c>
      <c r="Q2457" t="s">
        <v>642</v>
      </c>
      <c r="R2457" t="s">
        <v>683</v>
      </c>
    </row>
    <row r="2458" spans="1:18" x14ac:dyDescent="0.25">
      <c r="A2458" t="s">
        <v>18711</v>
      </c>
      <c r="B2458" t="s">
        <v>11476</v>
      </c>
      <c r="C2458" t="str">
        <f>HYPERLINK("https://nematode.unl.edu/crtrop1.jpg")</f>
        <v>https://nematode.unl.edu/crtrop1.jpg</v>
      </c>
      <c r="D2458" t="s">
        <v>16</v>
      </c>
      <c r="G2458" t="s">
        <v>44</v>
      </c>
      <c r="I2458" t="s">
        <v>45</v>
      </c>
      <c r="J2458" t="s">
        <v>1525</v>
      </c>
      <c r="L2458" t="s">
        <v>1526</v>
      </c>
      <c r="M2458" t="s">
        <v>11477</v>
      </c>
      <c r="N2458" t="s">
        <v>11477</v>
      </c>
      <c r="O2458" t="s">
        <v>23</v>
      </c>
      <c r="P2458" t="s">
        <v>24</v>
      </c>
      <c r="Q2458" t="s">
        <v>1592</v>
      </c>
      <c r="R2458" t="s">
        <v>11477</v>
      </c>
    </row>
    <row r="2459" spans="1:18" x14ac:dyDescent="0.25">
      <c r="A2459" t="s">
        <v>18720</v>
      </c>
      <c r="B2459" t="s">
        <v>1845</v>
      </c>
      <c r="C2459" t="str">
        <f>HYPERLINK("https://nematode.unl.edu/crtylecric1.jpg")</f>
        <v>https://nematode.unl.edu/crtylecric1.jpg</v>
      </c>
      <c r="D2459" t="s">
        <v>43</v>
      </c>
      <c r="G2459" t="s">
        <v>44</v>
      </c>
      <c r="I2459" t="s">
        <v>137</v>
      </c>
      <c r="J2459" t="s">
        <v>1525</v>
      </c>
      <c r="L2459" t="s">
        <v>1526</v>
      </c>
      <c r="M2459" t="s">
        <v>1846</v>
      </c>
      <c r="N2459" t="s">
        <v>1847</v>
      </c>
      <c r="O2459" t="s">
        <v>23</v>
      </c>
      <c r="P2459" t="s">
        <v>24</v>
      </c>
      <c r="Q2459" t="s">
        <v>1592</v>
      </c>
      <c r="R2459" t="s">
        <v>1847</v>
      </c>
    </row>
    <row r="2460" spans="1:18" x14ac:dyDescent="0.25">
      <c r="A2460" t="s">
        <v>18721</v>
      </c>
      <c r="B2460" t="s">
        <v>1848</v>
      </c>
      <c r="C2460" t="str">
        <f>HYPERLINK("https://nematode.unl.edu/crtylecric2.jpg")</f>
        <v>https://nematode.unl.edu/crtylecric2.jpg</v>
      </c>
      <c r="D2460" t="s">
        <v>43</v>
      </c>
      <c r="G2460" t="s">
        <v>44</v>
      </c>
      <c r="I2460" t="s">
        <v>19</v>
      </c>
      <c r="J2460" t="s">
        <v>1525</v>
      </c>
      <c r="L2460" t="s">
        <v>1526</v>
      </c>
      <c r="M2460" t="s">
        <v>1846</v>
      </c>
      <c r="N2460" t="s">
        <v>1847</v>
      </c>
      <c r="O2460" t="s">
        <v>23</v>
      </c>
      <c r="P2460" t="s">
        <v>24</v>
      </c>
      <c r="Q2460" t="s">
        <v>1592</v>
      </c>
      <c r="R2460" t="s">
        <v>1847</v>
      </c>
    </row>
    <row r="2461" spans="1:18" x14ac:dyDescent="0.25">
      <c r="A2461" t="s">
        <v>18719</v>
      </c>
      <c r="B2461" t="s">
        <v>1849</v>
      </c>
      <c r="C2461" t="str">
        <f>HYPERLINK("https://nematode.unl.edu/crtylecric3.jpg")</f>
        <v>https://nematode.unl.edu/crtylecric3.jpg</v>
      </c>
      <c r="D2461" t="s">
        <v>43</v>
      </c>
      <c r="G2461" t="s">
        <v>96</v>
      </c>
      <c r="H2461" t="s">
        <v>18</v>
      </c>
      <c r="I2461" t="s">
        <v>19</v>
      </c>
      <c r="J2461" t="s">
        <v>1525</v>
      </c>
      <c r="L2461" t="s">
        <v>1526</v>
      </c>
      <c r="M2461" t="s">
        <v>1846</v>
      </c>
      <c r="N2461" t="s">
        <v>1847</v>
      </c>
      <c r="O2461" t="s">
        <v>23</v>
      </c>
      <c r="P2461" t="s">
        <v>24</v>
      </c>
      <c r="Q2461" t="s">
        <v>1592</v>
      </c>
      <c r="R2461" t="s">
        <v>1847</v>
      </c>
    </row>
    <row r="2462" spans="1:18" x14ac:dyDescent="0.25">
      <c r="A2462" t="s">
        <v>18723</v>
      </c>
      <c r="B2462" t="s">
        <v>1850</v>
      </c>
      <c r="C2462" t="str">
        <f>HYPERLINK("https://nematode.unl.edu/crtylecric4.jpg")</f>
        <v>https://nematode.unl.edu/crtylecric4.jpg</v>
      </c>
      <c r="D2462" t="s">
        <v>43</v>
      </c>
      <c r="G2462" t="s">
        <v>178</v>
      </c>
      <c r="I2462" t="s">
        <v>19</v>
      </c>
      <c r="J2462" t="s">
        <v>1525</v>
      </c>
      <c r="L2462" t="s">
        <v>1526</v>
      </c>
      <c r="M2462" t="s">
        <v>1846</v>
      </c>
      <c r="N2462" t="s">
        <v>1847</v>
      </c>
      <c r="O2462" t="s">
        <v>23</v>
      </c>
      <c r="P2462" t="s">
        <v>24</v>
      </c>
      <c r="Q2462" t="s">
        <v>1592</v>
      </c>
      <c r="R2462" t="s">
        <v>1847</v>
      </c>
    </row>
    <row r="2463" spans="1:18" x14ac:dyDescent="0.25">
      <c r="A2463" t="s">
        <v>18724</v>
      </c>
      <c r="B2463" t="s">
        <v>1851</v>
      </c>
      <c r="C2463" t="str">
        <f>HYPERLINK("https://nematode.unl.edu/crtylecric5.jpg")</f>
        <v>https://nematode.unl.edu/crtylecric5.jpg</v>
      </c>
      <c r="D2463" t="s">
        <v>43</v>
      </c>
      <c r="G2463" t="s">
        <v>181</v>
      </c>
      <c r="I2463" t="s">
        <v>19</v>
      </c>
      <c r="J2463" t="s">
        <v>1525</v>
      </c>
      <c r="L2463" t="s">
        <v>1526</v>
      </c>
      <c r="M2463" t="s">
        <v>1846</v>
      </c>
      <c r="N2463" t="s">
        <v>1847</v>
      </c>
      <c r="O2463" t="s">
        <v>23</v>
      </c>
      <c r="P2463" t="s">
        <v>24</v>
      </c>
      <c r="Q2463" t="s">
        <v>1592</v>
      </c>
      <c r="R2463" t="s">
        <v>1847</v>
      </c>
    </row>
    <row r="2464" spans="1:18" x14ac:dyDescent="0.25">
      <c r="A2464" t="s">
        <v>18722</v>
      </c>
      <c r="B2464" t="s">
        <v>1852</v>
      </c>
      <c r="C2464" t="str">
        <f>HYPERLINK("https://nematode.unl.edu/crtylecric6.jpg")</f>
        <v>https://nematode.unl.edu/crtylecric6.jpg</v>
      </c>
      <c r="D2464" t="s">
        <v>43</v>
      </c>
      <c r="G2464" t="s">
        <v>44</v>
      </c>
      <c r="I2464" t="s">
        <v>19</v>
      </c>
      <c r="J2464" t="s">
        <v>1525</v>
      </c>
      <c r="L2464" t="s">
        <v>1526</v>
      </c>
      <c r="M2464" t="s">
        <v>1846</v>
      </c>
      <c r="N2464" t="s">
        <v>1847</v>
      </c>
      <c r="O2464" t="s">
        <v>23</v>
      </c>
      <c r="P2464" t="s">
        <v>24</v>
      </c>
      <c r="Q2464" t="s">
        <v>1592</v>
      </c>
      <c r="R2464" t="s">
        <v>1847</v>
      </c>
    </row>
    <row r="2465" spans="1:18" x14ac:dyDescent="0.25">
      <c r="A2465" t="s">
        <v>13359</v>
      </c>
      <c r="B2465" t="s">
        <v>476</v>
      </c>
      <c r="C2465" t="str">
        <f>HYPERLINK("https://nematode.unl.edu/cserri1.jpg")</f>
        <v>https://nematode.unl.edu/cserri1.jpg</v>
      </c>
      <c r="D2465" t="s">
        <v>43</v>
      </c>
      <c r="G2465" t="s">
        <v>34</v>
      </c>
      <c r="H2465" t="s">
        <v>18</v>
      </c>
      <c r="I2465" t="s">
        <v>19</v>
      </c>
      <c r="J2465" t="s">
        <v>46</v>
      </c>
      <c r="L2465" t="s">
        <v>105</v>
      </c>
      <c r="M2465" t="s">
        <v>471</v>
      </c>
      <c r="N2465" t="s">
        <v>472</v>
      </c>
      <c r="O2465" t="s">
        <v>23</v>
      </c>
      <c r="P2465" t="s">
        <v>24</v>
      </c>
      <c r="Q2465" t="s">
        <v>25</v>
      </c>
      <c r="R2465" t="s">
        <v>473</v>
      </c>
    </row>
    <row r="2466" spans="1:18" x14ac:dyDescent="0.25">
      <c r="A2466" t="s">
        <v>13363</v>
      </c>
      <c r="B2466" t="s">
        <v>477</v>
      </c>
      <c r="C2466" t="str">
        <f>HYPERLINK("https://nematode.unl.edu/cserri2.jpg")</f>
        <v>https://nematode.unl.edu/cserri2.jpg</v>
      </c>
      <c r="D2466" t="s">
        <v>43</v>
      </c>
      <c r="G2466" t="s">
        <v>28</v>
      </c>
      <c r="I2466" t="s">
        <v>19</v>
      </c>
      <c r="J2466" t="s">
        <v>46</v>
      </c>
      <c r="L2466" t="s">
        <v>105</v>
      </c>
      <c r="M2466" t="s">
        <v>471</v>
      </c>
      <c r="N2466" t="s">
        <v>472</v>
      </c>
      <c r="O2466" t="s">
        <v>23</v>
      </c>
      <c r="P2466" t="s">
        <v>24</v>
      </c>
      <c r="Q2466" t="s">
        <v>25</v>
      </c>
      <c r="R2466" t="s">
        <v>473</v>
      </c>
    </row>
    <row r="2467" spans="1:18" x14ac:dyDescent="0.25">
      <c r="A2467" t="s">
        <v>13360</v>
      </c>
      <c r="B2467" t="s">
        <v>478</v>
      </c>
      <c r="C2467" t="str">
        <f>HYPERLINK("https://nematode.unl.edu/cserri3.jpg")</f>
        <v>https://nematode.unl.edu/cserri3.jpg</v>
      </c>
      <c r="D2467" t="s">
        <v>43</v>
      </c>
      <c r="G2467" t="s">
        <v>34</v>
      </c>
      <c r="H2467" t="s">
        <v>18</v>
      </c>
      <c r="I2467" t="s">
        <v>41</v>
      </c>
      <c r="J2467" t="s">
        <v>46</v>
      </c>
      <c r="L2467" t="s">
        <v>105</v>
      </c>
      <c r="M2467" t="s">
        <v>471</v>
      </c>
      <c r="N2467" t="s">
        <v>472</v>
      </c>
      <c r="O2467" t="s">
        <v>23</v>
      </c>
      <c r="P2467" t="s">
        <v>24</v>
      </c>
      <c r="Q2467" t="s">
        <v>25</v>
      </c>
      <c r="R2467" t="s">
        <v>473</v>
      </c>
    </row>
    <row r="2468" spans="1:18" x14ac:dyDescent="0.25">
      <c r="A2468" t="s">
        <v>13365</v>
      </c>
      <c r="B2468" t="s">
        <v>479</v>
      </c>
      <c r="C2468" t="str">
        <f>HYPERLINK("https://nematode.unl.edu/cserri4.jpg")</f>
        <v>https://nematode.unl.edu/cserri4.jpg</v>
      </c>
      <c r="D2468" t="s">
        <v>43</v>
      </c>
      <c r="G2468" t="s">
        <v>51</v>
      </c>
      <c r="I2468" t="s">
        <v>41</v>
      </c>
      <c r="J2468" t="s">
        <v>46</v>
      </c>
      <c r="L2468" t="s">
        <v>105</v>
      </c>
      <c r="M2468" t="s">
        <v>471</v>
      </c>
      <c r="N2468" t="s">
        <v>472</v>
      </c>
      <c r="O2468" t="s">
        <v>23</v>
      </c>
      <c r="P2468" t="s">
        <v>24</v>
      </c>
      <c r="Q2468" t="s">
        <v>25</v>
      </c>
      <c r="R2468" t="s">
        <v>473</v>
      </c>
    </row>
    <row r="2469" spans="1:18" x14ac:dyDescent="0.25">
      <c r="A2469" t="s">
        <v>13364</v>
      </c>
      <c r="B2469" t="s">
        <v>480</v>
      </c>
      <c r="C2469" t="str">
        <f>HYPERLINK("https://nematode.unl.edu/cserri5.jpg")</f>
        <v>https://nematode.unl.edu/cserri5.jpg</v>
      </c>
      <c r="D2469" t="s">
        <v>43</v>
      </c>
      <c r="G2469" t="s">
        <v>28</v>
      </c>
      <c r="I2469" t="s">
        <v>41</v>
      </c>
      <c r="J2469" t="s">
        <v>46</v>
      </c>
      <c r="L2469" t="s">
        <v>105</v>
      </c>
      <c r="M2469" t="s">
        <v>471</v>
      </c>
      <c r="N2469" t="s">
        <v>472</v>
      </c>
      <c r="O2469" t="s">
        <v>23</v>
      </c>
      <c r="P2469" t="s">
        <v>24</v>
      </c>
      <c r="Q2469" t="s">
        <v>25</v>
      </c>
      <c r="R2469" t="s">
        <v>473</v>
      </c>
    </row>
    <row r="2470" spans="1:18" x14ac:dyDescent="0.25">
      <c r="A2470" t="s">
        <v>12158</v>
      </c>
      <c r="B2470" s="1" t="s">
        <v>4164</v>
      </c>
      <c r="C2470" s="1" t="str">
        <f>HYPERLINK("https://nematode.unl.edu/cyli1.jpg")</f>
        <v>https://nematode.unl.edu/cyli1.jpg</v>
      </c>
      <c r="D2470" t="s">
        <v>16</v>
      </c>
      <c r="G2470" t="s">
        <v>34</v>
      </c>
      <c r="H2470" t="s">
        <v>18</v>
      </c>
      <c r="I2470" t="s">
        <v>41</v>
      </c>
      <c r="J2470" t="s">
        <v>116</v>
      </c>
      <c r="L2470" t="s">
        <v>85</v>
      </c>
      <c r="M2470" t="s">
        <v>4165</v>
      </c>
      <c r="N2470" t="s">
        <v>4165</v>
      </c>
      <c r="O2470" t="s">
        <v>23</v>
      </c>
      <c r="P2470" t="s">
        <v>4166</v>
      </c>
      <c r="Q2470" t="s">
        <v>4167</v>
      </c>
      <c r="R2470" t="s">
        <v>4165</v>
      </c>
    </row>
    <row r="2471" spans="1:18" x14ac:dyDescent="0.25">
      <c r="A2471" t="s">
        <v>12156</v>
      </c>
      <c r="B2471" t="s">
        <v>4168</v>
      </c>
      <c r="C2471" t="str">
        <f>HYPERLINK("https://nematode.unl.edu/cyli2.jpg")</f>
        <v>https://nematode.unl.edu/cyli2.jpg</v>
      </c>
      <c r="D2471" t="s">
        <v>16</v>
      </c>
      <c r="G2471" t="s">
        <v>386</v>
      </c>
      <c r="H2471" t="s">
        <v>18</v>
      </c>
      <c r="I2471" t="s">
        <v>41</v>
      </c>
      <c r="J2471" t="s">
        <v>116</v>
      </c>
      <c r="L2471" t="s">
        <v>85</v>
      </c>
      <c r="M2471" t="s">
        <v>4165</v>
      </c>
      <c r="N2471" t="s">
        <v>4165</v>
      </c>
      <c r="O2471" t="s">
        <v>23</v>
      </c>
      <c r="P2471" t="s">
        <v>4166</v>
      </c>
      <c r="Q2471" t="s">
        <v>4167</v>
      </c>
      <c r="R2471" t="s">
        <v>4165</v>
      </c>
    </row>
    <row r="2472" spans="1:18" x14ac:dyDescent="0.25">
      <c r="A2472" t="s">
        <v>12159</v>
      </c>
      <c r="B2472" s="1" t="s">
        <v>4169</v>
      </c>
      <c r="C2472" s="1" t="str">
        <f>HYPERLINK("https://nematode.unl.edu/cyli3.jpg")</f>
        <v>https://nematode.unl.edu/cyli3.jpg</v>
      </c>
      <c r="D2472" t="s">
        <v>43</v>
      </c>
      <c r="G2472" t="s">
        <v>34</v>
      </c>
      <c r="H2472" t="s">
        <v>18</v>
      </c>
      <c r="I2472" t="s">
        <v>19</v>
      </c>
      <c r="J2472" t="s">
        <v>116</v>
      </c>
      <c r="L2472" t="s">
        <v>85</v>
      </c>
      <c r="M2472" t="s">
        <v>4165</v>
      </c>
      <c r="N2472" t="s">
        <v>4165</v>
      </c>
      <c r="O2472" t="s">
        <v>23</v>
      </c>
      <c r="P2472" t="s">
        <v>4166</v>
      </c>
      <c r="Q2472" t="s">
        <v>4167</v>
      </c>
      <c r="R2472" t="s">
        <v>4165</v>
      </c>
    </row>
    <row r="2473" spans="1:18" x14ac:dyDescent="0.25">
      <c r="A2473" t="s">
        <v>12160</v>
      </c>
      <c r="B2473" s="1" t="s">
        <v>4170</v>
      </c>
      <c r="C2473" s="1" t="str">
        <f>HYPERLINK("https://nematode.unl.edu/cylmus1.jpg")</f>
        <v>https://nematode.unl.edu/cylmus1.jpg</v>
      </c>
      <c r="D2473" t="s">
        <v>43</v>
      </c>
      <c r="G2473" t="s">
        <v>34</v>
      </c>
      <c r="H2473" t="s">
        <v>18</v>
      </c>
      <c r="I2473" t="s">
        <v>19</v>
      </c>
      <c r="J2473" t="s">
        <v>20</v>
      </c>
      <c r="L2473" t="s">
        <v>752</v>
      </c>
      <c r="M2473" t="s">
        <v>4165</v>
      </c>
      <c r="N2473" t="s">
        <v>4165</v>
      </c>
      <c r="O2473" t="s">
        <v>23</v>
      </c>
      <c r="P2473" t="s">
        <v>4166</v>
      </c>
      <c r="Q2473" t="s">
        <v>4167</v>
      </c>
      <c r="R2473" t="s">
        <v>4165</v>
      </c>
    </row>
    <row r="2474" spans="1:18" x14ac:dyDescent="0.25">
      <c r="A2474" t="s">
        <v>12168</v>
      </c>
      <c r="B2474" t="s">
        <v>4171</v>
      </c>
      <c r="C2474" t="str">
        <f>HYPERLINK("https://nematode.unl.edu/cylmus10.jpg")</f>
        <v>https://nematode.unl.edu/cylmus10.jpg</v>
      </c>
      <c r="D2474" t="s">
        <v>16</v>
      </c>
      <c r="G2474" t="s">
        <v>53</v>
      </c>
      <c r="I2474" t="s">
        <v>41</v>
      </c>
      <c r="J2474" t="s">
        <v>20</v>
      </c>
      <c r="L2474" t="s">
        <v>752</v>
      </c>
      <c r="M2474" t="s">
        <v>4165</v>
      </c>
      <c r="N2474" t="s">
        <v>4165</v>
      </c>
      <c r="O2474" t="s">
        <v>23</v>
      </c>
      <c r="P2474" t="s">
        <v>4166</v>
      </c>
      <c r="Q2474" t="s">
        <v>4167</v>
      </c>
      <c r="R2474" t="s">
        <v>4165</v>
      </c>
    </row>
    <row r="2475" spans="1:18" x14ac:dyDescent="0.25">
      <c r="A2475" t="s">
        <v>12167</v>
      </c>
      <c r="B2475" t="s">
        <v>4172</v>
      </c>
      <c r="C2475" t="str">
        <f>HYPERLINK("https://nematode.unl.edu/cylmus11.jpg")</f>
        <v>https://nematode.unl.edu/cylmus11.jpg</v>
      </c>
      <c r="D2475" t="s">
        <v>16</v>
      </c>
      <c r="G2475" t="s">
        <v>44</v>
      </c>
      <c r="I2475" t="s">
        <v>45</v>
      </c>
      <c r="J2475" t="s">
        <v>20</v>
      </c>
      <c r="L2475" t="s">
        <v>752</v>
      </c>
      <c r="M2475" t="s">
        <v>4165</v>
      </c>
      <c r="N2475" t="s">
        <v>4165</v>
      </c>
      <c r="O2475" t="s">
        <v>23</v>
      </c>
      <c r="P2475" t="s">
        <v>4166</v>
      </c>
      <c r="Q2475" t="s">
        <v>4167</v>
      </c>
      <c r="R2475" t="s">
        <v>4165</v>
      </c>
    </row>
    <row r="2476" spans="1:18" x14ac:dyDescent="0.25">
      <c r="A2476" t="s">
        <v>12161</v>
      </c>
      <c r="B2476" t="s">
        <v>4173</v>
      </c>
      <c r="C2476" t="str">
        <f>HYPERLINK("https://nematode.unl.edu/cylmus12.jpg")</f>
        <v>https://nematode.unl.edu/cylmus12.jpg</v>
      </c>
      <c r="D2476" t="s">
        <v>16</v>
      </c>
      <c r="G2476" t="s">
        <v>34</v>
      </c>
      <c r="H2476" t="s">
        <v>18</v>
      </c>
      <c r="I2476" t="s">
        <v>19</v>
      </c>
      <c r="J2476" t="s">
        <v>20</v>
      </c>
      <c r="L2476" t="s">
        <v>752</v>
      </c>
      <c r="M2476" t="s">
        <v>4165</v>
      </c>
      <c r="N2476" t="s">
        <v>4165</v>
      </c>
      <c r="O2476" t="s">
        <v>23</v>
      </c>
      <c r="P2476" t="s">
        <v>4166</v>
      </c>
      <c r="Q2476" t="s">
        <v>4167</v>
      </c>
      <c r="R2476" t="s">
        <v>4165</v>
      </c>
    </row>
    <row r="2477" spans="1:18" x14ac:dyDescent="0.25">
      <c r="A2477" t="s">
        <v>12162</v>
      </c>
      <c r="B2477" t="s">
        <v>4174</v>
      </c>
      <c r="C2477" t="str">
        <f>HYPERLINK("https://nematode.unl.edu/cylmus13.jpg")</f>
        <v>https://nematode.unl.edu/cylmus13.jpg</v>
      </c>
      <c r="D2477" t="s">
        <v>16</v>
      </c>
      <c r="G2477" t="s">
        <v>34</v>
      </c>
      <c r="H2477" t="s">
        <v>18</v>
      </c>
      <c r="I2477" t="s">
        <v>45</v>
      </c>
      <c r="J2477" t="s">
        <v>20</v>
      </c>
      <c r="L2477" t="s">
        <v>752</v>
      </c>
      <c r="M2477" t="s">
        <v>4165</v>
      </c>
      <c r="N2477" t="s">
        <v>4165</v>
      </c>
      <c r="O2477" t="s">
        <v>23</v>
      </c>
      <c r="P2477" t="s">
        <v>4166</v>
      </c>
      <c r="Q2477" t="s">
        <v>4167</v>
      </c>
      <c r="R2477" t="s">
        <v>4165</v>
      </c>
    </row>
    <row r="2478" spans="1:18" x14ac:dyDescent="0.25">
      <c r="A2478" t="s">
        <v>12166</v>
      </c>
      <c r="B2478" s="1" t="s">
        <v>4175</v>
      </c>
      <c r="C2478" s="1" t="str">
        <f>HYPERLINK("https://nematode.unl.edu/cylmus14.jpg")</f>
        <v>https://nematode.unl.edu/cylmus14.jpg</v>
      </c>
      <c r="D2478" t="s">
        <v>16</v>
      </c>
      <c r="G2478" t="s">
        <v>87</v>
      </c>
      <c r="I2478" t="s">
        <v>41</v>
      </c>
      <c r="J2478" t="s">
        <v>20</v>
      </c>
      <c r="L2478" t="s">
        <v>752</v>
      </c>
      <c r="M2478" t="s">
        <v>4165</v>
      </c>
      <c r="N2478" t="s">
        <v>4165</v>
      </c>
      <c r="O2478" t="s">
        <v>23</v>
      </c>
      <c r="P2478" t="s">
        <v>4166</v>
      </c>
      <c r="Q2478" t="s">
        <v>4167</v>
      </c>
      <c r="R2478" t="s">
        <v>4165</v>
      </c>
    </row>
    <row r="2479" spans="1:18" x14ac:dyDescent="0.25">
      <c r="A2479" t="s">
        <v>12169</v>
      </c>
      <c r="B2479" t="s">
        <v>4176</v>
      </c>
      <c r="C2479" t="str">
        <f>HYPERLINK("https://nematode.unl.edu/cylmus2.jpg")</f>
        <v>https://nematode.unl.edu/cylmus2.jpg</v>
      </c>
      <c r="D2479" t="s">
        <v>43</v>
      </c>
      <c r="G2479" t="s">
        <v>28</v>
      </c>
      <c r="I2479" t="s">
        <v>19</v>
      </c>
      <c r="J2479" t="s">
        <v>20</v>
      </c>
      <c r="L2479" t="s">
        <v>752</v>
      </c>
      <c r="M2479" t="s">
        <v>4165</v>
      </c>
      <c r="N2479" t="s">
        <v>4165</v>
      </c>
      <c r="O2479" t="s">
        <v>23</v>
      </c>
      <c r="P2479" t="s">
        <v>4166</v>
      </c>
      <c r="Q2479" t="s">
        <v>4167</v>
      </c>
      <c r="R2479" t="s">
        <v>4165</v>
      </c>
    </row>
    <row r="2480" spans="1:18" x14ac:dyDescent="0.25">
      <c r="A2480" t="s">
        <v>12171</v>
      </c>
      <c r="B2480" t="s">
        <v>4177</v>
      </c>
      <c r="C2480" t="str">
        <f>HYPERLINK("https://nematode.unl.edu/cylmus3.jpg")</f>
        <v>https://nematode.unl.edu/cylmus3.jpg</v>
      </c>
      <c r="D2480" t="s">
        <v>43</v>
      </c>
      <c r="G2480" t="s">
        <v>51</v>
      </c>
      <c r="I2480" t="s">
        <v>41</v>
      </c>
      <c r="J2480" t="s">
        <v>20</v>
      </c>
      <c r="L2480" t="s">
        <v>752</v>
      </c>
      <c r="M2480" t="s">
        <v>4165</v>
      </c>
      <c r="N2480" t="s">
        <v>4165</v>
      </c>
      <c r="O2480" t="s">
        <v>23</v>
      </c>
      <c r="P2480" t="s">
        <v>4166</v>
      </c>
      <c r="Q2480" t="s">
        <v>4167</v>
      </c>
      <c r="R2480" t="s">
        <v>4165</v>
      </c>
    </row>
    <row r="2481" spans="1:18" x14ac:dyDescent="0.25">
      <c r="A2481" t="s">
        <v>12172</v>
      </c>
      <c r="B2481" t="s">
        <v>4178</v>
      </c>
      <c r="C2481" t="str">
        <f>HYPERLINK("https://nematode.unl.edu/cylmus4.jpg")</f>
        <v>https://nematode.unl.edu/cylmus4.jpg</v>
      </c>
      <c r="D2481" t="s">
        <v>43</v>
      </c>
      <c r="G2481" t="s">
        <v>51</v>
      </c>
      <c r="I2481" t="s">
        <v>41</v>
      </c>
      <c r="J2481" t="s">
        <v>20</v>
      </c>
      <c r="L2481" t="s">
        <v>752</v>
      </c>
      <c r="M2481" t="s">
        <v>4165</v>
      </c>
      <c r="N2481" t="s">
        <v>4165</v>
      </c>
      <c r="O2481" t="s">
        <v>23</v>
      </c>
      <c r="P2481" t="s">
        <v>4166</v>
      </c>
      <c r="Q2481" t="s">
        <v>4167</v>
      </c>
      <c r="R2481" t="s">
        <v>4165</v>
      </c>
    </row>
    <row r="2482" spans="1:18" x14ac:dyDescent="0.25">
      <c r="A2482" t="s">
        <v>12157</v>
      </c>
      <c r="B2482" t="s">
        <v>4179</v>
      </c>
      <c r="C2482" t="str">
        <f>HYPERLINK("https://nematode.unl.edu/cylmus5.jpg")</f>
        <v>https://nematode.unl.edu/cylmus5.jpg</v>
      </c>
      <c r="D2482" t="s">
        <v>43</v>
      </c>
      <c r="G2482" t="s">
        <v>386</v>
      </c>
      <c r="H2482" t="s">
        <v>18</v>
      </c>
      <c r="I2482" t="s">
        <v>41</v>
      </c>
      <c r="J2482" t="s">
        <v>20</v>
      </c>
      <c r="L2482" t="s">
        <v>752</v>
      </c>
      <c r="M2482" t="s">
        <v>4165</v>
      </c>
      <c r="N2482" t="s">
        <v>4165</v>
      </c>
      <c r="O2482" t="s">
        <v>23</v>
      </c>
      <c r="P2482" t="s">
        <v>4166</v>
      </c>
      <c r="Q2482" t="s">
        <v>4167</v>
      </c>
      <c r="R2482" t="s">
        <v>4165</v>
      </c>
    </row>
    <row r="2483" spans="1:18" x14ac:dyDescent="0.25">
      <c r="A2483" t="s">
        <v>12163</v>
      </c>
      <c r="B2483" t="s">
        <v>4180</v>
      </c>
      <c r="C2483" t="str">
        <f>HYPERLINK("https://nematode.unl.edu/cylmus6.jpg")</f>
        <v>https://nematode.unl.edu/cylmus6.jpg</v>
      </c>
      <c r="D2483" t="s">
        <v>43</v>
      </c>
      <c r="G2483" t="s">
        <v>34</v>
      </c>
      <c r="H2483" t="s">
        <v>18</v>
      </c>
      <c r="I2483" t="s">
        <v>41</v>
      </c>
      <c r="J2483" t="s">
        <v>20</v>
      </c>
      <c r="L2483" t="s">
        <v>752</v>
      </c>
      <c r="M2483" t="s">
        <v>4165</v>
      </c>
      <c r="N2483" t="s">
        <v>4165</v>
      </c>
      <c r="O2483" t="s">
        <v>23</v>
      </c>
      <c r="P2483" t="s">
        <v>4166</v>
      </c>
      <c r="Q2483" t="s">
        <v>4167</v>
      </c>
      <c r="R2483" t="s">
        <v>4165</v>
      </c>
    </row>
    <row r="2484" spans="1:18" x14ac:dyDescent="0.25">
      <c r="A2484" t="s">
        <v>12164</v>
      </c>
      <c r="B2484" t="s">
        <v>4181</v>
      </c>
      <c r="C2484" t="str">
        <f>HYPERLINK("https://nematode.unl.edu/cylmus7.jpg")</f>
        <v>https://nematode.unl.edu/cylmus7.jpg</v>
      </c>
      <c r="D2484" t="s">
        <v>16</v>
      </c>
      <c r="G2484" t="s">
        <v>34</v>
      </c>
      <c r="H2484" t="s">
        <v>18</v>
      </c>
      <c r="I2484" t="s">
        <v>19</v>
      </c>
      <c r="J2484" t="s">
        <v>20</v>
      </c>
      <c r="L2484" t="s">
        <v>752</v>
      </c>
      <c r="M2484" t="s">
        <v>4165</v>
      </c>
      <c r="N2484" t="s">
        <v>4165</v>
      </c>
      <c r="O2484" t="s">
        <v>23</v>
      </c>
      <c r="P2484" t="s">
        <v>4166</v>
      </c>
      <c r="Q2484" t="s">
        <v>4167</v>
      </c>
      <c r="R2484" t="s">
        <v>4165</v>
      </c>
    </row>
    <row r="2485" spans="1:18" x14ac:dyDescent="0.25">
      <c r="A2485" t="s">
        <v>12170</v>
      </c>
      <c r="B2485" t="s">
        <v>4182</v>
      </c>
      <c r="C2485" t="str">
        <f>HYPERLINK("https://nematode.unl.edu/cylmus8.jpg")</f>
        <v>https://nematode.unl.edu/cylmus8.jpg</v>
      </c>
      <c r="D2485" t="s">
        <v>16</v>
      </c>
      <c r="G2485" t="s">
        <v>28</v>
      </c>
      <c r="I2485" t="s">
        <v>19</v>
      </c>
      <c r="J2485" t="s">
        <v>20</v>
      </c>
      <c r="L2485" t="s">
        <v>752</v>
      </c>
      <c r="M2485" t="s">
        <v>4165</v>
      </c>
      <c r="N2485" t="s">
        <v>4165</v>
      </c>
      <c r="O2485" t="s">
        <v>23</v>
      </c>
      <c r="P2485" t="s">
        <v>4166</v>
      </c>
      <c r="Q2485" t="s">
        <v>4167</v>
      </c>
      <c r="R2485" t="s">
        <v>4165</v>
      </c>
    </row>
    <row r="2486" spans="1:18" x14ac:dyDescent="0.25">
      <c r="A2486" t="s">
        <v>12165</v>
      </c>
      <c r="B2486" t="s">
        <v>4183</v>
      </c>
      <c r="C2486" t="str">
        <f>HYPERLINK("https://nematode.unl.edu/cylmus9.jpg")</f>
        <v>https://nematode.unl.edu/cylmus9.jpg</v>
      </c>
      <c r="D2486" t="s">
        <v>16</v>
      </c>
      <c r="G2486" t="s">
        <v>34</v>
      </c>
      <c r="H2486" t="s">
        <v>18</v>
      </c>
      <c r="I2486" t="s">
        <v>41</v>
      </c>
      <c r="J2486" t="s">
        <v>20</v>
      </c>
      <c r="L2486" t="s">
        <v>752</v>
      </c>
      <c r="M2486" t="s">
        <v>4165</v>
      </c>
      <c r="N2486" t="s">
        <v>4165</v>
      </c>
      <c r="O2486" t="s">
        <v>23</v>
      </c>
      <c r="P2486" t="s">
        <v>4166</v>
      </c>
      <c r="Q2486" t="s">
        <v>4167</v>
      </c>
      <c r="R2486" t="s">
        <v>4165</v>
      </c>
    </row>
    <row r="2487" spans="1:18" x14ac:dyDescent="0.25">
      <c r="A2487" t="s">
        <v>19490</v>
      </c>
      <c r="B2487" t="s">
        <v>4184</v>
      </c>
      <c r="C2487" t="str">
        <f>HYPERLINK("https://nematode.unl.edu/dacty1.jpg")</f>
        <v>https://nematode.unl.edu/dacty1.jpg</v>
      </c>
      <c r="D2487" t="s">
        <v>16</v>
      </c>
      <c r="G2487" t="s">
        <v>34</v>
      </c>
      <c r="H2487" t="s">
        <v>18</v>
      </c>
      <c r="I2487" t="s">
        <v>19</v>
      </c>
      <c r="J2487" t="s">
        <v>20</v>
      </c>
      <c r="L2487" t="s">
        <v>85</v>
      </c>
      <c r="M2487" t="s">
        <v>4185</v>
      </c>
      <c r="N2487" t="s">
        <v>4185</v>
      </c>
      <c r="O2487" t="s">
        <v>73</v>
      </c>
      <c r="P2487" t="s">
        <v>81</v>
      </c>
      <c r="Q2487" t="s">
        <v>733</v>
      </c>
      <c r="R2487" t="s">
        <v>4185</v>
      </c>
    </row>
    <row r="2488" spans="1:18" x14ac:dyDescent="0.25">
      <c r="A2488" t="s">
        <v>19491</v>
      </c>
      <c r="B2488" t="s">
        <v>4186</v>
      </c>
      <c r="C2488" t="str">
        <f>HYPERLINK("https://nematode.unl.edu/dacty2.jpg")</f>
        <v>https://nematode.unl.edu/dacty2.jpg</v>
      </c>
      <c r="D2488" t="s">
        <v>16</v>
      </c>
      <c r="G2488" t="s">
        <v>34</v>
      </c>
      <c r="H2488" t="s">
        <v>18</v>
      </c>
      <c r="I2488" t="s">
        <v>19</v>
      </c>
      <c r="J2488" t="s">
        <v>20</v>
      </c>
      <c r="L2488" t="s">
        <v>85</v>
      </c>
      <c r="M2488" t="s">
        <v>4185</v>
      </c>
      <c r="N2488" t="s">
        <v>4185</v>
      </c>
      <c r="O2488" t="s">
        <v>73</v>
      </c>
      <c r="P2488" t="s">
        <v>81</v>
      </c>
      <c r="Q2488" t="s">
        <v>733</v>
      </c>
      <c r="R2488" t="s">
        <v>4185</v>
      </c>
    </row>
    <row r="2489" spans="1:18" x14ac:dyDescent="0.25">
      <c r="A2489" t="s">
        <v>19494</v>
      </c>
      <c r="B2489" t="s">
        <v>4187</v>
      </c>
      <c r="C2489" t="str">
        <f>HYPERLINK("https://nematode.unl.edu/dacty3.jpg")</f>
        <v>https://nematode.unl.edu/dacty3.jpg</v>
      </c>
      <c r="D2489" t="s">
        <v>16</v>
      </c>
      <c r="G2489" t="s">
        <v>28</v>
      </c>
      <c r="I2489" t="s">
        <v>19</v>
      </c>
      <c r="J2489" t="s">
        <v>20</v>
      </c>
      <c r="L2489" t="s">
        <v>85</v>
      </c>
      <c r="M2489" t="s">
        <v>4185</v>
      </c>
      <c r="N2489" t="s">
        <v>4185</v>
      </c>
      <c r="O2489" t="s">
        <v>73</v>
      </c>
      <c r="P2489" t="s">
        <v>81</v>
      </c>
      <c r="Q2489" t="s">
        <v>733</v>
      </c>
      <c r="R2489" t="s">
        <v>4185</v>
      </c>
    </row>
    <row r="2490" spans="1:18" x14ac:dyDescent="0.25">
      <c r="A2490" t="s">
        <v>19493</v>
      </c>
      <c r="B2490" t="s">
        <v>4188</v>
      </c>
      <c r="C2490" t="str">
        <f>HYPERLINK("https://nematode.unl.edu/dacty4.jpg")</f>
        <v>https://nematode.unl.edu/dacty4.jpg</v>
      </c>
      <c r="D2490" t="s">
        <v>16</v>
      </c>
      <c r="G2490" t="s">
        <v>2974</v>
      </c>
      <c r="I2490" t="s">
        <v>19</v>
      </c>
      <c r="J2490" t="s">
        <v>20</v>
      </c>
      <c r="L2490" t="s">
        <v>85</v>
      </c>
      <c r="M2490" t="s">
        <v>4185</v>
      </c>
      <c r="N2490" t="s">
        <v>4185</v>
      </c>
      <c r="O2490" t="s">
        <v>73</v>
      </c>
      <c r="P2490" t="s">
        <v>81</v>
      </c>
      <c r="Q2490" t="s">
        <v>733</v>
      </c>
      <c r="R2490" t="s">
        <v>4185</v>
      </c>
    </row>
    <row r="2491" spans="1:18" x14ac:dyDescent="0.25">
      <c r="A2491" t="s">
        <v>19492</v>
      </c>
      <c r="B2491" t="s">
        <v>4189</v>
      </c>
      <c r="C2491" t="str">
        <f>HYPERLINK("https://nematode.unl.edu/dacty5.jpg")</f>
        <v>https://nematode.unl.edu/dacty5.jpg</v>
      </c>
      <c r="D2491" t="s">
        <v>16</v>
      </c>
      <c r="G2491" t="s">
        <v>34</v>
      </c>
      <c r="H2491" t="s">
        <v>18</v>
      </c>
      <c r="I2491" t="s">
        <v>19</v>
      </c>
      <c r="J2491" t="s">
        <v>20</v>
      </c>
      <c r="L2491" t="s">
        <v>85</v>
      </c>
      <c r="M2491" t="s">
        <v>4185</v>
      </c>
      <c r="N2491" t="s">
        <v>4185</v>
      </c>
      <c r="O2491" t="s">
        <v>73</v>
      </c>
      <c r="P2491" t="s">
        <v>81</v>
      </c>
      <c r="Q2491" t="s">
        <v>733</v>
      </c>
      <c r="R2491" t="s">
        <v>4185</v>
      </c>
    </row>
    <row r="2492" spans="1:18" x14ac:dyDescent="0.25">
      <c r="A2492" t="s">
        <v>19495</v>
      </c>
      <c r="B2492" t="s">
        <v>4190</v>
      </c>
      <c r="C2492" t="str">
        <f>HYPERLINK("https://nematode.unl.edu/dacty6.jpg")</f>
        <v>https://nematode.unl.edu/dacty6.jpg</v>
      </c>
      <c r="D2492" t="s">
        <v>16</v>
      </c>
      <c r="G2492" t="s">
        <v>28</v>
      </c>
      <c r="I2492" t="s">
        <v>19</v>
      </c>
      <c r="J2492" t="s">
        <v>20</v>
      </c>
      <c r="L2492" t="s">
        <v>85</v>
      </c>
      <c r="M2492" t="s">
        <v>4185</v>
      </c>
      <c r="N2492" t="s">
        <v>4185</v>
      </c>
      <c r="O2492" t="s">
        <v>73</v>
      </c>
      <c r="P2492" t="s">
        <v>81</v>
      </c>
      <c r="Q2492" t="s">
        <v>733</v>
      </c>
      <c r="R2492" t="s">
        <v>4185</v>
      </c>
    </row>
    <row r="2493" spans="1:18" x14ac:dyDescent="0.25">
      <c r="A2493" t="s">
        <v>19489</v>
      </c>
      <c r="B2493" t="s">
        <v>4191</v>
      </c>
      <c r="C2493" t="str">
        <f>HYPERLINK("https://nematode.unl.edu/dacty7.jpg")</f>
        <v>https://nematode.unl.edu/dacty7.jpg</v>
      </c>
      <c r="D2493" t="s">
        <v>16</v>
      </c>
      <c r="G2493" t="s">
        <v>96</v>
      </c>
      <c r="H2493" t="s">
        <v>18</v>
      </c>
      <c r="I2493" t="s">
        <v>45</v>
      </c>
      <c r="J2493" t="s">
        <v>20</v>
      </c>
      <c r="L2493" t="s">
        <v>85</v>
      </c>
      <c r="M2493" t="s">
        <v>4185</v>
      </c>
      <c r="N2493" t="s">
        <v>4185</v>
      </c>
      <c r="O2493" t="s">
        <v>73</v>
      </c>
      <c r="P2493" t="s">
        <v>81</v>
      </c>
      <c r="Q2493" t="s">
        <v>733</v>
      </c>
      <c r="R2493" t="s">
        <v>4185</v>
      </c>
    </row>
    <row r="2494" spans="1:18" x14ac:dyDescent="0.25">
      <c r="A2494" t="s">
        <v>12804</v>
      </c>
      <c r="B2494" t="s">
        <v>4511</v>
      </c>
      <c r="C2494" t="str">
        <f>HYPERLINK("https://nematode.unl.edu/dclar1.jpg")</f>
        <v>https://nematode.unl.edu/dclar1.jpg</v>
      </c>
      <c r="D2494" t="s">
        <v>16</v>
      </c>
      <c r="G2494" t="s">
        <v>34</v>
      </c>
      <c r="H2494" t="s">
        <v>18</v>
      </c>
      <c r="I2494" t="s">
        <v>19</v>
      </c>
      <c r="J2494" t="s">
        <v>20</v>
      </c>
      <c r="L2494" t="s">
        <v>4512</v>
      </c>
      <c r="M2494" t="s">
        <v>4513</v>
      </c>
      <c r="N2494" t="s">
        <v>4513</v>
      </c>
      <c r="O2494" t="s">
        <v>23</v>
      </c>
      <c r="P2494" t="s">
        <v>24</v>
      </c>
      <c r="Q2494" t="s">
        <v>712</v>
      </c>
      <c r="R2494" t="s">
        <v>713</v>
      </c>
    </row>
    <row r="2495" spans="1:18" x14ac:dyDescent="0.25">
      <c r="A2495" t="s">
        <v>12819</v>
      </c>
      <c r="B2495" t="s">
        <v>4514</v>
      </c>
      <c r="C2495" t="str">
        <f>HYPERLINK("https://nematode.unl.edu/dclar10.jpg")</f>
        <v>https://nematode.unl.edu/dclar10.jpg</v>
      </c>
      <c r="D2495" t="s">
        <v>77</v>
      </c>
      <c r="G2495" t="s">
        <v>112</v>
      </c>
      <c r="I2495" t="s">
        <v>41</v>
      </c>
      <c r="J2495" t="s">
        <v>20</v>
      </c>
      <c r="L2495" t="s">
        <v>4512</v>
      </c>
      <c r="M2495" t="s">
        <v>4513</v>
      </c>
      <c r="N2495" t="s">
        <v>4513</v>
      </c>
      <c r="O2495" t="s">
        <v>23</v>
      </c>
      <c r="P2495" t="s">
        <v>24</v>
      </c>
      <c r="Q2495" t="s">
        <v>712</v>
      </c>
      <c r="R2495" t="s">
        <v>713</v>
      </c>
    </row>
    <row r="2496" spans="1:18" x14ac:dyDescent="0.25">
      <c r="A2496" t="s">
        <v>12816</v>
      </c>
      <c r="B2496" t="s">
        <v>4515</v>
      </c>
      <c r="C2496" t="str">
        <f>HYPERLINK("https://nematode.unl.edu/dclar11.jpg")</f>
        <v>https://nematode.unl.edu/dclar11.jpg</v>
      </c>
      <c r="D2496" t="s">
        <v>77</v>
      </c>
      <c r="G2496" t="s">
        <v>1906</v>
      </c>
      <c r="I2496" t="s">
        <v>41</v>
      </c>
      <c r="J2496" t="s">
        <v>20</v>
      </c>
      <c r="L2496" t="s">
        <v>4512</v>
      </c>
      <c r="M2496" t="s">
        <v>4513</v>
      </c>
      <c r="N2496" t="s">
        <v>4513</v>
      </c>
      <c r="O2496" t="s">
        <v>23</v>
      </c>
      <c r="P2496" t="s">
        <v>24</v>
      </c>
      <c r="Q2496" t="s">
        <v>712</v>
      </c>
      <c r="R2496" t="s">
        <v>713</v>
      </c>
    </row>
    <row r="2497" spans="1:18" x14ac:dyDescent="0.25">
      <c r="A2497" t="s">
        <v>12802</v>
      </c>
      <c r="B2497" t="s">
        <v>4516</v>
      </c>
      <c r="C2497" t="str">
        <f>HYPERLINK("https://nematode.unl.edu/dclar12.jpg")</f>
        <v>https://nematode.unl.edu/dclar12.jpg</v>
      </c>
      <c r="D2497" t="s">
        <v>43</v>
      </c>
      <c r="G2497" t="s">
        <v>96</v>
      </c>
      <c r="H2497" t="s">
        <v>18</v>
      </c>
      <c r="I2497" t="s">
        <v>19</v>
      </c>
      <c r="J2497" t="s">
        <v>20</v>
      </c>
      <c r="L2497" t="s">
        <v>4512</v>
      </c>
      <c r="M2497" t="s">
        <v>4513</v>
      </c>
      <c r="N2497" t="s">
        <v>4513</v>
      </c>
      <c r="O2497" t="s">
        <v>23</v>
      </c>
      <c r="P2497" t="s">
        <v>24</v>
      </c>
      <c r="Q2497" t="s">
        <v>712</v>
      </c>
      <c r="R2497" t="s">
        <v>713</v>
      </c>
    </row>
    <row r="2498" spans="1:18" x14ac:dyDescent="0.25">
      <c r="A2498" t="s">
        <v>12827</v>
      </c>
      <c r="B2498" t="s">
        <v>4517</v>
      </c>
      <c r="C2498" t="str">
        <f>HYPERLINK("https://nematode.unl.edu/dclar13.jpg")</f>
        <v>https://nematode.unl.edu/dclar13.jpg</v>
      </c>
      <c r="D2498" t="s">
        <v>43</v>
      </c>
      <c r="G2498" t="s">
        <v>51</v>
      </c>
      <c r="I2498" t="s">
        <v>19</v>
      </c>
      <c r="J2498" t="s">
        <v>20</v>
      </c>
      <c r="L2498" t="s">
        <v>4512</v>
      </c>
      <c r="M2498" t="s">
        <v>4513</v>
      </c>
      <c r="N2498" t="s">
        <v>4513</v>
      </c>
      <c r="O2498" t="s">
        <v>23</v>
      </c>
      <c r="P2498" t="s">
        <v>24</v>
      </c>
      <c r="Q2498" t="s">
        <v>712</v>
      </c>
      <c r="R2498" t="s">
        <v>713</v>
      </c>
    </row>
    <row r="2499" spans="1:18" x14ac:dyDescent="0.25">
      <c r="A2499" t="s">
        <v>12805</v>
      </c>
      <c r="B2499" t="s">
        <v>4518</v>
      </c>
      <c r="C2499" t="str">
        <f>HYPERLINK("https://nematode.unl.edu/dclar14.jpg")</f>
        <v>https://nematode.unl.edu/dclar14.jpg</v>
      </c>
      <c r="D2499" t="s">
        <v>43</v>
      </c>
      <c r="G2499" t="s">
        <v>34</v>
      </c>
      <c r="H2499" t="s">
        <v>18</v>
      </c>
      <c r="I2499" t="s">
        <v>41</v>
      </c>
      <c r="J2499" t="s">
        <v>20</v>
      </c>
      <c r="L2499" t="s">
        <v>4512</v>
      </c>
      <c r="M2499" t="s">
        <v>4513</v>
      </c>
      <c r="N2499" t="s">
        <v>4513</v>
      </c>
      <c r="O2499" t="s">
        <v>23</v>
      </c>
      <c r="P2499" t="s">
        <v>24</v>
      </c>
      <c r="Q2499" t="s">
        <v>712</v>
      </c>
      <c r="R2499" t="s">
        <v>713</v>
      </c>
    </row>
    <row r="2500" spans="1:18" x14ac:dyDescent="0.25">
      <c r="A2500" t="s">
        <v>12820</v>
      </c>
      <c r="B2500" t="s">
        <v>4519</v>
      </c>
      <c r="C2500" t="str">
        <f>HYPERLINK("https://nematode.unl.edu/dclar15.jpg")</f>
        <v>https://nematode.unl.edu/dclar15.jpg</v>
      </c>
      <c r="D2500" t="s">
        <v>43</v>
      </c>
      <c r="G2500" t="s">
        <v>28</v>
      </c>
      <c r="I2500" t="s">
        <v>41</v>
      </c>
      <c r="J2500" t="s">
        <v>20</v>
      </c>
      <c r="L2500" t="s">
        <v>4512</v>
      </c>
      <c r="M2500" t="s">
        <v>4513</v>
      </c>
      <c r="N2500" t="s">
        <v>4513</v>
      </c>
      <c r="O2500" t="s">
        <v>23</v>
      </c>
      <c r="P2500" t="s">
        <v>24</v>
      </c>
      <c r="Q2500" t="s">
        <v>712</v>
      </c>
      <c r="R2500" t="s">
        <v>713</v>
      </c>
    </row>
    <row r="2501" spans="1:18" x14ac:dyDescent="0.25">
      <c r="A2501" t="s">
        <v>12821</v>
      </c>
      <c r="B2501" t="s">
        <v>4520</v>
      </c>
      <c r="C2501" t="str">
        <f>HYPERLINK("https://nematode.unl.edu/dclar16.jpg")</f>
        <v>https://nematode.unl.edu/dclar16.jpg</v>
      </c>
      <c r="D2501" t="s">
        <v>77</v>
      </c>
      <c r="G2501" t="s">
        <v>28</v>
      </c>
      <c r="I2501" t="s">
        <v>19</v>
      </c>
      <c r="J2501" t="s">
        <v>20</v>
      </c>
      <c r="L2501" t="s">
        <v>4512</v>
      </c>
      <c r="M2501" t="s">
        <v>4513</v>
      </c>
      <c r="N2501" t="s">
        <v>4513</v>
      </c>
      <c r="O2501" t="s">
        <v>23</v>
      </c>
      <c r="P2501" t="s">
        <v>24</v>
      </c>
      <c r="Q2501" t="s">
        <v>712</v>
      </c>
      <c r="R2501" t="s">
        <v>713</v>
      </c>
    </row>
    <row r="2502" spans="1:18" x14ac:dyDescent="0.25">
      <c r="A2502" t="s">
        <v>12813</v>
      </c>
      <c r="B2502" t="s">
        <v>4521</v>
      </c>
      <c r="C2502" t="str">
        <f>HYPERLINK("https://nematode.unl.edu/dclar17.jpg")</f>
        <v>https://nematode.unl.edu/dclar17.jpg</v>
      </c>
      <c r="D2502" t="s">
        <v>43</v>
      </c>
      <c r="G2502" t="s">
        <v>44</v>
      </c>
      <c r="I2502" t="s">
        <v>91</v>
      </c>
      <c r="J2502" t="s">
        <v>20</v>
      </c>
      <c r="L2502" t="s">
        <v>4512</v>
      </c>
      <c r="M2502" t="s">
        <v>4513</v>
      </c>
      <c r="N2502" t="s">
        <v>4513</v>
      </c>
      <c r="O2502" t="s">
        <v>23</v>
      </c>
      <c r="P2502" t="s">
        <v>24</v>
      </c>
      <c r="Q2502" t="s">
        <v>712</v>
      </c>
      <c r="R2502" t="s">
        <v>713</v>
      </c>
    </row>
    <row r="2503" spans="1:18" x14ac:dyDescent="0.25">
      <c r="A2503" t="s">
        <v>12806</v>
      </c>
      <c r="B2503" t="s">
        <v>4522</v>
      </c>
      <c r="C2503" t="str">
        <f>HYPERLINK("https://nematode.unl.edu/dclar18.jpg")</f>
        <v>https://nematode.unl.edu/dclar18.jpg</v>
      </c>
      <c r="D2503" t="s">
        <v>43</v>
      </c>
      <c r="G2503" t="s">
        <v>34</v>
      </c>
      <c r="H2503" t="s">
        <v>18</v>
      </c>
      <c r="I2503" t="s">
        <v>19</v>
      </c>
      <c r="J2503" t="s">
        <v>20</v>
      </c>
      <c r="L2503" t="s">
        <v>4512</v>
      </c>
      <c r="M2503" t="s">
        <v>4513</v>
      </c>
      <c r="N2503" t="s">
        <v>4513</v>
      </c>
      <c r="O2503" t="s">
        <v>23</v>
      </c>
      <c r="P2503" t="s">
        <v>24</v>
      </c>
      <c r="Q2503" t="s">
        <v>712</v>
      </c>
      <c r="R2503" t="s">
        <v>713</v>
      </c>
    </row>
    <row r="2504" spans="1:18" x14ac:dyDescent="0.25">
      <c r="A2504" t="s">
        <v>12828</v>
      </c>
      <c r="B2504" t="s">
        <v>4523</v>
      </c>
      <c r="C2504" t="str">
        <f>HYPERLINK("https://nematode.unl.edu/dclar19.jpg")</f>
        <v>https://nematode.unl.edu/dclar19.jpg</v>
      </c>
      <c r="D2504" t="s">
        <v>43</v>
      </c>
      <c r="G2504" t="s">
        <v>51</v>
      </c>
      <c r="I2504" t="s">
        <v>19</v>
      </c>
      <c r="J2504" t="s">
        <v>20</v>
      </c>
      <c r="L2504" t="s">
        <v>4512</v>
      </c>
      <c r="M2504" t="s">
        <v>4513</v>
      </c>
      <c r="N2504" t="s">
        <v>4513</v>
      </c>
      <c r="O2504" t="s">
        <v>23</v>
      </c>
      <c r="P2504" t="s">
        <v>24</v>
      </c>
      <c r="Q2504" t="s">
        <v>712</v>
      </c>
      <c r="R2504" t="s">
        <v>713</v>
      </c>
    </row>
    <row r="2505" spans="1:18" x14ac:dyDescent="0.25">
      <c r="A2505" t="s">
        <v>12822</v>
      </c>
      <c r="B2505" t="s">
        <v>4524</v>
      </c>
      <c r="C2505" t="str">
        <f>HYPERLINK("https://nematode.unl.edu/dclar2.jpg")</f>
        <v>https://nematode.unl.edu/dclar2.jpg</v>
      </c>
      <c r="D2505" t="s">
        <v>16</v>
      </c>
      <c r="G2505" t="s">
        <v>28</v>
      </c>
      <c r="I2505" t="s">
        <v>19</v>
      </c>
      <c r="J2505" t="s">
        <v>20</v>
      </c>
      <c r="L2505" t="s">
        <v>4512</v>
      </c>
      <c r="M2505" t="s">
        <v>4513</v>
      </c>
      <c r="N2505" t="s">
        <v>4513</v>
      </c>
      <c r="O2505" t="s">
        <v>23</v>
      </c>
      <c r="P2505" t="s">
        <v>24</v>
      </c>
      <c r="Q2505" t="s">
        <v>712</v>
      </c>
      <c r="R2505" t="s">
        <v>713</v>
      </c>
    </row>
    <row r="2506" spans="1:18" x14ac:dyDescent="0.25">
      <c r="A2506" t="s">
        <v>12823</v>
      </c>
      <c r="B2506" t="s">
        <v>4525</v>
      </c>
      <c r="C2506" t="str">
        <f>HYPERLINK("https://nematode.unl.edu/dclar20.jpg")</f>
        <v>https://nematode.unl.edu/dclar20.jpg</v>
      </c>
      <c r="D2506" t="s">
        <v>43</v>
      </c>
      <c r="G2506" t="s">
        <v>28</v>
      </c>
      <c r="I2506" t="s">
        <v>19</v>
      </c>
      <c r="J2506" t="s">
        <v>20</v>
      </c>
      <c r="L2506" t="s">
        <v>4512</v>
      </c>
      <c r="M2506" t="s">
        <v>4513</v>
      </c>
      <c r="N2506" t="s">
        <v>4513</v>
      </c>
      <c r="O2506" t="s">
        <v>23</v>
      </c>
      <c r="P2506" t="s">
        <v>24</v>
      </c>
      <c r="Q2506" t="s">
        <v>712</v>
      </c>
      <c r="R2506" t="s">
        <v>713</v>
      </c>
    </row>
    <row r="2507" spans="1:18" x14ac:dyDescent="0.25">
      <c r="A2507" t="s">
        <v>12807</v>
      </c>
      <c r="B2507" t="s">
        <v>4526</v>
      </c>
      <c r="C2507" t="str">
        <f>HYPERLINK("https://nematode.unl.edu/dclar3.jpg")</f>
        <v>https://nematode.unl.edu/dclar3.jpg</v>
      </c>
      <c r="D2507" t="s">
        <v>16</v>
      </c>
      <c r="G2507" t="s">
        <v>34</v>
      </c>
      <c r="H2507" t="s">
        <v>18</v>
      </c>
      <c r="I2507" t="s">
        <v>41</v>
      </c>
      <c r="J2507" t="s">
        <v>20</v>
      </c>
      <c r="L2507" t="s">
        <v>4512</v>
      </c>
      <c r="M2507" t="s">
        <v>4513</v>
      </c>
      <c r="N2507" t="s">
        <v>4513</v>
      </c>
      <c r="O2507" t="s">
        <v>23</v>
      </c>
      <c r="P2507" t="s">
        <v>24</v>
      </c>
      <c r="Q2507" t="s">
        <v>712</v>
      </c>
      <c r="R2507" t="s">
        <v>713</v>
      </c>
    </row>
    <row r="2508" spans="1:18" x14ac:dyDescent="0.25">
      <c r="A2508" t="s">
        <v>12812</v>
      </c>
      <c r="B2508" t="s">
        <v>4527</v>
      </c>
      <c r="C2508" t="str">
        <f>HYPERLINK("https://nematode.unl.edu/dclar4.jpg")</f>
        <v>https://nematode.unl.edu/dclar4.jpg</v>
      </c>
      <c r="D2508" t="s">
        <v>16</v>
      </c>
      <c r="G2508" t="s">
        <v>384</v>
      </c>
      <c r="I2508" t="s">
        <v>41</v>
      </c>
      <c r="J2508" t="s">
        <v>20</v>
      </c>
      <c r="L2508" t="s">
        <v>4512</v>
      </c>
      <c r="M2508" t="s">
        <v>4513</v>
      </c>
      <c r="N2508" t="s">
        <v>4513</v>
      </c>
      <c r="O2508" t="s">
        <v>23</v>
      </c>
      <c r="P2508" t="s">
        <v>24</v>
      </c>
      <c r="Q2508" t="s">
        <v>712</v>
      </c>
      <c r="R2508" t="s">
        <v>713</v>
      </c>
    </row>
    <row r="2509" spans="1:18" x14ac:dyDescent="0.25">
      <c r="A2509" t="s">
        <v>12808</v>
      </c>
      <c r="B2509" t="s">
        <v>4528</v>
      </c>
      <c r="C2509" t="str">
        <f>HYPERLINK("https://nematode.unl.edu/dclar5.jpg")</f>
        <v>https://nematode.unl.edu/dclar5.jpg</v>
      </c>
      <c r="D2509" t="s">
        <v>16</v>
      </c>
      <c r="G2509" t="s">
        <v>34</v>
      </c>
      <c r="H2509" t="s">
        <v>18</v>
      </c>
      <c r="I2509" t="s">
        <v>41</v>
      </c>
      <c r="J2509" t="s">
        <v>20</v>
      </c>
      <c r="L2509" t="s">
        <v>4512</v>
      </c>
      <c r="M2509" t="s">
        <v>4513</v>
      </c>
      <c r="N2509" t="s">
        <v>4513</v>
      </c>
      <c r="O2509" t="s">
        <v>23</v>
      </c>
      <c r="P2509" t="s">
        <v>24</v>
      </c>
      <c r="Q2509" t="s">
        <v>712</v>
      </c>
      <c r="R2509" t="s">
        <v>713</v>
      </c>
    </row>
    <row r="2510" spans="1:18" x14ac:dyDescent="0.25">
      <c r="A2510" t="s">
        <v>12814</v>
      </c>
      <c r="B2510" t="s">
        <v>4529</v>
      </c>
      <c r="C2510" t="str">
        <f>HYPERLINK("https://nematode.unl.edu/dclar6.jpg")</f>
        <v>https://nematode.unl.edu/dclar6.jpg</v>
      </c>
      <c r="D2510" t="s">
        <v>77</v>
      </c>
      <c r="G2510" t="s">
        <v>44</v>
      </c>
      <c r="I2510" t="s">
        <v>45</v>
      </c>
      <c r="J2510" t="s">
        <v>20</v>
      </c>
      <c r="L2510" t="s">
        <v>4512</v>
      </c>
      <c r="M2510" t="s">
        <v>4513</v>
      </c>
      <c r="N2510" t="s">
        <v>4513</v>
      </c>
      <c r="O2510" t="s">
        <v>23</v>
      </c>
      <c r="P2510" t="s">
        <v>24</v>
      </c>
      <c r="Q2510" t="s">
        <v>712</v>
      </c>
      <c r="R2510" t="s">
        <v>713</v>
      </c>
    </row>
    <row r="2511" spans="1:18" x14ac:dyDescent="0.25">
      <c r="A2511" t="s">
        <v>12803</v>
      </c>
      <c r="B2511" t="s">
        <v>4530</v>
      </c>
      <c r="C2511" t="str">
        <f>HYPERLINK("https://nematode.unl.edu/dclar7.jpg")</f>
        <v>https://nematode.unl.edu/dclar7.jpg</v>
      </c>
      <c r="D2511" t="s">
        <v>77</v>
      </c>
      <c r="G2511" t="s">
        <v>96</v>
      </c>
      <c r="H2511" t="s">
        <v>18</v>
      </c>
      <c r="I2511" t="s">
        <v>19</v>
      </c>
      <c r="J2511" t="s">
        <v>20</v>
      </c>
      <c r="L2511" t="s">
        <v>4512</v>
      </c>
      <c r="M2511" t="s">
        <v>4513</v>
      </c>
      <c r="N2511" t="s">
        <v>4513</v>
      </c>
      <c r="O2511" t="s">
        <v>23</v>
      </c>
      <c r="P2511" t="s">
        <v>24</v>
      </c>
      <c r="Q2511" t="s">
        <v>712</v>
      </c>
      <c r="R2511" t="s">
        <v>713</v>
      </c>
    </row>
    <row r="2512" spans="1:18" x14ac:dyDescent="0.25">
      <c r="A2512" t="s">
        <v>12824</v>
      </c>
      <c r="B2512" t="s">
        <v>4531</v>
      </c>
      <c r="C2512" t="str">
        <f>HYPERLINK("https://nematode.unl.edu/dclar8.jpg")</f>
        <v>https://nematode.unl.edu/dclar8.jpg</v>
      </c>
      <c r="D2512" t="s">
        <v>77</v>
      </c>
      <c r="G2512" t="s">
        <v>28</v>
      </c>
      <c r="I2512" t="s">
        <v>19</v>
      </c>
      <c r="J2512" t="s">
        <v>20</v>
      </c>
      <c r="L2512" t="s">
        <v>4512</v>
      </c>
      <c r="M2512" t="s">
        <v>4513</v>
      </c>
      <c r="N2512" t="s">
        <v>4513</v>
      </c>
      <c r="O2512" t="s">
        <v>23</v>
      </c>
      <c r="P2512" t="s">
        <v>24</v>
      </c>
      <c r="Q2512" t="s">
        <v>712</v>
      </c>
      <c r="R2512" t="s">
        <v>713</v>
      </c>
    </row>
    <row r="2513" spans="1:18" x14ac:dyDescent="0.25">
      <c r="A2513" t="s">
        <v>12809</v>
      </c>
      <c r="B2513" t="s">
        <v>4532</v>
      </c>
      <c r="C2513" t="str">
        <f>HYPERLINK("https://nematode.unl.edu/dclar9.jpg")</f>
        <v>https://nematode.unl.edu/dclar9.jpg</v>
      </c>
      <c r="D2513" t="s">
        <v>77</v>
      </c>
      <c r="G2513" t="s">
        <v>34</v>
      </c>
      <c r="H2513" t="s">
        <v>18</v>
      </c>
      <c r="I2513" t="s">
        <v>41</v>
      </c>
      <c r="J2513" t="s">
        <v>20</v>
      </c>
      <c r="L2513" t="s">
        <v>4512</v>
      </c>
      <c r="M2513" t="s">
        <v>4513</v>
      </c>
      <c r="N2513" t="s">
        <v>4513</v>
      </c>
      <c r="O2513" t="s">
        <v>23</v>
      </c>
      <c r="P2513" t="s">
        <v>24</v>
      </c>
      <c r="Q2513" t="s">
        <v>712</v>
      </c>
      <c r="R2513" t="s">
        <v>713</v>
      </c>
    </row>
    <row r="2514" spans="1:18" x14ac:dyDescent="0.25">
      <c r="A2514" t="s">
        <v>20256</v>
      </c>
      <c r="B2514" t="s">
        <v>4665</v>
      </c>
      <c r="C2514" t="str">
        <f>HYPERLINK("https://nematode.unl.edu/deleg1.jpg")</f>
        <v>https://nematode.unl.edu/deleg1.jpg</v>
      </c>
      <c r="D2514" t="s">
        <v>43</v>
      </c>
      <c r="G2514" t="s">
        <v>34</v>
      </c>
      <c r="H2514" t="s">
        <v>18</v>
      </c>
      <c r="I2514" t="s">
        <v>19</v>
      </c>
      <c r="J2514" t="s">
        <v>46</v>
      </c>
      <c r="L2514" t="s">
        <v>4666</v>
      </c>
      <c r="M2514" t="s">
        <v>4667</v>
      </c>
      <c r="N2514" t="s">
        <v>4667</v>
      </c>
      <c r="O2514" t="s">
        <v>73</v>
      </c>
      <c r="P2514" t="s">
        <v>81</v>
      </c>
      <c r="Q2514" t="s">
        <v>4662</v>
      </c>
      <c r="R2514" t="s">
        <v>4661</v>
      </c>
    </row>
    <row r="2515" spans="1:18" x14ac:dyDescent="0.25">
      <c r="A2515" t="s">
        <v>20263</v>
      </c>
      <c r="B2515" t="s">
        <v>4668</v>
      </c>
      <c r="C2515" t="str">
        <f>HYPERLINK("https://nematode.unl.edu/deleg2.jpg")</f>
        <v>https://nematode.unl.edu/deleg2.jpg</v>
      </c>
      <c r="D2515" t="s">
        <v>43</v>
      </c>
      <c r="G2515" t="s">
        <v>87</v>
      </c>
      <c r="I2515" t="s">
        <v>19</v>
      </c>
      <c r="J2515" t="s">
        <v>46</v>
      </c>
      <c r="L2515" t="s">
        <v>4666</v>
      </c>
      <c r="M2515" t="s">
        <v>4667</v>
      </c>
      <c r="N2515" t="s">
        <v>4667</v>
      </c>
      <c r="O2515" t="s">
        <v>73</v>
      </c>
      <c r="P2515" t="s">
        <v>81</v>
      </c>
      <c r="Q2515" t="s">
        <v>4662</v>
      </c>
      <c r="R2515" t="s">
        <v>4661</v>
      </c>
    </row>
    <row r="2516" spans="1:18" x14ac:dyDescent="0.25">
      <c r="A2516" t="s">
        <v>20274</v>
      </c>
      <c r="B2516" t="s">
        <v>4669</v>
      </c>
      <c r="C2516" t="str">
        <f>HYPERLINK("https://nematode.unl.edu/deleg3.jpg")</f>
        <v>https://nematode.unl.edu/deleg3.jpg</v>
      </c>
      <c r="D2516" t="s">
        <v>43</v>
      </c>
      <c r="G2516" t="s">
        <v>51</v>
      </c>
      <c r="I2516" t="s">
        <v>19</v>
      </c>
      <c r="J2516" t="s">
        <v>46</v>
      </c>
      <c r="L2516" t="s">
        <v>4666</v>
      </c>
      <c r="M2516" t="s">
        <v>4667</v>
      </c>
      <c r="N2516" t="s">
        <v>4667</v>
      </c>
      <c r="O2516" t="s">
        <v>73</v>
      </c>
      <c r="P2516" t="s">
        <v>81</v>
      </c>
      <c r="Q2516" t="s">
        <v>4662</v>
      </c>
      <c r="R2516" t="s">
        <v>4661</v>
      </c>
    </row>
    <row r="2517" spans="1:18" x14ac:dyDescent="0.25">
      <c r="A2517" t="s">
        <v>20271</v>
      </c>
      <c r="B2517" t="s">
        <v>4670</v>
      </c>
      <c r="C2517" t="str">
        <f>HYPERLINK("https://nematode.unl.edu/deleg4.jpg")</f>
        <v>https://nematode.unl.edu/deleg4.jpg</v>
      </c>
      <c r="D2517" t="s">
        <v>43</v>
      </c>
      <c r="G2517" t="s">
        <v>28</v>
      </c>
      <c r="I2517" t="s">
        <v>19</v>
      </c>
      <c r="J2517" t="s">
        <v>46</v>
      </c>
      <c r="L2517" t="s">
        <v>4666</v>
      </c>
      <c r="M2517" t="s">
        <v>4667</v>
      </c>
      <c r="N2517" t="s">
        <v>4667</v>
      </c>
      <c r="O2517" t="s">
        <v>73</v>
      </c>
      <c r="P2517" t="s">
        <v>81</v>
      </c>
      <c r="Q2517" t="s">
        <v>4662</v>
      </c>
      <c r="R2517" t="s">
        <v>4661</v>
      </c>
    </row>
    <row r="2518" spans="1:18" x14ac:dyDescent="0.25">
      <c r="A2518" t="s">
        <v>12215</v>
      </c>
      <c r="B2518" t="s">
        <v>4192</v>
      </c>
      <c r="C2518" t="str">
        <f>HYPERLINK("https://nematode.unl.edu/desmohd.jpg")</f>
        <v>https://nematode.unl.edu/desmohd.jpg</v>
      </c>
      <c r="D2518" t="s">
        <v>16</v>
      </c>
      <c r="G2518" t="s">
        <v>34</v>
      </c>
      <c r="H2518" t="s">
        <v>18</v>
      </c>
      <c r="I2518" t="s">
        <v>19</v>
      </c>
      <c r="J2518" t="s">
        <v>46</v>
      </c>
      <c r="L2518" t="s">
        <v>105</v>
      </c>
      <c r="M2518" t="s">
        <v>4193</v>
      </c>
      <c r="N2518" t="s">
        <v>4193</v>
      </c>
      <c r="O2518" t="s">
        <v>23</v>
      </c>
      <c r="P2518" t="s">
        <v>1024</v>
      </c>
      <c r="Q2518" t="s">
        <v>4194</v>
      </c>
      <c r="R2518" t="s">
        <v>4193</v>
      </c>
    </row>
    <row r="2519" spans="1:18" x14ac:dyDescent="0.25">
      <c r="A2519" t="s">
        <v>12794</v>
      </c>
      <c r="B2519" t="s">
        <v>4499</v>
      </c>
      <c r="C2519" t="str">
        <f>HYPERLINK("https://nematode.unl.edu/dianch1.jpg")</f>
        <v>https://nematode.unl.edu/dianch1.jpg</v>
      </c>
      <c r="D2519" t="s">
        <v>43</v>
      </c>
      <c r="G2519" t="s">
        <v>28</v>
      </c>
      <c r="I2519" t="s">
        <v>19</v>
      </c>
      <c r="J2519" t="s">
        <v>20</v>
      </c>
      <c r="L2519" t="s">
        <v>752</v>
      </c>
      <c r="M2519" t="s">
        <v>4500</v>
      </c>
      <c r="N2519" t="s">
        <v>4500</v>
      </c>
      <c r="O2519" t="s">
        <v>23</v>
      </c>
      <c r="P2519" t="s">
        <v>24</v>
      </c>
      <c r="Q2519" t="s">
        <v>712</v>
      </c>
      <c r="R2519" t="s">
        <v>713</v>
      </c>
    </row>
    <row r="2520" spans="1:18" x14ac:dyDescent="0.25">
      <c r="A2520" t="s">
        <v>20933</v>
      </c>
      <c r="B2520" t="s">
        <v>4359</v>
      </c>
      <c r="C2520" t="str">
        <f>HYPERLINK("https://nematode.unl.edu/dibulb1.jpg")</f>
        <v>https://nematode.unl.edu/dibulb1.jpg</v>
      </c>
      <c r="D2520" t="s">
        <v>43</v>
      </c>
      <c r="G2520" t="s">
        <v>44</v>
      </c>
      <c r="I2520" t="s">
        <v>91</v>
      </c>
      <c r="J2520" t="s">
        <v>116</v>
      </c>
      <c r="L2520" t="s">
        <v>105</v>
      </c>
      <c r="M2520" t="s">
        <v>4360</v>
      </c>
      <c r="N2520" t="s">
        <v>4360</v>
      </c>
      <c r="O2520" t="s">
        <v>73</v>
      </c>
      <c r="P2520" t="s">
        <v>81</v>
      </c>
      <c r="Q2520" t="s">
        <v>82</v>
      </c>
      <c r="R2520" t="s">
        <v>4361</v>
      </c>
    </row>
    <row r="2521" spans="1:18" x14ac:dyDescent="0.25">
      <c r="A2521" t="s">
        <v>20936</v>
      </c>
      <c r="B2521" t="s">
        <v>4362</v>
      </c>
      <c r="C2521" t="str">
        <f>HYPERLINK("https://nematode.unl.edu/dibulb10.jpg")</f>
        <v>https://nematode.unl.edu/dibulb10.jpg</v>
      </c>
      <c r="D2521" t="s">
        <v>43</v>
      </c>
      <c r="G2521" t="s">
        <v>51</v>
      </c>
      <c r="I2521" t="s">
        <v>41</v>
      </c>
      <c r="J2521" t="s">
        <v>116</v>
      </c>
      <c r="L2521" t="s">
        <v>105</v>
      </c>
      <c r="M2521" t="s">
        <v>4360</v>
      </c>
      <c r="N2521" t="s">
        <v>4360</v>
      </c>
      <c r="O2521" t="s">
        <v>73</v>
      </c>
      <c r="P2521" t="s">
        <v>81</v>
      </c>
      <c r="Q2521" t="s">
        <v>82</v>
      </c>
      <c r="R2521" t="s">
        <v>4361</v>
      </c>
    </row>
    <row r="2522" spans="1:18" x14ac:dyDescent="0.25">
      <c r="A2522" t="s">
        <v>20928</v>
      </c>
      <c r="B2522" t="s">
        <v>4363</v>
      </c>
      <c r="C2522" t="str">
        <f>HYPERLINK("https://nematode.unl.edu/dibulb2.jpg")</f>
        <v>https://nematode.unl.edu/dibulb2.jpg</v>
      </c>
      <c r="D2522" t="s">
        <v>43</v>
      </c>
      <c r="G2522" t="s">
        <v>34</v>
      </c>
      <c r="H2522" t="s">
        <v>18</v>
      </c>
      <c r="I2522" t="s">
        <v>137</v>
      </c>
      <c r="J2522" t="s">
        <v>116</v>
      </c>
      <c r="L2522" t="s">
        <v>105</v>
      </c>
      <c r="M2522" t="s">
        <v>4360</v>
      </c>
      <c r="N2522" t="s">
        <v>4360</v>
      </c>
      <c r="O2522" t="s">
        <v>73</v>
      </c>
      <c r="P2522" t="s">
        <v>81</v>
      </c>
      <c r="Q2522" t="s">
        <v>82</v>
      </c>
      <c r="R2522" t="s">
        <v>4361</v>
      </c>
    </row>
    <row r="2523" spans="1:18" x14ac:dyDescent="0.25">
      <c r="A2523" t="s">
        <v>20934</v>
      </c>
      <c r="B2523" t="s">
        <v>4364</v>
      </c>
      <c r="C2523" t="str">
        <f>HYPERLINK("https://nematode.unl.edu/dibulb3.jpg")</f>
        <v>https://nematode.unl.edu/dibulb3.jpg</v>
      </c>
      <c r="D2523" t="s">
        <v>43</v>
      </c>
      <c r="G2523" t="s">
        <v>28</v>
      </c>
      <c r="I2523" t="s">
        <v>137</v>
      </c>
      <c r="J2523" t="s">
        <v>116</v>
      </c>
      <c r="L2523" t="s">
        <v>105</v>
      </c>
      <c r="M2523" t="s">
        <v>4360</v>
      </c>
      <c r="N2523" t="s">
        <v>4360</v>
      </c>
      <c r="O2523" t="s">
        <v>73</v>
      </c>
      <c r="P2523" t="s">
        <v>81</v>
      </c>
      <c r="Q2523" t="s">
        <v>82</v>
      </c>
      <c r="R2523" t="s">
        <v>4361</v>
      </c>
    </row>
    <row r="2524" spans="1:18" x14ac:dyDescent="0.25">
      <c r="A2524" t="s">
        <v>20929</v>
      </c>
      <c r="B2524" t="s">
        <v>4365</v>
      </c>
      <c r="C2524" t="str">
        <f>HYPERLINK("https://nematode.unl.edu/dibulb4.jpg")</f>
        <v>https://nematode.unl.edu/dibulb4.jpg</v>
      </c>
      <c r="D2524" t="s">
        <v>43</v>
      </c>
      <c r="G2524" t="s">
        <v>34</v>
      </c>
      <c r="H2524" t="s">
        <v>18</v>
      </c>
      <c r="I2524" t="s">
        <v>19</v>
      </c>
      <c r="J2524" t="s">
        <v>116</v>
      </c>
      <c r="L2524" t="s">
        <v>105</v>
      </c>
      <c r="M2524" t="s">
        <v>4360</v>
      </c>
      <c r="N2524" t="s">
        <v>4360</v>
      </c>
      <c r="O2524" t="s">
        <v>73</v>
      </c>
      <c r="P2524" t="s">
        <v>81</v>
      </c>
      <c r="Q2524" t="s">
        <v>82</v>
      </c>
      <c r="R2524" t="s">
        <v>4361</v>
      </c>
    </row>
    <row r="2525" spans="1:18" x14ac:dyDescent="0.25">
      <c r="A2525" t="s">
        <v>20931</v>
      </c>
      <c r="B2525" t="s">
        <v>4366</v>
      </c>
      <c r="C2525" t="str">
        <f>HYPERLINK("https://nematode.unl.edu/dibulb5.jpg")</f>
        <v>https://nematode.unl.edu/dibulb5.jpg</v>
      </c>
      <c r="D2525" t="s">
        <v>43</v>
      </c>
      <c r="G2525" t="s">
        <v>87</v>
      </c>
      <c r="I2525" t="s">
        <v>19</v>
      </c>
      <c r="J2525" t="s">
        <v>116</v>
      </c>
      <c r="L2525" t="s">
        <v>105</v>
      </c>
      <c r="M2525" t="s">
        <v>4360</v>
      </c>
      <c r="N2525" t="s">
        <v>4360</v>
      </c>
      <c r="O2525" t="s">
        <v>73</v>
      </c>
      <c r="P2525" t="s">
        <v>81</v>
      </c>
      <c r="Q2525" t="s">
        <v>82</v>
      </c>
      <c r="R2525" t="s">
        <v>4361</v>
      </c>
    </row>
    <row r="2526" spans="1:18" x14ac:dyDescent="0.25">
      <c r="A2526" t="s">
        <v>20937</v>
      </c>
      <c r="B2526" t="s">
        <v>4367</v>
      </c>
      <c r="C2526" t="str">
        <f>HYPERLINK("https://nematode.unl.edu/dibulb6.jpg")</f>
        <v>https://nematode.unl.edu/dibulb6.jpg</v>
      </c>
      <c r="D2526" t="s">
        <v>43</v>
      </c>
      <c r="G2526" t="s">
        <v>51</v>
      </c>
      <c r="I2526" t="s">
        <v>19</v>
      </c>
      <c r="J2526" t="s">
        <v>116</v>
      </c>
      <c r="L2526" t="s">
        <v>105</v>
      </c>
      <c r="M2526" t="s">
        <v>4360</v>
      </c>
      <c r="N2526" t="s">
        <v>4360</v>
      </c>
      <c r="O2526" t="s">
        <v>73</v>
      </c>
      <c r="P2526" t="s">
        <v>81</v>
      </c>
      <c r="Q2526" t="s">
        <v>82</v>
      </c>
      <c r="R2526" t="s">
        <v>4361</v>
      </c>
    </row>
    <row r="2527" spans="1:18" x14ac:dyDescent="0.25">
      <c r="A2527" t="s">
        <v>20935</v>
      </c>
      <c r="B2527" t="s">
        <v>4368</v>
      </c>
      <c r="C2527" t="str">
        <f>HYPERLINK("https://nematode.unl.edu/dibulb7.jpg")</f>
        <v>https://nematode.unl.edu/dibulb7.jpg</v>
      </c>
      <c r="D2527" t="s">
        <v>43</v>
      </c>
      <c r="G2527" t="s">
        <v>28</v>
      </c>
      <c r="I2527" t="s">
        <v>19</v>
      </c>
      <c r="J2527" t="s">
        <v>116</v>
      </c>
      <c r="L2527" t="s">
        <v>105</v>
      </c>
      <c r="M2527" t="s">
        <v>4360</v>
      </c>
      <c r="N2527" t="s">
        <v>4360</v>
      </c>
      <c r="O2527" t="s">
        <v>73</v>
      </c>
      <c r="P2527" t="s">
        <v>81</v>
      </c>
      <c r="Q2527" t="s">
        <v>82</v>
      </c>
      <c r="R2527" t="s">
        <v>4361</v>
      </c>
    </row>
    <row r="2528" spans="1:18" x14ac:dyDescent="0.25">
      <c r="A2528" t="s">
        <v>20930</v>
      </c>
      <c r="B2528" t="s">
        <v>4369</v>
      </c>
      <c r="C2528" t="str">
        <f>HYPERLINK("https://nematode.unl.edu/dibulb8.jpg")</f>
        <v>https://nematode.unl.edu/dibulb8.jpg</v>
      </c>
      <c r="D2528" t="s">
        <v>43</v>
      </c>
      <c r="G2528" t="s">
        <v>34</v>
      </c>
      <c r="H2528" t="s">
        <v>18</v>
      </c>
      <c r="I2528" t="s">
        <v>41</v>
      </c>
      <c r="J2528" t="s">
        <v>116</v>
      </c>
      <c r="L2528" t="s">
        <v>105</v>
      </c>
      <c r="M2528" t="s">
        <v>4360</v>
      </c>
      <c r="N2528" t="s">
        <v>4360</v>
      </c>
      <c r="O2528" t="s">
        <v>73</v>
      </c>
      <c r="P2528" t="s">
        <v>81</v>
      </c>
      <c r="Q2528" t="s">
        <v>82</v>
      </c>
      <c r="R2528" t="s">
        <v>4361</v>
      </c>
    </row>
    <row r="2529" spans="1:18" x14ac:dyDescent="0.25">
      <c r="A2529" t="s">
        <v>20932</v>
      </c>
      <c r="B2529" t="s">
        <v>4370</v>
      </c>
      <c r="C2529" t="str">
        <f>HYPERLINK("https://nematode.unl.edu/dibulb9.jpg")</f>
        <v>https://nematode.unl.edu/dibulb9.jpg</v>
      </c>
      <c r="D2529" t="s">
        <v>43</v>
      </c>
      <c r="G2529" t="s">
        <v>87</v>
      </c>
      <c r="I2529" t="s">
        <v>41</v>
      </c>
      <c r="J2529" t="s">
        <v>116</v>
      </c>
      <c r="L2529" t="s">
        <v>105</v>
      </c>
      <c r="M2529" t="s">
        <v>4360</v>
      </c>
      <c r="N2529" t="s">
        <v>4360</v>
      </c>
      <c r="O2529" t="s">
        <v>73</v>
      </c>
      <c r="P2529" t="s">
        <v>81</v>
      </c>
      <c r="Q2529" t="s">
        <v>82</v>
      </c>
      <c r="R2529" t="s">
        <v>4361</v>
      </c>
    </row>
    <row r="2530" spans="1:18" x14ac:dyDescent="0.25">
      <c r="A2530" t="s">
        <v>12798</v>
      </c>
      <c r="B2530" t="s">
        <v>4501</v>
      </c>
      <c r="C2530" t="str">
        <f>HYPERLINK("https://nematode.unl.edu/dicaud1.jpg")</f>
        <v>https://nematode.unl.edu/dicaud1.jpg</v>
      </c>
      <c r="D2530" t="s">
        <v>43</v>
      </c>
      <c r="G2530" t="s">
        <v>44</v>
      </c>
      <c r="I2530" t="s">
        <v>45</v>
      </c>
      <c r="J2530" t="s">
        <v>20</v>
      </c>
      <c r="L2530" t="s">
        <v>4502</v>
      </c>
      <c r="M2530" t="s">
        <v>4503</v>
      </c>
      <c r="N2530" t="s">
        <v>4503</v>
      </c>
      <c r="O2530" t="s">
        <v>23</v>
      </c>
      <c r="P2530" t="s">
        <v>24</v>
      </c>
      <c r="Q2530" t="s">
        <v>712</v>
      </c>
      <c r="R2530" t="s">
        <v>713</v>
      </c>
    </row>
    <row r="2531" spans="1:18" x14ac:dyDescent="0.25">
      <c r="A2531" t="s">
        <v>12795</v>
      </c>
      <c r="B2531" t="s">
        <v>4504</v>
      </c>
      <c r="C2531" t="str">
        <f>HYPERLINK("https://nematode.unl.edu/dicaud2.jpg")</f>
        <v>https://nematode.unl.edu/dicaud2.jpg</v>
      </c>
      <c r="D2531" t="s">
        <v>43</v>
      </c>
      <c r="G2531" t="s">
        <v>96</v>
      </c>
      <c r="H2531" t="s">
        <v>18</v>
      </c>
      <c r="I2531" t="s">
        <v>19</v>
      </c>
      <c r="J2531" t="s">
        <v>20</v>
      </c>
      <c r="L2531" t="s">
        <v>4502</v>
      </c>
      <c r="M2531" t="s">
        <v>4503</v>
      </c>
      <c r="N2531" t="s">
        <v>4503</v>
      </c>
      <c r="O2531" t="s">
        <v>23</v>
      </c>
      <c r="P2531" t="s">
        <v>24</v>
      </c>
      <c r="Q2531" t="s">
        <v>712</v>
      </c>
      <c r="R2531" t="s">
        <v>713</v>
      </c>
    </row>
    <row r="2532" spans="1:18" x14ac:dyDescent="0.25">
      <c r="A2532" t="s">
        <v>12801</v>
      </c>
      <c r="B2532" t="s">
        <v>4505</v>
      </c>
      <c r="C2532" t="str">
        <f>HYPERLINK("https://nematode.unl.edu/dicaud3.jpg")</f>
        <v>https://nematode.unl.edu/dicaud3.jpg</v>
      </c>
      <c r="D2532" t="s">
        <v>43</v>
      </c>
      <c r="G2532" t="s">
        <v>51</v>
      </c>
      <c r="I2532" t="s">
        <v>19</v>
      </c>
      <c r="J2532" t="s">
        <v>20</v>
      </c>
      <c r="L2532" t="s">
        <v>4502</v>
      </c>
      <c r="M2532" t="s">
        <v>4503</v>
      </c>
      <c r="N2532" t="s">
        <v>4503</v>
      </c>
      <c r="O2532" t="s">
        <v>23</v>
      </c>
      <c r="P2532" t="s">
        <v>24</v>
      </c>
      <c r="Q2532" t="s">
        <v>712</v>
      </c>
      <c r="R2532" t="s">
        <v>713</v>
      </c>
    </row>
    <row r="2533" spans="1:18" x14ac:dyDescent="0.25">
      <c r="A2533" t="s">
        <v>12796</v>
      </c>
      <c r="B2533" t="s">
        <v>4506</v>
      </c>
      <c r="C2533" t="str">
        <f>HYPERLINK("https://nematode.unl.edu/dicaud4.jpg")</f>
        <v>https://nematode.unl.edu/dicaud4.jpg</v>
      </c>
      <c r="D2533" t="s">
        <v>43</v>
      </c>
      <c r="G2533" t="s">
        <v>34</v>
      </c>
      <c r="H2533" t="s">
        <v>18</v>
      </c>
      <c r="I2533" t="s">
        <v>41</v>
      </c>
      <c r="J2533" t="s">
        <v>20</v>
      </c>
      <c r="L2533" t="s">
        <v>4502</v>
      </c>
      <c r="M2533" t="s">
        <v>4503</v>
      </c>
      <c r="N2533" t="s">
        <v>4503</v>
      </c>
      <c r="O2533" t="s">
        <v>23</v>
      </c>
      <c r="P2533" t="s">
        <v>24</v>
      </c>
      <c r="Q2533" t="s">
        <v>712</v>
      </c>
      <c r="R2533" t="s">
        <v>713</v>
      </c>
    </row>
    <row r="2534" spans="1:18" x14ac:dyDescent="0.25">
      <c r="A2534" t="s">
        <v>12799</v>
      </c>
      <c r="B2534" t="s">
        <v>4507</v>
      </c>
      <c r="C2534" t="str">
        <f>HYPERLINK("https://nematode.unl.edu/dicaud5.jpg")</f>
        <v>https://nematode.unl.edu/dicaud5.jpg</v>
      </c>
      <c r="D2534" t="s">
        <v>43</v>
      </c>
      <c r="G2534" t="s">
        <v>414</v>
      </c>
      <c r="I2534" t="s">
        <v>41</v>
      </c>
      <c r="J2534" t="s">
        <v>20</v>
      </c>
      <c r="L2534" t="s">
        <v>4502</v>
      </c>
      <c r="M2534" t="s">
        <v>4503</v>
      </c>
      <c r="N2534" t="s">
        <v>4503</v>
      </c>
      <c r="O2534" t="s">
        <v>23</v>
      </c>
      <c r="P2534" t="s">
        <v>24</v>
      </c>
      <c r="Q2534" t="s">
        <v>712</v>
      </c>
      <c r="R2534" t="s">
        <v>713</v>
      </c>
    </row>
    <row r="2535" spans="1:18" x14ac:dyDescent="0.25">
      <c r="A2535" t="s">
        <v>12797</v>
      </c>
      <c r="B2535" t="s">
        <v>4508</v>
      </c>
      <c r="C2535" t="str">
        <f>HYPERLINK("https://nematode.unl.edu/dicaud6.jpg")</f>
        <v>https://nematode.unl.edu/dicaud6.jpg</v>
      </c>
      <c r="D2535" t="s">
        <v>43</v>
      </c>
      <c r="G2535" t="s">
        <v>384</v>
      </c>
      <c r="I2535" t="s">
        <v>41</v>
      </c>
      <c r="J2535" t="s">
        <v>20</v>
      </c>
      <c r="L2535" t="s">
        <v>4502</v>
      </c>
      <c r="M2535" t="s">
        <v>4503</v>
      </c>
      <c r="N2535" t="s">
        <v>4503</v>
      </c>
      <c r="O2535" t="s">
        <v>23</v>
      </c>
      <c r="P2535" t="s">
        <v>24</v>
      </c>
      <c r="Q2535" t="s">
        <v>712</v>
      </c>
      <c r="R2535" t="s">
        <v>713</v>
      </c>
    </row>
    <row r="2536" spans="1:18" x14ac:dyDescent="0.25">
      <c r="A2536" t="s">
        <v>12800</v>
      </c>
      <c r="B2536" t="s">
        <v>4509</v>
      </c>
      <c r="C2536" t="str">
        <f>HYPERLINK("https://nematode.unl.edu/dicaud7.jpg")</f>
        <v>https://nematode.unl.edu/dicaud7.jpg</v>
      </c>
      <c r="D2536" t="s">
        <v>43</v>
      </c>
      <c r="G2536" t="s">
        <v>4510</v>
      </c>
      <c r="I2536" t="s">
        <v>41</v>
      </c>
      <c r="J2536" t="s">
        <v>20</v>
      </c>
      <c r="L2536" t="s">
        <v>4502</v>
      </c>
      <c r="M2536" t="s">
        <v>4503</v>
      </c>
      <c r="N2536" t="s">
        <v>4503</v>
      </c>
      <c r="O2536" t="s">
        <v>23</v>
      </c>
      <c r="P2536" t="s">
        <v>24</v>
      </c>
      <c r="Q2536" t="s">
        <v>712</v>
      </c>
      <c r="R2536" t="s">
        <v>713</v>
      </c>
    </row>
    <row r="2537" spans="1:18" x14ac:dyDescent="0.25">
      <c r="A2537" t="s">
        <v>12843</v>
      </c>
      <c r="B2537" t="s">
        <v>4542</v>
      </c>
      <c r="C2537" t="str">
        <f>HYPERLINK("https://nematode.unl.edu/didest1.jpg")</f>
        <v>https://nematode.unl.edu/didest1.jpg</v>
      </c>
      <c r="D2537" t="s">
        <v>43</v>
      </c>
      <c r="G2537" t="s">
        <v>44</v>
      </c>
      <c r="I2537" t="s">
        <v>45</v>
      </c>
      <c r="J2537" t="s">
        <v>4543</v>
      </c>
      <c r="L2537" t="s">
        <v>4481</v>
      </c>
      <c r="M2537" t="s">
        <v>4544</v>
      </c>
      <c r="N2537" t="s">
        <v>4544</v>
      </c>
      <c r="O2537" t="s">
        <v>23</v>
      </c>
      <c r="P2537" t="s">
        <v>24</v>
      </c>
      <c r="Q2537" t="s">
        <v>712</v>
      </c>
      <c r="R2537" t="s">
        <v>713</v>
      </c>
    </row>
    <row r="2538" spans="1:18" x14ac:dyDescent="0.25">
      <c r="A2538" t="s">
        <v>12858</v>
      </c>
      <c r="B2538" t="s">
        <v>4545</v>
      </c>
      <c r="C2538" t="str">
        <f>HYPERLINK("https://nematode.unl.edu/didest10.jpg")</f>
        <v>https://nematode.unl.edu/didest10.jpg</v>
      </c>
      <c r="D2538" t="s">
        <v>77</v>
      </c>
      <c r="G2538" t="s">
        <v>28</v>
      </c>
      <c r="I2538" t="s">
        <v>41</v>
      </c>
      <c r="J2538" t="s">
        <v>4543</v>
      </c>
      <c r="L2538" t="s">
        <v>4481</v>
      </c>
      <c r="M2538" t="s">
        <v>4544</v>
      </c>
      <c r="N2538" t="s">
        <v>4544</v>
      </c>
      <c r="O2538" t="s">
        <v>23</v>
      </c>
      <c r="P2538" t="s">
        <v>24</v>
      </c>
      <c r="Q2538" t="s">
        <v>712</v>
      </c>
      <c r="R2538" t="s">
        <v>713</v>
      </c>
    </row>
    <row r="2539" spans="1:18" x14ac:dyDescent="0.25">
      <c r="A2539" t="s">
        <v>12847</v>
      </c>
      <c r="B2539" t="s">
        <v>4546</v>
      </c>
      <c r="C2539" t="str">
        <f>HYPERLINK("https://nematode.unl.edu/didest11.jpg")</f>
        <v>https://nematode.unl.edu/didest11.jpg</v>
      </c>
      <c r="D2539" t="s">
        <v>77</v>
      </c>
      <c r="G2539" t="s">
        <v>4547</v>
      </c>
      <c r="I2539" t="s">
        <v>41</v>
      </c>
      <c r="J2539" t="s">
        <v>4543</v>
      </c>
      <c r="L2539" t="s">
        <v>4481</v>
      </c>
      <c r="M2539" t="s">
        <v>4544</v>
      </c>
      <c r="N2539" t="s">
        <v>4544</v>
      </c>
      <c r="O2539" t="s">
        <v>23</v>
      </c>
      <c r="P2539" t="s">
        <v>24</v>
      </c>
      <c r="Q2539" t="s">
        <v>712</v>
      </c>
      <c r="R2539" t="s">
        <v>713</v>
      </c>
    </row>
    <row r="2540" spans="1:18" x14ac:dyDescent="0.25">
      <c r="A2540" t="s">
        <v>12839</v>
      </c>
      <c r="B2540" t="s">
        <v>4548</v>
      </c>
      <c r="C2540" t="str">
        <f>HYPERLINK("https://nematode.unl.edu/didest12.jpg")</f>
        <v>https://nematode.unl.edu/didest12.jpg</v>
      </c>
      <c r="D2540" t="s">
        <v>77</v>
      </c>
      <c r="G2540" t="s">
        <v>34</v>
      </c>
      <c r="H2540" t="s">
        <v>18</v>
      </c>
      <c r="I2540" t="s">
        <v>19</v>
      </c>
      <c r="J2540" t="s">
        <v>4543</v>
      </c>
      <c r="L2540" t="s">
        <v>4481</v>
      </c>
      <c r="M2540" t="s">
        <v>4544</v>
      </c>
      <c r="N2540" t="s">
        <v>4544</v>
      </c>
      <c r="O2540" t="s">
        <v>23</v>
      </c>
      <c r="P2540" t="s">
        <v>24</v>
      </c>
      <c r="Q2540" t="s">
        <v>712</v>
      </c>
      <c r="R2540" t="s">
        <v>713</v>
      </c>
    </row>
    <row r="2541" spans="1:18" x14ac:dyDescent="0.25">
      <c r="A2541" t="s">
        <v>12848</v>
      </c>
      <c r="B2541" t="s">
        <v>4549</v>
      </c>
      <c r="C2541" t="str">
        <f>HYPERLINK("https://nematode.unl.edu/didest13.jpg")</f>
        <v>https://nematode.unl.edu/didest13.jpg</v>
      </c>
      <c r="D2541" t="s">
        <v>77</v>
      </c>
      <c r="G2541" t="s">
        <v>4550</v>
      </c>
      <c r="I2541" t="s">
        <v>41</v>
      </c>
      <c r="J2541" t="s">
        <v>4543</v>
      </c>
      <c r="L2541" t="s">
        <v>4481</v>
      </c>
      <c r="M2541" t="s">
        <v>4544</v>
      </c>
      <c r="N2541" t="s">
        <v>4544</v>
      </c>
      <c r="O2541" t="s">
        <v>23</v>
      </c>
      <c r="P2541" t="s">
        <v>24</v>
      </c>
      <c r="Q2541" t="s">
        <v>712</v>
      </c>
      <c r="R2541" t="s">
        <v>713</v>
      </c>
    </row>
    <row r="2542" spans="1:18" x14ac:dyDescent="0.25">
      <c r="A2542" t="s">
        <v>12851</v>
      </c>
      <c r="B2542" t="s">
        <v>4551</v>
      </c>
      <c r="C2542" t="str">
        <f>HYPERLINK("https://nematode.unl.edu/didest14.jpg")</f>
        <v>https://nematode.unl.edu/didest14.jpg</v>
      </c>
      <c r="D2542" t="s">
        <v>77</v>
      </c>
      <c r="G2542" t="s">
        <v>53</v>
      </c>
      <c r="I2542" t="s">
        <v>41</v>
      </c>
      <c r="J2542" t="s">
        <v>4543</v>
      </c>
      <c r="L2542" t="s">
        <v>4481</v>
      </c>
      <c r="M2542" t="s">
        <v>4544</v>
      </c>
      <c r="N2542" t="s">
        <v>4544</v>
      </c>
      <c r="O2542" t="s">
        <v>23</v>
      </c>
      <c r="P2542" t="s">
        <v>24</v>
      </c>
      <c r="Q2542" t="s">
        <v>712</v>
      </c>
      <c r="R2542" t="s">
        <v>713</v>
      </c>
    </row>
    <row r="2543" spans="1:18" x14ac:dyDescent="0.25">
      <c r="A2543" t="s">
        <v>12831</v>
      </c>
      <c r="B2543" t="s">
        <v>4552</v>
      </c>
      <c r="C2543" t="str">
        <f>HYPERLINK("https://nematode.unl.edu/didest15.jpg")</f>
        <v>https://nematode.unl.edu/didest15.jpg</v>
      </c>
      <c r="D2543" t="s">
        <v>77</v>
      </c>
      <c r="G2543" t="s">
        <v>96</v>
      </c>
      <c r="H2543" t="s">
        <v>18</v>
      </c>
      <c r="I2543" t="s">
        <v>41</v>
      </c>
      <c r="J2543" t="s">
        <v>4543</v>
      </c>
      <c r="L2543" t="s">
        <v>4481</v>
      </c>
      <c r="M2543" t="s">
        <v>4544</v>
      </c>
      <c r="N2543" t="s">
        <v>4544</v>
      </c>
      <c r="O2543" t="s">
        <v>23</v>
      </c>
      <c r="P2543" t="s">
        <v>24</v>
      </c>
      <c r="Q2543" t="s">
        <v>712</v>
      </c>
      <c r="R2543" t="s">
        <v>713</v>
      </c>
    </row>
    <row r="2544" spans="1:18" x14ac:dyDescent="0.25">
      <c r="A2544" t="s">
        <v>12832</v>
      </c>
      <c r="B2544" t="s">
        <v>4553</v>
      </c>
      <c r="C2544" t="str">
        <f>HYPERLINK("https://nematode.unl.edu/didest16.jpg")</f>
        <v>https://nematode.unl.edu/didest16.jpg</v>
      </c>
      <c r="D2544" t="s">
        <v>77</v>
      </c>
      <c r="G2544" t="s">
        <v>96</v>
      </c>
      <c r="H2544" t="s">
        <v>18</v>
      </c>
      <c r="I2544" t="s">
        <v>19</v>
      </c>
      <c r="J2544" t="s">
        <v>4543</v>
      </c>
      <c r="L2544" t="s">
        <v>4481</v>
      </c>
      <c r="M2544" t="s">
        <v>4544</v>
      </c>
      <c r="N2544" t="s">
        <v>4544</v>
      </c>
      <c r="O2544" t="s">
        <v>23</v>
      </c>
      <c r="P2544" t="s">
        <v>24</v>
      </c>
      <c r="Q2544" t="s">
        <v>712</v>
      </c>
      <c r="R2544" t="s">
        <v>713</v>
      </c>
    </row>
    <row r="2545" spans="1:18" x14ac:dyDescent="0.25">
      <c r="A2545" t="s">
        <v>12856</v>
      </c>
      <c r="B2545" t="s">
        <v>4554</v>
      </c>
      <c r="C2545" t="str">
        <f>HYPERLINK("https://nematode.unl.edu/didest17.jpg")</f>
        <v>https://nematode.unl.edu/didest17.jpg</v>
      </c>
      <c r="D2545" t="s">
        <v>43</v>
      </c>
      <c r="G2545" t="s">
        <v>4555</v>
      </c>
      <c r="I2545" t="s">
        <v>41</v>
      </c>
      <c r="J2545" t="s">
        <v>4543</v>
      </c>
      <c r="L2545" t="s">
        <v>4481</v>
      </c>
      <c r="M2545" t="s">
        <v>4544</v>
      </c>
      <c r="N2545" t="s">
        <v>4544</v>
      </c>
      <c r="O2545" t="s">
        <v>23</v>
      </c>
      <c r="P2545" t="s">
        <v>24</v>
      </c>
      <c r="Q2545" t="s">
        <v>712</v>
      </c>
      <c r="R2545" t="s">
        <v>713</v>
      </c>
    </row>
    <row r="2546" spans="1:18" x14ac:dyDescent="0.25">
      <c r="A2546" t="s">
        <v>12844</v>
      </c>
      <c r="B2546" t="s">
        <v>4556</v>
      </c>
      <c r="C2546" t="str">
        <f>HYPERLINK("https://nematode.unl.edu/didest18.jpg")</f>
        <v>https://nematode.unl.edu/didest18.jpg</v>
      </c>
      <c r="D2546" t="s">
        <v>16</v>
      </c>
      <c r="G2546" t="s">
        <v>44</v>
      </c>
      <c r="I2546" t="s">
        <v>137</v>
      </c>
      <c r="J2546" t="s">
        <v>4543</v>
      </c>
      <c r="L2546" t="s">
        <v>4481</v>
      </c>
      <c r="M2546" t="s">
        <v>4544</v>
      </c>
      <c r="N2546" t="s">
        <v>4544</v>
      </c>
      <c r="O2546" t="s">
        <v>23</v>
      </c>
      <c r="P2546" t="s">
        <v>24</v>
      </c>
      <c r="Q2546" t="s">
        <v>712</v>
      </c>
      <c r="R2546" t="s">
        <v>713</v>
      </c>
    </row>
    <row r="2547" spans="1:18" x14ac:dyDescent="0.25">
      <c r="A2547" t="s">
        <v>12833</v>
      </c>
      <c r="B2547" t="s">
        <v>4557</v>
      </c>
      <c r="C2547" t="str">
        <f>HYPERLINK("https://nematode.unl.edu/didest2.jpg")</f>
        <v>https://nematode.unl.edu/didest2.jpg</v>
      </c>
      <c r="D2547" t="s">
        <v>43</v>
      </c>
      <c r="G2547" t="s">
        <v>96</v>
      </c>
      <c r="H2547" t="s">
        <v>18</v>
      </c>
      <c r="I2547" t="s">
        <v>41</v>
      </c>
      <c r="J2547" t="s">
        <v>4543</v>
      </c>
      <c r="L2547" t="s">
        <v>4481</v>
      </c>
      <c r="M2547" t="s">
        <v>4544</v>
      </c>
      <c r="N2547" t="s">
        <v>4544</v>
      </c>
      <c r="O2547" t="s">
        <v>23</v>
      </c>
      <c r="P2547" t="s">
        <v>24</v>
      </c>
      <c r="Q2547" t="s">
        <v>712</v>
      </c>
      <c r="R2547" t="s">
        <v>713</v>
      </c>
    </row>
    <row r="2548" spans="1:18" x14ac:dyDescent="0.25">
      <c r="A2548" t="s">
        <v>12845</v>
      </c>
      <c r="B2548" t="s">
        <v>4558</v>
      </c>
      <c r="C2548" t="str">
        <f>HYPERLINK("https://nematode.unl.edu/didest20.jpg")</f>
        <v>https://nematode.unl.edu/didest20.jpg</v>
      </c>
      <c r="D2548" t="s">
        <v>77</v>
      </c>
      <c r="G2548" t="s">
        <v>44</v>
      </c>
      <c r="I2548" t="s">
        <v>45</v>
      </c>
      <c r="J2548" t="s">
        <v>4543</v>
      </c>
      <c r="L2548" t="s">
        <v>4481</v>
      </c>
      <c r="M2548" t="s">
        <v>4544</v>
      </c>
      <c r="N2548" t="s">
        <v>4544</v>
      </c>
      <c r="O2548" t="s">
        <v>23</v>
      </c>
      <c r="P2548" t="s">
        <v>24</v>
      </c>
      <c r="Q2548" t="s">
        <v>712</v>
      </c>
      <c r="R2548" t="s">
        <v>713</v>
      </c>
    </row>
    <row r="2549" spans="1:18" x14ac:dyDescent="0.25">
      <c r="A2549" t="s">
        <v>12846</v>
      </c>
      <c r="B2549" t="s">
        <v>4559</v>
      </c>
      <c r="C2549" t="str">
        <f>HYPERLINK("https://nematode.unl.edu/didest21.jpg")</f>
        <v>https://nematode.unl.edu/didest21.jpg</v>
      </c>
      <c r="D2549" t="s">
        <v>77</v>
      </c>
      <c r="G2549" t="s">
        <v>44</v>
      </c>
      <c r="I2549" t="s">
        <v>137</v>
      </c>
      <c r="J2549" t="s">
        <v>4543</v>
      </c>
      <c r="L2549" t="s">
        <v>4481</v>
      </c>
      <c r="M2549" t="s">
        <v>4544</v>
      </c>
      <c r="N2549" t="s">
        <v>4544</v>
      </c>
      <c r="O2549" t="s">
        <v>23</v>
      </c>
      <c r="P2549" t="s">
        <v>24</v>
      </c>
      <c r="Q2549" t="s">
        <v>712</v>
      </c>
      <c r="R2549" t="s">
        <v>713</v>
      </c>
    </row>
    <row r="2550" spans="1:18" x14ac:dyDescent="0.25">
      <c r="A2550" t="s">
        <v>12834</v>
      </c>
      <c r="B2550" t="s">
        <v>4560</v>
      </c>
      <c r="C2550" t="str">
        <f>HYPERLINK("https://nematode.unl.edu/didest22.jpg")</f>
        <v>https://nematode.unl.edu/didest22.jpg</v>
      </c>
      <c r="D2550" t="s">
        <v>77</v>
      </c>
      <c r="G2550" t="s">
        <v>96</v>
      </c>
      <c r="H2550" t="s">
        <v>18</v>
      </c>
      <c r="I2550" t="s">
        <v>19</v>
      </c>
      <c r="J2550" t="s">
        <v>4543</v>
      </c>
      <c r="L2550" t="s">
        <v>4481</v>
      </c>
      <c r="M2550" t="s">
        <v>4544</v>
      </c>
      <c r="N2550" t="s">
        <v>4544</v>
      </c>
      <c r="O2550" t="s">
        <v>23</v>
      </c>
      <c r="P2550" t="s">
        <v>24</v>
      </c>
      <c r="Q2550" t="s">
        <v>712</v>
      </c>
      <c r="R2550" t="s">
        <v>713</v>
      </c>
    </row>
    <row r="2551" spans="1:18" x14ac:dyDescent="0.25">
      <c r="A2551" t="s">
        <v>12859</v>
      </c>
      <c r="B2551" t="s">
        <v>4561</v>
      </c>
      <c r="C2551" t="str">
        <f>HYPERLINK("https://nematode.unl.edu/didest23.jpg")</f>
        <v>https://nematode.unl.edu/didest23.jpg</v>
      </c>
      <c r="D2551" t="s">
        <v>77</v>
      </c>
      <c r="G2551" t="s">
        <v>28</v>
      </c>
      <c r="I2551" t="s">
        <v>19</v>
      </c>
      <c r="J2551" t="s">
        <v>4543</v>
      </c>
      <c r="L2551" t="s">
        <v>4481</v>
      </c>
      <c r="M2551" t="s">
        <v>4544</v>
      </c>
      <c r="N2551" t="s">
        <v>4544</v>
      </c>
      <c r="O2551" t="s">
        <v>23</v>
      </c>
      <c r="P2551" t="s">
        <v>24</v>
      </c>
      <c r="Q2551" t="s">
        <v>712</v>
      </c>
      <c r="R2551" t="s">
        <v>713</v>
      </c>
    </row>
    <row r="2552" spans="1:18" x14ac:dyDescent="0.25">
      <c r="A2552" t="s">
        <v>12835</v>
      </c>
      <c r="B2552" t="s">
        <v>4562</v>
      </c>
      <c r="C2552" t="str">
        <f>HYPERLINK("https://nematode.unl.edu/didest24.jpg")</f>
        <v>https://nematode.unl.edu/didest24.jpg</v>
      </c>
      <c r="D2552" t="s">
        <v>77</v>
      </c>
      <c r="G2552" t="s">
        <v>96</v>
      </c>
      <c r="H2552" t="s">
        <v>18</v>
      </c>
      <c r="I2552" t="s">
        <v>41</v>
      </c>
      <c r="J2552" t="s">
        <v>4543</v>
      </c>
      <c r="L2552" t="s">
        <v>4481</v>
      </c>
      <c r="M2552" t="s">
        <v>4544</v>
      </c>
      <c r="N2552" t="s">
        <v>4544</v>
      </c>
      <c r="O2552" t="s">
        <v>23</v>
      </c>
      <c r="P2552" t="s">
        <v>24</v>
      </c>
      <c r="Q2552" t="s">
        <v>712</v>
      </c>
      <c r="R2552" t="s">
        <v>713</v>
      </c>
    </row>
    <row r="2553" spans="1:18" x14ac:dyDescent="0.25">
      <c r="A2553" t="s">
        <v>12852</v>
      </c>
      <c r="B2553" t="s">
        <v>4563</v>
      </c>
      <c r="C2553" t="str">
        <f>HYPERLINK("https://nematode.unl.edu/didest25.jpg")</f>
        <v>https://nematode.unl.edu/didest25.jpg</v>
      </c>
      <c r="D2553" t="s">
        <v>77</v>
      </c>
      <c r="G2553" t="s">
        <v>53</v>
      </c>
      <c r="I2553" t="s">
        <v>41</v>
      </c>
      <c r="J2553" t="s">
        <v>4543</v>
      </c>
      <c r="L2553" t="s">
        <v>4481</v>
      </c>
      <c r="M2553" t="s">
        <v>4544</v>
      </c>
      <c r="N2553" t="s">
        <v>4544</v>
      </c>
      <c r="O2553" t="s">
        <v>23</v>
      </c>
      <c r="P2553" t="s">
        <v>24</v>
      </c>
      <c r="Q2553" t="s">
        <v>712</v>
      </c>
      <c r="R2553" t="s">
        <v>713</v>
      </c>
    </row>
    <row r="2554" spans="1:18" x14ac:dyDescent="0.25">
      <c r="A2554" t="s">
        <v>12853</v>
      </c>
      <c r="B2554" t="s">
        <v>4564</v>
      </c>
      <c r="C2554" t="str">
        <f>HYPERLINK("https://nematode.unl.edu/didest26.jpg")</f>
        <v>https://nematode.unl.edu/didest26.jpg</v>
      </c>
      <c r="D2554" t="s">
        <v>77</v>
      </c>
      <c r="G2554" t="s">
        <v>53</v>
      </c>
      <c r="I2554" t="s">
        <v>41</v>
      </c>
      <c r="J2554" t="s">
        <v>4543</v>
      </c>
      <c r="L2554" t="s">
        <v>4481</v>
      </c>
      <c r="M2554" t="s">
        <v>4544</v>
      </c>
      <c r="N2554" t="s">
        <v>4544</v>
      </c>
      <c r="O2554" t="s">
        <v>23</v>
      </c>
      <c r="P2554" t="s">
        <v>24</v>
      </c>
      <c r="Q2554" t="s">
        <v>712</v>
      </c>
      <c r="R2554" t="s">
        <v>713</v>
      </c>
    </row>
    <row r="2555" spans="1:18" x14ac:dyDescent="0.25">
      <c r="A2555" t="s">
        <v>12836</v>
      </c>
      <c r="B2555" t="s">
        <v>4565</v>
      </c>
      <c r="C2555" t="str">
        <f>HYPERLINK("https://nematode.unl.edu/didest27.jpg")</f>
        <v>https://nematode.unl.edu/didest27.jpg</v>
      </c>
      <c r="D2555" t="s">
        <v>16</v>
      </c>
      <c r="G2555" t="s">
        <v>96</v>
      </c>
      <c r="H2555" t="s">
        <v>18</v>
      </c>
      <c r="I2555" t="s">
        <v>19</v>
      </c>
      <c r="J2555" t="s">
        <v>4543</v>
      </c>
      <c r="L2555" t="s">
        <v>4481</v>
      </c>
      <c r="M2555" t="s">
        <v>4544</v>
      </c>
      <c r="N2555" t="s">
        <v>4544</v>
      </c>
      <c r="O2555" t="s">
        <v>23</v>
      </c>
      <c r="P2555" t="s">
        <v>24</v>
      </c>
      <c r="Q2555" t="s">
        <v>712</v>
      </c>
      <c r="R2555" t="s">
        <v>713</v>
      </c>
    </row>
    <row r="2556" spans="1:18" x14ac:dyDescent="0.25">
      <c r="A2556" t="s">
        <v>12855</v>
      </c>
      <c r="B2556" t="s">
        <v>4566</v>
      </c>
      <c r="C2556" t="str">
        <f>HYPERLINK("https://nematode.unl.edu/didest28.jpg")</f>
        <v>https://nematode.unl.edu/didest28.jpg</v>
      </c>
      <c r="D2556" t="s">
        <v>16</v>
      </c>
      <c r="G2556" t="s">
        <v>181</v>
      </c>
      <c r="I2556" t="s">
        <v>19</v>
      </c>
      <c r="J2556" t="s">
        <v>4543</v>
      </c>
      <c r="L2556" t="s">
        <v>4481</v>
      </c>
      <c r="M2556" t="s">
        <v>4544</v>
      </c>
      <c r="N2556" t="s">
        <v>4544</v>
      </c>
      <c r="O2556" t="s">
        <v>23</v>
      </c>
      <c r="P2556" t="s">
        <v>24</v>
      </c>
      <c r="Q2556" t="s">
        <v>712</v>
      </c>
      <c r="R2556" t="s">
        <v>713</v>
      </c>
    </row>
    <row r="2557" spans="1:18" x14ac:dyDescent="0.25">
      <c r="A2557" t="s">
        <v>12840</v>
      </c>
      <c r="B2557" t="s">
        <v>4567</v>
      </c>
      <c r="C2557" t="str">
        <f>HYPERLINK("https://nematode.unl.edu/didest29.jpg")</f>
        <v>https://nematode.unl.edu/didest29.jpg</v>
      </c>
      <c r="D2557" t="s">
        <v>16</v>
      </c>
      <c r="G2557" t="s">
        <v>34</v>
      </c>
      <c r="H2557" t="s">
        <v>18</v>
      </c>
      <c r="I2557" t="s">
        <v>19</v>
      </c>
      <c r="J2557" t="s">
        <v>4543</v>
      </c>
      <c r="L2557" t="s">
        <v>4481</v>
      </c>
      <c r="M2557" t="s">
        <v>4544</v>
      </c>
      <c r="N2557" t="s">
        <v>4544</v>
      </c>
      <c r="O2557" t="s">
        <v>23</v>
      </c>
      <c r="P2557" t="s">
        <v>24</v>
      </c>
      <c r="Q2557" t="s">
        <v>712</v>
      </c>
      <c r="R2557" t="s">
        <v>713</v>
      </c>
    </row>
    <row r="2558" spans="1:18" x14ac:dyDescent="0.25">
      <c r="A2558" t="s">
        <v>12837</v>
      </c>
      <c r="B2558" t="s">
        <v>4568</v>
      </c>
      <c r="C2558" t="str">
        <f>HYPERLINK("https://nematode.unl.edu/didest3.jpg")</f>
        <v>https://nematode.unl.edu/didest3.jpg</v>
      </c>
      <c r="D2558" t="s">
        <v>43</v>
      </c>
      <c r="G2558" t="s">
        <v>96</v>
      </c>
      <c r="H2558" t="s">
        <v>18</v>
      </c>
      <c r="I2558" t="s">
        <v>19</v>
      </c>
      <c r="J2558" t="s">
        <v>4543</v>
      </c>
      <c r="L2558" t="s">
        <v>4481</v>
      </c>
      <c r="M2558" t="s">
        <v>4544</v>
      </c>
      <c r="N2558" t="s">
        <v>4544</v>
      </c>
      <c r="O2558" t="s">
        <v>23</v>
      </c>
      <c r="P2558" t="s">
        <v>24</v>
      </c>
      <c r="Q2558" t="s">
        <v>712</v>
      </c>
      <c r="R2558" t="s">
        <v>713</v>
      </c>
    </row>
    <row r="2559" spans="1:18" x14ac:dyDescent="0.25">
      <c r="A2559" t="s">
        <v>12860</v>
      </c>
      <c r="B2559" t="s">
        <v>4569</v>
      </c>
      <c r="C2559" t="str">
        <f>HYPERLINK("https://nematode.unl.edu/didest30.jpg")</f>
        <v>https://nematode.unl.edu/didest30.jpg</v>
      </c>
      <c r="D2559" t="s">
        <v>16</v>
      </c>
      <c r="G2559" t="s">
        <v>28</v>
      </c>
      <c r="I2559" t="s">
        <v>19</v>
      </c>
      <c r="J2559" t="s">
        <v>4543</v>
      </c>
      <c r="L2559" t="s">
        <v>4481</v>
      </c>
      <c r="M2559" t="s">
        <v>4544</v>
      </c>
      <c r="N2559" t="s">
        <v>4544</v>
      </c>
      <c r="O2559" t="s">
        <v>23</v>
      </c>
      <c r="P2559" t="s">
        <v>24</v>
      </c>
      <c r="Q2559" t="s">
        <v>712</v>
      </c>
      <c r="R2559" t="s">
        <v>713</v>
      </c>
    </row>
    <row r="2560" spans="1:18" x14ac:dyDescent="0.25">
      <c r="A2560" t="s">
        <v>12841</v>
      </c>
      <c r="B2560" t="s">
        <v>4570</v>
      </c>
      <c r="C2560" t="str">
        <f>HYPERLINK("https://nematode.unl.edu/didest31.jpg")</f>
        <v>https://nematode.unl.edu/didest31.jpg</v>
      </c>
      <c r="D2560" t="s">
        <v>43</v>
      </c>
      <c r="G2560" t="s">
        <v>34</v>
      </c>
      <c r="H2560" t="s">
        <v>18</v>
      </c>
      <c r="I2560" t="s">
        <v>19</v>
      </c>
      <c r="J2560" t="s">
        <v>4543</v>
      </c>
      <c r="L2560" t="s">
        <v>4481</v>
      </c>
      <c r="M2560" t="s">
        <v>4544</v>
      </c>
      <c r="N2560" t="s">
        <v>4544</v>
      </c>
      <c r="O2560" t="s">
        <v>23</v>
      </c>
      <c r="P2560" t="s">
        <v>24</v>
      </c>
      <c r="Q2560" t="s">
        <v>712</v>
      </c>
      <c r="R2560" t="s">
        <v>713</v>
      </c>
    </row>
    <row r="2561" spans="1:18" x14ac:dyDescent="0.25">
      <c r="A2561" t="s">
        <v>12861</v>
      </c>
      <c r="B2561" t="s">
        <v>4571</v>
      </c>
      <c r="C2561" t="str">
        <f>HYPERLINK("https://nematode.unl.edu/didest32.jpg")</f>
        <v>https://nematode.unl.edu/didest32.jpg</v>
      </c>
      <c r="D2561" t="s">
        <v>43</v>
      </c>
      <c r="G2561" t="s">
        <v>28</v>
      </c>
      <c r="I2561" t="s">
        <v>19</v>
      </c>
      <c r="J2561" t="s">
        <v>4543</v>
      </c>
      <c r="L2561" t="s">
        <v>4481</v>
      </c>
      <c r="M2561" t="s">
        <v>4544</v>
      </c>
      <c r="N2561" t="s">
        <v>4544</v>
      </c>
      <c r="O2561" t="s">
        <v>23</v>
      </c>
      <c r="P2561" t="s">
        <v>24</v>
      </c>
      <c r="Q2561" t="s">
        <v>712</v>
      </c>
      <c r="R2561" t="s">
        <v>713</v>
      </c>
    </row>
    <row r="2562" spans="1:18" x14ac:dyDescent="0.25">
      <c r="A2562" t="s">
        <v>12862</v>
      </c>
      <c r="B2562" t="s">
        <v>4572</v>
      </c>
      <c r="C2562" t="str">
        <f>HYPERLINK("https://nematode.unl.edu/didest33.jpg")</f>
        <v>https://nematode.unl.edu/didest33.jpg</v>
      </c>
      <c r="D2562" t="s">
        <v>43</v>
      </c>
      <c r="G2562" t="s">
        <v>28</v>
      </c>
      <c r="I2562" t="s">
        <v>41</v>
      </c>
      <c r="J2562" t="s">
        <v>4543</v>
      </c>
      <c r="L2562" t="s">
        <v>4481</v>
      </c>
      <c r="M2562" t="s">
        <v>4544</v>
      </c>
      <c r="N2562" t="s">
        <v>4544</v>
      </c>
      <c r="O2562" t="s">
        <v>23</v>
      </c>
      <c r="P2562" t="s">
        <v>24</v>
      </c>
      <c r="Q2562" t="s">
        <v>712</v>
      </c>
      <c r="R2562" t="s">
        <v>713</v>
      </c>
    </row>
    <row r="2563" spans="1:18" x14ac:dyDescent="0.25">
      <c r="A2563" t="s">
        <v>12857</v>
      </c>
      <c r="B2563" t="s">
        <v>4573</v>
      </c>
      <c r="C2563" t="str">
        <f>HYPERLINK("https://nematode.unl.edu/didest4.jpg")</f>
        <v>https://nematode.unl.edu/didest4.jpg</v>
      </c>
      <c r="D2563" t="s">
        <v>43</v>
      </c>
      <c r="G2563" t="s">
        <v>4574</v>
      </c>
      <c r="I2563" t="s">
        <v>41</v>
      </c>
      <c r="J2563" t="s">
        <v>4543</v>
      </c>
      <c r="L2563" t="s">
        <v>4481</v>
      </c>
      <c r="M2563" t="s">
        <v>4544</v>
      </c>
      <c r="N2563" t="s">
        <v>4544</v>
      </c>
      <c r="O2563" t="s">
        <v>23</v>
      </c>
      <c r="P2563" t="s">
        <v>24</v>
      </c>
      <c r="Q2563" t="s">
        <v>712</v>
      </c>
      <c r="R2563" t="s">
        <v>713</v>
      </c>
    </row>
    <row r="2564" spans="1:18" x14ac:dyDescent="0.25">
      <c r="A2564" t="s">
        <v>12838</v>
      </c>
      <c r="B2564" t="s">
        <v>4575</v>
      </c>
      <c r="C2564" t="str">
        <f>HYPERLINK("https://nematode.unl.edu/didest5.jpg")</f>
        <v>https://nematode.unl.edu/didest5.jpg</v>
      </c>
      <c r="D2564" t="s">
        <v>43</v>
      </c>
      <c r="G2564" t="s">
        <v>96</v>
      </c>
      <c r="H2564" t="s">
        <v>18</v>
      </c>
      <c r="I2564" t="s">
        <v>41</v>
      </c>
      <c r="J2564" t="s">
        <v>4543</v>
      </c>
      <c r="L2564" t="s">
        <v>4481</v>
      </c>
      <c r="M2564" t="s">
        <v>4544</v>
      </c>
      <c r="N2564" t="s">
        <v>4544</v>
      </c>
      <c r="O2564" t="s">
        <v>23</v>
      </c>
      <c r="P2564" t="s">
        <v>24</v>
      </c>
      <c r="Q2564" t="s">
        <v>712</v>
      </c>
      <c r="R2564" t="s">
        <v>713</v>
      </c>
    </row>
    <row r="2565" spans="1:18" x14ac:dyDescent="0.25">
      <c r="A2565" t="s">
        <v>12864</v>
      </c>
      <c r="B2565" t="s">
        <v>4576</v>
      </c>
      <c r="C2565" t="str">
        <f>HYPERLINK("https://nematode.unl.edu/didest6.jpg")</f>
        <v>https://nematode.unl.edu/didest6.jpg</v>
      </c>
      <c r="D2565" t="s">
        <v>43</v>
      </c>
      <c r="G2565" t="s">
        <v>4577</v>
      </c>
      <c r="I2565" t="s">
        <v>41</v>
      </c>
      <c r="J2565" t="s">
        <v>4543</v>
      </c>
      <c r="L2565" t="s">
        <v>4481</v>
      </c>
      <c r="M2565" t="s">
        <v>4544</v>
      </c>
      <c r="N2565" t="s">
        <v>4544</v>
      </c>
      <c r="O2565" t="s">
        <v>23</v>
      </c>
      <c r="P2565" t="s">
        <v>24</v>
      </c>
      <c r="Q2565" t="s">
        <v>712</v>
      </c>
      <c r="R2565" t="s">
        <v>713</v>
      </c>
    </row>
    <row r="2566" spans="1:18" x14ac:dyDescent="0.25">
      <c r="A2566" t="s">
        <v>12854</v>
      </c>
      <c r="B2566" t="s">
        <v>4578</v>
      </c>
      <c r="C2566" t="str">
        <f>HYPERLINK("https://nematode.unl.edu/didest7.jpg")</f>
        <v>https://nematode.unl.edu/didest7.jpg</v>
      </c>
      <c r="D2566" t="s">
        <v>43</v>
      </c>
      <c r="G2566" t="s">
        <v>53</v>
      </c>
      <c r="I2566" t="s">
        <v>41</v>
      </c>
      <c r="J2566" t="s">
        <v>4543</v>
      </c>
      <c r="L2566" t="s">
        <v>4481</v>
      </c>
      <c r="M2566" t="s">
        <v>4544</v>
      </c>
      <c r="N2566" t="s">
        <v>4544</v>
      </c>
      <c r="O2566" t="s">
        <v>23</v>
      </c>
      <c r="P2566" t="s">
        <v>24</v>
      </c>
      <c r="Q2566" t="s">
        <v>712</v>
      </c>
      <c r="R2566" t="s">
        <v>713</v>
      </c>
    </row>
    <row r="2567" spans="1:18" x14ac:dyDescent="0.25">
      <c r="A2567" t="s">
        <v>12842</v>
      </c>
      <c r="B2567" t="s">
        <v>4579</v>
      </c>
      <c r="C2567" t="str">
        <f>HYPERLINK("https://nematode.unl.edu/didest8.jpg")</f>
        <v>https://nematode.unl.edu/didest8.jpg</v>
      </c>
      <c r="D2567" t="s">
        <v>43</v>
      </c>
      <c r="G2567" t="s">
        <v>34</v>
      </c>
      <c r="H2567" t="s">
        <v>18</v>
      </c>
      <c r="I2567" t="s">
        <v>41</v>
      </c>
      <c r="J2567" t="s">
        <v>4543</v>
      </c>
      <c r="L2567" t="s">
        <v>4481</v>
      </c>
      <c r="M2567" t="s">
        <v>4544</v>
      </c>
      <c r="N2567" t="s">
        <v>4544</v>
      </c>
      <c r="O2567" t="s">
        <v>23</v>
      </c>
      <c r="P2567" t="s">
        <v>24</v>
      </c>
      <c r="Q2567" t="s">
        <v>712</v>
      </c>
      <c r="R2567" t="s">
        <v>713</v>
      </c>
    </row>
    <row r="2568" spans="1:18" x14ac:dyDescent="0.25">
      <c r="A2568" t="s">
        <v>12863</v>
      </c>
      <c r="B2568" t="s">
        <v>4580</v>
      </c>
      <c r="C2568" t="str">
        <f>HYPERLINK("https://nematode.unl.edu/didest9.jpg")</f>
        <v>https://nematode.unl.edu/didest9.jpg</v>
      </c>
      <c r="D2568" t="s">
        <v>43</v>
      </c>
      <c r="G2568" t="s">
        <v>51</v>
      </c>
      <c r="I2568" t="s">
        <v>41</v>
      </c>
      <c r="J2568" t="s">
        <v>4543</v>
      </c>
      <c r="L2568" t="s">
        <v>4481</v>
      </c>
      <c r="M2568" t="s">
        <v>4544</v>
      </c>
      <c r="N2568" t="s">
        <v>4544</v>
      </c>
      <c r="O2568" t="s">
        <v>23</v>
      </c>
      <c r="P2568" t="s">
        <v>24</v>
      </c>
      <c r="Q2568" t="s">
        <v>712</v>
      </c>
      <c r="R2568" t="s">
        <v>713</v>
      </c>
    </row>
    <row r="2569" spans="1:18" x14ac:dyDescent="0.25">
      <c r="A2569" t="s">
        <v>12849</v>
      </c>
      <c r="B2569" t="s">
        <v>4581</v>
      </c>
      <c r="C2569" t="str">
        <f>HYPERLINK("https://nematode.unl.edu/didestcmp.jpg")</f>
        <v>https://nematode.unl.edu/didestcmp.jpg</v>
      </c>
      <c r="D2569" t="s">
        <v>43</v>
      </c>
      <c r="G2569" t="s">
        <v>108</v>
      </c>
      <c r="M2569" t="s">
        <v>4544</v>
      </c>
      <c r="N2569" t="s">
        <v>4544</v>
      </c>
      <c r="O2569" t="s">
        <v>23</v>
      </c>
      <c r="P2569" t="s">
        <v>24</v>
      </c>
      <c r="Q2569" t="s">
        <v>712</v>
      </c>
      <c r="R2569" t="s">
        <v>713</v>
      </c>
    </row>
    <row r="2570" spans="1:18" x14ac:dyDescent="0.25">
      <c r="A2570" t="s">
        <v>12850</v>
      </c>
      <c r="B2570" t="s">
        <v>4582</v>
      </c>
      <c r="C2570" t="str">
        <f>HYPERLINK("https://nematode.unl.edu/didestdrw.jpg")</f>
        <v>https://nematode.unl.edu/didestdrw.jpg</v>
      </c>
      <c r="D2570" t="s">
        <v>43</v>
      </c>
      <c r="G2570" t="s">
        <v>108</v>
      </c>
      <c r="M2570" t="s">
        <v>4544</v>
      </c>
      <c r="N2570" t="s">
        <v>4544</v>
      </c>
      <c r="O2570" t="s">
        <v>23</v>
      </c>
      <c r="P2570" t="s">
        <v>24</v>
      </c>
      <c r="Q2570" t="s">
        <v>712</v>
      </c>
      <c r="R2570" t="s">
        <v>713</v>
      </c>
    </row>
    <row r="2571" spans="1:18" x14ac:dyDescent="0.25">
      <c r="A2571" t="s">
        <v>12869</v>
      </c>
      <c r="B2571" t="s">
        <v>4583</v>
      </c>
      <c r="C2571" t="str">
        <f>HYPERLINK("https://nematode.unl.edu/didiput1.jpg")</f>
        <v>https://nematode.unl.edu/didiput1.jpg</v>
      </c>
      <c r="D2571" t="s">
        <v>77</v>
      </c>
      <c r="G2571" t="s">
        <v>44</v>
      </c>
      <c r="I2571" t="s">
        <v>45</v>
      </c>
      <c r="J2571" t="s">
        <v>708</v>
      </c>
      <c r="L2571" t="s">
        <v>4584</v>
      </c>
      <c r="M2571" t="s">
        <v>4585</v>
      </c>
      <c r="N2571" t="s">
        <v>4585</v>
      </c>
      <c r="O2571" t="s">
        <v>23</v>
      </c>
      <c r="P2571" t="s">
        <v>24</v>
      </c>
      <c r="Q2571" t="s">
        <v>712</v>
      </c>
      <c r="R2571" t="s">
        <v>713</v>
      </c>
    </row>
    <row r="2572" spans="1:18" x14ac:dyDescent="0.25">
      <c r="A2572" t="s">
        <v>12872</v>
      </c>
      <c r="B2572" t="s">
        <v>4586</v>
      </c>
      <c r="C2572" t="str">
        <f>HYPERLINK("https://nematode.unl.edu/didiput10.jpg")</f>
        <v>https://nematode.unl.edu/didiput10.jpg</v>
      </c>
      <c r="D2572" t="s">
        <v>43</v>
      </c>
      <c r="G2572" t="s">
        <v>53</v>
      </c>
      <c r="I2572" t="s">
        <v>41</v>
      </c>
      <c r="J2572" t="s">
        <v>708</v>
      </c>
      <c r="L2572" t="s">
        <v>4584</v>
      </c>
      <c r="M2572" t="s">
        <v>4585</v>
      </c>
      <c r="N2572" t="s">
        <v>4585</v>
      </c>
      <c r="O2572" t="s">
        <v>23</v>
      </c>
      <c r="P2572" t="s">
        <v>24</v>
      </c>
      <c r="Q2572" t="s">
        <v>712</v>
      </c>
      <c r="R2572" t="s">
        <v>713</v>
      </c>
    </row>
    <row r="2573" spans="1:18" x14ac:dyDescent="0.25">
      <c r="A2573" t="s">
        <v>12877</v>
      </c>
      <c r="B2573" t="s">
        <v>4587</v>
      </c>
      <c r="C2573" t="str">
        <f>HYPERLINK("https://nematode.unl.edu/didiput11.jpg")</f>
        <v>https://nematode.unl.edu/didiput11.jpg</v>
      </c>
      <c r="D2573" t="s">
        <v>43</v>
      </c>
      <c r="G2573" t="s">
        <v>51</v>
      </c>
      <c r="I2573" t="s">
        <v>41</v>
      </c>
      <c r="J2573" t="s">
        <v>708</v>
      </c>
      <c r="L2573" t="s">
        <v>4584</v>
      </c>
      <c r="M2573" t="s">
        <v>4585</v>
      </c>
      <c r="N2573" t="s">
        <v>4585</v>
      </c>
      <c r="O2573" t="s">
        <v>23</v>
      </c>
      <c r="P2573" t="s">
        <v>24</v>
      </c>
      <c r="Q2573" t="s">
        <v>712</v>
      </c>
      <c r="R2573" t="s">
        <v>713</v>
      </c>
    </row>
    <row r="2574" spans="1:18" x14ac:dyDescent="0.25">
      <c r="A2574" t="s">
        <v>12874</v>
      </c>
      <c r="B2574" t="s">
        <v>4588</v>
      </c>
      <c r="C2574" t="str">
        <f>HYPERLINK("https://nematode.unl.edu/didiput12.jpg")</f>
        <v>https://nematode.unl.edu/didiput12.jpg</v>
      </c>
      <c r="D2574" t="s">
        <v>43</v>
      </c>
      <c r="G2574" t="s">
        <v>28</v>
      </c>
      <c r="I2574" t="s">
        <v>41</v>
      </c>
      <c r="J2574" t="s">
        <v>708</v>
      </c>
      <c r="L2574" t="s">
        <v>4584</v>
      </c>
      <c r="M2574" t="s">
        <v>4585</v>
      </c>
      <c r="N2574" t="s">
        <v>4585</v>
      </c>
      <c r="O2574" t="s">
        <v>23</v>
      </c>
      <c r="P2574" t="s">
        <v>24</v>
      </c>
      <c r="Q2574" t="s">
        <v>712</v>
      </c>
      <c r="R2574" t="s">
        <v>713</v>
      </c>
    </row>
    <row r="2575" spans="1:18" x14ac:dyDescent="0.25">
      <c r="A2575" t="s">
        <v>12865</v>
      </c>
      <c r="B2575" t="s">
        <v>4589</v>
      </c>
      <c r="C2575" t="str">
        <f>HYPERLINK("https://nematode.unl.edu/didiput2.jpg")</f>
        <v>https://nematode.unl.edu/didiput2.jpg</v>
      </c>
      <c r="D2575" t="s">
        <v>77</v>
      </c>
      <c r="G2575" t="s">
        <v>96</v>
      </c>
      <c r="H2575" t="s">
        <v>18</v>
      </c>
      <c r="I2575" t="s">
        <v>19</v>
      </c>
      <c r="J2575" t="s">
        <v>708</v>
      </c>
      <c r="L2575" t="s">
        <v>4584</v>
      </c>
      <c r="M2575" t="s">
        <v>4585</v>
      </c>
      <c r="N2575" t="s">
        <v>4585</v>
      </c>
      <c r="O2575" t="s">
        <v>23</v>
      </c>
      <c r="P2575" t="s">
        <v>24</v>
      </c>
      <c r="Q2575" t="s">
        <v>712</v>
      </c>
      <c r="R2575" t="s">
        <v>713</v>
      </c>
    </row>
    <row r="2576" spans="1:18" x14ac:dyDescent="0.25">
      <c r="A2576" t="s">
        <v>12875</v>
      </c>
      <c r="B2576" t="s">
        <v>4590</v>
      </c>
      <c r="C2576" t="str">
        <f>HYPERLINK("https://nematode.unl.edu/didiput3.jpg")</f>
        <v>https://nematode.unl.edu/didiput3.jpg</v>
      </c>
      <c r="D2576" t="s">
        <v>77</v>
      </c>
      <c r="G2576" t="s">
        <v>28</v>
      </c>
      <c r="I2576" t="s">
        <v>19</v>
      </c>
      <c r="J2576" t="s">
        <v>708</v>
      </c>
      <c r="L2576" t="s">
        <v>4584</v>
      </c>
      <c r="M2576" t="s">
        <v>4585</v>
      </c>
      <c r="N2576" t="s">
        <v>4585</v>
      </c>
      <c r="O2576" t="s">
        <v>23</v>
      </c>
      <c r="P2576" t="s">
        <v>24</v>
      </c>
      <c r="Q2576" t="s">
        <v>712</v>
      </c>
      <c r="R2576" t="s">
        <v>713</v>
      </c>
    </row>
    <row r="2577" spans="1:18" x14ac:dyDescent="0.25">
      <c r="A2577" t="s">
        <v>12866</v>
      </c>
      <c r="B2577" t="s">
        <v>4591</v>
      </c>
      <c r="C2577" t="str">
        <f>HYPERLINK("https://nematode.unl.edu/didiput4.jpg")</f>
        <v>https://nematode.unl.edu/didiput4.jpg</v>
      </c>
      <c r="D2577" t="s">
        <v>77</v>
      </c>
      <c r="G2577" t="s">
        <v>96</v>
      </c>
      <c r="H2577" t="s">
        <v>18</v>
      </c>
      <c r="I2577" t="s">
        <v>41</v>
      </c>
      <c r="J2577" t="s">
        <v>708</v>
      </c>
      <c r="L2577" t="s">
        <v>4584</v>
      </c>
      <c r="M2577" t="s">
        <v>4585</v>
      </c>
      <c r="N2577" t="s">
        <v>4585</v>
      </c>
      <c r="O2577" t="s">
        <v>23</v>
      </c>
      <c r="P2577" t="s">
        <v>24</v>
      </c>
      <c r="Q2577" t="s">
        <v>712</v>
      </c>
      <c r="R2577" t="s">
        <v>713</v>
      </c>
    </row>
    <row r="2578" spans="1:18" x14ac:dyDescent="0.25">
      <c r="A2578" t="s">
        <v>12876</v>
      </c>
      <c r="B2578" t="s">
        <v>4592</v>
      </c>
      <c r="C2578" t="str">
        <f>HYPERLINK("https://nematode.unl.edu/didiput5.jpg")</f>
        <v>https://nematode.unl.edu/didiput5.jpg</v>
      </c>
      <c r="D2578" t="s">
        <v>77</v>
      </c>
      <c r="G2578" t="s">
        <v>28</v>
      </c>
      <c r="I2578" t="s">
        <v>41</v>
      </c>
      <c r="J2578" t="s">
        <v>708</v>
      </c>
      <c r="L2578" t="s">
        <v>4584</v>
      </c>
      <c r="M2578" t="s">
        <v>4585</v>
      </c>
      <c r="N2578" t="s">
        <v>4585</v>
      </c>
      <c r="O2578" t="s">
        <v>23</v>
      </c>
      <c r="P2578" t="s">
        <v>24</v>
      </c>
      <c r="Q2578" t="s">
        <v>712</v>
      </c>
      <c r="R2578" t="s">
        <v>713</v>
      </c>
    </row>
    <row r="2579" spans="1:18" x14ac:dyDescent="0.25">
      <c r="A2579" t="s">
        <v>12870</v>
      </c>
      <c r="B2579" t="s">
        <v>4593</v>
      </c>
      <c r="C2579" t="str">
        <f>HYPERLINK("https://nematode.unl.edu/didiput6.jpg")</f>
        <v>https://nematode.unl.edu/didiput6.jpg</v>
      </c>
      <c r="D2579" t="s">
        <v>43</v>
      </c>
      <c r="G2579" t="s">
        <v>44</v>
      </c>
      <c r="I2579" t="s">
        <v>45</v>
      </c>
      <c r="J2579" t="s">
        <v>708</v>
      </c>
      <c r="L2579" t="s">
        <v>4584</v>
      </c>
      <c r="M2579" t="s">
        <v>4585</v>
      </c>
      <c r="N2579" t="s">
        <v>4585</v>
      </c>
      <c r="O2579" t="s">
        <v>23</v>
      </c>
      <c r="P2579" t="s">
        <v>24</v>
      </c>
      <c r="Q2579" t="s">
        <v>712</v>
      </c>
      <c r="R2579" t="s">
        <v>713</v>
      </c>
    </row>
    <row r="2580" spans="1:18" x14ac:dyDescent="0.25">
      <c r="A2580" t="s">
        <v>12867</v>
      </c>
      <c r="B2580" t="s">
        <v>4594</v>
      </c>
      <c r="C2580" t="str">
        <f>HYPERLINK("https://nematode.unl.edu/didiput7.jpg")</f>
        <v>https://nematode.unl.edu/didiput7.jpg</v>
      </c>
      <c r="D2580" t="s">
        <v>43</v>
      </c>
      <c r="G2580" t="s">
        <v>96</v>
      </c>
      <c r="H2580" t="s">
        <v>18</v>
      </c>
      <c r="I2580" t="s">
        <v>19</v>
      </c>
      <c r="J2580" t="s">
        <v>708</v>
      </c>
      <c r="L2580" t="s">
        <v>4584</v>
      </c>
      <c r="M2580" t="s">
        <v>4585</v>
      </c>
      <c r="N2580" t="s">
        <v>4585</v>
      </c>
      <c r="O2580" t="s">
        <v>23</v>
      </c>
      <c r="P2580" t="s">
        <v>24</v>
      </c>
      <c r="Q2580" t="s">
        <v>712</v>
      </c>
      <c r="R2580" t="s">
        <v>713</v>
      </c>
    </row>
    <row r="2581" spans="1:18" x14ac:dyDescent="0.25">
      <c r="A2581" t="s">
        <v>12873</v>
      </c>
      <c r="B2581" t="s">
        <v>4595</v>
      </c>
      <c r="C2581" t="str">
        <f>HYPERLINK("https://nematode.unl.edu/didiput8.jpg")</f>
        <v>https://nematode.unl.edu/didiput8.jpg</v>
      </c>
      <c r="D2581" t="s">
        <v>43</v>
      </c>
      <c r="G2581" t="s">
        <v>181</v>
      </c>
      <c r="I2581" t="s">
        <v>19</v>
      </c>
      <c r="J2581" t="s">
        <v>708</v>
      </c>
      <c r="L2581" t="s">
        <v>4584</v>
      </c>
      <c r="M2581" t="s">
        <v>4585</v>
      </c>
      <c r="N2581" t="s">
        <v>4585</v>
      </c>
      <c r="O2581" t="s">
        <v>23</v>
      </c>
      <c r="P2581" t="s">
        <v>24</v>
      </c>
      <c r="Q2581" t="s">
        <v>712</v>
      </c>
      <c r="R2581" t="s">
        <v>713</v>
      </c>
    </row>
    <row r="2582" spans="1:18" x14ac:dyDescent="0.25">
      <c r="A2582" t="s">
        <v>12868</v>
      </c>
      <c r="B2582" t="s">
        <v>4596</v>
      </c>
      <c r="C2582" t="str">
        <f>HYPERLINK("https://nematode.unl.edu/didiput9.jpg")</f>
        <v>https://nematode.unl.edu/didiput9.jpg</v>
      </c>
      <c r="D2582" t="s">
        <v>43</v>
      </c>
      <c r="G2582" t="s">
        <v>96</v>
      </c>
      <c r="H2582" t="s">
        <v>18</v>
      </c>
      <c r="I2582" t="s">
        <v>41</v>
      </c>
      <c r="J2582" t="s">
        <v>708</v>
      </c>
      <c r="L2582" t="s">
        <v>4584</v>
      </c>
      <c r="M2582" t="s">
        <v>4585</v>
      </c>
      <c r="N2582" t="s">
        <v>4585</v>
      </c>
      <c r="O2582" t="s">
        <v>23</v>
      </c>
      <c r="P2582" t="s">
        <v>24</v>
      </c>
      <c r="Q2582" t="s">
        <v>712</v>
      </c>
      <c r="R2582" t="s">
        <v>713</v>
      </c>
    </row>
    <row r="2583" spans="1:18" x14ac:dyDescent="0.25">
      <c r="A2583" t="s">
        <v>20963</v>
      </c>
      <c r="B2583" t="s">
        <v>4377</v>
      </c>
      <c r="C2583" t="str">
        <f>HYPERLINK("https://nematode.unl.edu/digra1.jpg")</f>
        <v>https://nematode.unl.edu/digra1.jpg</v>
      </c>
      <c r="D2583" t="s">
        <v>43</v>
      </c>
      <c r="G2583" t="s">
        <v>44</v>
      </c>
      <c r="I2583" t="s">
        <v>91</v>
      </c>
      <c r="J2583" t="s">
        <v>20</v>
      </c>
      <c r="L2583" t="s">
        <v>4378</v>
      </c>
      <c r="M2583" t="s">
        <v>4379</v>
      </c>
      <c r="N2583" t="s">
        <v>4379</v>
      </c>
      <c r="O2583" t="s">
        <v>73</v>
      </c>
      <c r="P2583" t="s">
        <v>81</v>
      </c>
      <c r="Q2583" t="s">
        <v>82</v>
      </c>
      <c r="R2583" t="s">
        <v>4361</v>
      </c>
    </row>
    <row r="2584" spans="1:18" x14ac:dyDescent="0.25">
      <c r="A2584" t="s">
        <v>20944</v>
      </c>
      <c r="B2584" t="s">
        <v>4380</v>
      </c>
      <c r="C2584" t="str">
        <f>HYPERLINK("https://nematode.unl.edu/digra10.jpg")</f>
        <v>https://nematode.unl.edu/digra10.jpg</v>
      </c>
      <c r="D2584" t="s">
        <v>43</v>
      </c>
      <c r="G2584" t="s">
        <v>34</v>
      </c>
      <c r="H2584" t="s">
        <v>18</v>
      </c>
      <c r="I2584" t="s">
        <v>19</v>
      </c>
      <c r="J2584" t="s">
        <v>20</v>
      </c>
      <c r="L2584" t="s">
        <v>4378</v>
      </c>
      <c r="M2584" t="s">
        <v>4379</v>
      </c>
      <c r="N2584" t="s">
        <v>4379</v>
      </c>
      <c r="O2584" t="s">
        <v>73</v>
      </c>
      <c r="P2584" t="s">
        <v>81</v>
      </c>
      <c r="Q2584" t="s">
        <v>82</v>
      </c>
      <c r="R2584" t="s">
        <v>4361</v>
      </c>
    </row>
    <row r="2585" spans="1:18" x14ac:dyDescent="0.25">
      <c r="A2585" t="s">
        <v>20955</v>
      </c>
      <c r="B2585" t="s">
        <v>4381</v>
      </c>
      <c r="C2585" t="str">
        <f>HYPERLINK("https://nematode.unl.edu/digra11.jpg")</f>
        <v>https://nematode.unl.edu/digra11.jpg</v>
      </c>
      <c r="D2585" t="s">
        <v>43</v>
      </c>
      <c r="G2585" t="s">
        <v>87</v>
      </c>
      <c r="I2585" t="s">
        <v>19</v>
      </c>
      <c r="J2585" t="s">
        <v>20</v>
      </c>
      <c r="L2585" t="s">
        <v>4378</v>
      </c>
      <c r="M2585" t="s">
        <v>4379</v>
      </c>
      <c r="N2585" t="s">
        <v>4379</v>
      </c>
      <c r="O2585" t="s">
        <v>73</v>
      </c>
      <c r="P2585" t="s">
        <v>81</v>
      </c>
      <c r="Q2585" t="s">
        <v>82</v>
      </c>
      <c r="R2585" t="s">
        <v>4361</v>
      </c>
    </row>
    <row r="2586" spans="1:18" x14ac:dyDescent="0.25">
      <c r="A2586" t="s">
        <v>20975</v>
      </c>
      <c r="B2586" t="s">
        <v>4382</v>
      </c>
      <c r="C2586" t="str">
        <f>HYPERLINK("https://nematode.unl.edu/digra12.jpg")</f>
        <v>https://nematode.unl.edu/digra12.jpg</v>
      </c>
      <c r="D2586" t="s">
        <v>43</v>
      </c>
      <c r="G2586" t="s">
        <v>51</v>
      </c>
      <c r="I2586" t="s">
        <v>19</v>
      </c>
      <c r="J2586" t="s">
        <v>20</v>
      </c>
      <c r="L2586" t="s">
        <v>4378</v>
      </c>
      <c r="M2586" t="s">
        <v>4379</v>
      </c>
      <c r="N2586" t="s">
        <v>4379</v>
      </c>
      <c r="O2586" t="s">
        <v>73</v>
      </c>
      <c r="P2586" t="s">
        <v>81</v>
      </c>
      <c r="Q2586" t="s">
        <v>82</v>
      </c>
      <c r="R2586" t="s">
        <v>4361</v>
      </c>
    </row>
    <row r="2587" spans="1:18" x14ac:dyDescent="0.25">
      <c r="A2587" t="s">
        <v>20969</v>
      </c>
      <c r="B2587" t="s">
        <v>4383</v>
      </c>
      <c r="C2587" t="str">
        <f>HYPERLINK("https://nematode.unl.edu/digra13.jpg")</f>
        <v>https://nematode.unl.edu/digra13.jpg</v>
      </c>
      <c r="D2587" t="s">
        <v>43</v>
      </c>
      <c r="G2587" t="s">
        <v>28</v>
      </c>
      <c r="I2587" t="s">
        <v>19</v>
      </c>
      <c r="J2587" t="s">
        <v>20</v>
      </c>
      <c r="L2587" t="s">
        <v>4378</v>
      </c>
      <c r="M2587" t="s">
        <v>4379</v>
      </c>
      <c r="N2587" t="s">
        <v>4379</v>
      </c>
      <c r="O2587" t="s">
        <v>73</v>
      </c>
      <c r="P2587" t="s">
        <v>81</v>
      </c>
      <c r="Q2587" t="s">
        <v>82</v>
      </c>
      <c r="R2587" t="s">
        <v>4361</v>
      </c>
    </row>
    <row r="2588" spans="1:18" x14ac:dyDescent="0.25">
      <c r="A2588" t="s">
        <v>20945</v>
      </c>
      <c r="B2588" t="s">
        <v>4384</v>
      </c>
      <c r="C2588" t="str">
        <f>HYPERLINK("https://nematode.unl.edu/digra14.jpg")</f>
        <v>https://nematode.unl.edu/digra14.jpg</v>
      </c>
      <c r="D2588" t="s">
        <v>43</v>
      </c>
      <c r="G2588" t="s">
        <v>34</v>
      </c>
      <c r="H2588" t="s">
        <v>18</v>
      </c>
      <c r="I2588" t="s">
        <v>41</v>
      </c>
      <c r="J2588" t="s">
        <v>20</v>
      </c>
      <c r="L2588" t="s">
        <v>4378</v>
      </c>
      <c r="M2588" t="s">
        <v>4379</v>
      </c>
      <c r="N2588" t="s">
        <v>4379</v>
      </c>
      <c r="O2588" t="s">
        <v>73</v>
      </c>
      <c r="P2588" t="s">
        <v>81</v>
      </c>
      <c r="Q2588" t="s">
        <v>82</v>
      </c>
      <c r="R2588" t="s">
        <v>4361</v>
      </c>
    </row>
    <row r="2589" spans="1:18" x14ac:dyDescent="0.25">
      <c r="A2589" t="s">
        <v>20956</v>
      </c>
      <c r="B2589" t="s">
        <v>4385</v>
      </c>
      <c r="C2589" t="str">
        <f>HYPERLINK("https://nematode.unl.edu/digra15.jpg")</f>
        <v>https://nematode.unl.edu/digra15.jpg</v>
      </c>
      <c r="D2589" t="s">
        <v>43</v>
      </c>
      <c r="G2589" t="s">
        <v>87</v>
      </c>
      <c r="I2589" t="s">
        <v>41</v>
      </c>
      <c r="J2589" t="s">
        <v>20</v>
      </c>
      <c r="L2589" t="s">
        <v>4378</v>
      </c>
      <c r="M2589" t="s">
        <v>4379</v>
      </c>
      <c r="N2589" t="s">
        <v>4379</v>
      </c>
      <c r="O2589" t="s">
        <v>73</v>
      </c>
      <c r="P2589" t="s">
        <v>81</v>
      </c>
      <c r="Q2589" t="s">
        <v>82</v>
      </c>
      <c r="R2589" t="s">
        <v>4361</v>
      </c>
    </row>
    <row r="2590" spans="1:18" x14ac:dyDescent="0.25">
      <c r="A2590" t="s">
        <v>20970</v>
      </c>
      <c r="B2590" t="s">
        <v>4386</v>
      </c>
      <c r="C2590" t="str">
        <f>HYPERLINK("https://nematode.unl.edu/digra16.jpg")</f>
        <v>https://nematode.unl.edu/digra16.jpg</v>
      </c>
      <c r="D2590" t="s">
        <v>43</v>
      </c>
      <c r="G2590" t="s">
        <v>28</v>
      </c>
      <c r="I2590" t="s">
        <v>19</v>
      </c>
      <c r="J2590" t="s">
        <v>20</v>
      </c>
      <c r="L2590" t="s">
        <v>4378</v>
      </c>
      <c r="M2590" t="s">
        <v>4379</v>
      </c>
      <c r="N2590" t="s">
        <v>4379</v>
      </c>
      <c r="O2590" t="s">
        <v>73</v>
      </c>
      <c r="P2590" t="s">
        <v>81</v>
      </c>
      <c r="Q2590" t="s">
        <v>82</v>
      </c>
      <c r="R2590" t="s">
        <v>4361</v>
      </c>
    </row>
    <row r="2591" spans="1:18" x14ac:dyDescent="0.25">
      <c r="A2591" t="s">
        <v>20976</v>
      </c>
      <c r="B2591" t="s">
        <v>4387</v>
      </c>
      <c r="C2591" t="str">
        <f>HYPERLINK("https://nematode.unl.edu/digra17.jpg")</f>
        <v>https://nematode.unl.edu/digra17.jpg</v>
      </c>
      <c r="D2591" t="s">
        <v>43</v>
      </c>
      <c r="G2591" t="s">
        <v>51</v>
      </c>
      <c r="I2591" t="s">
        <v>19</v>
      </c>
      <c r="J2591" t="s">
        <v>20</v>
      </c>
      <c r="L2591" t="s">
        <v>4378</v>
      </c>
      <c r="M2591" t="s">
        <v>4379</v>
      </c>
      <c r="N2591" t="s">
        <v>4379</v>
      </c>
      <c r="O2591" t="s">
        <v>73</v>
      </c>
      <c r="P2591" t="s">
        <v>81</v>
      </c>
      <c r="Q2591" t="s">
        <v>82</v>
      </c>
      <c r="R2591" t="s">
        <v>4361</v>
      </c>
    </row>
    <row r="2592" spans="1:18" x14ac:dyDescent="0.25">
      <c r="A2592" t="s">
        <v>20957</v>
      </c>
      <c r="B2592" t="s">
        <v>4388</v>
      </c>
      <c r="C2592" t="str">
        <f>HYPERLINK("https://nematode.unl.edu/digra18.jpg")</f>
        <v>https://nematode.unl.edu/digra18.jpg</v>
      </c>
      <c r="D2592" t="s">
        <v>43</v>
      </c>
      <c r="G2592" t="s">
        <v>87</v>
      </c>
      <c r="I2592" t="s">
        <v>19</v>
      </c>
      <c r="J2592" t="s">
        <v>20</v>
      </c>
      <c r="L2592" t="s">
        <v>4378</v>
      </c>
      <c r="M2592" t="s">
        <v>4379</v>
      </c>
      <c r="N2592" t="s">
        <v>4379</v>
      </c>
      <c r="O2592" t="s">
        <v>73</v>
      </c>
      <c r="P2592" t="s">
        <v>81</v>
      </c>
      <c r="Q2592" t="s">
        <v>82</v>
      </c>
      <c r="R2592" t="s">
        <v>4361</v>
      </c>
    </row>
    <row r="2593" spans="1:18" x14ac:dyDescent="0.25">
      <c r="A2593" t="s">
        <v>20946</v>
      </c>
      <c r="B2593" t="s">
        <v>4389</v>
      </c>
      <c r="C2593" t="str">
        <f>HYPERLINK("https://nematode.unl.edu/digra19.jpg")</f>
        <v>https://nematode.unl.edu/digra19.jpg</v>
      </c>
      <c r="D2593" t="s">
        <v>43</v>
      </c>
      <c r="G2593" t="s">
        <v>34</v>
      </c>
      <c r="H2593" t="s">
        <v>18</v>
      </c>
      <c r="I2593" t="s">
        <v>19</v>
      </c>
      <c r="J2593" t="s">
        <v>20</v>
      </c>
      <c r="L2593" t="s">
        <v>4378</v>
      </c>
      <c r="M2593" t="s">
        <v>4379</v>
      </c>
      <c r="N2593" t="s">
        <v>4379</v>
      </c>
      <c r="O2593" t="s">
        <v>73</v>
      </c>
      <c r="P2593" t="s">
        <v>81</v>
      </c>
      <c r="Q2593" t="s">
        <v>82</v>
      </c>
      <c r="R2593" t="s">
        <v>4361</v>
      </c>
    </row>
    <row r="2594" spans="1:18" x14ac:dyDescent="0.25">
      <c r="A2594" t="s">
        <v>20943</v>
      </c>
      <c r="B2594" t="s">
        <v>4390</v>
      </c>
      <c r="C2594" t="str">
        <f>HYPERLINK("https://nematode.unl.edu/digra2.jpg")</f>
        <v>https://nematode.unl.edu/digra2.jpg</v>
      </c>
      <c r="D2594" t="s">
        <v>43</v>
      </c>
      <c r="G2594" t="s">
        <v>96</v>
      </c>
      <c r="H2594" t="s">
        <v>18</v>
      </c>
      <c r="I2594" t="s">
        <v>137</v>
      </c>
      <c r="J2594" t="s">
        <v>20</v>
      </c>
      <c r="L2594" t="s">
        <v>4378</v>
      </c>
      <c r="M2594" t="s">
        <v>4379</v>
      </c>
      <c r="N2594" t="s">
        <v>4379</v>
      </c>
      <c r="O2594" t="s">
        <v>73</v>
      </c>
      <c r="P2594" t="s">
        <v>81</v>
      </c>
      <c r="Q2594" t="s">
        <v>82</v>
      </c>
      <c r="R2594" t="s">
        <v>4361</v>
      </c>
    </row>
    <row r="2595" spans="1:18" x14ac:dyDescent="0.25">
      <c r="A2595" t="s">
        <v>20977</v>
      </c>
      <c r="B2595" t="s">
        <v>4391</v>
      </c>
      <c r="C2595" t="str">
        <f>HYPERLINK("https://nematode.unl.edu/digra20.jpg")</f>
        <v>https://nematode.unl.edu/digra20.jpg</v>
      </c>
      <c r="D2595" t="s">
        <v>43</v>
      </c>
      <c r="G2595" t="s">
        <v>51</v>
      </c>
      <c r="I2595" t="s">
        <v>41</v>
      </c>
      <c r="J2595" t="s">
        <v>20</v>
      </c>
      <c r="L2595" t="s">
        <v>4378</v>
      </c>
      <c r="M2595" t="s">
        <v>4379</v>
      </c>
      <c r="N2595" t="s">
        <v>4379</v>
      </c>
      <c r="O2595" t="s">
        <v>73</v>
      </c>
      <c r="P2595" t="s">
        <v>81</v>
      </c>
      <c r="Q2595" t="s">
        <v>82</v>
      </c>
      <c r="R2595" t="s">
        <v>4361</v>
      </c>
    </row>
    <row r="2596" spans="1:18" x14ac:dyDescent="0.25">
      <c r="A2596" t="s">
        <v>20958</v>
      </c>
      <c r="B2596" t="s">
        <v>4392</v>
      </c>
      <c r="C2596" t="str">
        <f>HYPERLINK("https://nematode.unl.edu/digra21.jpg")</f>
        <v>https://nematode.unl.edu/digra21.jpg</v>
      </c>
      <c r="D2596" t="s">
        <v>43</v>
      </c>
      <c r="G2596" t="s">
        <v>87</v>
      </c>
      <c r="I2596" t="s">
        <v>41</v>
      </c>
      <c r="J2596" t="s">
        <v>20</v>
      </c>
      <c r="L2596" t="s">
        <v>4378</v>
      </c>
      <c r="M2596" t="s">
        <v>4379</v>
      </c>
      <c r="N2596" t="s">
        <v>4379</v>
      </c>
      <c r="O2596" t="s">
        <v>73</v>
      </c>
      <c r="P2596" t="s">
        <v>81</v>
      </c>
      <c r="Q2596" t="s">
        <v>82</v>
      </c>
      <c r="R2596" t="s">
        <v>4361</v>
      </c>
    </row>
    <row r="2597" spans="1:18" x14ac:dyDescent="0.25">
      <c r="A2597" t="s">
        <v>20947</v>
      </c>
      <c r="B2597" t="s">
        <v>4393</v>
      </c>
      <c r="C2597" t="str">
        <f>HYPERLINK("https://nematode.unl.edu/digra22.jpg")</f>
        <v>https://nematode.unl.edu/digra22.jpg</v>
      </c>
      <c r="D2597" t="s">
        <v>43</v>
      </c>
      <c r="G2597" t="s">
        <v>34</v>
      </c>
      <c r="H2597" t="s">
        <v>18</v>
      </c>
      <c r="I2597" t="s">
        <v>41</v>
      </c>
      <c r="J2597" t="s">
        <v>20</v>
      </c>
      <c r="L2597" t="s">
        <v>4378</v>
      </c>
      <c r="M2597" t="s">
        <v>4379</v>
      </c>
      <c r="N2597" t="s">
        <v>4379</v>
      </c>
      <c r="O2597" t="s">
        <v>73</v>
      </c>
      <c r="P2597" t="s">
        <v>81</v>
      </c>
      <c r="Q2597" t="s">
        <v>82</v>
      </c>
      <c r="R2597" t="s">
        <v>4361</v>
      </c>
    </row>
    <row r="2598" spans="1:18" x14ac:dyDescent="0.25">
      <c r="A2598" t="s">
        <v>20964</v>
      </c>
      <c r="B2598" t="s">
        <v>4394</v>
      </c>
      <c r="C2598" t="str">
        <f>HYPERLINK("https://nematode.unl.edu/digra23.jpg")</f>
        <v>https://nematode.unl.edu/digra23.jpg</v>
      </c>
      <c r="D2598" t="s">
        <v>43</v>
      </c>
      <c r="G2598" t="s">
        <v>44</v>
      </c>
      <c r="I2598" t="s">
        <v>45</v>
      </c>
      <c r="J2598" t="s">
        <v>20</v>
      </c>
      <c r="L2598" t="s">
        <v>4378</v>
      </c>
      <c r="M2598" t="s">
        <v>4379</v>
      </c>
      <c r="N2598" t="s">
        <v>4379</v>
      </c>
      <c r="O2598" t="s">
        <v>73</v>
      </c>
      <c r="P2598" t="s">
        <v>81</v>
      </c>
      <c r="Q2598" t="s">
        <v>82</v>
      </c>
      <c r="R2598" t="s">
        <v>4361</v>
      </c>
    </row>
    <row r="2599" spans="1:18" x14ac:dyDescent="0.25">
      <c r="A2599" t="s">
        <v>20948</v>
      </c>
      <c r="B2599" t="s">
        <v>4395</v>
      </c>
      <c r="C2599" t="str">
        <f>HYPERLINK("https://nematode.unl.edu/digra24.jpg")</f>
        <v>https://nematode.unl.edu/digra24.jpg</v>
      </c>
      <c r="D2599" t="s">
        <v>43</v>
      </c>
      <c r="G2599" t="s">
        <v>34</v>
      </c>
      <c r="H2599" t="s">
        <v>18</v>
      </c>
      <c r="I2599" t="s">
        <v>19</v>
      </c>
      <c r="J2599" t="s">
        <v>20</v>
      </c>
      <c r="L2599" t="s">
        <v>4378</v>
      </c>
      <c r="M2599" t="s">
        <v>4379</v>
      </c>
      <c r="N2599" t="s">
        <v>4379</v>
      </c>
      <c r="O2599" t="s">
        <v>73</v>
      </c>
      <c r="P2599" t="s">
        <v>81</v>
      </c>
      <c r="Q2599" t="s">
        <v>82</v>
      </c>
      <c r="R2599" t="s">
        <v>4361</v>
      </c>
    </row>
    <row r="2600" spans="1:18" x14ac:dyDescent="0.25">
      <c r="A2600" t="s">
        <v>20959</v>
      </c>
      <c r="B2600" t="s">
        <v>4396</v>
      </c>
      <c r="C2600" t="str">
        <f>HYPERLINK("https://nematode.unl.edu/digra25.jpg")</f>
        <v>https://nematode.unl.edu/digra25.jpg</v>
      </c>
      <c r="D2600" t="s">
        <v>43</v>
      </c>
      <c r="G2600" t="s">
        <v>87</v>
      </c>
      <c r="I2600" t="s">
        <v>19</v>
      </c>
      <c r="J2600" t="s">
        <v>20</v>
      </c>
      <c r="L2600" t="s">
        <v>4378</v>
      </c>
      <c r="M2600" t="s">
        <v>4379</v>
      </c>
      <c r="N2600" t="s">
        <v>4379</v>
      </c>
      <c r="O2600" t="s">
        <v>73</v>
      </c>
      <c r="P2600" t="s">
        <v>81</v>
      </c>
      <c r="Q2600" t="s">
        <v>82</v>
      </c>
      <c r="R2600" t="s">
        <v>4361</v>
      </c>
    </row>
    <row r="2601" spans="1:18" x14ac:dyDescent="0.25">
      <c r="A2601" t="s">
        <v>20978</v>
      </c>
      <c r="B2601" t="s">
        <v>4397</v>
      </c>
      <c r="C2601" t="str">
        <f>HYPERLINK("https://nematode.unl.edu/digra26.jpg")</f>
        <v>https://nematode.unl.edu/digra26.jpg</v>
      </c>
      <c r="D2601" t="s">
        <v>43</v>
      </c>
      <c r="G2601" t="s">
        <v>51</v>
      </c>
      <c r="I2601" t="s">
        <v>19</v>
      </c>
      <c r="J2601" t="s">
        <v>20</v>
      </c>
      <c r="L2601" t="s">
        <v>4378</v>
      </c>
      <c r="M2601" t="s">
        <v>4379</v>
      </c>
      <c r="N2601" t="s">
        <v>4379</v>
      </c>
      <c r="O2601" t="s">
        <v>73</v>
      </c>
      <c r="P2601" t="s">
        <v>81</v>
      </c>
      <c r="Q2601" t="s">
        <v>82</v>
      </c>
      <c r="R2601" t="s">
        <v>4361</v>
      </c>
    </row>
    <row r="2602" spans="1:18" x14ac:dyDescent="0.25">
      <c r="A2602" t="s">
        <v>20971</v>
      </c>
      <c r="B2602" t="s">
        <v>4398</v>
      </c>
      <c r="C2602" t="str">
        <f>HYPERLINK("https://nematode.unl.edu/digra27.jpg")</f>
        <v>https://nematode.unl.edu/digra27.jpg</v>
      </c>
      <c r="D2602" t="s">
        <v>43</v>
      </c>
      <c r="G2602" t="s">
        <v>28</v>
      </c>
      <c r="I2602" t="s">
        <v>19</v>
      </c>
      <c r="J2602" t="s">
        <v>20</v>
      </c>
      <c r="L2602" t="s">
        <v>4378</v>
      </c>
      <c r="M2602" t="s">
        <v>4379</v>
      </c>
      <c r="N2602" t="s">
        <v>4379</v>
      </c>
      <c r="O2602" t="s">
        <v>73</v>
      </c>
      <c r="P2602" t="s">
        <v>81</v>
      </c>
      <c r="Q2602" t="s">
        <v>82</v>
      </c>
      <c r="R2602" t="s">
        <v>4361</v>
      </c>
    </row>
    <row r="2603" spans="1:18" x14ac:dyDescent="0.25">
      <c r="A2603" t="s">
        <v>20965</v>
      </c>
      <c r="B2603" t="s">
        <v>4399</v>
      </c>
      <c r="C2603" t="str">
        <f>HYPERLINK("https://nematode.unl.edu/digra28.jpg")</f>
        <v>https://nematode.unl.edu/digra28.jpg</v>
      </c>
      <c r="D2603" t="s">
        <v>43</v>
      </c>
      <c r="G2603" t="s">
        <v>44</v>
      </c>
      <c r="I2603" t="s">
        <v>91</v>
      </c>
      <c r="J2603" t="s">
        <v>20</v>
      </c>
      <c r="L2603" t="s">
        <v>85</v>
      </c>
      <c r="M2603" t="s">
        <v>4379</v>
      </c>
      <c r="N2603" t="s">
        <v>4379</v>
      </c>
      <c r="O2603" t="s">
        <v>73</v>
      </c>
      <c r="P2603" t="s">
        <v>81</v>
      </c>
      <c r="Q2603" t="s">
        <v>82</v>
      </c>
      <c r="R2603" t="s">
        <v>4361</v>
      </c>
    </row>
    <row r="2604" spans="1:18" x14ac:dyDescent="0.25">
      <c r="A2604" t="s">
        <v>20949</v>
      </c>
      <c r="B2604" t="s">
        <v>4400</v>
      </c>
      <c r="C2604" t="str">
        <f>HYPERLINK("https://nematode.unl.edu/digra29.jpg")</f>
        <v>https://nematode.unl.edu/digra29.jpg</v>
      </c>
      <c r="D2604" t="s">
        <v>43</v>
      </c>
      <c r="G2604" t="s">
        <v>34</v>
      </c>
      <c r="H2604" t="s">
        <v>18</v>
      </c>
      <c r="I2604" t="s">
        <v>19</v>
      </c>
      <c r="J2604" t="s">
        <v>20</v>
      </c>
      <c r="L2604" t="s">
        <v>85</v>
      </c>
      <c r="M2604" t="s">
        <v>4379</v>
      </c>
      <c r="N2604" t="s">
        <v>4379</v>
      </c>
      <c r="O2604" t="s">
        <v>73</v>
      </c>
      <c r="P2604" t="s">
        <v>81</v>
      </c>
      <c r="Q2604" t="s">
        <v>82</v>
      </c>
      <c r="R2604" t="s">
        <v>4361</v>
      </c>
    </row>
    <row r="2605" spans="1:18" x14ac:dyDescent="0.25">
      <c r="A2605" t="s">
        <v>20950</v>
      </c>
      <c r="B2605" t="s">
        <v>4401</v>
      </c>
      <c r="C2605" t="str">
        <f>HYPERLINK("https://nematode.unl.edu/digra3.jpg")</f>
        <v>https://nematode.unl.edu/digra3.jpg</v>
      </c>
      <c r="D2605" t="s">
        <v>43</v>
      </c>
      <c r="G2605" t="s">
        <v>34</v>
      </c>
      <c r="H2605" t="s">
        <v>18</v>
      </c>
      <c r="I2605" t="s">
        <v>19</v>
      </c>
      <c r="J2605" t="s">
        <v>20</v>
      </c>
      <c r="L2605" t="s">
        <v>85</v>
      </c>
      <c r="M2605" t="s">
        <v>4379</v>
      </c>
      <c r="N2605" t="s">
        <v>4379</v>
      </c>
      <c r="O2605" t="s">
        <v>73</v>
      </c>
      <c r="P2605" t="s">
        <v>81</v>
      </c>
      <c r="Q2605" t="s">
        <v>82</v>
      </c>
      <c r="R2605" t="s">
        <v>4361</v>
      </c>
    </row>
    <row r="2606" spans="1:18" x14ac:dyDescent="0.25">
      <c r="A2606" t="s">
        <v>20960</v>
      </c>
      <c r="B2606" t="s">
        <v>4402</v>
      </c>
      <c r="C2606" t="str">
        <f>HYPERLINK("https://nematode.unl.edu/digra30.jpg")</f>
        <v>https://nematode.unl.edu/digra30.jpg</v>
      </c>
      <c r="D2606" t="s">
        <v>43</v>
      </c>
      <c r="G2606" t="s">
        <v>87</v>
      </c>
      <c r="I2606" t="s">
        <v>19</v>
      </c>
      <c r="J2606" t="s">
        <v>20</v>
      </c>
      <c r="L2606" t="s">
        <v>85</v>
      </c>
      <c r="M2606" t="s">
        <v>4379</v>
      </c>
      <c r="N2606" t="s">
        <v>4379</v>
      </c>
      <c r="O2606" t="s">
        <v>73</v>
      </c>
      <c r="P2606" t="s">
        <v>81</v>
      </c>
      <c r="Q2606" t="s">
        <v>82</v>
      </c>
      <c r="R2606" t="s">
        <v>4361</v>
      </c>
    </row>
    <row r="2607" spans="1:18" x14ac:dyDescent="0.25">
      <c r="A2607" t="s">
        <v>20979</v>
      </c>
      <c r="B2607" t="s">
        <v>4403</v>
      </c>
      <c r="C2607" t="str">
        <f>HYPERLINK("https://nematode.unl.edu/digra31.jpg")</f>
        <v>https://nematode.unl.edu/digra31.jpg</v>
      </c>
      <c r="D2607" t="s">
        <v>43</v>
      </c>
      <c r="G2607" t="s">
        <v>51</v>
      </c>
      <c r="I2607" t="s">
        <v>19</v>
      </c>
      <c r="J2607" t="s">
        <v>20</v>
      </c>
      <c r="L2607" t="s">
        <v>85</v>
      </c>
      <c r="M2607" t="s">
        <v>4379</v>
      </c>
      <c r="N2607" t="s">
        <v>4379</v>
      </c>
      <c r="O2607" t="s">
        <v>73</v>
      </c>
      <c r="P2607" t="s">
        <v>81</v>
      </c>
      <c r="Q2607" t="s">
        <v>82</v>
      </c>
      <c r="R2607" t="s">
        <v>4361</v>
      </c>
    </row>
    <row r="2608" spans="1:18" x14ac:dyDescent="0.25">
      <c r="A2608" t="s">
        <v>20972</v>
      </c>
      <c r="B2608" t="s">
        <v>4404</v>
      </c>
      <c r="C2608" t="str">
        <f>HYPERLINK("https://nematode.unl.edu/digra32.jpg")</f>
        <v>https://nematode.unl.edu/digra32.jpg</v>
      </c>
      <c r="D2608" t="s">
        <v>43</v>
      </c>
      <c r="G2608" t="s">
        <v>28</v>
      </c>
      <c r="I2608" t="s">
        <v>19</v>
      </c>
      <c r="J2608" t="s">
        <v>20</v>
      </c>
      <c r="L2608" t="s">
        <v>85</v>
      </c>
      <c r="M2608" t="s">
        <v>4379</v>
      </c>
      <c r="N2608" t="s">
        <v>4379</v>
      </c>
      <c r="O2608" t="s">
        <v>73</v>
      </c>
      <c r="P2608" t="s">
        <v>81</v>
      </c>
      <c r="Q2608" t="s">
        <v>82</v>
      </c>
      <c r="R2608" t="s">
        <v>4361</v>
      </c>
    </row>
    <row r="2609" spans="1:18" x14ac:dyDescent="0.25">
      <c r="A2609" t="s">
        <v>20951</v>
      </c>
      <c r="B2609" t="s">
        <v>4405</v>
      </c>
      <c r="C2609" t="str">
        <f>HYPERLINK("https://nematode.unl.edu/digra33.jpg")</f>
        <v>https://nematode.unl.edu/digra33.jpg</v>
      </c>
      <c r="D2609" t="s">
        <v>43</v>
      </c>
      <c r="G2609" t="s">
        <v>34</v>
      </c>
      <c r="H2609" t="s">
        <v>18</v>
      </c>
      <c r="I2609" t="s">
        <v>41</v>
      </c>
      <c r="J2609" t="s">
        <v>20</v>
      </c>
      <c r="L2609" t="s">
        <v>85</v>
      </c>
      <c r="M2609" t="s">
        <v>4379</v>
      </c>
      <c r="N2609" t="s">
        <v>4379</v>
      </c>
      <c r="O2609" t="s">
        <v>73</v>
      </c>
      <c r="P2609" t="s">
        <v>81</v>
      </c>
      <c r="Q2609" t="s">
        <v>82</v>
      </c>
      <c r="R2609" t="s">
        <v>4361</v>
      </c>
    </row>
    <row r="2610" spans="1:18" x14ac:dyDescent="0.25">
      <c r="A2610" t="s">
        <v>20966</v>
      </c>
      <c r="B2610" t="s">
        <v>4406</v>
      </c>
      <c r="C2610" t="str">
        <f>HYPERLINK("https://nematode.unl.edu/digra34.jpg")</f>
        <v>https://nematode.unl.edu/digra34.jpg</v>
      </c>
      <c r="D2610" t="s">
        <v>43</v>
      </c>
      <c r="G2610" t="s">
        <v>44</v>
      </c>
      <c r="I2610" t="s">
        <v>91</v>
      </c>
      <c r="J2610" t="s">
        <v>20</v>
      </c>
      <c r="L2610" t="s">
        <v>85</v>
      </c>
      <c r="M2610" t="s">
        <v>4379</v>
      </c>
      <c r="N2610" t="s">
        <v>4379</v>
      </c>
      <c r="O2610" t="s">
        <v>73</v>
      </c>
      <c r="P2610" t="s">
        <v>81</v>
      </c>
      <c r="Q2610" t="s">
        <v>82</v>
      </c>
      <c r="R2610" t="s">
        <v>4361</v>
      </c>
    </row>
    <row r="2611" spans="1:18" x14ac:dyDescent="0.25">
      <c r="A2611" t="s">
        <v>20952</v>
      </c>
      <c r="B2611" t="s">
        <v>4407</v>
      </c>
      <c r="C2611" t="str">
        <f>HYPERLINK("https://nematode.unl.edu/digra35.jpg")</f>
        <v>https://nematode.unl.edu/digra35.jpg</v>
      </c>
      <c r="D2611" t="s">
        <v>43</v>
      </c>
      <c r="G2611" t="s">
        <v>34</v>
      </c>
      <c r="H2611" t="s">
        <v>18</v>
      </c>
      <c r="I2611" t="s">
        <v>19</v>
      </c>
      <c r="J2611" t="s">
        <v>20</v>
      </c>
      <c r="L2611" t="s">
        <v>85</v>
      </c>
      <c r="M2611" t="s">
        <v>4379</v>
      </c>
      <c r="N2611" t="s">
        <v>4379</v>
      </c>
      <c r="O2611" t="s">
        <v>73</v>
      </c>
      <c r="P2611" t="s">
        <v>81</v>
      </c>
      <c r="Q2611" t="s">
        <v>82</v>
      </c>
      <c r="R2611" t="s">
        <v>4361</v>
      </c>
    </row>
    <row r="2612" spans="1:18" x14ac:dyDescent="0.25">
      <c r="A2612" t="s">
        <v>20980</v>
      </c>
      <c r="B2612" t="s">
        <v>4408</v>
      </c>
      <c r="C2612" t="str">
        <f>HYPERLINK("https://nematode.unl.edu/digra36.jpg")</f>
        <v>https://nematode.unl.edu/digra36.jpg</v>
      </c>
      <c r="D2612" t="s">
        <v>43</v>
      </c>
      <c r="G2612" t="s">
        <v>51</v>
      </c>
      <c r="I2612" t="s">
        <v>19</v>
      </c>
      <c r="J2612" t="s">
        <v>20</v>
      </c>
      <c r="L2612" t="s">
        <v>85</v>
      </c>
      <c r="M2612" t="s">
        <v>4379</v>
      </c>
      <c r="N2612" t="s">
        <v>4379</v>
      </c>
      <c r="O2612" t="s">
        <v>73</v>
      </c>
      <c r="P2612" t="s">
        <v>81</v>
      </c>
      <c r="Q2612" t="s">
        <v>82</v>
      </c>
      <c r="R2612" t="s">
        <v>4361</v>
      </c>
    </row>
    <row r="2613" spans="1:18" x14ac:dyDescent="0.25">
      <c r="A2613" t="s">
        <v>20973</v>
      </c>
      <c r="B2613" t="s">
        <v>4409</v>
      </c>
      <c r="C2613" t="str">
        <f>HYPERLINK("https://nematode.unl.edu/digra37.jpg")</f>
        <v>https://nematode.unl.edu/digra37.jpg</v>
      </c>
      <c r="D2613" t="s">
        <v>43</v>
      </c>
      <c r="G2613" t="s">
        <v>28</v>
      </c>
      <c r="I2613" t="s">
        <v>19</v>
      </c>
      <c r="J2613" t="s">
        <v>20</v>
      </c>
      <c r="L2613" t="s">
        <v>85</v>
      </c>
      <c r="M2613" t="s">
        <v>4379</v>
      </c>
      <c r="N2613" t="s">
        <v>4379</v>
      </c>
      <c r="O2613" t="s">
        <v>73</v>
      </c>
      <c r="P2613" t="s">
        <v>81</v>
      </c>
      <c r="Q2613" t="s">
        <v>82</v>
      </c>
      <c r="R2613" t="s">
        <v>4361</v>
      </c>
    </row>
    <row r="2614" spans="1:18" x14ac:dyDescent="0.25">
      <c r="A2614" t="s">
        <v>20954</v>
      </c>
      <c r="B2614" t="s">
        <v>4410</v>
      </c>
      <c r="C2614" t="str">
        <f>HYPERLINK("https://nematode.unl.edu/digra38.jpg")</f>
        <v>https://nematode.unl.edu/digra38.jpg</v>
      </c>
      <c r="D2614" t="s">
        <v>43</v>
      </c>
      <c r="G2614" t="s">
        <v>2974</v>
      </c>
      <c r="I2614" t="s">
        <v>41</v>
      </c>
      <c r="J2614" t="s">
        <v>20</v>
      </c>
      <c r="L2614" t="s">
        <v>85</v>
      </c>
      <c r="M2614" t="s">
        <v>4379</v>
      </c>
      <c r="N2614" t="s">
        <v>4379</v>
      </c>
      <c r="O2614" t="s">
        <v>73</v>
      </c>
      <c r="P2614" t="s">
        <v>81</v>
      </c>
      <c r="Q2614" t="s">
        <v>82</v>
      </c>
      <c r="R2614" t="s">
        <v>4361</v>
      </c>
    </row>
    <row r="2615" spans="1:18" x14ac:dyDescent="0.25">
      <c r="A2615" t="s">
        <v>20961</v>
      </c>
      <c r="B2615" t="s">
        <v>4411</v>
      </c>
      <c r="C2615" t="str">
        <f>HYPERLINK("https://nematode.unl.edu/digra39.jpg")</f>
        <v>https://nematode.unl.edu/digra39.jpg</v>
      </c>
      <c r="D2615" t="s">
        <v>43</v>
      </c>
      <c r="G2615" t="s">
        <v>87</v>
      </c>
      <c r="I2615" t="s">
        <v>41</v>
      </c>
      <c r="J2615" t="s">
        <v>20</v>
      </c>
      <c r="L2615" t="s">
        <v>85</v>
      </c>
      <c r="M2615" t="s">
        <v>4379</v>
      </c>
      <c r="N2615" t="s">
        <v>4379</v>
      </c>
      <c r="O2615" t="s">
        <v>73</v>
      </c>
      <c r="P2615" t="s">
        <v>81</v>
      </c>
      <c r="Q2615" t="s">
        <v>82</v>
      </c>
      <c r="R2615" t="s">
        <v>4361</v>
      </c>
    </row>
    <row r="2616" spans="1:18" x14ac:dyDescent="0.25">
      <c r="A2616" t="s">
        <v>20962</v>
      </c>
      <c r="B2616" t="s">
        <v>4412</v>
      </c>
      <c r="C2616" t="str">
        <f>HYPERLINK("https://nematode.unl.edu/digra4.jpg")</f>
        <v>https://nematode.unl.edu/digra4.jpg</v>
      </c>
      <c r="D2616" t="s">
        <v>43</v>
      </c>
      <c r="G2616" t="s">
        <v>87</v>
      </c>
      <c r="I2616" t="s">
        <v>19</v>
      </c>
      <c r="J2616" t="s">
        <v>20</v>
      </c>
      <c r="L2616" t="s">
        <v>85</v>
      </c>
      <c r="M2616" t="s">
        <v>4379</v>
      </c>
      <c r="N2616" t="s">
        <v>4379</v>
      </c>
      <c r="O2616" t="s">
        <v>73</v>
      </c>
      <c r="P2616" t="s">
        <v>81</v>
      </c>
      <c r="Q2616" t="s">
        <v>82</v>
      </c>
      <c r="R2616" t="s">
        <v>4361</v>
      </c>
    </row>
    <row r="2617" spans="1:18" x14ac:dyDescent="0.25">
      <c r="A2617" t="s">
        <v>20981</v>
      </c>
      <c r="B2617" t="s">
        <v>4413</v>
      </c>
      <c r="C2617" t="str">
        <f>HYPERLINK("https://nematode.unl.edu/digra5.jpg")</f>
        <v>https://nematode.unl.edu/digra5.jpg</v>
      </c>
      <c r="D2617" t="s">
        <v>43</v>
      </c>
      <c r="G2617" t="s">
        <v>51</v>
      </c>
      <c r="I2617" t="s">
        <v>19</v>
      </c>
      <c r="J2617" t="s">
        <v>20</v>
      </c>
      <c r="L2617" t="s">
        <v>85</v>
      </c>
      <c r="M2617" t="s">
        <v>4379</v>
      </c>
      <c r="N2617" t="s">
        <v>4379</v>
      </c>
      <c r="O2617" t="s">
        <v>73</v>
      </c>
      <c r="P2617" t="s">
        <v>81</v>
      </c>
      <c r="Q2617" t="s">
        <v>82</v>
      </c>
      <c r="R2617" t="s">
        <v>4361</v>
      </c>
    </row>
    <row r="2618" spans="1:18" x14ac:dyDescent="0.25">
      <c r="A2618" t="s">
        <v>20974</v>
      </c>
      <c r="B2618" t="s">
        <v>4414</v>
      </c>
      <c r="C2618" t="str">
        <f>HYPERLINK("https://nematode.unl.edu/digra6.jpg")</f>
        <v>https://nematode.unl.edu/digra6.jpg</v>
      </c>
      <c r="D2618" t="s">
        <v>43</v>
      </c>
      <c r="G2618" t="s">
        <v>28</v>
      </c>
      <c r="I2618" t="s">
        <v>19</v>
      </c>
      <c r="J2618" t="s">
        <v>20</v>
      </c>
      <c r="L2618" t="s">
        <v>85</v>
      </c>
      <c r="M2618" t="s">
        <v>4379</v>
      </c>
      <c r="N2618" t="s">
        <v>4379</v>
      </c>
      <c r="O2618" t="s">
        <v>73</v>
      </c>
      <c r="P2618" t="s">
        <v>81</v>
      </c>
      <c r="Q2618" t="s">
        <v>82</v>
      </c>
      <c r="R2618" t="s">
        <v>4361</v>
      </c>
    </row>
    <row r="2619" spans="1:18" x14ac:dyDescent="0.25">
      <c r="A2619" t="s">
        <v>20953</v>
      </c>
      <c r="B2619" t="s">
        <v>4415</v>
      </c>
      <c r="C2619" t="str">
        <f>HYPERLINK("https://nematode.unl.edu/digra7.jpg")</f>
        <v>https://nematode.unl.edu/digra7.jpg</v>
      </c>
      <c r="D2619" t="s">
        <v>43</v>
      </c>
      <c r="G2619" t="s">
        <v>34</v>
      </c>
      <c r="H2619" t="s">
        <v>18</v>
      </c>
      <c r="I2619" t="s">
        <v>41</v>
      </c>
      <c r="J2619" t="s">
        <v>20</v>
      </c>
      <c r="L2619" t="s">
        <v>1768</v>
      </c>
      <c r="M2619" t="s">
        <v>4379</v>
      </c>
      <c r="N2619" t="s">
        <v>4379</v>
      </c>
      <c r="O2619" t="s">
        <v>73</v>
      </c>
      <c r="P2619" t="s">
        <v>81</v>
      </c>
      <c r="Q2619" t="s">
        <v>82</v>
      </c>
      <c r="R2619" t="s">
        <v>4361</v>
      </c>
    </row>
    <row r="2620" spans="1:18" x14ac:dyDescent="0.25">
      <c r="A2620" t="s">
        <v>20968</v>
      </c>
      <c r="B2620" t="s">
        <v>4416</v>
      </c>
      <c r="C2620" t="str">
        <f>HYPERLINK("https://nematode.unl.edu/digra8.jpg")</f>
        <v>https://nematode.unl.edu/digra8.jpg</v>
      </c>
      <c r="D2620" t="s">
        <v>43</v>
      </c>
      <c r="G2620" t="s">
        <v>4417</v>
      </c>
      <c r="I2620" t="s">
        <v>41</v>
      </c>
      <c r="J2620" t="s">
        <v>20</v>
      </c>
      <c r="L2620" t="s">
        <v>1768</v>
      </c>
      <c r="M2620" t="s">
        <v>4379</v>
      </c>
      <c r="N2620" t="s">
        <v>4379</v>
      </c>
      <c r="O2620" t="s">
        <v>73</v>
      </c>
      <c r="P2620" t="s">
        <v>81</v>
      </c>
      <c r="Q2620" t="s">
        <v>82</v>
      </c>
      <c r="R2620" t="s">
        <v>4361</v>
      </c>
    </row>
    <row r="2621" spans="1:18" x14ac:dyDescent="0.25">
      <c r="A2621" t="s">
        <v>20967</v>
      </c>
      <c r="B2621" t="s">
        <v>4418</v>
      </c>
      <c r="C2621" t="str">
        <f>HYPERLINK("https://nematode.unl.edu/digra9.jpg")</f>
        <v>https://nematode.unl.edu/digra9.jpg</v>
      </c>
      <c r="D2621" t="s">
        <v>43</v>
      </c>
      <c r="G2621" t="s">
        <v>243</v>
      </c>
      <c r="I2621" t="s">
        <v>41</v>
      </c>
      <c r="J2621" t="s">
        <v>20</v>
      </c>
      <c r="L2621" t="s">
        <v>85</v>
      </c>
      <c r="M2621" t="s">
        <v>4379</v>
      </c>
      <c r="N2621" t="s">
        <v>4379</v>
      </c>
      <c r="O2621" t="s">
        <v>73</v>
      </c>
      <c r="P2621" t="s">
        <v>81</v>
      </c>
      <c r="Q2621" t="s">
        <v>82</v>
      </c>
      <c r="R2621" t="s">
        <v>4361</v>
      </c>
    </row>
    <row r="2622" spans="1:18" x14ac:dyDescent="0.25">
      <c r="A2622" t="s">
        <v>12218</v>
      </c>
      <c r="B2622" t="s">
        <v>4267</v>
      </c>
      <c r="C2622" t="str">
        <f>HYPERLINK("https://nematode.unl.edu/dimell1.jpg")</f>
        <v>https://nematode.unl.edu/dimell1.jpg</v>
      </c>
      <c r="D2622" t="s">
        <v>16</v>
      </c>
      <c r="G2622" t="s">
        <v>34</v>
      </c>
      <c r="H2622" t="s">
        <v>18</v>
      </c>
      <c r="I2622" t="s">
        <v>41</v>
      </c>
      <c r="J2622" t="s">
        <v>20</v>
      </c>
      <c r="L2622" t="s">
        <v>85</v>
      </c>
      <c r="M2622" t="s">
        <v>4268</v>
      </c>
      <c r="N2622" t="s">
        <v>4268</v>
      </c>
      <c r="O2622" t="s">
        <v>23</v>
      </c>
      <c r="P2622" t="s">
        <v>1024</v>
      </c>
      <c r="Q2622" t="s">
        <v>1025</v>
      </c>
      <c r="R2622" t="s">
        <v>4268</v>
      </c>
    </row>
    <row r="2623" spans="1:18" x14ac:dyDescent="0.25">
      <c r="A2623" t="s">
        <v>12216</v>
      </c>
      <c r="B2623" t="s">
        <v>4269</v>
      </c>
      <c r="C2623" t="str">
        <f>HYPERLINK("https://nematode.unl.edu/dimell2.jpg")</f>
        <v>https://nematode.unl.edu/dimell2.jpg</v>
      </c>
      <c r="D2623" t="s">
        <v>16</v>
      </c>
      <c r="G2623" t="s">
        <v>386</v>
      </c>
      <c r="H2623" t="s">
        <v>18</v>
      </c>
      <c r="I2623" t="s">
        <v>41</v>
      </c>
      <c r="J2623" t="s">
        <v>20</v>
      </c>
      <c r="L2623" t="s">
        <v>85</v>
      </c>
      <c r="M2623" t="s">
        <v>4268</v>
      </c>
      <c r="N2623" t="s">
        <v>4268</v>
      </c>
      <c r="O2623" t="s">
        <v>23</v>
      </c>
      <c r="P2623" t="s">
        <v>1024</v>
      </c>
      <c r="Q2623" t="s">
        <v>1025</v>
      </c>
      <c r="R2623" t="s">
        <v>4268</v>
      </c>
    </row>
    <row r="2624" spans="1:18" x14ac:dyDescent="0.25">
      <c r="A2624" t="s">
        <v>12219</v>
      </c>
      <c r="B2624" t="s">
        <v>4270</v>
      </c>
      <c r="C2624" t="str">
        <f>HYPERLINK("https://nematode.unl.edu/dimell3.jpg")</f>
        <v>https://nematode.unl.edu/dimell3.jpg</v>
      </c>
      <c r="D2624" t="s">
        <v>16</v>
      </c>
      <c r="G2624" t="s">
        <v>34</v>
      </c>
      <c r="H2624" t="s">
        <v>18</v>
      </c>
      <c r="I2624" t="s">
        <v>41</v>
      </c>
      <c r="J2624" t="s">
        <v>20</v>
      </c>
      <c r="L2624" t="s">
        <v>85</v>
      </c>
      <c r="M2624" t="s">
        <v>4268</v>
      </c>
      <c r="N2624" t="s">
        <v>4268</v>
      </c>
      <c r="O2624" t="s">
        <v>23</v>
      </c>
      <c r="P2624" t="s">
        <v>1024</v>
      </c>
      <c r="Q2624" t="s">
        <v>1025</v>
      </c>
      <c r="R2624" t="s">
        <v>4268</v>
      </c>
    </row>
    <row r="2625" spans="1:18" x14ac:dyDescent="0.25">
      <c r="A2625" t="s">
        <v>12223</v>
      </c>
      <c r="B2625" t="s">
        <v>4271</v>
      </c>
      <c r="C2625" t="str">
        <f>HYPERLINK("https://nematode.unl.edu/dimell4.jpg")</f>
        <v>https://nematode.unl.edu/dimell4.jpg</v>
      </c>
      <c r="D2625" t="s">
        <v>16</v>
      </c>
      <c r="G2625" t="s">
        <v>87</v>
      </c>
      <c r="I2625" t="s">
        <v>41</v>
      </c>
      <c r="J2625" t="s">
        <v>20</v>
      </c>
      <c r="L2625" t="s">
        <v>85</v>
      </c>
      <c r="M2625" t="s">
        <v>4268</v>
      </c>
      <c r="N2625" t="s">
        <v>4268</v>
      </c>
      <c r="O2625" t="s">
        <v>23</v>
      </c>
      <c r="P2625" t="s">
        <v>1024</v>
      </c>
      <c r="Q2625" t="s">
        <v>1025</v>
      </c>
      <c r="R2625" t="s">
        <v>4268</v>
      </c>
    </row>
    <row r="2626" spans="1:18" x14ac:dyDescent="0.25">
      <c r="A2626" t="s">
        <v>12222</v>
      </c>
      <c r="B2626" t="s">
        <v>4272</v>
      </c>
      <c r="C2626" t="str">
        <f>HYPERLINK("https://nematode.unl.edu/dimell5.jpg")</f>
        <v>https://nematode.unl.edu/dimell5.jpg</v>
      </c>
      <c r="D2626" t="s">
        <v>16</v>
      </c>
      <c r="G2626" t="s">
        <v>4273</v>
      </c>
      <c r="I2626" t="s">
        <v>41</v>
      </c>
      <c r="J2626" t="s">
        <v>20</v>
      </c>
      <c r="L2626" t="s">
        <v>85</v>
      </c>
      <c r="M2626" t="s">
        <v>4268</v>
      </c>
      <c r="N2626" t="s">
        <v>4268</v>
      </c>
      <c r="O2626" t="s">
        <v>23</v>
      </c>
      <c r="P2626" t="s">
        <v>1024</v>
      </c>
      <c r="Q2626" t="s">
        <v>1025</v>
      </c>
      <c r="R2626" t="s">
        <v>4268</v>
      </c>
    </row>
    <row r="2627" spans="1:18" x14ac:dyDescent="0.25">
      <c r="A2627" t="s">
        <v>22664</v>
      </c>
      <c r="B2627" t="s">
        <v>4219</v>
      </c>
      <c r="C2627" t="str">
        <f>HYPERLINK("https://nematode.unl.edu/diphob1.jpg")</f>
        <v>https://nematode.unl.edu/diphob1.jpg</v>
      </c>
      <c r="D2627" t="s">
        <v>77</v>
      </c>
      <c r="G2627" t="s">
        <v>34</v>
      </c>
      <c r="H2627" t="s">
        <v>18</v>
      </c>
      <c r="I2627" t="s">
        <v>19</v>
      </c>
      <c r="J2627" t="s">
        <v>116</v>
      </c>
      <c r="L2627" t="s">
        <v>85</v>
      </c>
      <c r="M2627" t="s">
        <v>4220</v>
      </c>
      <c r="N2627" t="s">
        <v>4220</v>
      </c>
      <c r="O2627" t="s">
        <v>73</v>
      </c>
      <c r="P2627" t="s">
        <v>1806</v>
      </c>
      <c r="Q2627" t="s">
        <v>4197</v>
      </c>
      <c r="R2627" t="s">
        <v>4198</v>
      </c>
    </row>
    <row r="2628" spans="1:18" x14ac:dyDescent="0.25">
      <c r="A2628" t="s">
        <v>22679</v>
      </c>
      <c r="B2628" t="s">
        <v>4221</v>
      </c>
      <c r="C2628" t="str">
        <f>HYPERLINK("https://nematode.unl.edu/diphob2.jpg")</f>
        <v>https://nematode.unl.edu/diphob2.jpg</v>
      </c>
      <c r="D2628" t="s">
        <v>77</v>
      </c>
      <c r="G2628" t="s">
        <v>28</v>
      </c>
      <c r="I2628" t="s">
        <v>19</v>
      </c>
      <c r="J2628" t="s">
        <v>116</v>
      </c>
      <c r="L2628" t="s">
        <v>85</v>
      </c>
      <c r="M2628" t="s">
        <v>4220</v>
      </c>
      <c r="N2628" t="s">
        <v>4220</v>
      </c>
      <c r="O2628" t="s">
        <v>73</v>
      </c>
      <c r="P2628" t="s">
        <v>1806</v>
      </c>
      <c r="Q2628" t="s">
        <v>4197</v>
      </c>
      <c r="R2628" t="s">
        <v>4198</v>
      </c>
    </row>
    <row r="2629" spans="1:18" x14ac:dyDescent="0.25">
      <c r="A2629" t="s">
        <v>22674</v>
      </c>
      <c r="B2629" t="s">
        <v>4222</v>
      </c>
      <c r="C2629" t="str">
        <f>HYPERLINK("https://nematode.unl.edu/diphob3.jpg")</f>
        <v>https://nematode.unl.edu/diphob3.jpg</v>
      </c>
      <c r="D2629" t="s">
        <v>77</v>
      </c>
      <c r="G2629" t="s">
        <v>44</v>
      </c>
      <c r="I2629" t="s">
        <v>45</v>
      </c>
      <c r="J2629" t="s">
        <v>116</v>
      </c>
      <c r="L2629" t="s">
        <v>85</v>
      </c>
      <c r="M2629" t="s">
        <v>4220</v>
      </c>
      <c r="N2629" t="s">
        <v>4220</v>
      </c>
      <c r="O2629" t="s">
        <v>73</v>
      </c>
      <c r="P2629" t="s">
        <v>1806</v>
      </c>
      <c r="Q2629" t="s">
        <v>4197</v>
      </c>
      <c r="R2629" t="s">
        <v>4198</v>
      </c>
    </row>
    <row r="2630" spans="1:18" x14ac:dyDescent="0.25">
      <c r="A2630" t="s">
        <v>22665</v>
      </c>
      <c r="B2630" t="s">
        <v>4223</v>
      </c>
      <c r="C2630" t="str">
        <f>HYPERLINK("https://nematode.unl.edu/diphob4.jpg")</f>
        <v>https://nematode.unl.edu/diphob4.jpg</v>
      </c>
      <c r="D2630" t="s">
        <v>77</v>
      </c>
      <c r="G2630" t="s">
        <v>34</v>
      </c>
      <c r="H2630" t="s">
        <v>18</v>
      </c>
      <c r="I2630" t="s">
        <v>19</v>
      </c>
      <c r="J2630" t="s">
        <v>116</v>
      </c>
      <c r="L2630" t="s">
        <v>85</v>
      </c>
      <c r="M2630" t="s">
        <v>4220</v>
      </c>
      <c r="N2630" t="s">
        <v>4220</v>
      </c>
      <c r="O2630" t="s">
        <v>73</v>
      </c>
      <c r="P2630" t="s">
        <v>1806</v>
      </c>
      <c r="Q2630" t="s">
        <v>4197</v>
      </c>
      <c r="R2630" t="s">
        <v>4198</v>
      </c>
    </row>
    <row r="2631" spans="1:18" x14ac:dyDescent="0.25">
      <c r="A2631" t="s">
        <v>22680</v>
      </c>
      <c r="B2631" t="s">
        <v>4224</v>
      </c>
      <c r="C2631" t="str">
        <f>HYPERLINK("https://nematode.unl.edu/diphob5.jpg")</f>
        <v>https://nematode.unl.edu/diphob5.jpg</v>
      </c>
      <c r="D2631" t="s">
        <v>77</v>
      </c>
      <c r="G2631" t="s">
        <v>28</v>
      </c>
      <c r="I2631" t="s">
        <v>19</v>
      </c>
      <c r="J2631" t="s">
        <v>116</v>
      </c>
      <c r="L2631" t="s">
        <v>85</v>
      </c>
      <c r="M2631" t="s">
        <v>4220</v>
      </c>
      <c r="N2631" t="s">
        <v>4220</v>
      </c>
      <c r="O2631" t="s">
        <v>73</v>
      </c>
      <c r="P2631" t="s">
        <v>1806</v>
      </c>
      <c r="Q2631" t="s">
        <v>4197</v>
      </c>
      <c r="R2631" t="s">
        <v>4198</v>
      </c>
    </row>
    <row r="2632" spans="1:18" x14ac:dyDescent="0.25">
      <c r="A2632" t="s">
        <v>22646</v>
      </c>
      <c r="B2632" t="s">
        <v>4195</v>
      </c>
      <c r="C2632" t="str">
        <f>HYPERLINK("https://nematode.unl.edu/dipla1.jpg")</f>
        <v>https://nematode.unl.edu/dipla1.jpg</v>
      </c>
      <c r="D2632" t="s">
        <v>16</v>
      </c>
      <c r="G2632" t="s">
        <v>34</v>
      </c>
      <c r="H2632" t="s">
        <v>18</v>
      </c>
      <c r="I2632" t="s">
        <v>19</v>
      </c>
      <c r="J2632" t="s">
        <v>20</v>
      </c>
      <c r="L2632" t="s">
        <v>29</v>
      </c>
      <c r="M2632" t="s">
        <v>4196</v>
      </c>
      <c r="N2632" t="s">
        <v>4196</v>
      </c>
      <c r="O2632" t="s">
        <v>73</v>
      </c>
      <c r="P2632" t="s">
        <v>1806</v>
      </c>
      <c r="Q2632" t="s">
        <v>4197</v>
      </c>
      <c r="R2632" t="s">
        <v>4198</v>
      </c>
    </row>
    <row r="2633" spans="1:18" x14ac:dyDescent="0.25">
      <c r="A2633" t="s">
        <v>22647</v>
      </c>
      <c r="B2633" t="s">
        <v>4199</v>
      </c>
      <c r="C2633" t="str">
        <f>HYPERLINK("https://nematode.unl.edu/dipla10.jpg")</f>
        <v>https://nematode.unl.edu/dipla10.jpg</v>
      </c>
      <c r="D2633" t="s">
        <v>4200</v>
      </c>
      <c r="G2633" t="s">
        <v>34</v>
      </c>
      <c r="H2633" t="s">
        <v>18</v>
      </c>
      <c r="I2633" t="s">
        <v>19</v>
      </c>
      <c r="J2633" t="s">
        <v>20</v>
      </c>
      <c r="L2633" t="s">
        <v>64</v>
      </c>
      <c r="M2633" t="s">
        <v>4196</v>
      </c>
      <c r="N2633" t="s">
        <v>4196</v>
      </c>
      <c r="O2633" t="s">
        <v>73</v>
      </c>
      <c r="P2633" t="s">
        <v>1806</v>
      </c>
      <c r="Q2633" t="s">
        <v>4197</v>
      </c>
      <c r="R2633" t="s">
        <v>4198</v>
      </c>
    </row>
    <row r="2634" spans="1:18" x14ac:dyDescent="0.25">
      <c r="A2634" t="s">
        <v>22658</v>
      </c>
      <c r="B2634" t="s">
        <v>4201</v>
      </c>
      <c r="C2634" t="str">
        <f>HYPERLINK("https://nematode.unl.edu/dipla11.jpg")</f>
        <v>https://nematode.unl.edu/dipla11.jpg</v>
      </c>
      <c r="D2634" t="s">
        <v>77</v>
      </c>
      <c r="G2634" t="s">
        <v>28</v>
      </c>
      <c r="I2634" t="s">
        <v>19</v>
      </c>
      <c r="J2634" t="s">
        <v>20</v>
      </c>
      <c r="L2634" t="s">
        <v>64</v>
      </c>
      <c r="M2634" t="s">
        <v>4196</v>
      </c>
      <c r="N2634" t="s">
        <v>4196</v>
      </c>
      <c r="O2634" t="s">
        <v>73</v>
      </c>
      <c r="P2634" t="s">
        <v>1806</v>
      </c>
      <c r="Q2634" t="s">
        <v>4197</v>
      </c>
      <c r="R2634" t="s">
        <v>4198</v>
      </c>
    </row>
    <row r="2635" spans="1:18" x14ac:dyDescent="0.25">
      <c r="A2635" t="s">
        <v>22656</v>
      </c>
      <c r="B2635" t="s">
        <v>4202</v>
      </c>
      <c r="C2635" t="str">
        <f>HYPERLINK("https://nematode.unl.edu/dipla12.jpg")</f>
        <v>https://nematode.unl.edu/dipla12.jpg</v>
      </c>
      <c r="D2635" t="s">
        <v>77</v>
      </c>
      <c r="G2635" t="s">
        <v>112</v>
      </c>
      <c r="I2635" t="s">
        <v>41</v>
      </c>
      <c r="J2635" t="s">
        <v>20</v>
      </c>
      <c r="L2635" t="s">
        <v>64</v>
      </c>
      <c r="M2635" t="s">
        <v>4196</v>
      </c>
      <c r="N2635" t="s">
        <v>4196</v>
      </c>
      <c r="O2635" t="s">
        <v>73</v>
      </c>
      <c r="P2635" t="s">
        <v>1806</v>
      </c>
      <c r="Q2635" t="s">
        <v>4197</v>
      </c>
      <c r="R2635" t="s">
        <v>4198</v>
      </c>
    </row>
    <row r="2636" spans="1:18" x14ac:dyDescent="0.25">
      <c r="A2636" t="s">
        <v>22644</v>
      </c>
      <c r="B2636" t="s">
        <v>4203</v>
      </c>
      <c r="C2636" t="str">
        <f>HYPERLINK("https://nematode.unl.edu/dipla13.jpg")</f>
        <v>https://nematode.unl.edu/dipla13.jpg</v>
      </c>
      <c r="D2636" t="s">
        <v>77</v>
      </c>
      <c r="G2636" t="s">
        <v>386</v>
      </c>
      <c r="H2636" t="s">
        <v>18</v>
      </c>
      <c r="I2636" t="s">
        <v>41</v>
      </c>
      <c r="J2636" t="s">
        <v>20</v>
      </c>
      <c r="L2636" t="s">
        <v>64</v>
      </c>
      <c r="M2636" t="s">
        <v>4196</v>
      </c>
      <c r="N2636" t="s">
        <v>4196</v>
      </c>
      <c r="O2636" t="s">
        <v>73</v>
      </c>
      <c r="P2636" t="s">
        <v>1806</v>
      </c>
      <c r="Q2636" t="s">
        <v>4197</v>
      </c>
      <c r="R2636" t="s">
        <v>4198</v>
      </c>
    </row>
    <row r="2637" spans="1:18" x14ac:dyDescent="0.25">
      <c r="A2637" t="s">
        <v>22648</v>
      </c>
      <c r="B2637" t="s">
        <v>4204</v>
      </c>
      <c r="C2637" t="str">
        <f>HYPERLINK("https://nematode.unl.edu/dipla15.jpg")</f>
        <v>https://nematode.unl.edu/dipla15.jpg</v>
      </c>
      <c r="D2637" t="s">
        <v>77</v>
      </c>
      <c r="G2637" t="s">
        <v>34</v>
      </c>
      <c r="H2637" t="s">
        <v>18</v>
      </c>
      <c r="I2637" t="s">
        <v>41</v>
      </c>
      <c r="J2637" t="s">
        <v>20</v>
      </c>
      <c r="L2637" t="s">
        <v>64</v>
      </c>
      <c r="M2637" t="s">
        <v>4196</v>
      </c>
      <c r="N2637" t="s">
        <v>4196</v>
      </c>
      <c r="O2637" t="s">
        <v>73</v>
      </c>
      <c r="P2637" t="s">
        <v>1806</v>
      </c>
      <c r="Q2637" t="s">
        <v>4197</v>
      </c>
      <c r="R2637" t="s">
        <v>4198</v>
      </c>
    </row>
    <row r="2638" spans="1:18" x14ac:dyDescent="0.25">
      <c r="A2638" t="s">
        <v>22659</v>
      </c>
      <c r="B2638" t="s">
        <v>4205</v>
      </c>
      <c r="C2638" t="str">
        <f>HYPERLINK("https://nematode.unl.edu/dipla2.jpg")</f>
        <v>https://nematode.unl.edu/dipla2.jpg</v>
      </c>
      <c r="D2638" t="s">
        <v>16</v>
      </c>
      <c r="G2638" t="s">
        <v>28</v>
      </c>
      <c r="I2638" t="s">
        <v>19</v>
      </c>
      <c r="J2638" t="s">
        <v>20</v>
      </c>
      <c r="L2638" t="s">
        <v>64</v>
      </c>
      <c r="M2638" t="s">
        <v>4196</v>
      </c>
      <c r="N2638" t="s">
        <v>4196</v>
      </c>
      <c r="O2638" t="s">
        <v>73</v>
      </c>
      <c r="P2638" t="s">
        <v>1806</v>
      </c>
      <c r="Q2638" t="s">
        <v>4197</v>
      </c>
      <c r="R2638" t="s">
        <v>4198</v>
      </c>
    </row>
    <row r="2639" spans="1:18" x14ac:dyDescent="0.25">
      <c r="A2639" t="s">
        <v>22653</v>
      </c>
      <c r="B2639" t="s">
        <v>4206</v>
      </c>
      <c r="C2639" t="str">
        <f>HYPERLINK("https://nematode.unl.edu/dipla3.jpg")</f>
        <v>https://nematode.unl.edu/dipla3.jpg</v>
      </c>
      <c r="D2639" t="s">
        <v>77</v>
      </c>
      <c r="G2639" t="s">
        <v>44</v>
      </c>
      <c r="I2639" t="s">
        <v>91</v>
      </c>
      <c r="J2639" t="s">
        <v>20</v>
      </c>
      <c r="L2639" t="s">
        <v>64</v>
      </c>
      <c r="M2639" t="s">
        <v>4196</v>
      </c>
      <c r="N2639" t="s">
        <v>4196</v>
      </c>
      <c r="O2639" t="s">
        <v>73</v>
      </c>
      <c r="P2639" t="s">
        <v>1806</v>
      </c>
      <c r="Q2639" t="s">
        <v>4197</v>
      </c>
      <c r="R2639" t="s">
        <v>4198</v>
      </c>
    </row>
    <row r="2640" spans="1:18" x14ac:dyDescent="0.25">
      <c r="A2640" t="s">
        <v>22645</v>
      </c>
      <c r="B2640" t="s">
        <v>4207</v>
      </c>
      <c r="C2640" t="str">
        <f>HYPERLINK("https://nematode.unl.edu/dipla4.jpg")</f>
        <v>https://nematode.unl.edu/dipla4.jpg</v>
      </c>
      <c r="D2640" t="s">
        <v>77</v>
      </c>
      <c r="G2640" t="s">
        <v>17</v>
      </c>
      <c r="H2640" t="s">
        <v>18</v>
      </c>
      <c r="I2640" t="s">
        <v>19</v>
      </c>
      <c r="J2640" t="s">
        <v>20</v>
      </c>
      <c r="L2640" t="s">
        <v>64</v>
      </c>
      <c r="M2640" t="s">
        <v>4196</v>
      </c>
      <c r="N2640" t="s">
        <v>4196</v>
      </c>
      <c r="O2640" t="s">
        <v>73</v>
      </c>
      <c r="P2640" t="s">
        <v>1806</v>
      </c>
      <c r="Q2640" t="s">
        <v>4197</v>
      </c>
      <c r="R2640" t="s">
        <v>4198</v>
      </c>
    </row>
    <row r="2641" spans="1:18" x14ac:dyDescent="0.25">
      <c r="A2641" t="s">
        <v>22649</v>
      </c>
      <c r="B2641" t="s">
        <v>4208</v>
      </c>
      <c r="C2641" t="str">
        <f>HYPERLINK("https://nematode.unl.edu/dipla5.jpg")</f>
        <v>https://nematode.unl.edu/dipla5.jpg</v>
      </c>
      <c r="D2641" t="s">
        <v>77</v>
      </c>
      <c r="G2641" t="s">
        <v>34</v>
      </c>
      <c r="H2641" t="s">
        <v>18</v>
      </c>
      <c r="I2641" t="s">
        <v>19</v>
      </c>
      <c r="J2641" t="s">
        <v>20</v>
      </c>
      <c r="L2641" t="s">
        <v>64</v>
      </c>
      <c r="M2641" t="s">
        <v>4196</v>
      </c>
      <c r="N2641" t="s">
        <v>4196</v>
      </c>
      <c r="O2641" t="s">
        <v>73</v>
      </c>
      <c r="P2641" t="s">
        <v>1806</v>
      </c>
      <c r="Q2641" t="s">
        <v>4197</v>
      </c>
      <c r="R2641" t="s">
        <v>4198</v>
      </c>
    </row>
    <row r="2642" spans="1:18" x14ac:dyDescent="0.25">
      <c r="A2642" t="s">
        <v>22660</v>
      </c>
      <c r="B2642" t="s">
        <v>4209</v>
      </c>
      <c r="C2642" t="str">
        <f>HYPERLINK("https://nematode.unl.edu/dipla6.jpg")</f>
        <v>https://nematode.unl.edu/dipla6.jpg</v>
      </c>
      <c r="D2642" t="s">
        <v>77</v>
      </c>
      <c r="G2642" t="s">
        <v>28</v>
      </c>
      <c r="I2642" t="s">
        <v>19</v>
      </c>
      <c r="J2642" t="s">
        <v>20</v>
      </c>
      <c r="L2642" t="s">
        <v>64</v>
      </c>
      <c r="M2642" t="s">
        <v>4196</v>
      </c>
      <c r="N2642" t="s">
        <v>4196</v>
      </c>
      <c r="O2642" t="s">
        <v>73</v>
      </c>
      <c r="P2642" t="s">
        <v>1806</v>
      </c>
      <c r="Q2642" t="s">
        <v>4197</v>
      </c>
      <c r="R2642" t="s">
        <v>4198</v>
      </c>
    </row>
    <row r="2643" spans="1:18" x14ac:dyDescent="0.25">
      <c r="A2643" t="s">
        <v>22652</v>
      </c>
      <c r="B2643" t="s">
        <v>4210</v>
      </c>
      <c r="C2643" t="str">
        <f>HYPERLINK("https://nematode.unl.edu/dipla7.jpg")</f>
        <v>https://nematode.unl.edu/dipla7.jpg</v>
      </c>
      <c r="D2643" t="s">
        <v>77</v>
      </c>
      <c r="G2643" t="s">
        <v>257</v>
      </c>
      <c r="H2643" t="s">
        <v>18</v>
      </c>
      <c r="I2643" t="s">
        <v>19</v>
      </c>
      <c r="J2643" t="s">
        <v>20</v>
      </c>
      <c r="L2643" t="s">
        <v>64</v>
      </c>
      <c r="M2643" t="s">
        <v>4196</v>
      </c>
      <c r="N2643" t="s">
        <v>4196</v>
      </c>
      <c r="O2643" t="s">
        <v>73</v>
      </c>
      <c r="P2643" t="s">
        <v>1806</v>
      </c>
      <c r="Q2643" t="s">
        <v>4197</v>
      </c>
      <c r="R2643" t="s">
        <v>4198</v>
      </c>
    </row>
    <row r="2644" spans="1:18" x14ac:dyDescent="0.25">
      <c r="A2644" t="s">
        <v>22650</v>
      </c>
      <c r="B2644" t="s">
        <v>4211</v>
      </c>
      <c r="C2644" t="str">
        <f>HYPERLINK("https://nematode.unl.edu/dipla8.jpg")</f>
        <v>https://nematode.unl.edu/dipla8.jpg</v>
      </c>
      <c r="D2644" t="s">
        <v>77</v>
      </c>
      <c r="G2644" t="s">
        <v>34</v>
      </c>
      <c r="H2644" t="s">
        <v>18</v>
      </c>
      <c r="I2644" t="s">
        <v>41</v>
      </c>
      <c r="J2644" t="s">
        <v>20</v>
      </c>
      <c r="L2644" t="s">
        <v>64</v>
      </c>
      <c r="M2644" t="s">
        <v>4196</v>
      </c>
      <c r="N2644" t="s">
        <v>4196</v>
      </c>
      <c r="O2644" t="s">
        <v>73</v>
      </c>
      <c r="P2644" t="s">
        <v>1806</v>
      </c>
      <c r="Q2644" t="s">
        <v>4197</v>
      </c>
      <c r="R2644" t="s">
        <v>4198</v>
      </c>
    </row>
    <row r="2645" spans="1:18" x14ac:dyDescent="0.25">
      <c r="A2645" t="s">
        <v>22661</v>
      </c>
      <c r="B2645" t="s">
        <v>4212</v>
      </c>
      <c r="C2645" t="str">
        <f>HYPERLINK("https://nematode.unl.edu/dipla9.jpg")</f>
        <v>https://nematode.unl.edu/dipla9.jpg</v>
      </c>
      <c r="D2645" t="s">
        <v>77</v>
      </c>
      <c r="G2645" t="s">
        <v>28</v>
      </c>
      <c r="I2645" t="s">
        <v>19</v>
      </c>
      <c r="J2645" t="s">
        <v>20</v>
      </c>
      <c r="L2645" t="s">
        <v>64</v>
      </c>
      <c r="M2645" t="s">
        <v>4196</v>
      </c>
      <c r="N2645" t="s">
        <v>4196</v>
      </c>
      <c r="O2645" t="s">
        <v>73</v>
      </c>
      <c r="P2645" t="s">
        <v>1806</v>
      </c>
      <c r="Q2645" t="s">
        <v>4197</v>
      </c>
      <c r="R2645" t="s">
        <v>4198</v>
      </c>
    </row>
    <row r="2646" spans="1:18" x14ac:dyDescent="0.25">
      <c r="A2646" t="s">
        <v>22655</v>
      </c>
      <c r="B2646" t="s">
        <v>4213</v>
      </c>
      <c r="C2646" t="str">
        <f>HYPERLINK("https://nematode.unl.edu/diplacmp.jpg")</f>
        <v>https://nematode.unl.edu/diplacmp.jpg</v>
      </c>
      <c r="D2646" t="s">
        <v>77</v>
      </c>
      <c r="G2646" t="s">
        <v>108</v>
      </c>
      <c r="M2646" t="s">
        <v>4196</v>
      </c>
      <c r="N2646" t="s">
        <v>4196</v>
      </c>
      <c r="O2646" t="s">
        <v>73</v>
      </c>
      <c r="P2646" t="s">
        <v>1806</v>
      </c>
      <c r="Q2646" t="s">
        <v>4197</v>
      </c>
      <c r="R2646" t="s">
        <v>4198</v>
      </c>
    </row>
    <row r="2647" spans="1:18" x14ac:dyDescent="0.25">
      <c r="A2647" t="s">
        <v>22662</v>
      </c>
      <c r="B2647" t="s">
        <v>4217</v>
      </c>
      <c r="C2647" t="str">
        <f>HYPERLINK("https://nematode.unl.edu/dipladrw.jpg")</f>
        <v>https://nematode.unl.edu/dipladrw.jpg</v>
      </c>
      <c r="G2647" t="s">
        <v>108</v>
      </c>
      <c r="M2647" t="s">
        <v>4218</v>
      </c>
      <c r="N2647" t="s">
        <v>4218</v>
      </c>
      <c r="O2647" t="s">
        <v>73</v>
      </c>
      <c r="P2647" t="s">
        <v>1806</v>
      </c>
      <c r="Q2647" t="s">
        <v>4197</v>
      </c>
      <c r="R2647" t="s">
        <v>4198</v>
      </c>
    </row>
    <row r="2648" spans="1:18" x14ac:dyDescent="0.25">
      <c r="A2648" t="s">
        <v>22654</v>
      </c>
      <c r="B2648" t="s">
        <v>4214</v>
      </c>
      <c r="C2648" t="str">
        <f>HYPERLINK("https://nematode.unl.edu/diplat1.jpg")</f>
        <v>https://nematode.unl.edu/diplat1.jpg</v>
      </c>
      <c r="D2648" t="s">
        <v>77</v>
      </c>
      <c r="G2648" t="s">
        <v>44</v>
      </c>
      <c r="I2648" t="s">
        <v>45</v>
      </c>
      <c r="J2648" t="s">
        <v>46</v>
      </c>
      <c r="L2648" t="s">
        <v>105</v>
      </c>
      <c r="M2648" t="s">
        <v>4196</v>
      </c>
      <c r="N2648" t="s">
        <v>4196</v>
      </c>
      <c r="O2648" t="s">
        <v>73</v>
      </c>
      <c r="P2648" t="s">
        <v>1806</v>
      </c>
      <c r="Q2648" t="s">
        <v>4197</v>
      </c>
      <c r="R2648" t="s">
        <v>4198</v>
      </c>
    </row>
    <row r="2649" spans="1:18" x14ac:dyDescent="0.25">
      <c r="A2649" t="s">
        <v>22651</v>
      </c>
      <c r="B2649" t="s">
        <v>4215</v>
      </c>
      <c r="C2649" t="str">
        <f>HYPERLINK("https://nematode.unl.edu/diplat2.jpg")</f>
        <v>https://nematode.unl.edu/diplat2.jpg</v>
      </c>
      <c r="D2649" t="s">
        <v>77</v>
      </c>
      <c r="G2649" t="s">
        <v>34</v>
      </c>
      <c r="H2649" t="s">
        <v>18</v>
      </c>
      <c r="I2649" t="s">
        <v>19</v>
      </c>
      <c r="J2649" t="s">
        <v>46</v>
      </c>
      <c r="L2649" t="s">
        <v>105</v>
      </c>
      <c r="M2649" t="s">
        <v>4196</v>
      </c>
      <c r="N2649" t="s">
        <v>4196</v>
      </c>
      <c r="O2649" t="s">
        <v>73</v>
      </c>
      <c r="P2649" t="s">
        <v>1806</v>
      </c>
      <c r="Q2649" t="s">
        <v>4197</v>
      </c>
      <c r="R2649" t="s">
        <v>4198</v>
      </c>
    </row>
    <row r="2650" spans="1:18" x14ac:dyDescent="0.25">
      <c r="A2650" t="s">
        <v>22657</v>
      </c>
      <c r="B2650" t="s">
        <v>4216</v>
      </c>
      <c r="C2650" t="str">
        <f>HYPERLINK("https://nematode.unl.edu/diplat3.jpg")</f>
        <v>https://nematode.unl.edu/diplat3.jpg</v>
      </c>
      <c r="D2650" t="s">
        <v>77</v>
      </c>
      <c r="G2650" t="s">
        <v>112</v>
      </c>
      <c r="I2650" t="s">
        <v>19</v>
      </c>
      <c r="J2650" t="s">
        <v>46</v>
      </c>
      <c r="L2650" t="s">
        <v>105</v>
      </c>
      <c r="M2650" t="s">
        <v>4196</v>
      </c>
      <c r="N2650" t="s">
        <v>4196</v>
      </c>
      <c r="O2650" t="s">
        <v>73</v>
      </c>
      <c r="P2650" t="s">
        <v>1806</v>
      </c>
      <c r="Q2650" t="s">
        <v>4197</v>
      </c>
      <c r="R2650" t="s">
        <v>4198</v>
      </c>
    </row>
    <row r="2651" spans="1:18" x14ac:dyDescent="0.25">
      <c r="A2651" t="s">
        <v>15738</v>
      </c>
      <c r="B2651" t="s">
        <v>4262</v>
      </c>
      <c r="C2651" t="str">
        <f>HYPERLINK("https://nematode.unl.edu/diplerit1.jpg")</f>
        <v>https://nematode.unl.edu/diplerit1.jpg</v>
      </c>
      <c r="D2651" t="s">
        <v>43</v>
      </c>
      <c r="G2651" t="s">
        <v>34</v>
      </c>
      <c r="H2651" t="s">
        <v>18</v>
      </c>
      <c r="I2651" t="s">
        <v>19</v>
      </c>
      <c r="J2651" t="s">
        <v>4263</v>
      </c>
      <c r="L2651" t="s">
        <v>131</v>
      </c>
      <c r="M2651" t="s">
        <v>4251</v>
      </c>
      <c r="N2651" t="s">
        <v>4251</v>
      </c>
      <c r="O2651" t="s">
        <v>23</v>
      </c>
      <c r="P2651" t="s">
        <v>24</v>
      </c>
      <c r="Q2651" t="s">
        <v>2091</v>
      </c>
      <c r="R2651" t="s">
        <v>4251</v>
      </c>
    </row>
    <row r="2652" spans="1:18" x14ac:dyDescent="0.25">
      <c r="A2652" t="s">
        <v>15744</v>
      </c>
      <c r="B2652" t="s">
        <v>4264</v>
      </c>
      <c r="C2652" t="str">
        <f>HYPERLINK("https://nematode.unl.edu/diplerit2.jpg")</f>
        <v>https://nematode.unl.edu/diplerit2.jpg</v>
      </c>
      <c r="D2652" t="s">
        <v>43</v>
      </c>
      <c r="G2652" t="s">
        <v>28</v>
      </c>
      <c r="I2652" t="s">
        <v>19</v>
      </c>
      <c r="J2652" t="s">
        <v>4263</v>
      </c>
      <c r="L2652" t="s">
        <v>131</v>
      </c>
      <c r="M2652" t="s">
        <v>4251</v>
      </c>
      <c r="N2652" t="s">
        <v>4251</v>
      </c>
      <c r="O2652" t="s">
        <v>23</v>
      </c>
      <c r="P2652" t="s">
        <v>24</v>
      </c>
      <c r="Q2652" t="s">
        <v>2091</v>
      </c>
      <c r="R2652" t="s">
        <v>4251</v>
      </c>
    </row>
    <row r="2653" spans="1:18" x14ac:dyDescent="0.25">
      <c r="A2653" t="s">
        <v>15739</v>
      </c>
      <c r="B2653" t="s">
        <v>4265</v>
      </c>
      <c r="C2653" t="str">
        <f>HYPERLINK("https://nematode.unl.edu/diplerit3.jpg")</f>
        <v>https://nematode.unl.edu/diplerit3.jpg</v>
      </c>
      <c r="D2653" t="s">
        <v>43</v>
      </c>
      <c r="G2653" t="s">
        <v>34</v>
      </c>
      <c r="H2653" t="s">
        <v>18</v>
      </c>
      <c r="I2653" t="s">
        <v>41</v>
      </c>
      <c r="J2653" t="s">
        <v>4263</v>
      </c>
      <c r="L2653" t="s">
        <v>131</v>
      </c>
      <c r="M2653" t="s">
        <v>4251</v>
      </c>
      <c r="N2653" t="s">
        <v>4251</v>
      </c>
      <c r="O2653" t="s">
        <v>23</v>
      </c>
      <c r="P2653" t="s">
        <v>24</v>
      </c>
      <c r="Q2653" t="s">
        <v>2091</v>
      </c>
      <c r="R2653" t="s">
        <v>4251</v>
      </c>
    </row>
    <row r="2654" spans="1:18" x14ac:dyDescent="0.25">
      <c r="A2654" t="s">
        <v>15746</v>
      </c>
      <c r="B2654" t="s">
        <v>4266</v>
      </c>
      <c r="C2654" t="str">
        <f>HYPERLINK("https://nematode.unl.edu/diplerit4.jpg")</f>
        <v>https://nematode.unl.edu/diplerit4.jpg</v>
      </c>
      <c r="D2654" t="s">
        <v>43</v>
      </c>
      <c r="G2654" t="s">
        <v>51</v>
      </c>
      <c r="I2654" t="s">
        <v>41</v>
      </c>
      <c r="J2654" t="s">
        <v>4263</v>
      </c>
      <c r="M2654" t="s">
        <v>4251</v>
      </c>
      <c r="N2654" t="s">
        <v>4251</v>
      </c>
      <c r="O2654" t="s">
        <v>23</v>
      </c>
      <c r="P2654" t="s">
        <v>24</v>
      </c>
      <c r="Q2654" t="s">
        <v>2091</v>
      </c>
      <c r="R2654" t="s">
        <v>4251</v>
      </c>
    </row>
    <row r="2655" spans="1:18" x14ac:dyDescent="0.25">
      <c r="A2655" t="s">
        <v>15740</v>
      </c>
      <c r="B2655" t="s">
        <v>4250</v>
      </c>
      <c r="C2655" t="str">
        <f>HYPERLINK("https://nematode.unl.edu/diplog1.jpg")</f>
        <v>https://nematode.unl.edu/diplog1.jpg</v>
      </c>
      <c r="D2655" t="s">
        <v>16</v>
      </c>
      <c r="G2655" t="s">
        <v>44</v>
      </c>
      <c r="I2655" t="s">
        <v>45</v>
      </c>
      <c r="J2655" t="s">
        <v>46</v>
      </c>
      <c r="L2655" t="s">
        <v>727</v>
      </c>
      <c r="M2655" t="s">
        <v>4251</v>
      </c>
      <c r="N2655" t="s">
        <v>4251</v>
      </c>
      <c r="O2655" t="s">
        <v>23</v>
      </c>
      <c r="P2655" t="s">
        <v>24</v>
      </c>
      <c r="Q2655" t="s">
        <v>2091</v>
      </c>
      <c r="R2655" t="s">
        <v>4251</v>
      </c>
    </row>
    <row r="2656" spans="1:18" x14ac:dyDescent="0.25">
      <c r="A2656" t="s">
        <v>15734</v>
      </c>
      <c r="B2656" t="s">
        <v>4252</v>
      </c>
      <c r="C2656" t="str">
        <f>HYPERLINK("https://nematode.unl.edu/diplog2.jpg")</f>
        <v>https://nematode.unl.edu/diplog2.jpg</v>
      </c>
      <c r="D2656" t="s">
        <v>16</v>
      </c>
      <c r="G2656" t="s">
        <v>34</v>
      </c>
      <c r="H2656" t="s">
        <v>18</v>
      </c>
      <c r="I2656" t="s">
        <v>19</v>
      </c>
      <c r="J2656" t="s">
        <v>46</v>
      </c>
      <c r="L2656" t="s">
        <v>727</v>
      </c>
      <c r="M2656" t="s">
        <v>4251</v>
      </c>
      <c r="N2656" t="s">
        <v>4251</v>
      </c>
      <c r="O2656" t="s">
        <v>23</v>
      </c>
      <c r="P2656" t="s">
        <v>24</v>
      </c>
      <c r="Q2656" t="s">
        <v>2091</v>
      </c>
      <c r="R2656" t="s">
        <v>4251</v>
      </c>
    </row>
    <row r="2657" spans="1:18" x14ac:dyDescent="0.25">
      <c r="A2657" t="s">
        <v>15742</v>
      </c>
      <c r="B2657" t="s">
        <v>4253</v>
      </c>
      <c r="C2657" t="str">
        <f>HYPERLINK("https://nematode.unl.edu/diplog3.jpg")</f>
        <v>https://nematode.unl.edu/diplog3.jpg</v>
      </c>
      <c r="D2657" t="s">
        <v>16</v>
      </c>
      <c r="G2657" t="s">
        <v>28</v>
      </c>
      <c r="I2657" t="s">
        <v>19</v>
      </c>
      <c r="J2657" t="s">
        <v>46</v>
      </c>
      <c r="L2657" t="s">
        <v>727</v>
      </c>
      <c r="M2657" t="s">
        <v>4251</v>
      </c>
      <c r="N2657" t="s">
        <v>4251</v>
      </c>
      <c r="O2657" t="s">
        <v>23</v>
      </c>
      <c r="P2657" t="s">
        <v>24</v>
      </c>
      <c r="Q2657" t="s">
        <v>2091</v>
      </c>
      <c r="R2657" t="s">
        <v>4251</v>
      </c>
    </row>
    <row r="2658" spans="1:18" x14ac:dyDescent="0.25">
      <c r="A2658" t="s">
        <v>15741</v>
      </c>
      <c r="B2658" t="s">
        <v>4254</v>
      </c>
      <c r="C2658" t="str">
        <f>HYPERLINK("https://nematode.unl.edu/diplog4.jpg")</f>
        <v>https://nematode.unl.edu/diplog4.jpg</v>
      </c>
      <c r="D2658" t="s">
        <v>43</v>
      </c>
      <c r="G2658" t="s">
        <v>44</v>
      </c>
      <c r="I2658" t="s">
        <v>91</v>
      </c>
      <c r="J2658" t="s">
        <v>46</v>
      </c>
      <c r="L2658" t="s">
        <v>727</v>
      </c>
      <c r="M2658" t="s">
        <v>4251</v>
      </c>
      <c r="N2658" t="s">
        <v>4251</v>
      </c>
      <c r="O2658" t="s">
        <v>23</v>
      </c>
      <c r="P2658" t="s">
        <v>24</v>
      </c>
      <c r="Q2658" t="s">
        <v>2091</v>
      </c>
      <c r="R2658" t="s">
        <v>4251</v>
      </c>
    </row>
    <row r="2659" spans="1:18" x14ac:dyDescent="0.25">
      <c r="A2659" t="s">
        <v>15733</v>
      </c>
      <c r="B2659" t="s">
        <v>4255</v>
      </c>
      <c r="C2659" t="str">
        <f>HYPERLINK("https://nematode.unl.edu/diplog5.jpg")</f>
        <v>https://nematode.unl.edu/diplog5.jpg</v>
      </c>
      <c r="D2659" t="s">
        <v>43</v>
      </c>
      <c r="G2659" t="s">
        <v>17</v>
      </c>
      <c r="H2659" t="s">
        <v>18</v>
      </c>
      <c r="I2659" t="s">
        <v>19</v>
      </c>
      <c r="J2659" t="s">
        <v>46</v>
      </c>
      <c r="L2659" t="s">
        <v>727</v>
      </c>
      <c r="M2659" t="s">
        <v>4251</v>
      </c>
      <c r="N2659" t="s">
        <v>4251</v>
      </c>
      <c r="O2659" t="s">
        <v>23</v>
      </c>
      <c r="P2659" t="s">
        <v>24</v>
      </c>
      <c r="Q2659" t="s">
        <v>2091</v>
      </c>
      <c r="R2659" t="s">
        <v>4251</v>
      </c>
    </row>
    <row r="2660" spans="1:18" x14ac:dyDescent="0.25">
      <c r="A2660" t="s">
        <v>15745</v>
      </c>
      <c r="B2660" t="s">
        <v>4256</v>
      </c>
      <c r="C2660" t="str">
        <f>HYPERLINK("https://nematode.unl.edu/diplog6.jpg")</f>
        <v>https://nematode.unl.edu/diplog6.jpg</v>
      </c>
      <c r="D2660" t="s">
        <v>43</v>
      </c>
      <c r="G2660" t="s">
        <v>51</v>
      </c>
      <c r="I2660" t="s">
        <v>45</v>
      </c>
      <c r="J2660" t="s">
        <v>46</v>
      </c>
      <c r="L2660" t="s">
        <v>727</v>
      </c>
      <c r="M2660" t="s">
        <v>4251</v>
      </c>
      <c r="N2660" t="s">
        <v>4251</v>
      </c>
      <c r="O2660" t="s">
        <v>23</v>
      </c>
      <c r="P2660" t="s">
        <v>24</v>
      </c>
      <c r="Q2660" t="s">
        <v>2091</v>
      </c>
      <c r="R2660" t="s">
        <v>4251</v>
      </c>
    </row>
    <row r="2661" spans="1:18" x14ac:dyDescent="0.25">
      <c r="A2661" t="s">
        <v>15743</v>
      </c>
      <c r="B2661" t="s">
        <v>4257</v>
      </c>
      <c r="C2661" t="str">
        <f>HYPERLINK("https://nematode.unl.edu/diplog7.jpg")</f>
        <v>https://nematode.unl.edu/diplog7.jpg</v>
      </c>
      <c r="D2661" t="s">
        <v>43</v>
      </c>
      <c r="G2661" t="s">
        <v>28</v>
      </c>
      <c r="I2661" t="s">
        <v>45</v>
      </c>
      <c r="J2661" t="s">
        <v>46</v>
      </c>
      <c r="L2661" t="s">
        <v>727</v>
      </c>
      <c r="M2661" t="s">
        <v>4251</v>
      </c>
      <c r="N2661" t="s">
        <v>4251</v>
      </c>
      <c r="O2661" t="s">
        <v>23</v>
      </c>
      <c r="P2661" t="s">
        <v>24</v>
      </c>
      <c r="Q2661" t="s">
        <v>2091</v>
      </c>
      <c r="R2661" t="s">
        <v>4251</v>
      </c>
    </row>
    <row r="2662" spans="1:18" x14ac:dyDescent="0.25">
      <c r="A2662" t="s">
        <v>15735</v>
      </c>
      <c r="B2662" t="s">
        <v>4258</v>
      </c>
      <c r="C2662" t="str">
        <f>HYPERLINK("https://nematode.unl.edu/diplog8.jpg")</f>
        <v>https://nematode.unl.edu/diplog8.jpg</v>
      </c>
      <c r="D2662" t="s">
        <v>16</v>
      </c>
      <c r="G2662" t="s">
        <v>34</v>
      </c>
      <c r="H2662" t="s">
        <v>18</v>
      </c>
      <c r="I2662" t="s">
        <v>19</v>
      </c>
      <c r="J2662" t="s">
        <v>46</v>
      </c>
      <c r="L2662" t="s">
        <v>727</v>
      </c>
      <c r="M2662" t="s">
        <v>4251</v>
      </c>
      <c r="N2662" t="s">
        <v>4251</v>
      </c>
      <c r="O2662" t="s">
        <v>23</v>
      </c>
      <c r="P2662" t="s">
        <v>24</v>
      </c>
      <c r="Q2662" t="s">
        <v>2091</v>
      </c>
      <c r="R2662" t="s">
        <v>4251</v>
      </c>
    </row>
    <row r="2663" spans="1:18" x14ac:dyDescent="0.25">
      <c r="A2663" t="s">
        <v>12225</v>
      </c>
      <c r="B2663" t="s">
        <v>4277</v>
      </c>
      <c r="C2663" t="str">
        <f>HYPERLINK("https://nematode.unl.edu/diploid1.jpg")</f>
        <v>https://nematode.unl.edu/diploid1.jpg</v>
      </c>
      <c r="D2663" t="s">
        <v>43</v>
      </c>
      <c r="G2663" t="s">
        <v>34</v>
      </c>
      <c r="H2663" t="s">
        <v>18</v>
      </c>
      <c r="I2663" t="s">
        <v>19</v>
      </c>
      <c r="J2663" t="s">
        <v>20</v>
      </c>
      <c r="L2663" t="s">
        <v>4278</v>
      </c>
      <c r="M2663" t="s">
        <v>4279</v>
      </c>
      <c r="N2663" t="s">
        <v>4279</v>
      </c>
      <c r="O2663" t="s">
        <v>23</v>
      </c>
      <c r="P2663" t="s">
        <v>1024</v>
      </c>
      <c r="Q2663" t="s">
        <v>1025</v>
      </c>
      <c r="R2663" t="s">
        <v>4279</v>
      </c>
    </row>
    <row r="2664" spans="1:18" x14ac:dyDescent="0.25">
      <c r="A2664" t="s">
        <v>12226</v>
      </c>
      <c r="B2664" t="s">
        <v>4280</v>
      </c>
      <c r="C2664" t="str">
        <f>HYPERLINK("https://nematode.unl.edu/diploid10.jpg")</f>
        <v>https://nematode.unl.edu/diploid10.jpg</v>
      </c>
      <c r="D2664" t="s">
        <v>16</v>
      </c>
      <c r="G2664" t="s">
        <v>34</v>
      </c>
      <c r="H2664" t="s">
        <v>18</v>
      </c>
      <c r="I2664" t="s">
        <v>41</v>
      </c>
      <c r="J2664" t="s">
        <v>20</v>
      </c>
      <c r="L2664" t="s">
        <v>4278</v>
      </c>
      <c r="M2664" t="s">
        <v>4279</v>
      </c>
      <c r="N2664" t="s">
        <v>4279</v>
      </c>
      <c r="O2664" t="s">
        <v>23</v>
      </c>
      <c r="P2664" t="s">
        <v>1024</v>
      </c>
      <c r="Q2664" t="s">
        <v>1025</v>
      </c>
      <c r="R2664" t="s">
        <v>4279</v>
      </c>
    </row>
    <row r="2665" spans="1:18" x14ac:dyDescent="0.25">
      <c r="A2665" t="s">
        <v>12231</v>
      </c>
      <c r="B2665" t="s">
        <v>4281</v>
      </c>
      <c r="C2665" t="str">
        <f>HYPERLINK("https://nematode.unl.edu/diploid2.jpg")</f>
        <v>https://nematode.unl.edu/diploid2.jpg</v>
      </c>
      <c r="D2665" t="s">
        <v>43</v>
      </c>
      <c r="G2665" t="s">
        <v>28</v>
      </c>
      <c r="I2665" t="s">
        <v>19</v>
      </c>
      <c r="J2665" t="s">
        <v>20</v>
      </c>
      <c r="L2665" t="s">
        <v>4278</v>
      </c>
      <c r="M2665" t="s">
        <v>4279</v>
      </c>
      <c r="N2665" t="s">
        <v>4279</v>
      </c>
      <c r="O2665" t="s">
        <v>23</v>
      </c>
      <c r="P2665" t="s">
        <v>1024</v>
      </c>
      <c r="Q2665" t="s">
        <v>1025</v>
      </c>
      <c r="R2665" t="s">
        <v>4279</v>
      </c>
    </row>
    <row r="2666" spans="1:18" x14ac:dyDescent="0.25">
      <c r="A2666" t="s">
        <v>12227</v>
      </c>
      <c r="B2666" t="s">
        <v>4282</v>
      </c>
      <c r="C2666" t="str">
        <f>HYPERLINK("https://nematode.unl.edu/diploid3.jpg")</f>
        <v>https://nematode.unl.edu/diploid3.jpg</v>
      </c>
      <c r="D2666" t="s">
        <v>43</v>
      </c>
      <c r="G2666" t="s">
        <v>34</v>
      </c>
      <c r="H2666" t="s">
        <v>18</v>
      </c>
      <c r="I2666" t="s">
        <v>41</v>
      </c>
      <c r="J2666" t="s">
        <v>20</v>
      </c>
      <c r="L2666" t="s">
        <v>4278</v>
      </c>
      <c r="M2666" t="s">
        <v>4279</v>
      </c>
      <c r="N2666" t="s">
        <v>4279</v>
      </c>
      <c r="O2666" t="s">
        <v>23</v>
      </c>
      <c r="P2666" t="s">
        <v>1024</v>
      </c>
      <c r="Q2666" t="s">
        <v>1025</v>
      </c>
      <c r="R2666" t="s">
        <v>4279</v>
      </c>
    </row>
    <row r="2667" spans="1:18" x14ac:dyDescent="0.25">
      <c r="A2667" t="s">
        <v>12224</v>
      </c>
      <c r="B2667" t="s">
        <v>4283</v>
      </c>
      <c r="C2667" t="str">
        <f>HYPERLINK("https://nematode.unl.edu/diploid4.jpg")</f>
        <v>https://nematode.unl.edu/diploid4.jpg</v>
      </c>
      <c r="D2667" t="s">
        <v>43</v>
      </c>
      <c r="G2667" t="s">
        <v>386</v>
      </c>
      <c r="H2667" t="s">
        <v>18</v>
      </c>
      <c r="I2667" t="s">
        <v>41</v>
      </c>
      <c r="J2667" t="s">
        <v>20</v>
      </c>
      <c r="L2667" t="s">
        <v>4278</v>
      </c>
      <c r="M2667" t="s">
        <v>4279</v>
      </c>
      <c r="N2667" t="s">
        <v>4279</v>
      </c>
      <c r="O2667" t="s">
        <v>23</v>
      </c>
      <c r="P2667" t="s">
        <v>1024</v>
      </c>
      <c r="Q2667" t="s">
        <v>1025</v>
      </c>
      <c r="R2667" t="s">
        <v>4279</v>
      </c>
    </row>
    <row r="2668" spans="1:18" x14ac:dyDescent="0.25">
      <c r="A2668" t="s">
        <v>12229</v>
      </c>
      <c r="B2668" t="s">
        <v>4284</v>
      </c>
      <c r="C2668" t="str">
        <f>HYPERLINK("https://nematode.unl.edu/diploid5.jpg")</f>
        <v>https://nematode.unl.edu/diploid5.jpg</v>
      </c>
      <c r="D2668" t="s">
        <v>43</v>
      </c>
      <c r="G2668" t="s">
        <v>87</v>
      </c>
      <c r="I2668" t="s">
        <v>41</v>
      </c>
      <c r="J2668" t="s">
        <v>20</v>
      </c>
      <c r="L2668" t="s">
        <v>4278</v>
      </c>
      <c r="M2668" t="s">
        <v>4279</v>
      </c>
      <c r="N2668" t="s">
        <v>4279</v>
      </c>
      <c r="O2668" t="s">
        <v>23</v>
      </c>
      <c r="P2668" t="s">
        <v>1024</v>
      </c>
      <c r="Q2668" t="s">
        <v>1025</v>
      </c>
      <c r="R2668" t="s">
        <v>4279</v>
      </c>
    </row>
    <row r="2669" spans="1:18" x14ac:dyDescent="0.25">
      <c r="A2669" t="s">
        <v>12233</v>
      </c>
      <c r="B2669" t="s">
        <v>4285</v>
      </c>
      <c r="C2669" t="str">
        <f>HYPERLINK("https://nematode.unl.edu/diploid6.jpg")</f>
        <v>https://nematode.unl.edu/diploid6.jpg</v>
      </c>
      <c r="D2669" t="s">
        <v>43</v>
      </c>
      <c r="G2669" t="s">
        <v>51</v>
      </c>
      <c r="I2669" t="s">
        <v>41</v>
      </c>
      <c r="J2669" t="s">
        <v>20</v>
      </c>
      <c r="L2669" t="s">
        <v>4278</v>
      </c>
      <c r="M2669" t="s">
        <v>4279</v>
      </c>
      <c r="N2669" t="s">
        <v>4279</v>
      </c>
      <c r="O2669" t="s">
        <v>23</v>
      </c>
      <c r="P2669" t="s">
        <v>1024</v>
      </c>
      <c r="Q2669" t="s">
        <v>1025</v>
      </c>
      <c r="R2669" t="s">
        <v>4279</v>
      </c>
    </row>
    <row r="2670" spans="1:18" x14ac:dyDescent="0.25">
      <c r="A2670" t="s">
        <v>12228</v>
      </c>
      <c r="B2670" t="s">
        <v>4286</v>
      </c>
      <c r="C2670" t="str">
        <f>HYPERLINK("https://nematode.unl.edu/diploid7.jpg")</f>
        <v>https://nematode.unl.edu/diploid7.jpg</v>
      </c>
      <c r="D2670" t="s">
        <v>16</v>
      </c>
      <c r="G2670" t="s">
        <v>34</v>
      </c>
      <c r="H2670" t="s">
        <v>18</v>
      </c>
      <c r="I2670" t="s">
        <v>19</v>
      </c>
      <c r="J2670" t="s">
        <v>20</v>
      </c>
      <c r="L2670" t="s">
        <v>4278</v>
      </c>
      <c r="M2670" t="s">
        <v>4279</v>
      </c>
      <c r="N2670" t="s">
        <v>4279</v>
      </c>
      <c r="O2670" t="s">
        <v>23</v>
      </c>
      <c r="P2670" t="s">
        <v>1024</v>
      </c>
      <c r="Q2670" t="s">
        <v>1025</v>
      </c>
      <c r="R2670" t="s">
        <v>4279</v>
      </c>
    </row>
    <row r="2671" spans="1:18" x14ac:dyDescent="0.25">
      <c r="A2671" t="s">
        <v>12230</v>
      </c>
      <c r="B2671" t="s">
        <v>4287</v>
      </c>
      <c r="C2671" t="str">
        <f>HYPERLINK("https://nematode.unl.edu/diploid8.jpg")</f>
        <v>https://nematode.unl.edu/diploid8.jpg</v>
      </c>
      <c r="D2671" t="s">
        <v>16</v>
      </c>
      <c r="G2671" t="s">
        <v>87</v>
      </c>
      <c r="I2671" t="s">
        <v>19</v>
      </c>
      <c r="J2671" t="s">
        <v>20</v>
      </c>
      <c r="L2671" t="s">
        <v>4278</v>
      </c>
      <c r="M2671" t="s">
        <v>4279</v>
      </c>
      <c r="N2671" t="s">
        <v>4279</v>
      </c>
      <c r="O2671" t="s">
        <v>23</v>
      </c>
      <c r="P2671" t="s">
        <v>1024</v>
      </c>
      <c r="Q2671" t="s">
        <v>1025</v>
      </c>
      <c r="R2671" t="s">
        <v>4279</v>
      </c>
    </row>
    <row r="2672" spans="1:18" x14ac:dyDescent="0.25">
      <c r="A2672" t="s">
        <v>12232</v>
      </c>
      <c r="B2672" t="s">
        <v>4288</v>
      </c>
      <c r="C2672" t="str">
        <f>HYPERLINK("https://nematode.unl.edu/diploid9.jpg")</f>
        <v>https://nematode.unl.edu/diploid9.jpg</v>
      </c>
      <c r="D2672" t="s">
        <v>16</v>
      </c>
      <c r="G2672" t="s">
        <v>28</v>
      </c>
      <c r="I2672" t="s">
        <v>19</v>
      </c>
      <c r="J2672" t="s">
        <v>20</v>
      </c>
      <c r="L2672" t="s">
        <v>4278</v>
      </c>
      <c r="M2672" t="s">
        <v>4279</v>
      </c>
      <c r="N2672" t="s">
        <v>4279</v>
      </c>
      <c r="O2672" t="s">
        <v>23</v>
      </c>
      <c r="P2672" t="s">
        <v>1024</v>
      </c>
      <c r="Q2672" t="s">
        <v>1025</v>
      </c>
      <c r="R2672" t="s">
        <v>4279</v>
      </c>
    </row>
    <row r="2673" spans="1:18" x14ac:dyDescent="0.25">
      <c r="A2673" t="s">
        <v>12217</v>
      </c>
      <c r="B2673" t="s">
        <v>4274</v>
      </c>
      <c r="C2673" t="str">
        <f>HYPERLINK("https://nematode.unl.edu/diploma.jpg")</f>
        <v>https://nematode.unl.edu/diploma.jpg</v>
      </c>
      <c r="D2673" t="s">
        <v>16</v>
      </c>
      <c r="G2673" t="s">
        <v>386</v>
      </c>
      <c r="H2673" t="s">
        <v>18</v>
      </c>
      <c r="I2673" t="s">
        <v>41</v>
      </c>
      <c r="J2673" t="s">
        <v>46</v>
      </c>
      <c r="L2673" t="s">
        <v>105</v>
      </c>
      <c r="M2673" t="s">
        <v>4268</v>
      </c>
      <c r="N2673" t="s">
        <v>4268</v>
      </c>
      <c r="O2673" t="s">
        <v>23</v>
      </c>
      <c r="P2673" t="s">
        <v>1024</v>
      </c>
      <c r="Q2673" t="s">
        <v>1025</v>
      </c>
      <c r="R2673" t="s">
        <v>4268</v>
      </c>
    </row>
    <row r="2674" spans="1:18" x14ac:dyDescent="0.25">
      <c r="A2674" t="s">
        <v>12221</v>
      </c>
      <c r="B2674" t="s">
        <v>4275</v>
      </c>
      <c r="C2674" t="str">
        <f>HYPERLINK("https://nematode.unl.edu/diplomh.jpg")</f>
        <v>https://nematode.unl.edu/diplomh.jpg</v>
      </c>
      <c r="D2674" t="s">
        <v>16</v>
      </c>
      <c r="G2674" t="s">
        <v>3928</v>
      </c>
      <c r="H2674" t="s">
        <v>18</v>
      </c>
      <c r="I2674" t="s">
        <v>41</v>
      </c>
      <c r="J2674" t="s">
        <v>46</v>
      </c>
      <c r="L2674" t="s">
        <v>105</v>
      </c>
      <c r="M2674" t="s">
        <v>4268</v>
      </c>
      <c r="N2674" t="s">
        <v>4268</v>
      </c>
      <c r="O2674" t="s">
        <v>23</v>
      </c>
      <c r="P2674" t="s">
        <v>1024</v>
      </c>
      <c r="Q2674" t="s">
        <v>1025</v>
      </c>
      <c r="R2674" t="s">
        <v>4268</v>
      </c>
    </row>
    <row r="2675" spans="1:18" x14ac:dyDescent="0.25">
      <c r="A2675" t="s">
        <v>12220</v>
      </c>
      <c r="B2675" t="s">
        <v>4276</v>
      </c>
      <c r="C2675" t="str">
        <f>HYPERLINK("https://nematode.unl.edu/diploms.jpg")</f>
        <v>https://nematode.unl.edu/diploms.jpg</v>
      </c>
      <c r="D2675" t="s">
        <v>16</v>
      </c>
      <c r="G2675" t="s">
        <v>34</v>
      </c>
      <c r="H2675" t="s">
        <v>18</v>
      </c>
      <c r="I2675" t="s">
        <v>19</v>
      </c>
      <c r="J2675" t="s">
        <v>46</v>
      </c>
      <c r="L2675" t="s">
        <v>105</v>
      </c>
      <c r="M2675" t="s">
        <v>4268</v>
      </c>
      <c r="N2675" t="s">
        <v>4268</v>
      </c>
      <c r="O2675" t="s">
        <v>23</v>
      </c>
      <c r="P2675" t="s">
        <v>1024</v>
      </c>
      <c r="Q2675" t="s">
        <v>1025</v>
      </c>
      <c r="R2675" t="s">
        <v>4268</v>
      </c>
    </row>
    <row r="2676" spans="1:18" x14ac:dyDescent="0.25">
      <c r="A2676" t="s">
        <v>22675</v>
      </c>
      <c r="B2676" t="s">
        <v>4225</v>
      </c>
      <c r="C2676" t="str">
        <f>HYPERLINK("https://nematode.unl.edu/dipo1.jpg")</f>
        <v>https://nematode.unl.edu/dipo1.jpg</v>
      </c>
      <c r="D2676" t="s">
        <v>43</v>
      </c>
      <c r="G2676" t="s">
        <v>44</v>
      </c>
      <c r="I2676" t="s">
        <v>45</v>
      </c>
      <c r="J2676" t="s">
        <v>46</v>
      </c>
      <c r="L2676" t="s">
        <v>727</v>
      </c>
      <c r="M2676" t="s">
        <v>4220</v>
      </c>
      <c r="N2676" t="s">
        <v>4220</v>
      </c>
      <c r="O2676" t="s">
        <v>73</v>
      </c>
      <c r="P2676" t="s">
        <v>1806</v>
      </c>
      <c r="Q2676" t="s">
        <v>4197</v>
      </c>
      <c r="R2676" t="s">
        <v>4198</v>
      </c>
    </row>
    <row r="2677" spans="1:18" x14ac:dyDescent="0.25">
      <c r="A2677" t="s">
        <v>22681</v>
      </c>
      <c r="B2677" t="s">
        <v>4226</v>
      </c>
      <c r="C2677" t="str">
        <f>HYPERLINK("https://nematode.unl.edu/dipo10.jpg")</f>
        <v>https://nematode.unl.edu/dipo10.jpg</v>
      </c>
      <c r="D2677" t="s">
        <v>43</v>
      </c>
      <c r="G2677" t="s">
        <v>28</v>
      </c>
      <c r="I2677" t="s">
        <v>19</v>
      </c>
      <c r="J2677" t="s">
        <v>46</v>
      </c>
      <c r="L2677" t="s">
        <v>727</v>
      </c>
      <c r="M2677" t="s">
        <v>4220</v>
      </c>
      <c r="N2677" t="s">
        <v>4220</v>
      </c>
      <c r="O2677" t="s">
        <v>73</v>
      </c>
      <c r="P2677" t="s">
        <v>1806</v>
      </c>
      <c r="Q2677" t="s">
        <v>4197</v>
      </c>
      <c r="R2677" t="s">
        <v>4198</v>
      </c>
    </row>
    <row r="2678" spans="1:18" x14ac:dyDescent="0.25">
      <c r="A2678" t="s">
        <v>22666</v>
      </c>
      <c r="B2678" t="s">
        <v>4227</v>
      </c>
      <c r="C2678" t="str">
        <f>HYPERLINK("https://nematode.unl.edu/dipo11.jpg")</f>
        <v>https://nematode.unl.edu/dipo11.jpg</v>
      </c>
      <c r="D2678" t="s">
        <v>43</v>
      </c>
      <c r="G2678" t="s">
        <v>34</v>
      </c>
      <c r="H2678" t="s">
        <v>18</v>
      </c>
      <c r="I2678" t="s">
        <v>41</v>
      </c>
      <c r="J2678" t="s">
        <v>46</v>
      </c>
      <c r="L2678" t="s">
        <v>727</v>
      </c>
      <c r="M2678" t="s">
        <v>4220</v>
      </c>
      <c r="N2678" t="s">
        <v>4220</v>
      </c>
      <c r="O2678" t="s">
        <v>73</v>
      </c>
      <c r="P2678" t="s">
        <v>1806</v>
      </c>
      <c r="Q2678" t="s">
        <v>4197</v>
      </c>
      <c r="R2678" t="s">
        <v>4198</v>
      </c>
    </row>
    <row r="2679" spans="1:18" x14ac:dyDescent="0.25">
      <c r="A2679" t="s">
        <v>22667</v>
      </c>
      <c r="B2679" t="s">
        <v>4228</v>
      </c>
      <c r="C2679" t="str">
        <f>HYPERLINK("https://nematode.unl.edu/dipo2.jpg")</f>
        <v>https://nematode.unl.edu/dipo2.jpg</v>
      </c>
      <c r="D2679" t="s">
        <v>43</v>
      </c>
      <c r="G2679" t="s">
        <v>34</v>
      </c>
      <c r="H2679" t="s">
        <v>18</v>
      </c>
      <c r="I2679" t="s">
        <v>19</v>
      </c>
      <c r="J2679" t="s">
        <v>46</v>
      </c>
      <c r="L2679" t="s">
        <v>727</v>
      </c>
      <c r="M2679" t="s">
        <v>4220</v>
      </c>
      <c r="N2679" t="s">
        <v>4220</v>
      </c>
      <c r="O2679" t="s">
        <v>73</v>
      </c>
      <c r="P2679" t="s">
        <v>1806</v>
      </c>
      <c r="Q2679" t="s">
        <v>4197</v>
      </c>
      <c r="R2679" t="s">
        <v>4198</v>
      </c>
    </row>
    <row r="2680" spans="1:18" x14ac:dyDescent="0.25">
      <c r="A2680" t="s">
        <v>22677</v>
      </c>
      <c r="B2680" t="s">
        <v>4229</v>
      </c>
      <c r="C2680" t="str">
        <f>HYPERLINK("https://nematode.unl.edu/dipo3.jpg")</f>
        <v>https://nematode.unl.edu/dipo3.jpg</v>
      </c>
      <c r="D2680" t="s">
        <v>77</v>
      </c>
      <c r="G2680" t="s">
        <v>112</v>
      </c>
      <c r="I2680" t="s">
        <v>41</v>
      </c>
      <c r="J2680" t="s">
        <v>46</v>
      </c>
      <c r="L2680" t="s">
        <v>727</v>
      </c>
      <c r="M2680" t="s">
        <v>4220</v>
      </c>
      <c r="N2680" t="s">
        <v>4220</v>
      </c>
      <c r="O2680" t="s">
        <v>73</v>
      </c>
      <c r="P2680" t="s">
        <v>1806</v>
      </c>
      <c r="Q2680" t="s">
        <v>4197</v>
      </c>
      <c r="R2680" t="s">
        <v>4198</v>
      </c>
    </row>
    <row r="2681" spans="1:18" x14ac:dyDescent="0.25">
      <c r="A2681" t="s">
        <v>22688</v>
      </c>
      <c r="B2681" t="s">
        <v>4230</v>
      </c>
      <c r="C2681" t="str">
        <f>HYPERLINK("https://nematode.unl.edu/dipo4.jpg")</f>
        <v>https://nematode.unl.edu/dipo4.jpg</v>
      </c>
      <c r="D2681" t="s">
        <v>43</v>
      </c>
      <c r="G2681" t="s">
        <v>51</v>
      </c>
      <c r="I2681" t="s">
        <v>19</v>
      </c>
      <c r="J2681" t="s">
        <v>46</v>
      </c>
      <c r="L2681" t="s">
        <v>727</v>
      </c>
      <c r="M2681" t="s">
        <v>4220</v>
      </c>
      <c r="N2681" t="s">
        <v>4220</v>
      </c>
      <c r="O2681" t="s">
        <v>73</v>
      </c>
      <c r="P2681" t="s">
        <v>1806</v>
      </c>
      <c r="Q2681" t="s">
        <v>4197</v>
      </c>
      <c r="R2681" t="s">
        <v>4198</v>
      </c>
    </row>
    <row r="2682" spans="1:18" x14ac:dyDescent="0.25">
      <c r="A2682" t="s">
        <v>22682</v>
      </c>
      <c r="B2682" t="s">
        <v>4231</v>
      </c>
      <c r="C2682" t="str">
        <f>HYPERLINK("https://nematode.unl.edu/dipo5.jpg")</f>
        <v>https://nematode.unl.edu/dipo5.jpg</v>
      </c>
      <c r="D2682" t="s">
        <v>16</v>
      </c>
      <c r="G2682" t="s">
        <v>28</v>
      </c>
      <c r="I2682" t="s">
        <v>137</v>
      </c>
      <c r="J2682" t="s">
        <v>46</v>
      </c>
      <c r="L2682" t="s">
        <v>727</v>
      </c>
      <c r="M2682" t="s">
        <v>4220</v>
      </c>
      <c r="N2682" t="s">
        <v>4220</v>
      </c>
      <c r="O2682" t="s">
        <v>73</v>
      </c>
      <c r="P2682" t="s">
        <v>1806</v>
      </c>
      <c r="Q2682" t="s">
        <v>4197</v>
      </c>
      <c r="R2682" t="s">
        <v>4198</v>
      </c>
    </row>
    <row r="2683" spans="1:18" x14ac:dyDescent="0.25">
      <c r="A2683" t="s">
        <v>22668</v>
      </c>
      <c r="B2683" t="s">
        <v>4232</v>
      </c>
      <c r="C2683" t="str">
        <f>HYPERLINK("https://nematode.unl.edu/dipo6.jpg")</f>
        <v>https://nematode.unl.edu/dipo6.jpg</v>
      </c>
      <c r="D2683" t="s">
        <v>43</v>
      </c>
      <c r="G2683" t="s">
        <v>34</v>
      </c>
      <c r="H2683" t="s">
        <v>18</v>
      </c>
      <c r="I2683" t="s">
        <v>19</v>
      </c>
      <c r="J2683" t="s">
        <v>46</v>
      </c>
      <c r="L2683" t="s">
        <v>727</v>
      </c>
      <c r="M2683" t="s">
        <v>4220</v>
      </c>
      <c r="N2683" t="s">
        <v>4220</v>
      </c>
      <c r="O2683" t="s">
        <v>73</v>
      </c>
      <c r="P2683" t="s">
        <v>1806</v>
      </c>
      <c r="Q2683" t="s">
        <v>4197</v>
      </c>
      <c r="R2683" t="s">
        <v>4198</v>
      </c>
    </row>
    <row r="2684" spans="1:18" x14ac:dyDescent="0.25">
      <c r="A2684" t="s">
        <v>22673</v>
      </c>
      <c r="B2684" t="s">
        <v>4233</v>
      </c>
      <c r="C2684" t="str">
        <f>HYPERLINK("https://nematode.unl.edu/dipo7.jpg")</f>
        <v>https://nematode.unl.edu/dipo7.jpg</v>
      </c>
      <c r="D2684" t="s">
        <v>43</v>
      </c>
      <c r="G2684" t="s">
        <v>87</v>
      </c>
      <c r="I2684" t="s">
        <v>19</v>
      </c>
      <c r="J2684" t="s">
        <v>46</v>
      </c>
      <c r="L2684" t="s">
        <v>727</v>
      </c>
      <c r="M2684" t="s">
        <v>4220</v>
      </c>
      <c r="N2684" t="s">
        <v>4220</v>
      </c>
      <c r="O2684" t="s">
        <v>73</v>
      </c>
      <c r="P2684" t="s">
        <v>1806</v>
      </c>
      <c r="Q2684" t="s">
        <v>4197</v>
      </c>
      <c r="R2684" t="s">
        <v>4198</v>
      </c>
    </row>
    <row r="2685" spans="1:18" x14ac:dyDescent="0.25">
      <c r="A2685" t="s">
        <v>22689</v>
      </c>
      <c r="B2685" t="s">
        <v>4234</v>
      </c>
      <c r="C2685" t="str">
        <f>HYPERLINK("https://nematode.unl.edu/dipo8.jpg")</f>
        <v>https://nematode.unl.edu/dipo8.jpg</v>
      </c>
      <c r="D2685" t="s">
        <v>43</v>
      </c>
      <c r="G2685" t="s">
        <v>51</v>
      </c>
      <c r="I2685" t="s">
        <v>19</v>
      </c>
      <c r="J2685" t="s">
        <v>46</v>
      </c>
      <c r="L2685" t="s">
        <v>727</v>
      </c>
      <c r="M2685" t="s">
        <v>4220</v>
      </c>
      <c r="N2685" t="s">
        <v>4220</v>
      </c>
      <c r="O2685" t="s">
        <v>73</v>
      </c>
      <c r="P2685" t="s">
        <v>1806</v>
      </c>
      <c r="Q2685" t="s">
        <v>4197</v>
      </c>
      <c r="R2685" t="s">
        <v>4198</v>
      </c>
    </row>
    <row r="2686" spans="1:18" x14ac:dyDescent="0.25">
      <c r="A2686" t="s">
        <v>22683</v>
      </c>
      <c r="B2686" t="s">
        <v>4235</v>
      </c>
      <c r="C2686" t="str">
        <f>HYPERLINK("https://nematode.unl.edu/dipo9.jpg")</f>
        <v>https://nematode.unl.edu/dipo9.jpg</v>
      </c>
      <c r="D2686" t="s">
        <v>43</v>
      </c>
      <c r="G2686" t="s">
        <v>28</v>
      </c>
      <c r="I2686" t="s">
        <v>19</v>
      </c>
      <c r="J2686" t="s">
        <v>46</v>
      </c>
      <c r="L2686" t="s">
        <v>727</v>
      </c>
      <c r="M2686" t="s">
        <v>4220</v>
      </c>
      <c r="N2686" t="s">
        <v>4220</v>
      </c>
      <c r="O2686" t="s">
        <v>73</v>
      </c>
      <c r="P2686" t="s">
        <v>1806</v>
      </c>
      <c r="Q2686" t="s">
        <v>4197</v>
      </c>
      <c r="R2686" t="s">
        <v>4198</v>
      </c>
    </row>
    <row r="2687" spans="1:18" x14ac:dyDescent="0.25">
      <c r="A2687" t="s">
        <v>22676</v>
      </c>
      <c r="B2687" t="s">
        <v>4236</v>
      </c>
      <c r="C2687" t="str">
        <f>HYPERLINK("https://nematode.unl.edu/dipob1.jpg")</f>
        <v>https://nematode.unl.edu/dipob1.jpg</v>
      </c>
      <c r="D2687" t="s">
        <v>43</v>
      </c>
      <c r="G2687" t="s">
        <v>44</v>
      </c>
      <c r="I2687" t="s">
        <v>45</v>
      </c>
      <c r="J2687" t="s">
        <v>20</v>
      </c>
      <c r="L2687" t="s">
        <v>752</v>
      </c>
      <c r="M2687" t="s">
        <v>4220</v>
      </c>
      <c r="N2687" t="s">
        <v>4220</v>
      </c>
      <c r="O2687" t="s">
        <v>73</v>
      </c>
      <c r="P2687" t="s">
        <v>1806</v>
      </c>
      <c r="Q2687" t="s">
        <v>4197</v>
      </c>
      <c r="R2687" t="s">
        <v>4198</v>
      </c>
    </row>
    <row r="2688" spans="1:18" x14ac:dyDescent="0.25">
      <c r="A2688" t="s">
        <v>22669</v>
      </c>
      <c r="B2688" t="s">
        <v>4237</v>
      </c>
      <c r="C2688" t="str">
        <f>HYPERLINK("https://nematode.unl.edu/dipob10.jpg")</f>
        <v>https://nematode.unl.edu/dipob10.jpg</v>
      </c>
      <c r="D2688" t="s">
        <v>77</v>
      </c>
      <c r="G2688" t="s">
        <v>34</v>
      </c>
      <c r="H2688" t="s">
        <v>18</v>
      </c>
      <c r="I2688" t="s">
        <v>19</v>
      </c>
      <c r="J2688" t="s">
        <v>20</v>
      </c>
      <c r="L2688" t="s">
        <v>4238</v>
      </c>
      <c r="M2688" t="s">
        <v>4220</v>
      </c>
      <c r="N2688" t="s">
        <v>4220</v>
      </c>
      <c r="O2688" t="s">
        <v>73</v>
      </c>
      <c r="P2688" t="s">
        <v>1806</v>
      </c>
      <c r="Q2688" t="s">
        <v>4197</v>
      </c>
      <c r="R2688" t="s">
        <v>4198</v>
      </c>
    </row>
    <row r="2689" spans="1:18" x14ac:dyDescent="0.25">
      <c r="A2689" t="s">
        <v>22684</v>
      </c>
      <c r="B2689" t="s">
        <v>4239</v>
      </c>
      <c r="C2689" t="str">
        <f>HYPERLINK("https://nematode.unl.edu/dipob11.jpg")</f>
        <v>https://nematode.unl.edu/dipob11.jpg</v>
      </c>
      <c r="D2689" t="s">
        <v>77</v>
      </c>
      <c r="G2689" t="s">
        <v>28</v>
      </c>
      <c r="I2689" t="s">
        <v>19</v>
      </c>
      <c r="J2689" t="s">
        <v>20</v>
      </c>
      <c r="L2689" t="s">
        <v>4238</v>
      </c>
      <c r="M2689" t="s">
        <v>4220</v>
      </c>
      <c r="N2689" t="s">
        <v>4220</v>
      </c>
      <c r="O2689" t="s">
        <v>73</v>
      </c>
      <c r="P2689" t="s">
        <v>1806</v>
      </c>
      <c r="Q2689" t="s">
        <v>4197</v>
      </c>
      <c r="R2689" t="s">
        <v>4198</v>
      </c>
    </row>
    <row r="2690" spans="1:18" x14ac:dyDescent="0.25">
      <c r="A2690" t="s">
        <v>22670</v>
      </c>
      <c r="B2690" t="s">
        <v>4240</v>
      </c>
      <c r="C2690" t="str">
        <f>HYPERLINK("https://nematode.unl.edu/dipob12.jpg")</f>
        <v>https://nematode.unl.edu/dipob12.jpg</v>
      </c>
      <c r="D2690" t="s">
        <v>77</v>
      </c>
      <c r="G2690" t="s">
        <v>34</v>
      </c>
      <c r="H2690" t="s">
        <v>18</v>
      </c>
      <c r="I2690" t="s">
        <v>41</v>
      </c>
      <c r="J2690" t="s">
        <v>20</v>
      </c>
      <c r="L2690" t="s">
        <v>4238</v>
      </c>
      <c r="M2690" t="s">
        <v>4220</v>
      </c>
      <c r="N2690" t="s">
        <v>4220</v>
      </c>
      <c r="O2690" t="s">
        <v>73</v>
      </c>
      <c r="P2690" t="s">
        <v>1806</v>
      </c>
      <c r="Q2690" t="s">
        <v>4197</v>
      </c>
      <c r="R2690" t="s">
        <v>4198</v>
      </c>
    </row>
    <row r="2691" spans="1:18" x14ac:dyDescent="0.25">
      <c r="A2691" t="s">
        <v>22678</v>
      </c>
      <c r="B2691" t="s">
        <v>4241</v>
      </c>
      <c r="C2691" t="str">
        <f>HYPERLINK("https://nematode.unl.edu/dipob13.jpg")</f>
        <v>https://nematode.unl.edu/dipob13.jpg</v>
      </c>
      <c r="D2691" t="s">
        <v>77</v>
      </c>
      <c r="G2691" t="s">
        <v>112</v>
      </c>
      <c r="I2691" t="s">
        <v>41</v>
      </c>
      <c r="J2691" t="s">
        <v>20</v>
      </c>
      <c r="L2691" t="s">
        <v>4238</v>
      </c>
      <c r="M2691" t="s">
        <v>4220</v>
      </c>
      <c r="N2691" t="s">
        <v>4220</v>
      </c>
      <c r="O2691" t="s">
        <v>73</v>
      </c>
      <c r="P2691" t="s">
        <v>1806</v>
      </c>
      <c r="Q2691" t="s">
        <v>4197</v>
      </c>
      <c r="R2691" t="s">
        <v>4198</v>
      </c>
    </row>
    <row r="2692" spans="1:18" x14ac:dyDescent="0.25">
      <c r="A2692" t="s">
        <v>22663</v>
      </c>
      <c r="B2692" t="s">
        <v>4242</v>
      </c>
      <c r="C2692" t="str">
        <f>HYPERLINK("https://nematode.unl.edu/dipob2.jpg")</f>
        <v>https://nematode.unl.edu/dipob2.jpg</v>
      </c>
      <c r="D2692" t="s">
        <v>16</v>
      </c>
      <c r="G2692" t="s">
        <v>96</v>
      </c>
      <c r="H2692" t="s">
        <v>18</v>
      </c>
      <c r="I2692" t="s">
        <v>19</v>
      </c>
      <c r="J2692" t="s">
        <v>20</v>
      </c>
      <c r="L2692" t="s">
        <v>4238</v>
      </c>
      <c r="M2692" t="s">
        <v>4220</v>
      </c>
      <c r="N2692" t="s">
        <v>4220</v>
      </c>
      <c r="O2692" t="s">
        <v>73</v>
      </c>
      <c r="P2692" t="s">
        <v>1806</v>
      </c>
      <c r="Q2692" t="s">
        <v>4197</v>
      </c>
      <c r="R2692" t="s">
        <v>4198</v>
      </c>
    </row>
    <row r="2693" spans="1:18" x14ac:dyDescent="0.25">
      <c r="A2693" t="s">
        <v>22685</v>
      </c>
      <c r="B2693" t="s">
        <v>4243</v>
      </c>
      <c r="C2693" t="str">
        <f>HYPERLINK("https://nematode.unl.edu/dipob3.jpg")</f>
        <v>https://nematode.unl.edu/dipob3.jpg</v>
      </c>
      <c r="D2693" t="s">
        <v>16</v>
      </c>
      <c r="G2693" t="s">
        <v>28</v>
      </c>
      <c r="I2693" t="s">
        <v>19</v>
      </c>
      <c r="J2693" t="s">
        <v>20</v>
      </c>
      <c r="L2693" t="s">
        <v>4238</v>
      </c>
      <c r="M2693" t="s">
        <v>4220</v>
      </c>
      <c r="N2693" t="s">
        <v>4220</v>
      </c>
      <c r="O2693" t="s">
        <v>73</v>
      </c>
      <c r="P2693" t="s">
        <v>1806</v>
      </c>
      <c r="Q2693" t="s">
        <v>4197</v>
      </c>
      <c r="R2693" t="s">
        <v>4198</v>
      </c>
    </row>
    <row r="2694" spans="1:18" x14ac:dyDescent="0.25">
      <c r="A2694" t="s">
        <v>22690</v>
      </c>
      <c r="B2694" t="s">
        <v>4244</v>
      </c>
      <c r="C2694" t="str">
        <f>HYPERLINK("https://nematode.unl.edu/dipob4.jpg")</f>
        <v>https://nematode.unl.edu/dipob4.jpg</v>
      </c>
      <c r="D2694" t="s">
        <v>43</v>
      </c>
      <c r="G2694" t="s">
        <v>51</v>
      </c>
      <c r="I2694" t="s">
        <v>19</v>
      </c>
      <c r="J2694" t="s">
        <v>20</v>
      </c>
      <c r="L2694" t="s">
        <v>4238</v>
      </c>
      <c r="M2694" t="s">
        <v>4220</v>
      </c>
      <c r="N2694" t="s">
        <v>4220</v>
      </c>
      <c r="O2694" t="s">
        <v>73</v>
      </c>
      <c r="P2694" t="s">
        <v>1806</v>
      </c>
      <c r="Q2694" t="s">
        <v>4197</v>
      </c>
      <c r="R2694" t="s">
        <v>4198</v>
      </c>
    </row>
    <row r="2695" spans="1:18" x14ac:dyDescent="0.25">
      <c r="A2695" t="s">
        <v>22671</v>
      </c>
      <c r="B2695" t="s">
        <v>4245</v>
      </c>
      <c r="C2695" t="str">
        <f>HYPERLINK("https://nematode.unl.edu/dipob5.jpg")</f>
        <v>https://nematode.unl.edu/dipob5.jpg</v>
      </c>
      <c r="D2695" t="s">
        <v>43</v>
      </c>
      <c r="G2695" t="s">
        <v>34</v>
      </c>
      <c r="H2695" t="s">
        <v>18</v>
      </c>
      <c r="I2695" t="s">
        <v>19</v>
      </c>
      <c r="J2695" t="s">
        <v>20</v>
      </c>
      <c r="L2695" t="s">
        <v>4238</v>
      </c>
      <c r="M2695" t="s">
        <v>4220</v>
      </c>
      <c r="N2695" t="s">
        <v>4220</v>
      </c>
      <c r="O2695" t="s">
        <v>73</v>
      </c>
      <c r="P2695" t="s">
        <v>1806</v>
      </c>
      <c r="Q2695" t="s">
        <v>4197</v>
      </c>
      <c r="R2695" t="s">
        <v>4198</v>
      </c>
    </row>
    <row r="2696" spans="1:18" x14ac:dyDescent="0.25">
      <c r="A2696" t="s">
        <v>22691</v>
      </c>
      <c r="B2696" t="s">
        <v>4246</v>
      </c>
      <c r="C2696" t="str">
        <f>HYPERLINK("https://nematode.unl.edu/dipob6.jpg")</f>
        <v>https://nematode.unl.edu/dipob6.jpg</v>
      </c>
      <c r="D2696" t="s">
        <v>43</v>
      </c>
      <c r="G2696" t="s">
        <v>51</v>
      </c>
      <c r="I2696" t="s">
        <v>19</v>
      </c>
      <c r="J2696" t="s">
        <v>20</v>
      </c>
      <c r="L2696" t="s">
        <v>4238</v>
      </c>
      <c r="M2696" t="s">
        <v>4220</v>
      </c>
      <c r="N2696" t="s">
        <v>4220</v>
      </c>
      <c r="O2696" t="s">
        <v>73</v>
      </c>
      <c r="P2696" t="s">
        <v>1806</v>
      </c>
      <c r="Q2696" t="s">
        <v>4197</v>
      </c>
      <c r="R2696" t="s">
        <v>4198</v>
      </c>
    </row>
    <row r="2697" spans="1:18" x14ac:dyDescent="0.25">
      <c r="A2697" t="s">
        <v>22686</v>
      </c>
      <c r="B2697" t="s">
        <v>4247</v>
      </c>
      <c r="C2697" t="str">
        <f>HYPERLINK("https://nematode.unl.edu/dipob7.jpg")</f>
        <v>https://nematode.unl.edu/dipob7.jpg</v>
      </c>
      <c r="D2697" t="s">
        <v>43</v>
      </c>
      <c r="G2697" t="s">
        <v>28</v>
      </c>
      <c r="I2697" t="s">
        <v>19</v>
      </c>
      <c r="J2697" t="s">
        <v>20</v>
      </c>
      <c r="L2697" t="s">
        <v>4238</v>
      </c>
      <c r="M2697" t="s">
        <v>4220</v>
      </c>
      <c r="N2697" t="s">
        <v>4220</v>
      </c>
      <c r="O2697" t="s">
        <v>73</v>
      </c>
      <c r="P2697" t="s">
        <v>1806</v>
      </c>
      <c r="Q2697" t="s">
        <v>4197</v>
      </c>
      <c r="R2697" t="s">
        <v>4198</v>
      </c>
    </row>
    <row r="2698" spans="1:18" x14ac:dyDescent="0.25">
      <c r="A2698" t="s">
        <v>22672</v>
      </c>
      <c r="B2698" t="s">
        <v>4248</v>
      </c>
      <c r="C2698" t="str">
        <f>HYPERLINK("https://nematode.unl.edu/dipob8.jpg")</f>
        <v>https://nematode.unl.edu/dipob8.jpg</v>
      </c>
      <c r="D2698" t="s">
        <v>16</v>
      </c>
      <c r="G2698" t="s">
        <v>34</v>
      </c>
      <c r="H2698" t="s">
        <v>18</v>
      </c>
      <c r="I2698" t="s">
        <v>19</v>
      </c>
      <c r="J2698" t="s">
        <v>20</v>
      </c>
      <c r="L2698" t="s">
        <v>4238</v>
      </c>
      <c r="M2698" t="s">
        <v>4220</v>
      </c>
      <c r="N2698" t="s">
        <v>4220</v>
      </c>
      <c r="O2698" t="s">
        <v>73</v>
      </c>
      <c r="P2698" t="s">
        <v>1806</v>
      </c>
      <c r="Q2698" t="s">
        <v>4197</v>
      </c>
      <c r="R2698" t="s">
        <v>4198</v>
      </c>
    </row>
    <row r="2699" spans="1:18" x14ac:dyDescent="0.25">
      <c r="A2699" t="s">
        <v>22687</v>
      </c>
      <c r="B2699" t="s">
        <v>4249</v>
      </c>
      <c r="C2699" t="str">
        <f>HYPERLINK("https://nematode.unl.edu/dipob9.jpg")</f>
        <v>https://nematode.unl.edu/dipob9.jpg</v>
      </c>
      <c r="D2699" t="s">
        <v>16</v>
      </c>
      <c r="G2699" t="s">
        <v>28</v>
      </c>
      <c r="I2699" t="s">
        <v>19</v>
      </c>
      <c r="J2699" t="s">
        <v>20</v>
      </c>
      <c r="L2699" t="s">
        <v>4238</v>
      </c>
      <c r="M2699" t="s">
        <v>4220</v>
      </c>
      <c r="N2699" t="s">
        <v>4220</v>
      </c>
      <c r="O2699" t="s">
        <v>73</v>
      </c>
      <c r="P2699" t="s">
        <v>1806</v>
      </c>
      <c r="Q2699" t="s">
        <v>4197</v>
      </c>
      <c r="R2699" t="s">
        <v>4198</v>
      </c>
    </row>
    <row r="2700" spans="1:18" x14ac:dyDescent="0.25">
      <c r="A2700" t="s">
        <v>15736</v>
      </c>
      <c r="B2700" t="s">
        <v>4259</v>
      </c>
      <c r="C2700" t="str">
        <f>HYPERLINK("https://nematode.unl.edu/dipriana1.jpg")</f>
        <v>https://nematode.unl.edu/dipriana1.jpg</v>
      </c>
      <c r="D2700" t="s">
        <v>77</v>
      </c>
      <c r="G2700" t="s">
        <v>34</v>
      </c>
      <c r="H2700" t="s">
        <v>18</v>
      </c>
      <c r="I2700" t="s">
        <v>19</v>
      </c>
      <c r="J2700" t="s">
        <v>4260</v>
      </c>
      <c r="L2700" t="s">
        <v>128</v>
      </c>
      <c r="M2700" t="s">
        <v>4251</v>
      </c>
      <c r="N2700" t="s">
        <v>4251</v>
      </c>
      <c r="O2700" t="s">
        <v>23</v>
      </c>
      <c r="P2700" t="s">
        <v>24</v>
      </c>
      <c r="Q2700" t="s">
        <v>2091</v>
      </c>
      <c r="R2700" t="s">
        <v>4251</v>
      </c>
    </row>
    <row r="2701" spans="1:18" x14ac:dyDescent="0.25">
      <c r="A2701" t="s">
        <v>15737</v>
      </c>
      <c r="B2701" t="s">
        <v>4261</v>
      </c>
      <c r="C2701" t="str">
        <f>HYPERLINK("https://nematode.unl.edu/dipriana2.jpg")</f>
        <v>https://nematode.unl.edu/dipriana2.jpg</v>
      </c>
      <c r="D2701" t="s">
        <v>77</v>
      </c>
      <c r="G2701" t="s">
        <v>34</v>
      </c>
      <c r="H2701" t="s">
        <v>18</v>
      </c>
      <c r="I2701" t="s">
        <v>41</v>
      </c>
      <c r="J2701" t="s">
        <v>4260</v>
      </c>
      <c r="L2701" t="s">
        <v>131</v>
      </c>
      <c r="M2701" t="s">
        <v>4251</v>
      </c>
      <c r="N2701" t="s">
        <v>4251</v>
      </c>
      <c r="O2701" t="s">
        <v>23</v>
      </c>
      <c r="P2701" t="s">
        <v>24</v>
      </c>
      <c r="Q2701" t="s">
        <v>2091</v>
      </c>
      <c r="R2701" t="s">
        <v>4251</v>
      </c>
    </row>
    <row r="2702" spans="1:18" x14ac:dyDescent="0.25">
      <c r="A2702" t="s">
        <v>17529</v>
      </c>
      <c r="B2702" t="s">
        <v>4289</v>
      </c>
      <c r="C2702" t="str">
        <f>HYPERLINK("https://nematode.unl.edu/dipscap1.jpg")</f>
        <v>https://nematode.unl.edu/dipscap1.jpg</v>
      </c>
      <c r="D2702" t="s">
        <v>16</v>
      </c>
      <c r="G2702" t="s">
        <v>34</v>
      </c>
      <c r="H2702" t="s">
        <v>18</v>
      </c>
      <c r="I2702" t="s">
        <v>19</v>
      </c>
      <c r="J2702" t="s">
        <v>267</v>
      </c>
      <c r="M2702" t="s">
        <v>4290</v>
      </c>
      <c r="N2702" t="s">
        <v>4290</v>
      </c>
      <c r="O2702" t="s">
        <v>23</v>
      </c>
      <c r="P2702" t="s">
        <v>24</v>
      </c>
      <c r="Q2702" t="s">
        <v>1637</v>
      </c>
      <c r="R2702" t="s">
        <v>4290</v>
      </c>
    </row>
    <row r="2703" spans="1:18" x14ac:dyDescent="0.25">
      <c r="A2703" t="s">
        <v>20990</v>
      </c>
      <c r="B2703" t="s">
        <v>4424</v>
      </c>
      <c r="C2703" t="str">
        <f>HYPERLINK("https://nematode.unl.edu/discaudrw.jpg")</f>
        <v>https://nematode.unl.edu/discaudrw.jpg</v>
      </c>
      <c r="G2703" t="s">
        <v>108</v>
      </c>
      <c r="M2703" t="s">
        <v>4425</v>
      </c>
      <c r="N2703" t="s">
        <v>4425</v>
      </c>
      <c r="O2703" t="s">
        <v>73</v>
      </c>
      <c r="P2703" t="s">
        <v>81</v>
      </c>
      <c r="Q2703" t="s">
        <v>82</v>
      </c>
      <c r="R2703" t="s">
        <v>4421</v>
      </c>
    </row>
    <row r="2704" spans="1:18" x14ac:dyDescent="0.25">
      <c r="A2704" t="s">
        <v>20989</v>
      </c>
      <c r="B2704" t="s">
        <v>4426</v>
      </c>
      <c r="C2704" t="str">
        <f>HYPERLINK("https://nematode.unl.edu/discaur1.jpg")</f>
        <v>https://nematode.unl.edu/discaur1.jpg</v>
      </c>
      <c r="D2704" t="s">
        <v>43</v>
      </c>
      <c r="G2704" t="s">
        <v>44</v>
      </c>
      <c r="I2704" t="s">
        <v>45</v>
      </c>
      <c r="J2704" t="s">
        <v>3338</v>
      </c>
      <c r="M2704" t="s">
        <v>4425</v>
      </c>
      <c r="N2704" t="s">
        <v>4425</v>
      </c>
      <c r="O2704" t="s">
        <v>73</v>
      </c>
      <c r="P2704" t="s">
        <v>81</v>
      </c>
      <c r="Q2704" t="s">
        <v>82</v>
      </c>
      <c r="R2704" t="s">
        <v>4421</v>
      </c>
    </row>
    <row r="2705" spans="1:18" x14ac:dyDescent="0.25">
      <c r="A2705" t="s">
        <v>20985</v>
      </c>
      <c r="B2705" t="s">
        <v>4427</v>
      </c>
      <c r="C2705" t="str">
        <f>HYPERLINK("https://nematode.unl.edu/discaur2.jpg")</f>
        <v>https://nematode.unl.edu/discaur2.jpg</v>
      </c>
      <c r="D2705" t="s">
        <v>43</v>
      </c>
      <c r="G2705" t="s">
        <v>34</v>
      </c>
      <c r="H2705" t="s">
        <v>18</v>
      </c>
      <c r="I2705" t="s">
        <v>19</v>
      </c>
      <c r="J2705" t="s">
        <v>3338</v>
      </c>
      <c r="M2705" t="s">
        <v>4425</v>
      </c>
      <c r="N2705" t="s">
        <v>4425</v>
      </c>
      <c r="O2705" t="s">
        <v>73</v>
      </c>
      <c r="P2705" t="s">
        <v>81</v>
      </c>
      <c r="Q2705" t="s">
        <v>82</v>
      </c>
      <c r="R2705" t="s">
        <v>4421</v>
      </c>
    </row>
    <row r="2706" spans="1:18" x14ac:dyDescent="0.25">
      <c r="A2706" t="s">
        <v>20987</v>
      </c>
      <c r="B2706" t="s">
        <v>4428</v>
      </c>
      <c r="C2706" t="str">
        <f>HYPERLINK("https://nematode.unl.edu/discaur3.jpg")</f>
        <v>https://nematode.unl.edu/discaur3.jpg</v>
      </c>
      <c r="D2706" t="s">
        <v>43</v>
      </c>
      <c r="G2706" t="s">
        <v>87</v>
      </c>
      <c r="I2706" t="s">
        <v>19</v>
      </c>
      <c r="J2706" t="s">
        <v>3338</v>
      </c>
      <c r="M2706" t="s">
        <v>4425</v>
      </c>
      <c r="N2706" t="s">
        <v>4425</v>
      </c>
      <c r="O2706" t="s">
        <v>73</v>
      </c>
      <c r="P2706" t="s">
        <v>81</v>
      </c>
      <c r="Q2706" t="s">
        <v>82</v>
      </c>
      <c r="R2706" t="s">
        <v>4421</v>
      </c>
    </row>
    <row r="2707" spans="1:18" x14ac:dyDescent="0.25">
      <c r="A2707" t="s">
        <v>20991</v>
      </c>
      <c r="B2707" t="s">
        <v>4429</v>
      </c>
      <c r="C2707" t="str">
        <f>HYPERLINK("https://nematode.unl.edu/discaur4.jpg")</f>
        <v>https://nematode.unl.edu/discaur4.jpg</v>
      </c>
      <c r="D2707" t="s">
        <v>43</v>
      </c>
      <c r="G2707" t="s">
        <v>28</v>
      </c>
      <c r="I2707" t="s">
        <v>19</v>
      </c>
      <c r="J2707" t="s">
        <v>3338</v>
      </c>
      <c r="M2707" t="s">
        <v>4425</v>
      </c>
      <c r="N2707" t="s">
        <v>4425</v>
      </c>
      <c r="O2707" t="s">
        <v>73</v>
      </c>
      <c r="P2707" t="s">
        <v>81</v>
      </c>
      <c r="Q2707" t="s">
        <v>82</v>
      </c>
      <c r="R2707" t="s">
        <v>4421</v>
      </c>
    </row>
    <row r="2708" spans="1:18" x14ac:dyDescent="0.25">
      <c r="A2708" t="s">
        <v>20986</v>
      </c>
      <c r="B2708" t="s">
        <v>4430</v>
      </c>
      <c r="C2708" t="str">
        <f>HYPERLINK("https://nematode.unl.edu/discaur5.jpg")</f>
        <v>https://nematode.unl.edu/discaur5.jpg</v>
      </c>
      <c r="D2708" t="s">
        <v>43</v>
      </c>
      <c r="G2708" t="s">
        <v>34</v>
      </c>
      <c r="H2708" t="s">
        <v>18</v>
      </c>
      <c r="I2708" t="s">
        <v>19</v>
      </c>
      <c r="J2708" t="s">
        <v>3338</v>
      </c>
      <c r="M2708" t="s">
        <v>4425</v>
      </c>
      <c r="N2708" t="s">
        <v>4425</v>
      </c>
      <c r="O2708" t="s">
        <v>73</v>
      </c>
      <c r="P2708" t="s">
        <v>81</v>
      </c>
      <c r="Q2708" t="s">
        <v>82</v>
      </c>
      <c r="R2708" t="s">
        <v>4421</v>
      </c>
    </row>
    <row r="2709" spans="1:18" x14ac:dyDescent="0.25">
      <c r="A2709" t="s">
        <v>20988</v>
      </c>
      <c r="B2709" t="s">
        <v>4431</v>
      </c>
      <c r="C2709" t="str">
        <f>HYPERLINK("https://nematode.unl.edu/discaur6.jpg")</f>
        <v>https://nematode.unl.edu/discaur6.jpg</v>
      </c>
      <c r="D2709" t="s">
        <v>43</v>
      </c>
      <c r="G2709" t="s">
        <v>87</v>
      </c>
      <c r="I2709" t="s">
        <v>19</v>
      </c>
      <c r="J2709" t="s">
        <v>3338</v>
      </c>
      <c r="M2709" t="s">
        <v>4425</v>
      </c>
      <c r="N2709" t="s">
        <v>4425</v>
      </c>
      <c r="O2709" t="s">
        <v>73</v>
      </c>
      <c r="P2709" t="s">
        <v>81</v>
      </c>
      <c r="Q2709" t="s">
        <v>82</v>
      </c>
      <c r="R2709" t="s">
        <v>4421</v>
      </c>
    </row>
    <row r="2710" spans="1:18" x14ac:dyDescent="0.25">
      <c r="A2710" t="s">
        <v>20993</v>
      </c>
      <c r="B2710" t="s">
        <v>4432</v>
      </c>
      <c r="C2710" t="str">
        <f>HYPERLINK("https://nematode.unl.edu/discaur7.jpg")</f>
        <v>https://nematode.unl.edu/discaur7.jpg</v>
      </c>
      <c r="D2710" t="s">
        <v>43</v>
      </c>
      <c r="G2710" t="s">
        <v>51</v>
      </c>
      <c r="I2710" t="s">
        <v>19</v>
      </c>
      <c r="J2710" t="s">
        <v>3338</v>
      </c>
      <c r="M2710" t="s">
        <v>4425</v>
      </c>
      <c r="N2710" t="s">
        <v>4425</v>
      </c>
      <c r="O2710" t="s">
        <v>73</v>
      </c>
      <c r="P2710" t="s">
        <v>81</v>
      </c>
      <c r="Q2710" t="s">
        <v>82</v>
      </c>
      <c r="R2710" t="s">
        <v>4421</v>
      </c>
    </row>
    <row r="2711" spans="1:18" x14ac:dyDescent="0.25">
      <c r="A2711" t="s">
        <v>20992</v>
      </c>
      <c r="B2711" t="s">
        <v>4433</v>
      </c>
      <c r="C2711" t="str">
        <f>HYPERLINK("https://nematode.unl.edu/discaur8.jpg")</f>
        <v>https://nematode.unl.edu/discaur8.jpg</v>
      </c>
      <c r="D2711" t="s">
        <v>43</v>
      </c>
      <c r="G2711" t="s">
        <v>28</v>
      </c>
      <c r="I2711" t="s">
        <v>19</v>
      </c>
      <c r="J2711" t="s">
        <v>3338</v>
      </c>
      <c r="M2711" t="s">
        <v>4425</v>
      </c>
      <c r="N2711" t="s">
        <v>4425</v>
      </c>
      <c r="O2711" t="s">
        <v>73</v>
      </c>
      <c r="P2711" t="s">
        <v>81</v>
      </c>
      <c r="Q2711" t="s">
        <v>82</v>
      </c>
      <c r="R2711" t="s">
        <v>4421</v>
      </c>
    </row>
    <row r="2712" spans="1:18" x14ac:dyDescent="0.25">
      <c r="A2712" t="s">
        <v>20942</v>
      </c>
      <c r="B2712" t="s">
        <v>4371</v>
      </c>
      <c r="C2712" t="str">
        <f>HYPERLINK("https://nematode.unl.edu/disccy1.jpg")</f>
        <v>https://nematode.unl.edu/disccy1.jpg</v>
      </c>
      <c r="D2712" t="s">
        <v>16</v>
      </c>
      <c r="G2712" t="s">
        <v>28</v>
      </c>
      <c r="I2712" t="s">
        <v>19</v>
      </c>
      <c r="J2712" t="s">
        <v>20</v>
      </c>
      <c r="L2712" t="s">
        <v>141</v>
      </c>
      <c r="M2712" t="s">
        <v>4372</v>
      </c>
      <c r="N2712" t="s">
        <v>4372</v>
      </c>
      <c r="O2712" t="s">
        <v>73</v>
      </c>
      <c r="P2712" t="s">
        <v>81</v>
      </c>
      <c r="Q2712" t="s">
        <v>82</v>
      </c>
      <c r="R2712" t="s">
        <v>4361</v>
      </c>
    </row>
    <row r="2713" spans="1:18" x14ac:dyDescent="0.25">
      <c r="A2713" t="s">
        <v>20940</v>
      </c>
      <c r="B2713" t="s">
        <v>4373</v>
      </c>
      <c r="C2713" t="str">
        <f>HYPERLINK("https://nematode.unl.edu/disccy2.jpg")</f>
        <v>https://nematode.unl.edu/disccy2.jpg</v>
      </c>
      <c r="D2713" t="s">
        <v>16</v>
      </c>
      <c r="G2713" t="s">
        <v>87</v>
      </c>
      <c r="I2713" t="s">
        <v>19</v>
      </c>
      <c r="J2713" t="s">
        <v>20</v>
      </c>
      <c r="L2713" t="s">
        <v>141</v>
      </c>
      <c r="M2713" t="s">
        <v>4372</v>
      </c>
      <c r="N2713" t="s">
        <v>4372</v>
      </c>
      <c r="O2713" t="s">
        <v>73</v>
      </c>
      <c r="P2713" t="s">
        <v>81</v>
      </c>
      <c r="Q2713" t="s">
        <v>82</v>
      </c>
      <c r="R2713" t="s">
        <v>4361</v>
      </c>
    </row>
    <row r="2714" spans="1:18" x14ac:dyDescent="0.25">
      <c r="A2714" t="s">
        <v>20938</v>
      </c>
      <c r="B2714" t="s">
        <v>4374</v>
      </c>
      <c r="C2714" t="str">
        <f>HYPERLINK("https://nematode.unl.edu/disccy3.jpg")</f>
        <v>https://nematode.unl.edu/disccy3.jpg</v>
      </c>
      <c r="D2714" t="s">
        <v>16</v>
      </c>
      <c r="G2714" t="s">
        <v>34</v>
      </c>
      <c r="H2714" t="s">
        <v>18</v>
      </c>
      <c r="I2714" t="s">
        <v>19</v>
      </c>
      <c r="J2714" t="s">
        <v>20</v>
      </c>
      <c r="L2714" t="s">
        <v>141</v>
      </c>
      <c r="M2714" t="s">
        <v>4372</v>
      </c>
      <c r="N2714" t="s">
        <v>4372</v>
      </c>
      <c r="O2714" t="s">
        <v>73</v>
      </c>
      <c r="P2714" t="s">
        <v>81</v>
      </c>
      <c r="Q2714" t="s">
        <v>82</v>
      </c>
      <c r="R2714" t="s">
        <v>4361</v>
      </c>
    </row>
    <row r="2715" spans="1:18" x14ac:dyDescent="0.25">
      <c r="A2715" t="s">
        <v>20939</v>
      </c>
      <c r="B2715" t="s">
        <v>4375</v>
      </c>
      <c r="C2715" t="str">
        <f>HYPERLINK("https://nematode.unl.edu/disccy4.jpg")</f>
        <v>https://nematode.unl.edu/disccy4.jpg</v>
      </c>
      <c r="D2715" t="s">
        <v>16</v>
      </c>
      <c r="G2715" t="s">
        <v>34</v>
      </c>
      <c r="H2715" t="s">
        <v>18</v>
      </c>
      <c r="I2715" t="s">
        <v>41</v>
      </c>
      <c r="J2715" t="s">
        <v>20</v>
      </c>
      <c r="L2715" t="s">
        <v>141</v>
      </c>
      <c r="M2715" t="s">
        <v>4372</v>
      </c>
      <c r="N2715" t="s">
        <v>4372</v>
      </c>
      <c r="O2715" t="s">
        <v>73</v>
      </c>
      <c r="P2715" t="s">
        <v>81</v>
      </c>
      <c r="Q2715" t="s">
        <v>82</v>
      </c>
      <c r="R2715" t="s">
        <v>4361</v>
      </c>
    </row>
    <row r="2716" spans="1:18" x14ac:dyDescent="0.25">
      <c r="A2716" t="s">
        <v>20941</v>
      </c>
      <c r="B2716" t="s">
        <v>4376</v>
      </c>
      <c r="C2716" t="str">
        <f>HYPERLINK("https://nematode.unl.edu/disccy5.jpg")</f>
        <v>https://nematode.unl.edu/disccy5.jpg</v>
      </c>
      <c r="D2716" t="s">
        <v>16</v>
      </c>
      <c r="G2716" t="s">
        <v>87</v>
      </c>
      <c r="I2716" t="s">
        <v>41</v>
      </c>
      <c r="J2716" t="s">
        <v>20</v>
      </c>
      <c r="L2716" t="s">
        <v>141</v>
      </c>
      <c r="M2716" t="s">
        <v>4372</v>
      </c>
      <c r="N2716" t="s">
        <v>4372</v>
      </c>
      <c r="O2716" t="s">
        <v>73</v>
      </c>
      <c r="P2716" t="s">
        <v>81</v>
      </c>
      <c r="Q2716" t="s">
        <v>82</v>
      </c>
      <c r="R2716" t="s">
        <v>4361</v>
      </c>
    </row>
    <row r="2717" spans="1:18" x14ac:dyDescent="0.25">
      <c r="A2717" t="s">
        <v>13878</v>
      </c>
      <c r="B2717" t="s">
        <v>4291</v>
      </c>
      <c r="C2717" t="str">
        <f>HYPERLINK("https://nematode.unl.edu/discinarcoll.jpg")</f>
        <v>https://nematode.unl.edu/discinarcoll.jpg</v>
      </c>
      <c r="D2717" t="s">
        <v>43</v>
      </c>
      <c r="G2717" t="s">
        <v>108</v>
      </c>
      <c r="M2717" t="s">
        <v>4292</v>
      </c>
      <c r="N2717" t="s">
        <v>4292</v>
      </c>
      <c r="O2717" t="s">
        <v>23</v>
      </c>
      <c r="P2717" t="s">
        <v>24</v>
      </c>
      <c r="Q2717" t="s">
        <v>642</v>
      </c>
      <c r="R2717" t="s">
        <v>4293</v>
      </c>
    </row>
    <row r="2718" spans="1:18" x14ac:dyDescent="0.25">
      <c r="A2718" t="s">
        <v>14842</v>
      </c>
      <c r="B2718" t="s">
        <v>8157</v>
      </c>
      <c r="C2718" t="str">
        <f>HYPERLINK("https://nematode.unl.edu/discinarty1.jpg")</f>
        <v>https://nematode.unl.edu/discinarty1.jpg</v>
      </c>
      <c r="D2718" t="s">
        <v>43</v>
      </c>
      <c r="G2718" t="s">
        <v>44</v>
      </c>
      <c r="I2718" t="s">
        <v>19</v>
      </c>
      <c r="J2718" t="s">
        <v>4296</v>
      </c>
      <c r="L2718" t="s">
        <v>6949</v>
      </c>
      <c r="M2718" t="s">
        <v>8133</v>
      </c>
      <c r="N2718" t="s">
        <v>8133</v>
      </c>
      <c r="O2718" t="s">
        <v>23</v>
      </c>
      <c r="P2718" t="s">
        <v>24</v>
      </c>
      <c r="Q2718" t="s">
        <v>642</v>
      </c>
      <c r="R2718" t="s">
        <v>1214</v>
      </c>
    </row>
    <row r="2719" spans="1:18" x14ac:dyDescent="0.25">
      <c r="A2719" t="s">
        <v>14843</v>
      </c>
      <c r="B2719" t="s">
        <v>8158</v>
      </c>
      <c r="C2719" t="str">
        <f>HYPERLINK("https://nematode.unl.edu/discinarty2.jpg")</f>
        <v>https://nematode.unl.edu/discinarty2.jpg</v>
      </c>
      <c r="D2719" t="s">
        <v>43</v>
      </c>
      <c r="G2719" t="s">
        <v>44</v>
      </c>
      <c r="I2719" t="s">
        <v>137</v>
      </c>
      <c r="J2719" t="s">
        <v>4296</v>
      </c>
      <c r="L2719" t="s">
        <v>6949</v>
      </c>
      <c r="M2719" t="s">
        <v>8133</v>
      </c>
      <c r="N2719" t="s">
        <v>8133</v>
      </c>
      <c r="O2719" t="s">
        <v>23</v>
      </c>
      <c r="P2719" t="s">
        <v>24</v>
      </c>
      <c r="Q2719" t="s">
        <v>642</v>
      </c>
      <c r="R2719" t="s">
        <v>1214</v>
      </c>
    </row>
    <row r="2720" spans="1:18" x14ac:dyDescent="0.25">
      <c r="A2720" t="s">
        <v>14793</v>
      </c>
      <c r="B2720" t="s">
        <v>8159</v>
      </c>
      <c r="C2720" t="str">
        <f>HYPERLINK("https://nematode.unl.edu/discinarty3.jpg")</f>
        <v>https://nematode.unl.edu/discinarty3.jpg</v>
      </c>
      <c r="D2720" t="s">
        <v>43</v>
      </c>
      <c r="G2720" t="s">
        <v>96</v>
      </c>
      <c r="H2720" t="s">
        <v>18</v>
      </c>
      <c r="I2720" t="s">
        <v>41</v>
      </c>
      <c r="J2720" t="s">
        <v>4296</v>
      </c>
      <c r="L2720" t="s">
        <v>6949</v>
      </c>
      <c r="M2720" t="s">
        <v>8133</v>
      </c>
      <c r="N2720" t="s">
        <v>8133</v>
      </c>
      <c r="O2720" t="s">
        <v>23</v>
      </c>
      <c r="P2720" t="s">
        <v>24</v>
      </c>
      <c r="Q2720" t="s">
        <v>642</v>
      </c>
      <c r="R2720" t="s">
        <v>1214</v>
      </c>
    </row>
    <row r="2721" spans="1:18" x14ac:dyDescent="0.25">
      <c r="A2721" t="s">
        <v>14884</v>
      </c>
      <c r="B2721" t="s">
        <v>8160</v>
      </c>
      <c r="C2721" t="str">
        <f>HYPERLINK("https://nematode.unl.edu/discinarty4.jpg")</f>
        <v>https://nematode.unl.edu/discinarty4.jpg</v>
      </c>
      <c r="D2721" t="s">
        <v>43</v>
      </c>
      <c r="G2721" t="s">
        <v>178</v>
      </c>
      <c r="I2721" t="s">
        <v>41</v>
      </c>
      <c r="J2721" t="s">
        <v>4296</v>
      </c>
      <c r="L2721" t="s">
        <v>6949</v>
      </c>
      <c r="M2721" t="s">
        <v>8133</v>
      </c>
      <c r="N2721" t="s">
        <v>8133</v>
      </c>
      <c r="O2721" t="s">
        <v>23</v>
      </c>
      <c r="P2721" t="s">
        <v>24</v>
      </c>
      <c r="Q2721" t="s">
        <v>642</v>
      </c>
      <c r="R2721" t="s">
        <v>1214</v>
      </c>
    </row>
    <row r="2722" spans="1:18" x14ac:dyDescent="0.25">
      <c r="A2722" t="s">
        <v>14888</v>
      </c>
      <c r="B2722" t="s">
        <v>8161</v>
      </c>
      <c r="C2722" t="str">
        <f>HYPERLINK("https://nematode.unl.edu/discinarty5.jpg")</f>
        <v>https://nematode.unl.edu/discinarty5.jpg</v>
      </c>
      <c r="D2722" t="s">
        <v>43</v>
      </c>
      <c r="G2722" t="s">
        <v>674</v>
      </c>
      <c r="I2722" t="s">
        <v>41</v>
      </c>
      <c r="J2722" t="s">
        <v>4296</v>
      </c>
      <c r="L2722" t="s">
        <v>6949</v>
      </c>
      <c r="M2722" t="s">
        <v>8133</v>
      </c>
      <c r="N2722" t="s">
        <v>8133</v>
      </c>
      <c r="O2722" t="s">
        <v>23</v>
      </c>
      <c r="P2722" t="s">
        <v>24</v>
      </c>
      <c r="Q2722" t="s">
        <v>642</v>
      </c>
      <c r="R2722" t="s">
        <v>1214</v>
      </c>
    </row>
    <row r="2723" spans="1:18" x14ac:dyDescent="0.25">
      <c r="A2723" t="s">
        <v>14886</v>
      </c>
      <c r="B2723" t="s">
        <v>8162</v>
      </c>
      <c r="C2723" t="str">
        <f>HYPERLINK("https://nematode.unl.edu/discinarty6.jpg")</f>
        <v>https://nematode.unl.edu/discinarty6.jpg</v>
      </c>
      <c r="D2723" t="s">
        <v>43</v>
      </c>
      <c r="G2723" t="s">
        <v>181</v>
      </c>
      <c r="I2723" t="s">
        <v>41</v>
      </c>
      <c r="J2723" t="s">
        <v>4296</v>
      </c>
      <c r="L2723" t="s">
        <v>6949</v>
      </c>
      <c r="M2723" t="s">
        <v>8133</v>
      </c>
      <c r="N2723" t="s">
        <v>8133</v>
      </c>
      <c r="O2723" t="s">
        <v>23</v>
      </c>
      <c r="P2723" t="s">
        <v>24</v>
      </c>
      <c r="Q2723" t="s">
        <v>642</v>
      </c>
      <c r="R2723" t="s">
        <v>1214</v>
      </c>
    </row>
    <row r="2724" spans="1:18" x14ac:dyDescent="0.25">
      <c r="A2724" t="s">
        <v>14924</v>
      </c>
      <c r="B2724" t="s">
        <v>8163</v>
      </c>
      <c r="C2724" t="str">
        <f>HYPERLINK("https://nematode.unl.edu/discinarty7.jpg")</f>
        <v>https://nematode.unl.edu/discinarty7.jpg</v>
      </c>
      <c r="D2724" t="s">
        <v>43</v>
      </c>
      <c r="G2724" t="s">
        <v>8164</v>
      </c>
      <c r="I2724" t="s">
        <v>41</v>
      </c>
      <c r="J2724" t="s">
        <v>4296</v>
      </c>
      <c r="L2724" t="s">
        <v>6949</v>
      </c>
      <c r="M2724" t="s">
        <v>8133</v>
      </c>
      <c r="N2724" t="s">
        <v>8133</v>
      </c>
      <c r="O2724" t="s">
        <v>23</v>
      </c>
      <c r="P2724" t="s">
        <v>24</v>
      </c>
      <c r="Q2724" t="s">
        <v>642</v>
      </c>
      <c r="R2724" t="s">
        <v>1214</v>
      </c>
    </row>
    <row r="2725" spans="1:18" x14ac:dyDescent="0.25">
      <c r="A2725" t="s">
        <v>14832</v>
      </c>
      <c r="B2725" t="s">
        <v>8165</v>
      </c>
      <c r="C2725" t="str">
        <f>HYPERLINK("https://nematode.unl.edu/discinarty8.jpg")</f>
        <v>https://nematode.unl.edu/discinarty8.jpg</v>
      </c>
      <c r="D2725" t="s">
        <v>43</v>
      </c>
      <c r="G2725" t="s">
        <v>3942</v>
      </c>
      <c r="I2725" t="s">
        <v>41</v>
      </c>
      <c r="J2725" t="s">
        <v>4296</v>
      </c>
      <c r="L2725" t="s">
        <v>6949</v>
      </c>
      <c r="M2725" t="s">
        <v>8133</v>
      </c>
      <c r="N2725" t="s">
        <v>8133</v>
      </c>
      <c r="O2725" t="s">
        <v>23</v>
      </c>
      <c r="P2725" t="s">
        <v>24</v>
      </c>
      <c r="Q2725" t="s">
        <v>642</v>
      </c>
      <c r="R2725" t="s">
        <v>1214</v>
      </c>
    </row>
    <row r="2726" spans="1:18" x14ac:dyDescent="0.25">
      <c r="A2726" t="s">
        <v>14844</v>
      </c>
      <c r="B2726" t="s">
        <v>8166</v>
      </c>
      <c r="C2726" t="str">
        <f>HYPERLINK("https://nematode.unl.edu/discoina1.jpg")</f>
        <v>https://nematode.unl.edu/discoina1.jpg</v>
      </c>
      <c r="D2726" t="s">
        <v>43</v>
      </c>
      <c r="G2726" t="s">
        <v>44</v>
      </c>
      <c r="I2726" t="s">
        <v>19</v>
      </c>
      <c r="J2726" t="s">
        <v>4296</v>
      </c>
      <c r="L2726" t="s">
        <v>6949</v>
      </c>
      <c r="M2726" t="s">
        <v>8133</v>
      </c>
      <c r="N2726" t="s">
        <v>8133</v>
      </c>
      <c r="O2726" t="s">
        <v>23</v>
      </c>
      <c r="P2726" t="s">
        <v>24</v>
      </c>
      <c r="Q2726" t="s">
        <v>642</v>
      </c>
      <c r="R2726" t="s">
        <v>1214</v>
      </c>
    </row>
    <row r="2727" spans="1:18" x14ac:dyDescent="0.25">
      <c r="A2727" t="s">
        <v>14800</v>
      </c>
      <c r="B2727" t="s">
        <v>8167</v>
      </c>
      <c r="C2727" t="str">
        <f>HYPERLINK("https://nematode.unl.edu/discoina2.jpg")</f>
        <v>https://nematode.unl.edu/discoina2.jpg</v>
      </c>
      <c r="D2727" t="s">
        <v>43</v>
      </c>
      <c r="G2727" t="s">
        <v>34</v>
      </c>
      <c r="H2727" t="s">
        <v>18</v>
      </c>
      <c r="I2727" t="s">
        <v>19</v>
      </c>
      <c r="J2727" t="s">
        <v>4296</v>
      </c>
      <c r="L2727" t="s">
        <v>6949</v>
      </c>
      <c r="M2727" t="s">
        <v>8133</v>
      </c>
      <c r="N2727" t="s">
        <v>8133</v>
      </c>
      <c r="O2727" t="s">
        <v>23</v>
      </c>
      <c r="P2727" t="s">
        <v>24</v>
      </c>
      <c r="Q2727" t="s">
        <v>642</v>
      </c>
      <c r="R2727" t="s">
        <v>1214</v>
      </c>
    </row>
    <row r="2728" spans="1:18" x14ac:dyDescent="0.25">
      <c r="A2728" t="s">
        <v>14801</v>
      </c>
      <c r="B2728" t="s">
        <v>8168</v>
      </c>
      <c r="C2728" t="str">
        <f>HYPERLINK("https://nematode.unl.edu/discoina3.jpg")</f>
        <v>https://nematode.unl.edu/discoina3.jpg</v>
      </c>
      <c r="D2728" t="s">
        <v>43</v>
      </c>
      <c r="G2728" t="s">
        <v>34</v>
      </c>
      <c r="H2728" t="s">
        <v>18</v>
      </c>
      <c r="I2728" t="s">
        <v>19</v>
      </c>
      <c r="J2728" t="s">
        <v>4296</v>
      </c>
      <c r="L2728" t="s">
        <v>6949</v>
      </c>
      <c r="M2728" t="s">
        <v>8133</v>
      </c>
      <c r="N2728" t="s">
        <v>8133</v>
      </c>
      <c r="O2728" t="s">
        <v>23</v>
      </c>
      <c r="P2728" t="s">
        <v>24</v>
      </c>
      <c r="Q2728" t="s">
        <v>642</v>
      </c>
      <c r="R2728" t="s">
        <v>1214</v>
      </c>
    </row>
    <row r="2729" spans="1:18" x14ac:dyDescent="0.25">
      <c r="A2729" t="s">
        <v>14881</v>
      </c>
      <c r="B2729" t="s">
        <v>8169</v>
      </c>
      <c r="C2729" t="str">
        <f>HYPERLINK("https://nematode.unl.edu/discoina4.jpg")</f>
        <v>https://nematode.unl.edu/discoina4.jpg</v>
      </c>
      <c r="D2729" t="s">
        <v>43</v>
      </c>
      <c r="G2729" t="s">
        <v>8170</v>
      </c>
      <c r="I2729" t="s">
        <v>19</v>
      </c>
      <c r="J2729" t="s">
        <v>4296</v>
      </c>
      <c r="L2729" t="s">
        <v>6949</v>
      </c>
      <c r="M2729" t="s">
        <v>8133</v>
      </c>
      <c r="N2729" t="s">
        <v>8133</v>
      </c>
      <c r="O2729" t="s">
        <v>23</v>
      </c>
      <c r="P2729" t="s">
        <v>24</v>
      </c>
      <c r="Q2729" t="s">
        <v>642</v>
      </c>
      <c r="R2729" t="s">
        <v>1214</v>
      </c>
    </row>
    <row r="2730" spans="1:18" x14ac:dyDescent="0.25">
      <c r="A2730" t="s">
        <v>14882</v>
      </c>
      <c r="B2730" t="s">
        <v>8171</v>
      </c>
      <c r="C2730" t="str">
        <f>HYPERLINK("https://nematode.unl.edu/discoina5.jpg")</f>
        <v>https://nematode.unl.edu/discoina5.jpg</v>
      </c>
      <c r="D2730" t="s">
        <v>43</v>
      </c>
      <c r="G2730" t="s">
        <v>8170</v>
      </c>
      <c r="I2730" t="s">
        <v>19</v>
      </c>
      <c r="J2730" t="s">
        <v>4296</v>
      </c>
      <c r="L2730" t="s">
        <v>6949</v>
      </c>
      <c r="M2730" t="s">
        <v>8133</v>
      </c>
      <c r="N2730" t="s">
        <v>8133</v>
      </c>
      <c r="O2730" t="s">
        <v>23</v>
      </c>
      <c r="P2730" t="s">
        <v>24</v>
      </c>
      <c r="Q2730" t="s">
        <v>642</v>
      </c>
      <c r="R2730" t="s">
        <v>1214</v>
      </c>
    </row>
    <row r="2731" spans="1:18" x14ac:dyDescent="0.25">
      <c r="A2731" t="s">
        <v>14925</v>
      </c>
      <c r="B2731" t="s">
        <v>8172</v>
      </c>
      <c r="C2731" t="str">
        <f>HYPERLINK("https://nematode.unl.edu/discoina6.jpg")</f>
        <v>https://nematode.unl.edu/discoina6.jpg</v>
      </c>
      <c r="D2731" t="s">
        <v>43</v>
      </c>
      <c r="G2731" t="s">
        <v>51</v>
      </c>
      <c r="I2731" t="s">
        <v>19</v>
      </c>
      <c r="J2731" t="s">
        <v>4296</v>
      </c>
      <c r="L2731" t="s">
        <v>6949</v>
      </c>
      <c r="M2731" t="s">
        <v>8133</v>
      </c>
      <c r="N2731" t="s">
        <v>8133</v>
      </c>
      <c r="O2731" t="s">
        <v>23</v>
      </c>
      <c r="P2731" t="s">
        <v>24</v>
      </c>
      <c r="Q2731" t="s">
        <v>642</v>
      </c>
      <c r="R2731" t="s">
        <v>1214</v>
      </c>
    </row>
    <row r="2732" spans="1:18" x14ac:dyDescent="0.25">
      <c r="A2732" t="s">
        <v>14926</v>
      </c>
      <c r="B2732" t="s">
        <v>8173</v>
      </c>
      <c r="C2732" t="str">
        <f>HYPERLINK("https://nematode.unl.edu/discoina7.jpg")</f>
        <v>https://nematode.unl.edu/discoina7.jpg</v>
      </c>
      <c r="D2732" t="s">
        <v>43</v>
      </c>
      <c r="G2732" t="s">
        <v>51</v>
      </c>
      <c r="I2732" t="s">
        <v>19</v>
      </c>
      <c r="J2732" t="s">
        <v>4296</v>
      </c>
      <c r="L2732" t="s">
        <v>6949</v>
      </c>
      <c r="M2732" t="s">
        <v>8133</v>
      </c>
      <c r="N2732" t="s">
        <v>8133</v>
      </c>
      <c r="O2732" t="s">
        <v>23</v>
      </c>
      <c r="P2732" t="s">
        <v>24</v>
      </c>
      <c r="Q2732" t="s">
        <v>642</v>
      </c>
      <c r="R2732" t="s">
        <v>1214</v>
      </c>
    </row>
    <row r="2733" spans="1:18" x14ac:dyDescent="0.25">
      <c r="A2733" t="s">
        <v>13879</v>
      </c>
      <c r="B2733" t="s">
        <v>4294</v>
      </c>
      <c r="C2733" t="str">
        <f>HYPERLINK("https://nematode.unl.edu/discoinacoll.jpg")</f>
        <v>https://nematode.unl.edu/discoinacoll.jpg</v>
      </c>
      <c r="G2733" t="s">
        <v>108</v>
      </c>
      <c r="M2733" t="s">
        <v>4292</v>
      </c>
      <c r="N2733" t="s">
        <v>4292</v>
      </c>
      <c r="O2733" t="s">
        <v>23</v>
      </c>
      <c r="P2733" t="s">
        <v>24</v>
      </c>
      <c r="Q2733" t="s">
        <v>642</v>
      </c>
      <c r="R2733" t="s">
        <v>4293</v>
      </c>
    </row>
    <row r="2734" spans="1:18" x14ac:dyDescent="0.25">
      <c r="A2734" t="s">
        <v>20925</v>
      </c>
      <c r="B2734" t="s">
        <v>4355</v>
      </c>
      <c r="C2734" t="str">
        <f>HYPERLINK("https://nematode.unl.edu/discom1.jpg")</f>
        <v>https://nematode.unl.edu/discom1.jpg</v>
      </c>
      <c r="D2734" t="s">
        <v>43</v>
      </c>
      <c r="G2734" t="s">
        <v>44</v>
      </c>
      <c r="I2734" t="s">
        <v>19</v>
      </c>
      <c r="J2734" t="s">
        <v>1517</v>
      </c>
      <c r="L2734" t="s">
        <v>1526</v>
      </c>
      <c r="M2734" t="s">
        <v>702</v>
      </c>
      <c r="N2734" t="s">
        <v>702</v>
      </c>
      <c r="O2734" t="s">
        <v>73</v>
      </c>
      <c r="P2734" t="s">
        <v>81</v>
      </c>
      <c r="Q2734" t="s">
        <v>82</v>
      </c>
      <c r="R2734" t="s">
        <v>702</v>
      </c>
    </row>
    <row r="2735" spans="1:18" x14ac:dyDescent="0.25">
      <c r="A2735" t="s">
        <v>20924</v>
      </c>
      <c r="B2735" t="s">
        <v>4356</v>
      </c>
      <c r="C2735" t="str">
        <f>HYPERLINK("https://nematode.unl.edu/discom2.jpg")</f>
        <v>https://nematode.unl.edu/discom2.jpg</v>
      </c>
      <c r="D2735" t="s">
        <v>43</v>
      </c>
      <c r="G2735" t="s">
        <v>34</v>
      </c>
      <c r="H2735" t="s">
        <v>18</v>
      </c>
      <c r="I2735" t="s">
        <v>41</v>
      </c>
      <c r="J2735" t="s">
        <v>1517</v>
      </c>
      <c r="L2735" t="s">
        <v>1526</v>
      </c>
      <c r="M2735" t="s">
        <v>702</v>
      </c>
      <c r="N2735" t="s">
        <v>702</v>
      </c>
      <c r="O2735" t="s">
        <v>73</v>
      </c>
      <c r="P2735" t="s">
        <v>81</v>
      </c>
      <c r="Q2735" t="s">
        <v>82</v>
      </c>
      <c r="R2735" t="s">
        <v>702</v>
      </c>
    </row>
    <row r="2736" spans="1:18" x14ac:dyDescent="0.25">
      <c r="A2736" t="s">
        <v>20927</v>
      </c>
      <c r="B2736" t="s">
        <v>4357</v>
      </c>
      <c r="C2736" t="str">
        <f>HYPERLINK("https://nematode.unl.edu/discom3.jpg")</f>
        <v>https://nematode.unl.edu/discom3.jpg</v>
      </c>
      <c r="D2736" t="s">
        <v>43</v>
      </c>
      <c r="G2736" t="s">
        <v>51</v>
      </c>
      <c r="I2736" t="s">
        <v>41</v>
      </c>
      <c r="J2736" t="s">
        <v>1517</v>
      </c>
      <c r="L2736" t="s">
        <v>1526</v>
      </c>
      <c r="M2736" t="s">
        <v>702</v>
      </c>
      <c r="N2736" t="s">
        <v>702</v>
      </c>
      <c r="O2736" t="s">
        <v>73</v>
      </c>
      <c r="P2736" t="s">
        <v>81</v>
      </c>
      <c r="Q2736" t="s">
        <v>82</v>
      </c>
      <c r="R2736" t="s">
        <v>702</v>
      </c>
    </row>
    <row r="2737" spans="1:18" x14ac:dyDescent="0.25">
      <c r="A2737" t="s">
        <v>20926</v>
      </c>
      <c r="B2737" t="s">
        <v>4358</v>
      </c>
      <c r="C2737" t="str">
        <f>HYPERLINK("https://nematode.unl.edu/discom4.jpg")</f>
        <v>https://nematode.unl.edu/discom4.jpg</v>
      </c>
      <c r="D2737" t="s">
        <v>43</v>
      </c>
      <c r="G2737" t="s">
        <v>28</v>
      </c>
      <c r="I2737" t="s">
        <v>41</v>
      </c>
      <c r="J2737" t="s">
        <v>1517</v>
      </c>
      <c r="L2737" t="s">
        <v>1526</v>
      </c>
      <c r="M2737" t="s">
        <v>702</v>
      </c>
      <c r="N2737" t="s">
        <v>702</v>
      </c>
      <c r="O2737" t="s">
        <v>73</v>
      </c>
      <c r="P2737" t="s">
        <v>81</v>
      </c>
      <c r="Q2737" t="s">
        <v>82</v>
      </c>
      <c r="R2737" t="s">
        <v>702</v>
      </c>
    </row>
    <row r="2738" spans="1:18" x14ac:dyDescent="0.25">
      <c r="A2738" t="s">
        <v>20982</v>
      </c>
      <c r="B2738" t="s">
        <v>4419</v>
      </c>
      <c r="C2738" t="str">
        <f>HYPERLINK("https://nematode.unl.edu/discos1.jpg")</f>
        <v>https://nematode.unl.edu/discos1.jpg</v>
      </c>
      <c r="D2738" t="s">
        <v>16</v>
      </c>
      <c r="G2738" t="s">
        <v>34</v>
      </c>
      <c r="H2738" t="s">
        <v>18</v>
      </c>
      <c r="I2738" t="s">
        <v>19</v>
      </c>
      <c r="J2738" t="s">
        <v>4420</v>
      </c>
      <c r="L2738" t="s">
        <v>162</v>
      </c>
      <c r="M2738" t="s">
        <v>4421</v>
      </c>
      <c r="N2738" t="s">
        <v>4421</v>
      </c>
      <c r="O2738" t="s">
        <v>73</v>
      </c>
      <c r="P2738" t="s">
        <v>81</v>
      </c>
      <c r="Q2738" t="s">
        <v>82</v>
      </c>
      <c r="R2738" t="s">
        <v>4421</v>
      </c>
    </row>
    <row r="2739" spans="1:18" x14ac:dyDescent="0.25">
      <c r="A2739" t="s">
        <v>20983</v>
      </c>
      <c r="B2739" t="s">
        <v>4422</v>
      </c>
      <c r="C2739" t="str">
        <f>HYPERLINK("https://nematode.unl.edu/discos2.jpg")</f>
        <v>https://nematode.unl.edu/discos2.jpg</v>
      </c>
      <c r="D2739" t="s">
        <v>16</v>
      </c>
      <c r="G2739" t="s">
        <v>87</v>
      </c>
      <c r="I2739" t="s">
        <v>19</v>
      </c>
      <c r="J2739" t="s">
        <v>4420</v>
      </c>
      <c r="L2739" t="s">
        <v>162</v>
      </c>
      <c r="M2739" t="s">
        <v>4421</v>
      </c>
      <c r="N2739" t="s">
        <v>4421</v>
      </c>
      <c r="O2739" t="s">
        <v>73</v>
      </c>
      <c r="P2739" t="s">
        <v>81</v>
      </c>
      <c r="Q2739" t="s">
        <v>82</v>
      </c>
      <c r="R2739" t="s">
        <v>4421</v>
      </c>
    </row>
    <row r="2740" spans="1:18" x14ac:dyDescent="0.25">
      <c r="A2740" t="s">
        <v>20984</v>
      </c>
      <c r="B2740" t="s">
        <v>4423</v>
      </c>
      <c r="C2740" t="str">
        <f>HYPERLINK("https://nematode.unl.edu/discos3.jpg")</f>
        <v>https://nematode.unl.edu/discos3.jpg</v>
      </c>
      <c r="D2740" t="s">
        <v>16</v>
      </c>
      <c r="G2740" t="s">
        <v>28</v>
      </c>
      <c r="I2740" t="s">
        <v>19</v>
      </c>
      <c r="J2740" t="s">
        <v>4420</v>
      </c>
      <c r="M2740" t="s">
        <v>4421</v>
      </c>
      <c r="N2740" t="s">
        <v>4421</v>
      </c>
      <c r="O2740" t="s">
        <v>73</v>
      </c>
      <c r="P2740" t="s">
        <v>81</v>
      </c>
      <c r="Q2740" t="s">
        <v>82</v>
      </c>
      <c r="R2740" t="s">
        <v>4421</v>
      </c>
    </row>
    <row r="2741" spans="1:18" x14ac:dyDescent="0.25">
      <c r="A2741" t="s">
        <v>21003</v>
      </c>
      <c r="B2741" t="s">
        <v>4445</v>
      </c>
      <c r="C2741" t="str">
        <f>HYPERLINK("https://nematode.unl.edu/discotex2.jpg")</f>
        <v>https://nematode.unl.edu/discotex2.jpg</v>
      </c>
      <c r="D2741" t="s">
        <v>43</v>
      </c>
      <c r="G2741" t="s">
        <v>34</v>
      </c>
      <c r="H2741" t="s">
        <v>18</v>
      </c>
      <c r="I2741" t="s">
        <v>19</v>
      </c>
      <c r="J2741" t="s">
        <v>4420</v>
      </c>
      <c r="M2741" t="s">
        <v>4446</v>
      </c>
      <c r="N2741" t="s">
        <v>4446</v>
      </c>
      <c r="O2741" t="s">
        <v>73</v>
      </c>
      <c r="P2741" t="s">
        <v>81</v>
      </c>
      <c r="Q2741" t="s">
        <v>82</v>
      </c>
      <c r="R2741" t="s">
        <v>4421</v>
      </c>
    </row>
    <row r="2742" spans="1:18" x14ac:dyDescent="0.25">
      <c r="A2742" t="s">
        <v>21020</v>
      </c>
      <c r="B2742" t="s">
        <v>4447</v>
      </c>
      <c r="C2742" t="str">
        <f>HYPERLINK("https://nematode.unl.edu/discotex3.jpg")</f>
        <v>https://nematode.unl.edu/discotex3.jpg</v>
      </c>
      <c r="D2742" t="s">
        <v>43</v>
      </c>
      <c r="G2742" t="s">
        <v>51</v>
      </c>
      <c r="I2742" t="s">
        <v>19</v>
      </c>
      <c r="J2742" t="s">
        <v>4420</v>
      </c>
      <c r="M2742" t="s">
        <v>4446</v>
      </c>
      <c r="N2742" t="s">
        <v>4446</v>
      </c>
      <c r="O2742" t="s">
        <v>73</v>
      </c>
      <c r="P2742" t="s">
        <v>81</v>
      </c>
      <c r="Q2742" t="s">
        <v>82</v>
      </c>
      <c r="R2742" t="s">
        <v>4421</v>
      </c>
    </row>
    <row r="2743" spans="1:18" x14ac:dyDescent="0.25">
      <c r="A2743" t="s">
        <v>21016</v>
      </c>
      <c r="B2743" t="s">
        <v>4448</v>
      </c>
      <c r="C2743" t="str">
        <f>HYPERLINK("https://nematode.unl.edu/discotex4.jpg")</f>
        <v>https://nematode.unl.edu/discotex4.jpg</v>
      </c>
      <c r="D2743" t="s">
        <v>43</v>
      </c>
      <c r="G2743" t="s">
        <v>28</v>
      </c>
      <c r="I2743" t="s">
        <v>19</v>
      </c>
      <c r="J2743" t="s">
        <v>4420</v>
      </c>
      <c r="M2743" t="s">
        <v>4446</v>
      </c>
      <c r="N2743" t="s">
        <v>4446</v>
      </c>
      <c r="O2743" t="s">
        <v>73</v>
      </c>
      <c r="P2743" t="s">
        <v>81</v>
      </c>
      <c r="Q2743" t="s">
        <v>82</v>
      </c>
      <c r="R2743" t="s">
        <v>4421</v>
      </c>
    </row>
    <row r="2744" spans="1:18" x14ac:dyDescent="0.25">
      <c r="A2744" t="s">
        <v>13910</v>
      </c>
      <c r="B2744" t="s">
        <v>4339</v>
      </c>
      <c r="C2744" t="str">
        <f>HYPERLINK("https://nematode.unl.edu/discril1.jpg")</f>
        <v>https://nematode.unl.edu/discril1.jpg</v>
      </c>
      <c r="D2744" t="s">
        <v>43</v>
      </c>
      <c r="G2744" t="s">
        <v>44</v>
      </c>
      <c r="I2744" t="s">
        <v>19</v>
      </c>
      <c r="J2744" t="s">
        <v>1517</v>
      </c>
      <c r="L2744" t="s">
        <v>1526</v>
      </c>
      <c r="M2744" t="s">
        <v>4307</v>
      </c>
      <c r="N2744" t="s">
        <v>4307</v>
      </c>
      <c r="O2744" t="s">
        <v>23</v>
      </c>
      <c r="P2744" t="s">
        <v>24</v>
      </c>
      <c r="Q2744" t="s">
        <v>642</v>
      </c>
      <c r="R2744" t="s">
        <v>4293</v>
      </c>
    </row>
    <row r="2745" spans="1:18" x14ac:dyDescent="0.25">
      <c r="A2745" t="s">
        <v>13927</v>
      </c>
      <c r="B2745" t="s">
        <v>4340</v>
      </c>
      <c r="C2745" t="str">
        <f>HYPERLINK("https://nematode.unl.edu/discril11.jpg")</f>
        <v>https://nematode.unl.edu/discril11.jpg</v>
      </c>
      <c r="D2745" t="s">
        <v>43</v>
      </c>
      <c r="G2745" t="s">
        <v>28</v>
      </c>
      <c r="I2745" t="s">
        <v>41</v>
      </c>
      <c r="J2745" t="s">
        <v>1517</v>
      </c>
      <c r="L2745" t="s">
        <v>1526</v>
      </c>
      <c r="M2745" t="s">
        <v>4307</v>
      </c>
      <c r="N2745" t="s">
        <v>4307</v>
      </c>
      <c r="O2745" t="s">
        <v>23</v>
      </c>
      <c r="P2745" t="s">
        <v>24</v>
      </c>
      <c r="Q2745" t="s">
        <v>642</v>
      </c>
      <c r="R2745" t="s">
        <v>4293</v>
      </c>
    </row>
    <row r="2746" spans="1:18" x14ac:dyDescent="0.25">
      <c r="A2746" t="s">
        <v>13911</v>
      </c>
      <c r="B2746" t="s">
        <v>4341</v>
      </c>
      <c r="C2746" t="str">
        <f>HYPERLINK("https://nematode.unl.edu/discril12.jpg")</f>
        <v>https://nematode.unl.edu/discril12.jpg</v>
      </c>
      <c r="D2746" t="s">
        <v>43</v>
      </c>
      <c r="G2746" t="s">
        <v>44</v>
      </c>
      <c r="I2746" t="s">
        <v>19</v>
      </c>
      <c r="J2746" t="s">
        <v>1517</v>
      </c>
      <c r="L2746" t="s">
        <v>1526</v>
      </c>
      <c r="M2746" t="s">
        <v>4307</v>
      </c>
      <c r="N2746" t="s">
        <v>4307</v>
      </c>
      <c r="O2746" t="s">
        <v>23</v>
      </c>
      <c r="P2746" t="s">
        <v>24</v>
      </c>
      <c r="Q2746" t="s">
        <v>642</v>
      </c>
      <c r="R2746" t="s">
        <v>4293</v>
      </c>
    </row>
    <row r="2747" spans="1:18" x14ac:dyDescent="0.25">
      <c r="A2747" t="s">
        <v>13891</v>
      </c>
      <c r="B2747" t="s">
        <v>4342</v>
      </c>
      <c r="C2747" t="str">
        <f>HYPERLINK("https://nematode.unl.edu/discril13.jpg")</f>
        <v>https://nematode.unl.edu/discril13.jpg</v>
      </c>
      <c r="D2747" t="s">
        <v>43</v>
      </c>
      <c r="G2747" t="s">
        <v>34</v>
      </c>
      <c r="H2747" t="s">
        <v>18</v>
      </c>
      <c r="I2747" t="s">
        <v>41</v>
      </c>
      <c r="J2747" t="s">
        <v>1517</v>
      </c>
      <c r="L2747" t="s">
        <v>1526</v>
      </c>
      <c r="M2747" t="s">
        <v>4307</v>
      </c>
      <c r="N2747" t="s">
        <v>4307</v>
      </c>
      <c r="O2747" t="s">
        <v>23</v>
      </c>
      <c r="P2747" t="s">
        <v>24</v>
      </c>
      <c r="Q2747" t="s">
        <v>642</v>
      </c>
      <c r="R2747" t="s">
        <v>4293</v>
      </c>
    </row>
    <row r="2748" spans="1:18" x14ac:dyDescent="0.25">
      <c r="A2748" t="s">
        <v>13928</v>
      </c>
      <c r="B2748" t="s">
        <v>4343</v>
      </c>
      <c r="C2748" t="str">
        <f>HYPERLINK("https://nematode.unl.edu/discril14.jpg")</f>
        <v>https://nematode.unl.edu/discril14.jpg</v>
      </c>
      <c r="D2748" t="s">
        <v>43</v>
      </c>
      <c r="G2748" t="s">
        <v>28</v>
      </c>
      <c r="I2748" t="s">
        <v>41</v>
      </c>
      <c r="J2748" t="s">
        <v>1517</v>
      </c>
      <c r="L2748" t="s">
        <v>1526</v>
      </c>
      <c r="M2748" t="s">
        <v>4307</v>
      </c>
      <c r="N2748" t="s">
        <v>4307</v>
      </c>
      <c r="O2748" t="s">
        <v>23</v>
      </c>
      <c r="P2748" t="s">
        <v>24</v>
      </c>
      <c r="Q2748" t="s">
        <v>642</v>
      </c>
      <c r="R2748" t="s">
        <v>4293</v>
      </c>
    </row>
    <row r="2749" spans="1:18" x14ac:dyDescent="0.25">
      <c r="A2749" t="s">
        <v>13912</v>
      </c>
      <c r="B2749" t="s">
        <v>4344</v>
      </c>
      <c r="C2749" t="str">
        <f>HYPERLINK("https://nematode.unl.edu/discril15.jpg")</f>
        <v>https://nematode.unl.edu/discril15.jpg</v>
      </c>
      <c r="D2749" t="s">
        <v>43</v>
      </c>
      <c r="G2749" t="s">
        <v>44</v>
      </c>
      <c r="I2749" t="s">
        <v>19</v>
      </c>
      <c r="J2749" t="s">
        <v>1517</v>
      </c>
      <c r="L2749" t="s">
        <v>1526</v>
      </c>
      <c r="M2749" t="s">
        <v>4307</v>
      </c>
      <c r="N2749" t="s">
        <v>4307</v>
      </c>
      <c r="O2749" t="s">
        <v>23</v>
      </c>
      <c r="P2749" t="s">
        <v>24</v>
      </c>
      <c r="Q2749" t="s">
        <v>642</v>
      </c>
      <c r="R2749" t="s">
        <v>4293</v>
      </c>
    </row>
    <row r="2750" spans="1:18" x14ac:dyDescent="0.25">
      <c r="A2750" t="s">
        <v>13892</v>
      </c>
      <c r="B2750" t="s">
        <v>4345</v>
      </c>
      <c r="C2750" t="str">
        <f>HYPERLINK("https://nematode.unl.edu/discril16.jpg")</f>
        <v>https://nematode.unl.edu/discril16.jpg</v>
      </c>
      <c r="D2750" t="s">
        <v>43</v>
      </c>
      <c r="G2750" t="s">
        <v>34</v>
      </c>
      <c r="H2750" t="s">
        <v>18</v>
      </c>
      <c r="I2750" t="s">
        <v>41</v>
      </c>
      <c r="J2750" t="s">
        <v>1517</v>
      </c>
      <c r="L2750" t="s">
        <v>1526</v>
      </c>
      <c r="M2750" t="s">
        <v>4307</v>
      </c>
      <c r="N2750" t="s">
        <v>4307</v>
      </c>
      <c r="O2750" t="s">
        <v>23</v>
      </c>
      <c r="P2750" t="s">
        <v>24</v>
      </c>
      <c r="Q2750" t="s">
        <v>642</v>
      </c>
      <c r="R2750" t="s">
        <v>4293</v>
      </c>
    </row>
    <row r="2751" spans="1:18" x14ac:dyDescent="0.25">
      <c r="A2751" t="s">
        <v>13929</v>
      </c>
      <c r="B2751" t="s">
        <v>4346</v>
      </c>
      <c r="C2751" t="str">
        <f>HYPERLINK("https://nematode.unl.edu/discril17.jpg")</f>
        <v>https://nematode.unl.edu/discril17.jpg</v>
      </c>
      <c r="D2751" t="s">
        <v>43</v>
      </c>
      <c r="G2751" t="s">
        <v>28</v>
      </c>
      <c r="I2751" t="s">
        <v>41</v>
      </c>
      <c r="J2751" t="s">
        <v>1517</v>
      </c>
      <c r="L2751" t="s">
        <v>1526</v>
      </c>
      <c r="M2751" t="s">
        <v>4307</v>
      </c>
      <c r="N2751" t="s">
        <v>4307</v>
      </c>
      <c r="O2751" t="s">
        <v>23</v>
      </c>
      <c r="P2751" t="s">
        <v>24</v>
      </c>
      <c r="Q2751" t="s">
        <v>642</v>
      </c>
      <c r="R2751" t="s">
        <v>4293</v>
      </c>
    </row>
    <row r="2752" spans="1:18" x14ac:dyDescent="0.25">
      <c r="A2752" t="s">
        <v>13913</v>
      </c>
      <c r="B2752" t="s">
        <v>4347</v>
      </c>
      <c r="C2752" t="str">
        <f>HYPERLINK("https://nematode.unl.edu/discril18.jpg")</f>
        <v>https://nematode.unl.edu/discril18.jpg</v>
      </c>
      <c r="D2752" t="s">
        <v>43</v>
      </c>
      <c r="G2752" t="s">
        <v>44</v>
      </c>
      <c r="I2752" t="s">
        <v>19</v>
      </c>
      <c r="J2752" t="s">
        <v>1517</v>
      </c>
      <c r="L2752" t="s">
        <v>1526</v>
      </c>
      <c r="M2752" t="s">
        <v>4307</v>
      </c>
      <c r="N2752" t="s">
        <v>4307</v>
      </c>
      <c r="O2752" t="s">
        <v>23</v>
      </c>
      <c r="P2752" t="s">
        <v>24</v>
      </c>
      <c r="Q2752" t="s">
        <v>642</v>
      </c>
      <c r="R2752" t="s">
        <v>4293</v>
      </c>
    </row>
    <row r="2753" spans="1:18" x14ac:dyDescent="0.25">
      <c r="A2753" t="s">
        <v>13893</v>
      </c>
      <c r="B2753" t="s">
        <v>4348</v>
      </c>
      <c r="C2753" t="str">
        <f>HYPERLINK("https://nematode.unl.edu/discril19.jpg")</f>
        <v>https://nematode.unl.edu/discril19.jpg</v>
      </c>
      <c r="D2753" t="s">
        <v>43</v>
      </c>
      <c r="G2753" t="s">
        <v>34</v>
      </c>
      <c r="H2753" t="s">
        <v>18</v>
      </c>
      <c r="I2753" t="s">
        <v>41</v>
      </c>
      <c r="J2753" t="s">
        <v>1517</v>
      </c>
      <c r="L2753" t="s">
        <v>1526</v>
      </c>
      <c r="M2753" t="s">
        <v>4307</v>
      </c>
      <c r="N2753" t="s">
        <v>4307</v>
      </c>
      <c r="O2753" t="s">
        <v>23</v>
      </c>
      <c r="P2753" t="s">
        <v>24</v>
      </c>
      <c r="Q2753" t="s">
        <v>642</v>
      </c>
      <c r="R2753" t="s">
        <v>4293</v>
      </c>
    </row>
    <row r="2754" spans="1:18" x14ac:dyDescent="0.25">
      <c r="A2754" t="s">
        <v>13894</v>
      </c>
      <c r="B2754" t="s">
        <v>4349</v>
      </c>
      <c r="C2754" t="str">
        <f>HYPERLINK("https://nematode.unl.edu/discril2.jpg")</f>
        <v>https://nematode.unl.edu/discril2.jpg</v>
      </c>
      <c r="D2754" t="s">
        <v>43</v>
      </c>
      <c r="G2754" t="s">
        <v>34</v>
      </c>
      <c r="H2754" t="s">
        <v>18</v>
      </c>
      <c r="I2754" t="s">
        <v>41</v>
      </c>
      <c r="J2754" t="s">
        <v>1517</v>
      </c>
      <c r="L2754" t="s">
        <v>1526</v>
      </c>
      <c r="M2754" t="s">
        <v>4307</v>
      </c>
      <c r="N2754" t="s">
        <v>4307</v>
      </c>
      <c r="O2754" t="s">
        <v>23</v>
      </c>
      <c r="P2754" t="s">
        <v>24</v>
      </c>
      <c r="Q2754" t="s">
        <v>642</v>
      </c>
      <c r="R2754" t="s">
        <v>4293</v>
      </c>
    </row>
    <row r="2755" spans="1:18" x14ac:dyDescent="0.25">
      <c r="A2755" t="s">
        <v>13895</v>
      </c>
      <c r="B2755" t="s">
        <v>4350</v>
      </c>
      <c r="C2755" t="str">
        <f>HYPERLINK("https://nematode.unl.edu/discril21.jpg")</f>
        <v>https://nematode.unl.edu/discril21.jpg</v>
      </c>
      <c r="D2755" t="s">
        <v>43</v>
      </c>
      <c r="G2755" t="s">
        <v>34</v>
      </c>
      <c r="H2755" t="s">
        <v>18</v>
      </c>
      <c r="I2755" t="s">
        <v>41</v>
      </c>
      <c r="J2755" t="s">
        <v>1517</v>
      </c>
      <c r="L2755" t="s">
        <v>1526</v>
      </c>
      <c r="M2755" t="s">
        <v>4307</v>
      </c>
      <c r="N2755" t="s">
        <v>4307</v>
      </c>
      <c r="O2755" t="s">
        <v>23</v>
      </c>
      <c r="P2755" t="s">
        <v>24</v>
      </c>
      <c r="Q2755" t="s">
        <v>642</v>
      </c>
      <c r="R2755" t="s">
        <v>4293</v>
      </c>
    </row>
    <row r="2756" spans="1:18" x14ac:dyDescent="0.25">
      <c r="A2756" t="s">
        <v>13896</v>
      </c>
      <c r="B2756" t="s">
        <v>4351</v>
      </c>
      <c r="C2756" t="str">
        <f>HYPERLINK("https://nematode.unl.edu/discril22.jpg")</f>
        <v>https://nematode.unl.edu/discril22.jpg</v>
      </c>
      <c r="D2756" t="s">
        <v>43</v>
      </c>
      <c r="G2756" t="s">
        <v>34</v>
      </c>
      <c r="H2756" t="s">
        <v>18</v>
      </c>
      <c r="I2756" t="s">
        <v>41</v>
      </c>
      <c r="J2756" t="s">
        <v>1517</v>
      </c>
      <c r="L2756" t="s">
        <v>1526</v>
      </c>
      <c r="M2756" t="s">
        <v>4307</v>
      </c>
      <c r="N2756" t="s">
        <v>4307</v>
      </c>
      <c r="O2756" t="s">
        <v>23</v>
      </c>
      <c r="P2756" t="s">
        <v>24</v>
      </c>
      <c r="Q2756" t="s">
        <v>642</v>
      </c>
      <c r="R2756" t="s">
        <v>4293</v>
      </c>
    </row>
    <row r="2757" spans="1:18" x14ac:dyDescent="0.25">
      <c r="A2757" t="s">
        <v>13930</v>
      </c>
      <c r="B2757" t="s">
        <v>4352</v>
      </c>
      <c r="C2757" t="str">
        <f>HYPERLINK("https://nematode.unl.edu/discril23.jpg")</f>
        <v>https://nematode.unl.edu/discril23.jpg</v>
      </c>
      <c r="D2757" t="s">
        <v>43</v>
      </c>
      <c r="G2757" t="s">
        <v>28</v>
      </c>
      <c r="I2757" t="s">
        <v>41</v>
      </c>
      <c r="J2757" t="s">
        <v>1517</v>
      </c>
      <c r="L2757" t="s">
        <v>1526</v>
      </c>
      <c r="M2757" t="s">
        <v>4307</v>
      </c>
      <c r="N2757" t="s">
        <v>4307</v>
      </c>
      <c r="O2757" t="s">
        <v>23</v>
      </c>
      <c r="P2757" t="s">
        <v>24</v>
      </c>
      <c r="Q2757" t="s">
        <v>642</v>
      </c>
      <c r="R2757" t="s">
        <v>4293</v>
      </c>
    </row>
    <row r="2758" spans="1:18" x14ac:dyDescent="0.25">
      <c r="A2758" t="s">
        <v>13918</v>
      </c>
      <c r="B2758" t="s">
        <v>4353</v>
      </c>
      <c r="C2758" t="str">
        <f>HYPERLINK("https://nematode.unl.edu/discril3.jpg")</f>
        <v>https://nematode.unl.edu/discril3.jpg</v>
      </c>
      <c r="D2758" t="s">
        <v>43</v>
      </c>
      <c r="G2758" t="s">
        <v>1404</v>
      </c>
      <c r="I2758" t="s">
        <v>41</v>
      </c>
      <c r="J2758" t="s">
        <v>1517</v>
      </c>
      <c r="L2758" t="s">
        <v>1526</v>
      </c>
      <c r="M2758" t="s">
        <v>4307</v>
      </c>
      <c r="N2758" t="s">
        <v>4307</v>
      </c>
      <c r="O2758" t="s">
        <v>23</v>
      </c>
      <c r="P2758" t="s">
        <v>24</v>
      </c>
      <c r="Q2758" t="s">
        <v>642</v>
      </c>
      <c r="R2758" t="s">
        <v>4293</v>
      </c>
    </row>
    <row r="2759" spans="1:18" x14ac:dyDescent="0.25">
      <c r="A2759" t="s">
        <v>13897</v>
      </c>
      <c r="B2759" t="s">
        <v>4354</v>
      </c>
      <c r="C2759" t="str">
        <f>HYPERLINK("https://nematode.unl.edu/discril9.jpg")</f>
        <v>https://nematode.unl.edu/discril9.jpg</v>
      </c>
      <c r="D2759" t="s">
        <v>43</v>
      </c>
      <c r="G2759" t="s">
        <v>34</v>
      </c>
      <c r="H2759" t="s">
        <v>18</v>
      </c>
      <c r="I2759" t="s">
        <v>41</v>
      </c>
      <c r="J2759" t="s">
        <v>1517</v>
      </c>
      <c r="L2759" t="s">
        <v>1526</v>
      </c>
      <c r="M2759" t="s">
        <v>4307</v>
      </c>
      <c r="N2759" t="s">
        <v>4307</v>
      </c>
      <c r="O2759" t="s">
        <v>23</v>
      </c>
      <c r="P2759" t="s">
        <v>24</v>
      </c>
      <c r="Q2759" t="s">
        <v>642</v>
      </c>
      <c r="R2759" t="s">
        <v>4293</v>
      </c>
    </row>
    <row r="2760" spans="1:18" x14ac:dyDescent="0.25">
      <c r="A2760" t="s">
        <v>13678</v>
      </c>
      <c r="B2760" t="s">
        <v>3965</v>
      </c>
      <c r="C2760" t="str">
        <f>HYPERLINK("https://nematode.unl.edu/discrish1.jpg")</f>
        <v>https://nematode.unl.edu/discrish1.jpg</v>
      </c>
      <c r="D2760" t="s">
        <v>43</v>
      </c>
      <c r="G2760" t="s">
        <v>44</v>
      </c>
      <c r="I2760" t="s">
        <v>137</v>
      </c>
      <c r="J2760" t="s">
        <v>446</v>
      </c>
      <c r="M2760" t="s">
        <v>641</v>
      </c>
      <c r="N2760" t="s">
        <v>641</v>
      </c>
      <c r="O2760" t="s">
        <v>23</v>
      </c>
      <c r="P2760" t="s">
        <v>24</v>
      </c>
      <c r="Q2760" t="s">
        <v>642</v>
      </c>
      <c r="R2760" t="s">
        <v>643</v>
      </c>
    </row>
    <row r="2761" spans="1:18" x14ac:dyDescent="0.25">
      <c r="A2761" t="s">
        <v>13679</v>
      </c>
      <c r="B2761" t="s">
        <v>3966</v>
      </c>
      <c r="C2761" t="str">
        <f>HYPERLINK("https://nematode.unl.edu/discrish2.jpg")</f>
        <v>https://nematode.unl.edu/discrish2.jpg</v>
      </c>
      <c r="D2761" t="s">
        <v>43</v>
      </c>
      <c r="G2761" t="s">
        <v>44</v>
      </c>
      <c r="I2761" t="s">
        <v>19</v>
      </c>
      <c r="J2761" t="s">
        <v>446</v>
      </c>
      <c r="M2761" t="s">
        <v>641</v>
      </c>
      <c r="N2761" t="s">
        <v>641</v>
      </c>
      <c r="O2761" t="s">
        <v>23</v>
      </c>
      <c r="P2761" t="s">
        <v>24</v>
      </c>
      <c r="Q2761" t="s">
        <v>642</v>
      </c>
      <c r="R2761" t="s">
        <v>643</v>
      </c>
    </row>
    <row r="2762" spans="1:18" x14ac:dyDescent="0.25">
      <c r="A2762" t="s">
        <v>13673</v>
      </c>
      <c r="B2762" t="s">
        <v>3967</v>
      </c>
      <c r="C2762" t="str">
        <f>HYPERLINK("https://nematode.unl.edu/discrish3.jpg")</f>
        <v>https://nematode.unl.edu/discrish3.jpg</v>
      </c>
      <c r="D2762" t="s">
        <v>43</v>
      </c>
      <c r="G2762" t="s">
        <v>34</v>
      </c>
      <c r="H2762" t="s">
        <v>18</v>
      </c>
      <c r="I2762" t="s">
        <v>19</v>
      </c>
      <c r="J2762" t="s">
        <v>446</v>
      </c>
      <c r="M2762" t="s">
        <v>641</v>
      </c>
      <c r="N2762" t="s">
        <v>641</v>
      </c>
      <c r="O2762" t="s">
        <v>23</v>
      </c>
      <c r="P2762" t="s">
        <v>24</v>
      </c>
      <c r="Q2762" t="s">
        <v>642</v>
      </c>
      <c r="R2762" t="s">
        <v>643</v>
      </c>
    </row>
    <row r="2763" spans="1:18" x14ac:dyDescent="0.25">
      <c r="A2763" t="s">
        <v>13674</v>
      </c>
      <c r="B2763" t="s">
        <v>3968</v>
      </c>
      <c r="C2763" t="str">
        <f>HYPERLINK("https://nematode.unl.edu/discrish4.jpg")</f>
        <v>https://nematode.unl.edu/discrish4.jpg</v>
      </c>
      <c r="D2763" t="s">
        <v>43</v>
      </c>
      <c r="G2763" t="s">
        <v>34</v>
      </c>
      <c r="H2763" t="s">
        <v>18</v>
      </c>
      <c r="I2763" t="s">
        <v>19</v>
      </c>
      <c r="J2763" t="s">
        <v>446</v>
      </c>
      <c r="M2763" t="s">
        <v>641</v>
      </c>
      <c r="N2763" t="s">
        <v>641</v>
      </c>
      <c r="O2763" t="s">
        <v>23</v>
      </c>
      <c r="P2763" t="s">
        <v>24</v>
      </c>
      <c r="Q2763" t="s">
        <v>642</v>
      </c>
      <c r="R2763" t="s">
        <v>643</v>
      </c>
    </row>
    <row r="2764" spans="1:18" x14ac:dyDescent="0.25">
      <c r="A2764" t="s">
        <v>13681</v>
      </c>
      <c r="B2764" t="s">
        <v>3969</v>
      </c>
      <c r="C2764" t="str">
        <f>HYPERLINK("https://nematode.unl.edu/discrish5.jpg")</f>
        <v>https://nematode.unl.edu/discrish5.jpg</v>
      </c>
      <c r="D2764" t="s">
        <v>43</v>
      </c>
      <c r="G2764" t="s">
        <v>28</v>
      </c>
      <c r="I2764" t="s">
        <v>19</v>
      </c>
      <c r="J2764" t="s">
        <v>446</v>
      </c>
      <c r="M2764" t="s">
        <v>641</v>
      </c>
      <c r="N2764" t="s">
        <v>641</v>
      </c>
      <c r="O2764" t="s">
        <v>23</v>
      </c>
      <c r="P2764" t="s">
        <v>24</v>
      </c>
      <c r="Q2764" t="s">
        <v>642</v>
      </c>
      <c r="R2764" t="s">
        <v>643</v>
      </c>
    </row>
    <row r="2765" spans="1:18" x14ac:dyDescent="0.25">
      <c r="A2765" t="s">
        <v>13682</v>
      </c>
      <c r="B2765" t="s">
        <v>3970</v>
      </c>
      <c r="C2765" t="str">
        <f>HYPERLINK("https://nematode.unl.edu/discrish6.jpg")</f>
        <v>https://nematode.unl.edu/discrish6.jpg</v>
      </c>
      <c r="D2765" t="s">
        <v>43</v>
      </c>
      <c r="G2765" t="s">
        <v>28</v>
      </c>
      <c r="I2765" t="s">
        <v>19</v>
      </c>
      <c r="J2765" t="s">
        <v>446</v>
      </c>
      <c r="M2765" t="s">
        <v>641</v>
      </c>
      <c r="N2765" t="s">
        <v>641</v>
      </c>
      <c r="O2765" t="s">
        <v>23</v>
      </c>
      <c r="P2765" t="s">
        <v>24</v>
      </c>
      <c r="Q2765" t="s">
        <v>642</v>
      </c>
      <c r="R2765" t="s">
        <v>643</v>
      </c>
    </row>
    <row r="2766" spans="1:18" x14ac:dyDescent="0.25">
      <c r="A2766" t="s">
        <v>13675</v>
      </c>
      <c r="B2766" t="s">
        <v>3971</v>
      </c>
      <c r="C2766" t="str">
        <f>HYPERLINK("https://nematode.unl.edu/discrish7.jpg")</f>
        <v>https://nematode.unl.edu/discrish7.jpg</v>
      </c>
      <c r="D2766" t="s">
        <v>43</v>
      </c>
      <c r="G2766" t="s">
        <v>34</v>
      </c>
      <c r="H2766" t="s">
        <v>18</v>
      </c>
      <c r="I2766" t="s">
        <v>19</v>
      </c>
      <c r="J2766" t="s">
        <v>446</v>
      </c>
      <c r="M2766" t="s">
        <v>641</v>
      </c>
      <c r="N2766" t="s">
        <v>641</v>
      </c>
      <c r="O2766" t="s">
        <v>23</v>
      </c>
      <c r="P2766" t="s">
        <v>24</v>
      </c>
      <c r="Q2766" t="s">
        <v>642</v>
      </c>
      <c r="R2766" t="s">
        <v>643</v>
      </c>
    </row>
    <row r="2767" spans="1:18" x14ac:dyDescent="0.25">
      <c r="A2767" t="s">
        <v>13663</v>
      </c>
      <c r="B2767" t="s">
        <v>3955</v>
      </c>
      <c r="C2767" t="str">
        <f>HYPERLINK("https://nematode.unl.edu/discrismo1.jpg")</f>
        <v>https://nematode.unl.edu/discrismo1.jpg</v>
      </c>
      <c r="D2767" t="s">
        <v>43</v>
      </c>
      <c r="G2767" t="s">
        <v>44</v>
      </c>
      <c r="I2767" t="s">
        <v>45</v>
      </c>
      <c r="J2767" t="s">
        <v>3956</v>
      </c>
      <c r="K2767" t="s">
        <v>22861</v>
      </c>
      <c r="M2767" t="s">
        <v>643</v>
      </c>
      <c r="N2767" t="s">
        <v>643</v>
      </c>
      <c r="O2767" t="s">
        <v>23</v>
      </c>
      <c r="P2767" t="s">
        <v>24</v>
      </c>
      <c r="Q2767" t="s">
        <v>642</v>
      </c>
      <c r="R2767" t="s">
        <v>643</v>
      </c>
    </row>
    <row r="2768" spans="1:18" x14ac:dyDescent="0.25">
      <c r="A2768" t="s">
        <v>13650</v>
      </c>
      <c r="B2768" t="s">
        <v>3957</v>
      </c>
      <c r="C2768" t="str">
        <f>HYPERLINK("https://nematode.unl.edu/discrismo2.jpg")</f>
        <v>https://nematode.unl.edu/discrismo2.jpg</v>
      </c>
      <c r="D2768" t="s">
        <v>43</v>
      </c>
      <c r="G2768" t="s">
        <v>34</v>
      </c>
      <c r="H2768" t="s">
        <v>18</v>
      </c>
      <c r="I2768" t="s">
        <v>19</v>
      </c>
      <c r="J2768" t="s">
        <v>3956</v>
      </c>
      <c r="K2768" t="s">
        <v>22861</v>
      </c>
      <c r="M2768" t="s">
        <v>643</v>
      </c>
      <c r="N2768" t="s">
        <v>643</v>
      </c>
      <c r="O2768" t="s">
        <v>23</v>
      </c>
      <c r="P2768" t="s">
        <v>24</v>
      </c>
      <c r="Q2768" t="s">
        <v>642</v>
      </c>
      <c r="R2768" t="s">
        <v>643</v>
      </c>
    </row>
    <row r="2769" spans="1:18" x14ac:dyDescent="0.25">
      <c r="A2769" t="s">
        <v>13651</v>
      </c>
      <c r="B2769" t="s">
        <v>3958</v>
      </c>
      <c r="C2769" t="str">
        <f>HYPERLINK("https://nematode.unl.edu/discrismo3.jpg")</f>
        <v>https://nematode.unl.edu/discrismo3.jpg</v>
      </c>
      <c r="D2769" t="s">
        <v>43</v>
      </c>
      <c r="G2769" t="s">
        <v>34</v>
      </c>
      <c r="H2769" t="s">
        <v>18</v>
      </c>
      <c r="I2769" t="s">
        <v>19</v>
      </c>
      <c r="J2769" t="s">
        <v>3956</v>
      </c>
      <c r="K2769" t="s">
        <v>22861</v>
      </c>
      <c r="M2769" t="s">
        <v>643</v>
      </c>
      <c r="N2769" t="s">
        <v>643</v>
      </c>
      <c r="O2769" t="s">
        <v>23</v>
      </c>
      <c r="P2769" t="s">
        <v>24</v>
      </c>
      <c r="Q2769" t="s">
        <v>642</v>
      </c>
      <c r="R2769" t="s">
        <v>643</v>
      </c>
    </row>
    <row r="2770" spans="1:18" x14ac:dyDescent="0.25">
      <c r="A2770" t="s">
        <v>13654</v>
      </c>
      <c r="B2770" t="s">
        <v>3959</v>
      </c>
      <c r="C2770" t="str">
        <f>HYPERLINK("https://nematode.unl.edu/discrismo4.jpg")</f>
        <v>https://nematode.unl.edu/discrismo4.jpg</v>
      </c>
      <c r="D2770" t="s">
        <v>43</v>
      </c>
      <c r="G2770" t="s">
        <v>3942</v>
      </c>
      <c r="I2770" t="s">
        <v>19</v>
      </c>
      <c r="J2770" t="s">
        <v>3956</v>
      </c>
      <c r="K2770" t="s">
        <v>22861</v>
      </c>
      <c r="M2770" t="s">
        <v>643</v>
      </c>
      <c r="N2770" t="s">
        <v>643</v>
      </c>
      <c r="O2770" t="s">
        <v>23</v>
      </c>
      <c r="P2770" t="s">
        <v>24</v>
      </c>
      <c r="Q2770" t="s">
        <v>642</v>
      </c>
      <c r="R2770" t="s">
        <v>643</v>
      </c>
    </row>
    <row r="2771" spans="1:18" x14ac:dyDescent="0.25">
      <c r="A2771" t="s">
        <v>13671</v>
      </c>
      <c r="B2771" t="s">
        <v>3960</v>
      </c>
      <c r="C2771" t="str">
        <f>HYPERLINK("https://nematode.unl.edu/discrismo5.jpg")</f>
        <v>https://nematode.unl.edu/discrismo5.jpg</v>
      </c>
      <c r="D2771" t="s">
        <v>43</v>
      </c>
      <c r="G2771" t="s">
        <v>28</v>
      </c>
      <c r="I2771" t="s">
        <v>19</v>
      </c>
      <c r="J2771" t="s">
        <v>3956</v>
      </c>
      <c r="K2771" t="s">
        <v>22861</v>
      </c>
      <c r="M2771" t="s">
        <v>643</v>
      </c>
      <c r="N2771" t="s">
        <v>643</v>
      </c>
      <c r="O2771" t="s">
        <v>23</v>
      </c>
      <c r="P2771" t="s">
        <v>24</v>
      </c>
      <c r="Q2771" t="s">
        <v>642</v>
      </c>
      <c r="R2771" t="s">
        <v>643</v>
      </c>
    </row>
    <row r="2772" spans="1:18" x14ac:dyDescent="0.25">
      <c r="A2772" t="s">
        <v>13875</v>
      </c>
      <c r="B2772" t="s">
        <v>4295</v>
      </c>
      <c r="C2772" t="str">
        <f>HYPERLINK("https://nematode.unl.edu/diskalsow1.jpg")</f>
        <v>https://nematode.unl.edu/diskalsow1.jpg</v>
      </c>
      <c r="D2772" t="s">
        <v>43</v>
      </c>
      <c r="G2772" t="s">
        <v>44</v>
      </c>
      <c r="I2772" t="s">
        <v>19</v>
      </c>
      <c r="J2772" t="s">
        <v>4296</v>
      </c>
      <c r="L2772" t="s">
        <v>4297</v>
      </c>
      <c r="M2772" t="s">
        <v>4292</v>
      </c>
      <c r="N2772" t="s">
        <v>4292</v>
      </c>
      <c r="O2772" t="s">
        <v>23</v>
      </c>
      <c r="P2772" t="s">
        <v>24</v>
      </c>
      <c r="Q2772" t="s">
        <v>642</v>
      </c>
      <c r="R2772" t="s">
        <v>4293</v>
      </c>
    </row>
    <row r="2773" spans="1:18" x14ac:dyDescent="0.25">
      <c r="A2773" t="s">
        <v>13873</v>
      </c>
      <c r="B2773" t="s">
        <v>4298</v>
      </c>
      <c r="C2773" t="str">
        <f>HYPERLINK("https://nematode.unl.edu/diskalsow2.jpg")</f>
        <v>https://nematode.unl.edu/diskalsow2.jpg</v>
      </c>
      <c r="D2773" t="s">
        <v>43</v>
      </c>
      <c r="G2773" t="s">
        <v>34</v>
      </c>
      <c r="H2773" t="s">
        <v>18</v>
      </c>
      <c r="I2773" t="s">
        <v>41</v>
      </c>
      <c r="J2773" t="s">
        <v>4296</v>
      </c>
      <c r="L2773" t="s">
        <v>4297</v>
      </c>
      <c r="M2773" t="s">
        <v>4292</v>
      </c>
      <c r="N2773" t="s">
        <v>4292</v>
      </c>
      <c r="O2773" t="s">
        <v>23</v>
      </c>
      <c r="P2773" t="s">
        <v>24</v>
      </c>
      <c r="Q2773" t="s">
        <v>642</v>
      </c>
      <c r="R2773" t="s">
        <v>4293</v>
      </c>
    </row>
    <row r="2774" spans="1:18" x14ac:dyDescent="0.25">
      <c r="A2774" t="s">
        <v>13874</v>
      </c>
      <c r="B2774" t="s">
        <v>4299</v>
      </c>
      <c r="C2774" t="str">
        <f>HYPERLINK("https://nematode.unl.edu/diskalsow3.jpg")</f>
        <v>https://nematode.unl.edu/diskalsow3.jpg</v>
      </c>
      <c r="D2774" t="s">
        <v>43</v>
      </c>
      <c r="G2774" t="s">
        <v>34</v>
      </c>
      <c r="H2774" t="s">
        <v>18</v>
      </c>
      <c r="I2774" t="s">
        <v>41</v>
      </c>
      <c r="J2774" t="s">
        <v>4296</v>
      </c>
      <c r="L2774" t="s">
        <v>4297</v>
      </c>
      <c r="M2774" t="s">
        <v>4292</v>
      </c>
      <c r="N2774" t="s">
        <v>4292</v>
      </c>
      <c r="O2774" t="s">
        <v>23</v>
      </c>
      <c r="P2774" t="s">
        <v>24</v>
      </c>
      <c r="Q2774" t="s">
        <v>642</v>
      </c>
      <c r="R2774" t="s">
        <v>4293</v>
      </c>
    </row>
    <row r="2775" spans="1:18" x14ac:dyDescent="0.25">
      <c r="A2775" t="s">
        <v>13882</v>
      </c>
      <c r="B2775" t="s">
        <v>4300</v>
      </c>
      <c r="C2775" t="str">
        <f>HYPERLINK("https://nematode.unl.edu/diskalsow4.jpg")</f>
        <v>https://nematode.unl.edu/diskalsow4.jpg</v>
      </c>
      <c r="D2775" t="s">
        <v>43</v>
      </c>
      <c r="G2775" t="s">
        <v>28</v>
      </c>
      <c r="I2775" t="s">
        <v>41</v>
      </c>
      <c r="J2775" t="s">
        <v>4296</v>
      </c>
      <c r="L2775" t="s">
        <v>4297</v>
      </c>
      <c r="M2775" t="s">
        <v>4292</v>
      </c>
      <c r="N2775" t="s">
        <v>4292</v>
      </c>
      <c r="O2775" t="s">
        <v>23</v>
      </c>
      <c r="P2775" t="s">
        <v>24</v>
      </c>
      <c r="Q2775" t="s">
        <v>642</v>
      </c>
      <c r="R2775" t="s">
        <v>4293</v>
      </c>
    </row>
    <row r="2776" spans="1:18" x14ac:dyDescent="0.25">
      <c r="A2776" t="s">
        <v>13880</v>
      </c>
      <c r="B2776" t="s">
        <v>4301</v>
      </c>
      <c r="C2776" t="str">
        <f>HYPERLINK("https://nematode.unl.edu/diskalsow5.jpg")</f>
        <v>https://nematode.unl.edu/diskalsow5.jpg</v>
      </c>
      <c r="D2776" t="s">
        <v>43</v>
      </c>
      <c r="G2776" t="s">
        <v>224</v>
      </c>
      <c r="I2776" t="s">
        <v>19</v>
      </c>
      <c r="J2776" t="s">
        <v>4296</v>
      </c>
      <c r="L2776" t="s">
        <v>4297</v>
      </c>
      <c r="M2776" t="s">
        <v>4292</v>
      </c>
      <c r="N2776" t="s">
        <v>4292</v>
      </c>
      <c r="O2776" t="s">
        <v>23</v>
      </c>
      <c r="P2776" t="s">
        <v>24</v>
      </c>
      <c r="Q2776" t="s">
        <v>642</v>
      </c>
      <c r="R2776" t="s">
        <v>4293</v>
      </c>
    </row>
    <row r="2777" spans="1:18" x14ac:dyDescent="0.25">
      <c r="A2777" t="s">
        <v>13876</v>
      </c>
      <c r="B2777" t="s">
        <v>4302</v>
      </c>
      <c r="C2777" t="str">
        <f>HYPERLINK("https://nematode.unl.edu/diskalsow6.jpg")</f>
        <v>https://nematode.unl.edu/diskalsow6.jpg</v>
      </c>
      <c r="D2777" t="s">
        <v>43</v>
      </c>
      <c r="G2777" t="s">
        <v>44</v>
      </c>
      <c r="I2777" t="s">
        <v>137</v>
      </c>
      <c r="J2777" t="s">
        <v>4296</v>
      </c>
      <c r="L2777" t="s">
        <v>4297</v>
      </c>
      <c r="M2777" t="s">
        <v>4292</v>
      </c>
      <c r="N2777" t="s">
        <v>4292</v>
      </c>
      <c r="O2777" t="s">
        <v>23</v>
      </c>
      <c r="P2777" t="s">
        <v>24</v>
      </c>
      <c r="Q2777" t="s">
        <v>642</v>
      </c>
      <c r="R2777" t="s">
        <v>4293</v>
      </c>
    </row>
    <row r="2778" spans="1:18" x14ac:dyDescent="0.25">
      <c r="A2778" t="s">
        <v>13877</v>
      </c>
      <c r="B2778" t="s">
        <v>4303</v>
      </c>
      <c r="C2778" t="str">
        <f>HYPERLINK("https://nematode.unl.edu/diskalsow7.jpg")</f>
        <v>https://nematode.unl.edu/diskalsow7.jpg</v>
      </c>
      <c r="D2778" t="s">
        <v>43</v>
      </c>
      <c r="G2778" t="s">
        <v>44</v>
      </c>
      <c r="I2778" t="s">
        <v>19</v>
      </c>
      <c r="J2778" t="s">
        <v>4296</v>
      </c>
      <c r="L2778" t="s">
        <v>4297</v>
      </c>
      <c r="M2778" t="s">
        <v>4292</v>
      </c>
      <c r="N2778" t="s">
        <v>4292</v>
      </c>
      <c r="O2778" t="s">
        <v>23</v>
      </c>
      <c r="P2778" t="s">
        <v>24</v>
      </c>
      <c r="Q2778" t="s">
        <v>642</v>
      </c>
      <c r="R2778" t="s">
        <v>4293</v>
      </c>
    </row>
    <row r="2779" spans="1:18" x14ac:dyDescent="0.25">
      <c r="A2779" t="s">
        <v>13872</v>
      </c>
      <c r="B2779" t="s">
        <v>4304</v>
      </c>
      <c r="C2779" t="str">
        <f>HYPERLINK("https://nematode.unl.edu/diskalsow8.jpg")</f>
        <v>https://nematode.unl.edu/diskalsow8.jpg</v>
      </c>
      <c r="D2779" t="s">
        <v>43</v>
      </c>
      <c r="G2779" t="s">
        <v>96</v>
      </c>
      <c r="H2779" t="s">
        <v>18</v>
      </c>
      <c r="I2779" t="s">
        <v>19</v>
      </c>
      <c r="J2779" t="s">
        <v>4296</v>
      </c>
      <c r="L2779" t="s">
        <v>4297</v>
      </c>
      <c r="M2779" t="s">
        <v>4292</v>
      </c>
      <c r="N2779" t="s">
        <v>4292</v>
      </c>
      <c r="O2779" t="s">
        <v>23</v>
      </c>
      <c r="P2779" t="s">
        <v>24</v>
      </c>
      <c r="Q2779" t="s">
        <v>642</v>
      </c>
      <c r="R2779" t="s">
        <v>4293</v>
      </c>
    </row>
    <row r="2780" spans="1:18" x14ac:dyDescent="0.25">
      <c r="A2780" t="s">
        <v>13881</v>
      </c>
      <c r="B2780" t="s">
        <v>4305</v>
      </c>
      <c r="C2780" t="str">
        <f>HYPERLINK("https://nematode.unl.edu/diskalsow9.jpg")</f>
        <v>https://nematode.unl.edu/diskalsow9.jpg</v>
      </c>
      <c r="D2780" t="s">
        <v>43</v>
      </c>
      <c r="G2780" t="s">
        <v>181</v>
      </c>
      <c r="I2780" t="s">
        <v>19</v>
      </c>
      <c r="J2780" t="s">
        <v>4296</v>
      </c>
      <c r="L2780" t="s">
        <v>4297</v>
      </c>
      <c r="M2780" t="s">
        <v>4292</v>
      </c>
      <c r="N2780" t="s">
        <v>4292</v>
      </c>
      <c r="O2780" t="s">
        <v>23</v>
      </c>
      <c r="P2780" t="s">
        <v>24</v>
      </c>
      <c r="Q2780" t="s">
        <v>642</v>
      </c>
      <c r="R2780" t="s">
        <v>4293</v>
      </c>
    </row>
    <row r="2781" spans="1:18" x14ac:dyDescent="0.25">
      <c r="A2781" t="s">
        <v>20994</v>
      </c>
      <c r="B2781" t="s">
        <v>4434</v>
      </c>
      <c r="C2781" t="str">
        <f>HYPERLINK("https://nematode.unl.edu/dissi1.jpg")</f>
        <v>https://nematode.unl.edu/dissi1.jpg</v>
      </c>
      <c r="D2781" t="s">
        <v>16</v>
      </c>
      <c r="G2781" t="s">
        <v>34</v>
      </c>
      <c r="H2781" t="s">
        <v>18</v>
      </c>
      <c r="I2781" t="s">
        <v>19</v>
      </c>
      <c r="J2781" t="s">
        <v>4435</v>
      </c>
      <c r="M2781" t="s">
        <v>4436</v>
      </c>
      <c r="N2781" t="s">
        <v>4436</v>
      </c>
      <c r="O2781" t="s">
        <v>73</v>
      </c>
      <c r="P2781" t="s">
        <v>81</v>
      </c>
      <c r="Q2781" t="s">
        <v>82</v>
      </c>
      <c r="R2781" t="s">
        <v>4421</v>
      </c>
    </row>
    <row r="2782" spans="1:18" x14ac:dyDescent="0.25">
      <c r="A2782" t="s">
        <v>20995</v>
      </c>
      <c r="B2782" t="s">
        <v>4437</v>
      </c>
      <c r="C2782" t="str">
        <f>HYPERLINK("https://nematode.unl.edu/dissi2.jpg")</f>
        <v>https://nematode.unl.edu/dissi2.jpg</v>
      </c>
      <c r="D2782" t="s">
        <v>16</v>
      </c>
      <c r="G2782" t="s">
        <v>34</v>
      </c>
      <c r="H2782" t="s">
        <v>18</v>
      </c>
      <c r="I2782" t="s">
        <v>19</v>
      </c>
      <c r="J2782" t="s">
        <v>4435</v>
      </c>
      <c r="M2782" t="s">
        <v>4436</v>
      </c>
      <c r="N2782" t="s">
        <v>4436</v>
      </c>
      <c r="O2782" t="s">
        <v>73</v>
      </c>
      <c r="P2782" t="s">
        <v>81</v>
      </c>
      <c r="Q2782" t="s">
        <v>82</v>
      </c>
      <c r="R2782" t="s">
        <v>4421</v>
      </c>
    </row>
    <row r="2783" spans="1:18" x14ac:dyDescent="0.25">
      <c r="A2783" t="s">
        <v>21001</v>
      </c>
      <c r="B2783" t="s">
        <v>4438</v>
      </c>
      <c r="C2783" t="str">
        <f>HYPERLINK("https://nematode.unl.edu/dissi3.jpg")</f>
        <v>https://nematode.unl.edu/dissi3.jpg</v>
      </c>
      <c r="D2783" t="s">
        <v>16</v>
      </c>
      <c r="G2783" t="s">
        <v>28</v>
      </c>
      <c r="I2783" t="s">
        <v>19</v>
      </c>
      <c r="J2783" t="s">
        <v>4435</v>
      </c>
      <c r="M2783" t="s">
        <v>4436</v>
      </c>
      <c r="N2783" t="s">
        <v>4436</v>
      </c>
      <c r="O2783" t="s">
        <v>73</v>
      </c>
      <c r="P2783" t="s">
        <v>81</v>
      </c>
      <c r="Q2783" t="s">
        <v>82</v>
      </c>
      <c r="R2783" t="s">
        <v>4421</v>
      </c>
    </row>
    <row r="2784" spans="1:18" x14ac:dyDescent="0.25">
      <c r="A2784" t="s">
        <v>20996</v>
      </c>
      <c r="B2784" t="s">
        <v>4439</v>
      </c>
      <c r="C2784" t="str">
        <f>HYPERLINK("https://nematode.unl.edu/dissi4.jpg")</f>
        <v>https://nematode.unl.edu/dissi4.jpg</v>
      </c>
      <c r="D2784" t="s">
        <v>16</v>
      </c>
      <c r="G2784" t="s">
        <v>34</v>
      </c>
      <c r="H2784" t="s">
        <v>18</v>
      </c>
      <c r="I2784" t="s">
        <v>41</v>
      </c>
      <c r="J2784" t="s">
        <v>4435</v>
      </c>
      <c r="M2784" t="s">
        <v>4436</v>
      </c>
      <c r="N2784" t="s">
        <v>4436</v>
      </c>
      <c r="O2784" t="s">
        <v>73</v>
      </c>
      <c r="P2784" t="s">
        <v>81</v>
      </c>
      <c r="Q2784" t="s">
        <v>82</v>
      </c>
      <c r="R2784" t="s">
        <v>4421</v>
      </c>
    </row>
    <row r="2785" spans="1:18" x14ac:dyDescent="0.25">
      <c r="A2785" t="s">
        <v>20998</v>
      </c>
      <c r="B2785" t="s">
        <v>4440</v>
      </c>
      <c r="C2785" t="str">
        <f>HYPERLINK("https://nematode.unl.edu/dissi5.jpg")</f>
        <v>https://nematode.unl.edu/dissi5.jpg</v>
      </c>
      <c r="D2785" t="s">
        <v>16</v>
      </c>
      <c r="G2785" t="s">
        <v>257</v>
      </c>
      <c r="H2785" t="s">
        <v>18</v>
      </c>
      <c r="I2785" t="s">
        <v>41</v>
      </c>
      <c r="J2785" t="s">
        <v>4435</v>
      </c>
      <c r="M2785" t="s">
        <v>4436</v>
      </c>
      <c r="N2785" t="s">
        <v>4436</v>
      </c>
      <c r="O2785" t="s">
        <v>73</v>
      </c>
      <c r="P2785" t="s">
        <v>81</v>
      </c>
      <c r="Q2785" t="s">
        <v>82</v>
      </c>
      <c r="R2785" t="s">
        <v>4421</v>
      </c>
    </row>
    <row r="2786" spans="1:18" x14ac:dyDescent="0.25">
      <c r="A2786" t="s">
        <v>20999</v>
      </c>
      <c r="B2786" t="s">
        <v>4441</v>
      </c>
      <c r="C2786" t="str">
        <f>HYPERLINK("https://nematode.unl.edu/dissi6.jpg")</f>
        <v>https://nematode.unl.edu/dissi6.jpg</v>
      </c>
      <c r="D2786" t="s">
        <v>16</v>
      </c>
      <c r="G2786" t="s">
        <v>87</v>
      </c>
      <c r="I2786" t="s">
        <v>41</v>
      </c>
      <c r="J2786" t="s">
        <v>4435</v>
      </c>
      <c r="M2786" t="s">
        <v>4436</v>
      </c>
      <c r="N2786" t="s">
        <v>4436</v>
      </c>
      <c r="O2786" t="s">
        <v>73</v>
      </c>
      <c r="P2786" t="s">
        <v>81</v>
      </c>
      <c r="Q2786" t="s">
        <v>82</v>
      </c>
      <c r="R2786" t="s">
        <v>4421</v>
      </c>
    </row>
    <row r="2787" spans="1:18" x14ac:dyDescent="0.25">
      <c r="A2787" t="s">
        <v>20997</v>
      </c>
      <c r="B2787" t="s">
        <v>4442</v>
      </c>
      <c r="C2787" t="str">
        <f>HYPERLINK("https://nematode.unl.edu/dissi7.jpg")</f>
        <v>https://nematode.unl.edu/dissi7.jpg</v>
      </c>
      <c r="D2787" t="s">
        <v>16</v>
      </c>
      <c r="G2787" t="s">
        <v>34</v>
      </c>
      <c r="H2787" t="s">
        <v>18</v>
      </c>
      <c r="I2787" t="s">
        <v>19</v>
      </c>
      <c r="J2787" t="s">
        <v>4435</v>
      </c>
      <c r="M2787" t="s">
        <v>4436</v>
      </c>
      <c r="N2787" t="s">
        <v>4436</v>
      </c>
      <c r="O2787" t="s">
        <v>73</v>
      </c>
      <c r="P2787" t="s">
        <v>81</v>
      </c>
      <c r="Q2787" t="s">
        <v>82</v>
      </c>
      <c r="R2787" t="s">
        <v>4421</v>
      </c>
    </row>
    <row r="2788" spans="1:18" x14ac:dyDescent="0.25">
      <c r="A2788" t="s">
        <v>21002</v>
      </c>
      <c r="B2788" t="s">
        <v>4443</v>
      </c>
      <c r="C2788" t="str">
        <f>HYPERLINK("https://nematode.unl.edu/dissi8.jpg")</f>
        <v>https://nematode.unl.edu/dissi8.jpg</v>
      </c>
      <c r="D2788" t="s">
        <v>16</v>
      </c>
      <c r="G2788" t="s">
        <v>28</v>
      </c>
      <c r="I2788" t="s">
        <v>19</v>
      </c>
      <c r="J2788" t="s">
        <v>4435</v>
      </c>
      <c r="M2788" t="s">
        <v>4436</v>
      </c>
      <c r="N2788" t="s">
        <v>4436</v>
      </c>
      <c r="O2788" t="s">
        <v>73</v>
      </c>
      <c r="P2788" t="s">
        <v>81</v>
      </c>
      <c r="Q2788" t="s">
        <v>82</v>
      </c>
      <c r="R2788" t="s">
        <v>4421</v>
      </c>
    </row>
    <row r="2789" spans="1:18" x14ac:dyDescent="0.25">
      <c r="A2789" t="s">
        <v>21000</v>
      </c>
      <c r="B2789" t="s">
        <v>4444</v>
      </c>
      <c r="C2789" t="str">
        <f>HYPERLINK("https://nematode.unl.edu/dissicmp.jpg")</f>
        <v>https://nematode.unl.edu/dissicmp.jpg</v>
      </c>
      <c r="D2789" t="s">
        <v>43</v>
      </c>
      <c r="G2789" t="s">
        <v>108</v>
      </c>
      <c r="M2789" t="s">
        <v>4436</v>
      </c>
      <c r="N2789" t="s">
        <v>4436</v>
      </c>
      <c r="O2789" t="s">
        <v>73</v>
      </c>
      <c r="P2789" t="s">
        <v>81</v>
      </c>
      <c r="Q2789" t="s">
        <v>82</v>
      </c>
      <c r="R2789" t="s">
        <v>4421</v>
      </c>
    </row>
    <row r="2790" spans="1:18" x14ac:dyDescent="0.25">
      <c r="A2790" t="s">
        <v>21013</v>
      </c>
      <c r="B2790" t="s">
        <v>4449</v>
      </c>
      <c r="C2790" t="str">
        <f>HYPERLINK("https://nematode.unl.edu/distex1.jpg")</f>
        <v>https://nematode.unl.edu/distex1.jpg</v>
      </c>
      <c r="D2790" t="s">
        <v>43</v>
      </c>
      <c r="G2790" t="s">
        <v>44</v>
      </c>
      <c r="I2790" t="s">
        <v>45</v>
      </c>
      <c r="J2790" t="s">
        <v>20</v>
      </c>
      <c r="L2790" t="s">
        <v>29</v>
      </c>
      <c r="M2790" t="s">
        <v>4446</v>
      </c>
      <c r="N2790" t="s">
        <v>4446</v>
      </c>
      <c r="O2790" t="s">
        <v>73</v>
      </c>
      <c r="P2790" t="s">
        <v>81</v>
      </c>
      <c r="Q2790" t="s">
        <v>82</v>
      </c>
      <c r="R2790" t="s">
        <v>4421</v>
      </c>
    </row>
    <row r="2791" spans="1:18" x14ac:dyDescent="0.25">
      <c r="A2791" t="s">
        <v>21004</v>
      </c>
      <c r="B2791" t="s">
        <v>4450</v>
      </c>
      <c r="C2791" t="str">
        <f>HYPERLINK("https://nematode.unl.edu/distex10.jpg")</f>
        <v>https://nematode.unl.edu/distex10.jpg</v>
      </c>
      <c r="D2791" t="s">
        <v>43</v>
      </c>
      <c r="G2791" t="s">
        <v>34</v>
      </c>
      <c r="H2791" t="s">
        <v>18</v>
      </c>
      <c r="I2791" t="s">
        <v>19</v>
      </c>
      <c r="J2791" t="s">
        <v>20</v>
      </c>
      <c r="L2791" t="s">
        <v>29</v>
      </c>
      <c r="M2791" t="s">
        <v>4446</v>
      </c>
      <c r="N2791" t="s">
        <v>4446</v>
      </c>
      <c r="O2791" t="s">
        <v>73</v>
      </c>
      <c r="P2791" t="s">
        <v>81</v>
      </c>
      <c r="Q2791" t="s">
        <v>82</v>
      </c>
      <c r="R2791" t="s">
        <v>4421</v>
      </c>
    </row>
    <row r="2792" spans="1:18" x14ac:dyDescent="0.25">
      <c r="A2792" t="s">
        <v>21021</v>
      </c>
      <c r="B2792" t="s">
        <v>4451</v>
      </c>
      <c r="C2792" t="str">
        <f>HYPERLINK("https://nematode.unl.edu/distex11.jpg")</f>
        <v>https://nematode.unl.edu/distex11.jpg</v>
      </c>
      <c r="D2792" t="s">
        <v>43</v>
      </c>
      <c r="G2792" t="s">
        <v>51</v>
      </c>
      <c r="I2792" t="s">
        <v>19</v>
      </c>
      <c r="J2792" t="s">
        <v>20</v>
      </c>
      <c r="L2792" t="s">
        <v>29</v>
      </c>
      <c r="M2792" t="s">
        <v>4446</v>
      </c>
      <c r="N2792" t="s">
        <v>4446</v>
      </c>
      <c r="O2792" t="s">
        <v>73</v>
      </c>
      <c r="P2792" t="s">
        <v>81</v>
      </c>
      <c r="Q2792" t="s">
        <v>82</v>
      </c>
      <c r="R2792" t="s">
        <v>4421</v>
      </c>
    </row>
    <row r="2793" spans="1:18" x14ac:dyDescent="0.25">
      <c r="A2793" t="s">
        <v>21017</v>
      </c>
      <c r="B2793" t="s">
        <v>4452</v>
      </c>
      <c r="C2793" t="str">
        <f>HYPERLINK("https://nematode.unl.edu/distex12.jpg")</f>
        <v>https://nematode.unl.edu/distex12.jpg</v>
      </c>
      <c r="D2793" t="s">
        <v>43</v>
      </c>
      <c r="G2793" t="s">
        <v>28</v>
      </c>
      <c r="I2793" t="s">
        <v>19</v>
      </c>
      <c r="J2793" t="s">
        <v>20</v>
      </c>
      <c r="L2793" t="s">
        <v>29</v>
      </c>
      <c r="M2793" t="s">
        <v>4446</v>
      </c>
      <c r="N2793" t="s">
        <v>4446</v>
      </c>
      <c r="O2793" t="s">
        <v>73</v>
      </c>
      <c r="P2793" t="s">
        <v>81</v>
      </c>
      <c r="Q2793" t="s">
        <v>82</v>
      </c>
      <c r="R2793" t="s">
        <v>4421</v>
      </c>
    </row>
    <row r="2794" spans="1:18" x14ac:dyDescent="0.25">
      <c r="A2794" t="s">
        <v>21014</v>
      </c>
      <c r="B2794" t="s">
        <v>4453</v>
      </c>
      <c r="C2794" t="str">
        <f>HYPERLINK("https://nematode.unl.edu/distex13.jpg")</f>
        <v>https://nematode.unl.edu/distex13.jpg</v>
      </c>
      <c r="D2794" t="s">
        <v>43</v>
      </c>
      <c r="G2794" t="s">
        <v>44</v>
      </c>
      <c r="I2794" t="s">
        <v>19</v>
      </c>
      <c r="J2794" t="s">
        <v>20</v>
      </c>
      <c r="L2794" t="s">
        <v>29</v>
      </c>
      <c r="M2794" t="s">
        <v>4446</v>
      </c>
      <c r="N2794" t="s">
        <v>4446</v>
      </c>
      <c r="O2794" t="s">
        <v>73</v>
      </c>
      <c r="P2794" t="s">
        <v>81</v>
      </c>
      <c r="Q2794" t="s">
        <v>82</v>
      </c>
      <c r="R2794" t="s">
        <v>4421</v>
      </c>
    </row>
    <row r="2795" spans="1:18" x14ac:dyDescent="0.25">
      <c r="A2795" t="s">
        <v>21018</v>
      </c>
      <c r="B2795" t="s">
        <v>4454</v>
      </c>
      <c r="C2795" t="str">
        <f>HYPERLINK("https://nematode.unl.edu/distex14.jpg")</f>
        <v>https://nematode.unl.edu/distex14.jpg</v>
      </c>
      <c r="D2795" t="s">
        <v>16</v>
      </c>
      <c r="G2795" t="s">
        <v>28</v>
      </c>
      <c r="I2795" t="s">
        <v>19</v>
      </c>
      <c r="J2795" t="s">
        <v>20</v>
      </c>
      <c r="L2795" t="s">
        <v>29</v>
      </c>
      <c r="M2795" t="s">
        <v>4446</v>
      </c>
      <c r="N2795" t="s">
        <v>4446</v>
      </c>
      <c r="O2795" t="s">
        <v>73</v>
      </c>
      <c r="P2795" t="s">
        <v>81</v>
      </c>
      <c r="Q2795" t="s">
        <v>82</v>
      </c>
      <c r="R2795" t="s">
        <v>4421</v>
      </c>
    </row>
    <row r="2796" spans="1:18" x14ac:dyDescent="0.25">
      <c r="A2796" t="s">
        <v>21011</v>
      </c>
      <c r="B2796" t="s">
        <v>4455</v>
      </c>
      <c r="C2796" t="str">
        <f>HYPERLINK("https://nematode.unl.edu/distex15.jpg")</f>
        <v>https://nematode.unl.edu/distex15.jpg</v>
      </c>
      <c r="D2796" t="s">
        <v>16</v>
      </c>
      <c r="G2796" t="s">
        <v>87</v>
      </c>
      <c r="I2796" t="s">
        <v>19</v>
      </c>
      <c r="J2796" t="s">
        <v>20</v>
      </c>
      <c r="L2796" t="s">
        <v>29</v>
      </c>
      <c r="M2796" t="s">
        <v>4446</v>
      </c>
      <c r="N2796" t="s">
        <v>4446</v>
      </c>
      <c r="O2796" t="s">
        <v>73</v>
      </c>
      <c r="P2796" t="s">
        <v>81</v>
      </c>
      <c r="Q2796" t="s">
        <v>82</v>
      </c>
      <c r="R2796" t="s">
        <v>4421</v>
      </c>
    </row>
    <row r="2797" spans="1:18" x14ac:dyDescent="0.25">
      <c r="A2797" t="s">
        <v>21005</v>
      </c>
      <c r="B2797" t="s">
        <v>4456</v>
      </c>
      <c r="C2797" t="str">
        <f>HYPERLINK("https://nematode.unl.edu/distex16.jpg")</f>
        <v>https://nematode.unl.edu/distex16.jpg</v>
      </c>
      <c r="D2797" t="s">
        <v>16</v>
      </c>
      <c r="G2797" t="s">
        <v>34</v>
      </c>
      <c r="H2797" t="s">
        <v>18</v>
      </c>
      <c r="I2797" t="s">
        <v>19</v>
      </c>
      <c r="J2797" t="s">
        <v>20</v>
      </c>
      <c r="L2797" t="s">
        <v>29</v>
      </c>
      <c r="M2797" t="s">
        <v>4446</v>
      </c>
      <c r="N2797" t="s">
        <v>4446</v>
      </c>
      <c r="O2797" t="s">
        <v>73</v>
      </c>
      <c r="P2797" t="s">
        <v>81</v>
      </c>
      <c r="Q2797" t="s">
        <v>82</v>
      </c>
      <c r="R2797" t="s">
        <v>4421</v>
      </c>
    </row>
    <row r="2798" spans="1:18" x14ac:dyDescent="0.25">
      <c r="A2798" t="s">
        <v>21019</v>
      </c>
      <c r="B2798" t="s">
        <v>4457</v>
      </c>
      <c r="C2798" t="str">
        <f>HYPERLINK("https://nematode.unl.edu/distex2.jpg")</f>
        <v>https://nematode.unl.edu/distex2.jpg</v>
      </c>
      <c r="D2798" t="s">
        <v>43</v>
      </c>
      <c r="G2798" t="s">
        <v>28</v>
      </c>
      <c r="I2798" t="s">
        <v>19</v>
      </c>
      <c r="J2798" t="s">
        <v>20</v>
      </c>
      <c r="L2798" t="s">
        <v>29</v>
      </c>
      <c r="M2798" t="s">
        <v>4446</v>
      </c>
      <c r="N2798" t="s">
        <v>4446</v>
      </c>
      <c r="O2798" t="s">
        <v>73</v>
      </c>
      <c r="P2798" t="s">
        <v>81</v>
      </c>
      <c r="Q2798" t="s">
        <v>82</v>
      </c>
      <c r="R2798" t="s">
        <v>4421</v>
      </c>
    </row>
    <row r="2799" spans="1:18" x14ac:dyDescent="0.25">
      <c r="A2799" t="s">
        <v>21022</v>
      </c>
      <c r="B2799" t="s">
        <v>4458</v>
      </c>
      <c r="C2799" t="str">
        <f>HYPERLINK("https://nematode.unl.edu/distex3.jpg")</f>
        <v>https://nematode.unl.edu/distex3.jpg</v>
      </c>
      <c r="D2799" t="s">
        <v>43</v>
      </c>
      <c r="G2799" t="s">
        <v>51</v>
      </c>
      <c r="I2799" t="s">
        <v>19</v>
      </c>
      <c r="J2799" t="s">
        <v>20</v>
      </c>
      <c r="L2799" t="s">
        <v>29</v>
      </c>
      <c r="M2799" t="s">
        <v>4446</v>
      </c>
      <c r="N2799" t="s">
        <v>4446</v>
      </c>
      <c r="O2799" t="s">
        <v>73</v>
      </c>
      <c r="P2799" t="s">
        <v>81</v>
      </c>
      <c r="Q2799" t="s">
        <v>82</v>
      </c>
      <c r="R2799" t="s">
        <v>4421</v>
      </c>
    </row>
    <row r="2800" spans="1:18" x14ac:dyDescent="0.25">
      <c r="A2800" t="s">
        <v>21012</v>
      </c>
      <c r="B2800" t="s">
        <v>4459</v>
      </c>
      <c r="C2800" t="str">
        <f>HYPERLINK("https://nematode.unl.edu/distex4.jpg")</f>
        <v>https://nematode.unl.edu/distex4.jpg</v>
      </c>
      <c r="D2800" t="s">
        <v>43</v>
      </c>
      <c r="G2800" t="s">
        <v>87</v>
      </c>
      <c r="I2800" t="s">
        <v>19</v>
      </c>
      <c r="J2800" t="s">
        <v>20</v>
      </c>
      <c r="L2800" t="s">
        <v>29</v>
      </c>
      <c r="M2800" t="s">
        <v>4446</v>
      </c>
      <c r="N2800" t="s">
        <v>4446</v>
      </c>
      <c r="O2800" t="s">
        <v>73</v>
      </c>
      <c r="P2800" t="s">
        <v>81</v>
      </c>
      <c r="Q2800" t="s">
        <v>82</v>
      </c>
      <c r="R2800" t="s">
        <v>4421</v>
      </c>
    </row>
    <row r="2801" spans="1:18" x14ac:dyDescent="0.25">
      <c r="A2801" t="s">
        <v>21006</v>
      </c>
      <c r="B2801" t="s">
        <v>4460</v>
      </c>
      <c r="C2801" t="str">
        <f>HYPERLINK("https://nematode.unl.edu/distex5.jpg")</f>
        <v>https://nematode.unl.edu/distex5.jpg</v>
      </c>
      <c r="D2801" t="s">
        <v>43</v>
      </c>
      <c r="G2801" t="s">
        <v>34</v>
      </c>
      <c r="H2801" t="s">
        <v>18</v>
      </c>
      <c r="I2801" t="s">
        <v>19</v>
      </c>
      <c r="J2801" t="s">
        <v>20</v>
      </c>
      <c r="L2801" t="s">
        <v>29</v>
      </c>
      <c r="M2801" t="s">
        <v>4446</v>
      </c>
      <c r="N2801" t="s">
        <v>4446</v>
      </c>
      <c r="O2801" t="s">
        <v>73</v>
      </c>
      <c r="P2801" t="s">
        <v>81</v>
      </c>
      <c r="Q2801" t="s">
        <v>82</v>
      </c>
      <c r="R2801" t="s">
        <v>4421</v>
      </c>
    </row>
    <row r="2802" spans="1:18" x14ac:dyDescent="0.25">
      <c r="A2802" t="s">
        <v>21009</v>
      </c>
      <c r="B2802" t="s">
        <v>4461</v>
      </c>
      <c r="C2802" t="str">
        <f>HYPERLINK("https://nematode.unl.edu/distex6.jpg")</f>
        <v>https://nematode.unl.edu/distex6.jpg</v>
      </c>
      <c r="D2802" t="s">
        <v>43</v>
      </c>
      <c r="G2802" t="s">
        <v>257</v>
      </c>
      <c r="H2802" t="s">
        <v>18</v>
      </c>
      <c r="I2802" t="s">
        <v>41</v>
      </c>
      <c r="J2802" t="s">
        <v>20</v>
      </c>
      <c r="L2802" t="s">
        <v>29</v>
      </c>
      <c r="M2802" t="s">
        <v>4446</v>
      </c>
      <c r="N2802" t="s">
        <v>4446</v>
      </c>
      <c r="O2802" t="s">
        <v>73</v>
      </c>
      <c r="P2802" t="s">
        <v>81</v>
      </c>
      <c r="Q2802" t="s">
        <v>82</v>
      </c>
      <c r="R2802" t="s">
        <v>4421</v>
      </c>
    </row>
    <row r="2803" spans="1:18" x14ac:dyDescent="0.25">
      <c r="A2803" t="s">
        <v>21007</v>
      </c>
      <c r="B2803" t="s">
        <v>4462</v>
      </c>
      <c r="C2803" t="str">
        <f>HYPERLINK("https://nematode.unl.edu/distex7.jpg")</f>
        <v>https://nematode.unl.edu/distex7.jpg</v>
      </c>
      <c r="D2803" t="s">
        <v>43</v>
      </c>
      <c r="G2803" t="s">
        <v>34</v>
      </c>
      <c r="H2803" t="s">
        <v>18</v>
      </c>
      <c r="I2803" t="s">
        <v>41</v>
      </c>
      <c r="J2803" t="s">
        <v>20</v>
      </c>
      <c r="L2803" t="s">
        <v>29</v>
      </c>
      <c r="M2803" t="s">
        <v>4446</v>
      </c>
      <c r="N2803" t="s">
        <v>4446</v>
      </c>
      <c r="O2803" t="s">
        <v>73</v>
      </c>
      <c r="P2803" t="s">
        <v>81</v>
      </c>
      <c r="Q2803" t="s">
        <v>82</v>
      </c>
      <c r="R2803" t="s">
        <v>4421</v>
      </c>
    </row>
    <row r="2804" spans="1:18" x14ac:dyDescent="0.25">
      <c r="A2804" t="s">
        <v>21010</v>
      </c>
      <c r="B2804" t="s">
        <v>4463</v>
      </c>
      <c r="C2804" t="str">
        <f>HYPERLINK("https://nematode.unl.edu/distex8.jpg")</f>
        <v>https://nematode.unl.edu/distex8.jpg</v>
      </c>
      <c r="D2804" t="s">
        <v>43</v>
      </c>
      <c r="G2804" t="s">
        <v>257</v>
      </c>
      <c r="H2804" t="s">
        <v>18</v>
      </c>
      <c r="I2804" t="s">
        <v>41</v>
      </c>
      <c r="J2804" t="s">
        <v>20</v>
      </c>
      <c r="L2804" t="s">
        <v>29</v>
      </c>
      <c r="M2804" t="s">
        <v>4446</v>
      </c>
      <c r="N2804" t="s">
        <v>4446</v>
      </c>
      <c r="O2804" t="s">
        <v>73</v>
      </c>
      <c r="P2804" t="s">
        <v>81</v>
      </c>
      <c r="Q2804" t="s">
        <v>82</v>
      </c>
      <c r="R2804" t="s">
        <v>4421</v>
      </c>
    </row>
    <row r="2805" spans="1:18" x14ac:dyDescent="0.25">
      <c r="A2805" t="s">
        <v>21008</v>
      </c>
      <c r="B2805" t="s">
        <v>4464</v>
      </c>
      <c r="C2805" t="str">
        <f>HYPERLINK("https://nematode.unl.edu/distex9.jpg")</f>
        <v>https://nematode.unl.edu/distex9.jpg</v>
      </c>
      <c r="D2805" t="s">
        <v>43</v>
      </c>
      <c r="G2805" t="s">
        <v>34</v>
      </c>
      <c r="H2805" t="s">
        <v>18</v>
      </c>
      <c r="I2805" t="s">
        <v>137</v>
      </c>
      <c r="J2805" t="s">
        <v>20</v>
      </c>
      <c r="L2805" t="s">
        <v>29</v>
      </c>
      <c r="M2805" t="s">
        <v>4446</v>
      </c>
      <c r="N2805" t="s">
        <v>4446</v>
      </c>
      <c r="O2805" t="s">
        <v>73</v>
      </c>
      <c r="P2805" t="s">
        <v>81</v>
      </c>
      <c r="Q2805" t="s">
        <v>82</v>
      </c>
      <c r="R2805" t="s">
        <v>4421</v>
      </c>
    </row>
    <row r="2806" spans="1:18" x14ac:dyDescent="0.25">
      <c r="A2806" t="s">
        <v>21015</v>
      </c>
      <c r="B2806" t="s">
        <v>4465</v>
      </c>
      <c r="C2806" t="str">
        <f>HYPERLINK("https://nematode.unl.edu/distexcmp.jpg")</f>
        <v>https://nematode.unl.edu/distexcmp.jpg</v>
      </c>
      <c r="D2806" t="s">
        <v>43</v>
      </c>
      <c r="G2806" t="s">
        <v>108</v>
      </c>
      <c r="M2806" t="s">
        <v>4446</v>
      </c>
      <c r="N2806" t="s">
        <v>4446</v>
      </c>
      <c r="O2806" t="s">
        <v>73</v>
      </c>
      <c r="P2806" t="s">
        <v>81</v>
      </c>
      <c r="Q2806" t="s">
        <v>82</v>
      </c>
      <c r="R2806" t="s">
        <v>4421</v>
      </c>
    </row>
    <row r="2807" spans="1:18" x14ac:dyDescent="0.25">
      <c r="A2807" t="s">
        <v>12815</v>
      </c>
      <c r="B2807" t="s">
        <v>4533</v>
      </c>
      <c r="C2807" t="str">
        <f>HYPERLINK("https://nematode.unl.edu/ditclar1.jpg")</f>
        <v>https://nematode.unl.edu/ditclar1.jpg</v>
      </c>
      <c r="D2807" t="s">
        <v>43</v>
      </c>
      <c r="G2807" t="s">
        <v>44</v>
      </c>
      <c r="I2807" t="s">
        <v>45</v>
      </c>
      <c r="J2807" t="s">
        <v>46</v>
      </c>
      <c r="L2807" t="s">
        <v>105</v>
      </c>
      <c r="M2807" t="s">
        <v>4513</v>
      </c>
      <c r="N2807" t="s">
        <v>4513</v>
      </c>
      <c r="O2807" t="s">
        <v>23</v>
      </c>
      <c r="P2807" t="s">
        <v>24</v>
      </c>
      <c r="Q2807" t="s">
        <v>712</v>
      </c>
      <c r="R2807" t="s">
        <v>713</v>
      </c>
    </row>
    <row r="2808" spans="1:18" x14ac:dyDescent="0.25">
      <c r="A2808" t="s">
        <v>12810</v>
      </c>
      <c r="B2808" t="s">
        <v>4534</v>
      </c>
      <c r="C2808" t="str">
        <f>HYPERLINK("https://nematode.unl.edu/ditclar10.jpg")</f>
        <v>https://nematode.unl.edu/ditclar10.jpg</v>
      </c>
      <c r="D2808" t="s">
        <v>43</v>
      </c>
      <c r="G2808" t="s">
        <v>34</v>
      </c>
      <c r="H2808" t="s">
        <v>18</v>
      </c>
      <c r="I2808" t="s">
        <v>19</v>
      </c>
      <c r="J2808" t="s">
        <v>46</v>
      </c>
      <c r="L2808" t="s">
        <v>105</v>
      </c>
      <c r="M2808" t="s">
        <v>4513</v>
      </c>
      <c r="N2808" t="s">
        <v>4513</v>
      </c>
      <c r="O2808" t="s">
        <v>23</v>
      </c>
      <c r="P2808" t="s">
        <v>24</v>
      </c>
      <c r="Q2808" t="s">
        <v>712</v>
      </c>
      <c r="R2808" t="s">
        <v>713</v>
      </c>
    </row>
    <row r="2809" spans="1:18" x14ac:dyDescent="0.25">
      <c r="A2809" t="s">
        <v>12829</v>
      </c>
      <c r="B2809" t="s">
        <v>4535</v>
      </c>
      <c r="C2809" t="str">
        <f>HYPERLINK("https://nematode.unl.edu/ditclar12.jpg")</f>
        <v>https://nematode.unl.edu/ditclar12.jpg</v>
      </c>
      <c r="D2809" t="s">
        <v>43</v>
      </c>
      <c r="G2809" t="s">
        <v>51</v>
      </c>
      <c r="I2809" t="s">
        <v>19</v>
      </c>
      <c r="J2809" t="s">
        <v>46</v>
      </c>
      <c r="L2809" t="s">
        <v>105</v>
      </c>
      <c r="M2809" t="s">
        <v>4513</v>
      </c>
      <c r="N2809" t="s">
        <v>4513</v>
      </c>
      <c r="O2809" t="s">
        <v>23</v>
      </c>
      <c r="P2809" t="s">
        <v>24</v>
      </c>
      <c r="Q2809" t="s">
        <v>712</v>
      </c>
      <c r="R2809" t="s">
        <v>713</v>
      </c>
    </row>
    <row r="2810" spans="1:18" x14ac:dyDescent="0.25">
      <c r="A2810" t="s">
        <v>12830</v>
      </c>
      <c r="B2810" t="s">
        <v>4536</v>
      </c>
      <c r="C2810" t="str">
        <f>HYPERLINK("https://nematode.unl.edu/ditclar3.jpg")</f>
        <v>https://nematode.unl.edu/ditclar3.jpg</v>
      </c>
      <c r="D2810" t="s">
        <v>43</v>
      </c>
      <c r="G2810" t="s">
        <v>51</v>
      </c>
      <c r="I2810" t="s">
        <v>19</v>
      </c>
      <c r="J2810" t="s">
        <v>46</v>
      </c>
      <c r="L2810" t="s">
        <v>105</v>
      </c>
      <c r="M2810" t="s">
        <v>4513</v>
      </c>
      <c r="N2810" t="s">
        <v>4513</v>
      </c>
      <c r="O2810" t="s">
        <v>23</v>
      </c>
      <c r="P2810" t="s">
        <v>24</v>
      </c>
      <c r="Q2810" t="s">
        <v>712</v>
      </c>
      <c r="R2810" t="s">
        <v>713</v>
      </c>
    </row>
    <row r="2811" spans="1:18" x14ac:dyDescent="0.25">
      <c r="A2811" t="s">
        <v>12818</v>
      </c>
      <c r="B2811" t="s">
        <v>4537</v>
      </c>
      <c r="C2811" t="str">
        <f>HYPERLINK("https://nematode.unl.edu/ditclar5.jpg")</f>
        <v>https://nematode.unl.edu/ditclar5.jpg</v>
      </c>
      <c r="D2811" t="s">
        <v>43</v>
      </c>
      <c r="G2811" t="s">
        <v>3931</v>
      </c>
      <c r="I2811" t="s">
        <v>19</v>
      </c>
      <c r="J2811" t="s">
        <v>46</v>
      </c>
      <c r="L2811" t="s">
        <v>105</v>
      </c>
      <c r="M2811" t="s">
        <v>4513</v>
      </c>
      <c r="N2811" t="s">
        <v>4513</v>
      </c>
      <c r="O2811" t="s">
        <v>23</v>
      </c>
      <c r="P2811" t="s">
        <v>24</v>
      </c>
      <c r="Q2811" t="s">
        <v>712</v>
      </c>
      <c r="R2811" t="s">
        <v>713</v>
      </c>
    </row>
    <row r="2812" spans="1:18" x14ac:dyDescent="0.25">
      <c r="A2812" t="s">
        <v>12825</v>
      </c>
      <c r="B2812" t="s">
        <v>4538</v>
      </c>
      <c r="C2812" t="str">
        <f>HYPERLINK("https://nematode.unl.edu/ditclar6.jpg")</f>
        <v>https://nematode.unl.edu/ditclar6.jpg</v>
      </c>
      <c r="D2812" t="s">
        <v>16</v>
      </c>
      <c r="G2812" t="s">
        <v>28</v>
      </c>
      <c r="I2812" t="s">
        <v>19</v>
      </c>
      <c r="J2812" t="s">
        <v>46</v>
      </c>
      <c r="L2812" t="s">
        <v>105</v>
      </c>
      <c r="M2812" t="s">
        <v>4513</v>
      </c>
      <c r="N2812" t="s">
        <v>4513</v>
      </c>
      <c r="O2812" t="s">
        <v>23</v>
      </c>
      <c r="P2812" t="s">
        <v>24</v>
      </c>
      <c r="Q2812" t="s">
        <v>712</v>
      </c>
      <c r="R2812" t="s">
        <v>713</v>
      </c>
    </row>
    <row r="2813" spans="1:18" x14ac:dyDescent="0.25">
      <c r="A2813" t="s">
        <v>12811</v>
      </c>
      <c r="B2813" t="s">
        <v>4539</v>
      </c>
      <c r="C2813" t="str">
        <f>HYPERLINK("https://nematode.unl.edu/ditclar7.jpg")</f>
        <v>https://nematode.unl.edu/ditclar7.jpg</v>
      </c>
      <c r="D2813" t="s">
        <v>16</v>
      </c>
      <c r="G2813" t="s">
        <v>34</v>
      </c>
      <c r="H2813" t="s">
        <v>18</v>
      </c>
      <c r="I2813" t="s">
        <v>19</v>
      </c>
      <c r="J2813" t="s">
        <v>46</v>
      </c>
      <c r="L2813" t="s">
        <v>105</v>
      </c>
      <c r="M2813" t="s">
        <v>4513</v>
      </c>
      <c r="N2813" t="s">
        <v>4513</v>
      </c>
      <c r="O2813" t="s">
        <v>23</v>
      </c>
      <c r="P2813" t="s">
        <v>24</v>
      </c>
      <c r="Q2813" t="s">
        <v>712</v>
      </c>
      <c r="R2813" t="s">
        <v>713</v>
      </c>
    </row>
    <row r="2814" spans="1:18" x14ac:dyDescent="0.25">
      <c r="A2814" t="s">
        <v>12826</v>
      </c>
      <c r="B2814" t="s">
        <v>4540</v>
      </c>
      <c r="C2814" t="str">
        <f>HYPERLINK("https://nematode.unl.edu/ditclar9.jpg")</f>
        <v>https://nematode.unl.edu/ditclar9.jpg</v>
      </c>
      <c r="D2814" t="s">
        <v>43</v>
      </c>
      <c r="G2814" t="s">
        <v>28</v>
      </c>
      <c r="I2814" t="s">
        <v>19</v>
      </c>
      <c r="J2814" t="s">
        <v>46</v>
      </c>
      <c r="L2814" t="s">
        <v>105</v>
      </c>
      <c r="M2814" t="s">
        <v>4513</v>
      </c>
      <c r="N2814" t="s">
        <v>4513</v>
      </c>
      <c r="O2814" t="s">
        <v>23</v>
      </c>
      <c r="P2814" t="s">
        <v>24</v>
      </c>
      <c r="Q2814" t="s">
        <v>712</v>
      </c>
      <c r="R2814" t="s">
        <v>713</v>
      </c>
    </row>
    <row r="2815" spans="1:18" x14ac:dyDescent="0.25">
      <c r="A2815" t="s">
        <v>12817</v>
      </c>
      <c r="B2815" t="s">
        <v>4541</v>
      </c>
      <c r="C2815" t="str">
        <f>HYPERLINK("https://nematode.unl.edu/ditclarcmp.jpg")</f>
        <v>https://nematode.unl.edu/ditclarcmp.jpg</v>
      </c>
      <c r="G2815" t="s">
        <v>108</v>
      </c>
      <c r="M2815" t="s">
        <v>4513</v>
      </c>
      <c r="N2815" t="s">
        <v>4513</v>
      </c>
      <c r="O2815" t="s">
        <v>23</v>
      </c>
      <c r="P2815" t="s">
        <v>24</v>
      </c>
      <c r="Q2815" t="s">
        <v>712</v>
      </c>
      <c r="R2815" t="s">
        <v>713</v>
      </c>
    </row>
    <row r="2816" spans="1:18" x14ac:dyDescent="0.25">
      <c r="A2816" t="s">
        <v>12871</v>
      </c>
      <c r="B2816" t="s">
        <v>4597</v>
      </c>
      <c r="C2816" t="str">
        <f>HYPERLINK("https://nematode.unl.edu/ditdipsdrw.jpg")</f>
        <v>https://nematode.unl.edu/ditdipsdrw.jpg</v>
      </c>
      <c r="G2816" t="s">
        <v>108</v>
      </c>
      <c r="M2816" t="s">
        <v>4585</v>
      </c>
      <c r="N2816" t="s">
        <v>4585</v>
      </c>
      <c r="O2816" t="s">
        <v>23</v>
      </c>
      <c r="P2816" t="s">
        <v>24</v>
      </c>
      <c r="Q2816" t="s">
        <v>712</v>
      </c>
      <c r="R2816" t="s">
        <v>713</v>
      </c>
    </row>
    <row r="2817" spans="1:18" x14ac:dyDescent="0.25">
      <c r="A2817" t="s">
        <v>12894</v>
      </c>
      <c r="B2817" t="s">
        <v>4598</v>
      </c>
      <c r="C2817" t="str">
        <f>HYPERLINK("https://nematode.unl.edu/ditmcmp.jpg")</f>
        <v>https://nematode.unl.edu/ditmcmp.jpg</v>
      </c>
      <c r="D2817" t="s">
        <v>77</v>
      </c>
      <c r="G2817" t="s">
        <v>108</v>
      </c>
      <c r="M2817" t="s">
        <v>4599</v>
      </c>
      <c r="N2817" t="s">
        <v>4599</v>
      </c>
      <c r="O2817" t="s">
        <v>23</v>
      </c>
      <c r="P2817" t="s">
        <v>24</v>
      </c>
      <c r="Q2817" t="s">
        <v>712</v>
      </c>
      <c r="R2817" t="s">
        <v>713</v>
      </c>
    </row>
    <row r="2818" spans="1:18" x14ac:dyDescent="0.25">
      <c r="A2818" t="s">
        <v>12879</v>
      </c>
      <c r="B2818" t="s">
        <v>4600</v>
      </c>
      <c r="C2818" t="str">
        <f>HYPERLINK("https://nematode.unl.edu/ditmi1.jpg")</f>
        <v>https://nematode.unl.edu/ditmi1.jpg</v>
      </c>
      <c r="D2818" t="s">
        <v>43</v>
      </c>
      <c r="G2818" t="s">
        <v>34</v>
      </c>
      <c r="H2818" t="s">
        <v>18</v>
      </c>
      <c r="I2818" t="s">
        <v>19</v>
      </c>
      <c r="J2818" t="s">
        <v>20</v>
      </c>
      <c r="L2818" t="s">
        <v>4601</v>
      </c>
      <c r="M2818" t="s">
        <v>4599</v>
      </c>
      <c r="N2818" t="s">
        <v>4599</v>
      </c>
      <c r="O2818" t="s">
        <v>23</v>
      </c>
      <c r="P2818" t="s">
        <v>24</v>
      </c>
      <c r="Q2818" t="s">
        <v>712</v>
      </c>
      <c r="R2818" t="s">
        <v>713</v>
      </c>
    </row>
    <row r="2819" spans="1:18" x14ac:dyDescent="0.25">
      <c r="A2819" t="s">
        <v>12890</v>
      </c>
      <c r="B2819" t="s">
        <v>4602</v>
      </c>
      <c r="C2819" t="str">
        <f>HYPERLINK("https://nematode.unl.edu/ditmi13.jpg")</f>
        <v>https://nematode.unl.edu/ditmi13.jpg</v>
      </c>
      <c r="D2819" t="s">
        <v>77</v>
      </c>
      <c r="G2819" t="s">
        <v>44</v>
      </c>
      <c r="I2819" t="s">
        <v>45</v>
      </c>
      <c r="J2819" t="s">
        <v>20</v>
      </c>
      <c r="L2819" t="s">
        <v>4601</v>
      </c>
      <c r="M2819" t="s">
        <v>4599</v>
      </c>
      <c r="N2819" t="s">
        <v>4599</v>
      </c>
      <c r="O2819" t="s">
        <v>23</v>
      </c>
      <c r="P2819" t="s">
        <v>24</v>
      </c>
      <c r="Q2819" t="s">
        <v>712</v>
      </c>
      <c r="R2819" t="s">
        <v>713</v>
      </c>
    </row>
    <row r="2820" spans="1:18" x14ac:dyDescent="0.25">
      <c r="A2820" t="s">
        <v>12880</v>
      </c>
      <c r="B2820" t="s">
        <v>4603</v>
      </c>
      <c r="C2820" t="str">
        <f>HYPERLINK("https://nematode.unl.edu/ditmi14.jpg")</f>
        <v>https://nematode.unl.edu/ditmi14.jpg</v>
      </c>
      <c r="D2820" t="s">
        <v>77</v>
      </c>
      <c r="G2820" t="s">
        <v>34</v>
      </c>
      <c r="H2820" t="s">
        <v>18</v>
      </c>
      <c r="I2820" t="s">
        <v>19</v>
      </c>
      <c r="J2820" t="s">
        <v>20</v>
      </c>
      <c r="L2820" t="s">
        <v>4601</v>
      </c>
      <c r="M2820" t="s">
        <v>4599</v>
      </c>
      <c r="N2820" t="s">
        <v>4599</v>
      </c>
      <c r="O2820" t="s">
        <v>23</v>
      </c>
      <c r="P2820" t="s">
        <v>24</v>
      </c>
      <c r="Q2820" t="s">
        <v>712</v>
      </c>
      <c r="R2820" t="s">
        <v>713</v>
      </c>
    </row>
    <row r="2821" spans="1:18" x14ac:dyDescent="0.25">
      <c r="A2821" t="s">
        <v>12899</v>
      </c>
      <c r="B2821" t="s">
        <v>4604</v>
      </c>
      <c r="C2821" t="str">
        <f>HYPERLINK("https://nematode.unl.edu/ditmi15.jpg")</f>
        <v>https://nematode.unl.edu/ditmi15.jpg</v>
      </c>
      <c r="D2821" t="s">
        <v>77</v>
      </c>
      <c r="G2821" t="s">
        <v>28</v>
      </c>
      <c r="I2821" t="s">
        <v>19</v>
      </c>
      <c r="J2821" t="s">
        <v>20</v>
      </c>
      <c r="L2821" t="s">
        <v>29</v>
      </c>
      <c r="M2821" t="s">
        <v>4599</v>
      </c>
      <c r="N2821" t="s">
        <v>4599</v>
      </c>
      <c r="O2821" t="s">
        <v>23</v>
      </c>
      <c r="P2821" t="s">
        <v>24</v>
      </c>
      <c r="Q2821" t="s">
        <v>712</v>
      </c>
      <c r="R2821" t="s">
        <v>713</v>
      </c>
    </row>
    <row r="2822" spans="1:18" x14ac:dyDescent="0.25">
      <c r="A2822" t="s">
        <v>12881</v>
      </c>
      <c r="B2822" t="s">
        <v>4605</v>
      </c>
      <c r="C2822" t="str">
        <f>HYPERLINK("https://nematode.unl.edu/ditmi16.jpg")</f>
        <v>https://nematode.unl.edu/ditmi16.jpg</v>
      </c>
      <c r="D2822" t="s">
        <v>77</v>
      </c>
      <c r="G2822" t="s">
        <v>34</v>
      </c>
      <c r="H2822" t="s">
        <v>18</v>
      </c>
      <c r="I2822" t="s">
        <v>41</v>
      </c>
      <c r="J2822" t="s">
        <v>20</v>
      </c>
      <c r="L2822" t="s">
        <v>29</v>
      </c>
      <c r="M2822" t="s">
        <v>4599</v>
      </c>
      <c r="N2822" t="s">
        <v>4599</v>
      </c>
      <c r="O2822" t="s">
        <v>23</v>
      </c>
      <c r="P2822" t="s">
        <v>24</v>
      </c>
      <c r="Q2822" t="s">
        <v>712</v>
      </c>
      <c r="R2822" t="s">
        <v>713</v>
      </c>
    </row>
    <row r="2823" spans="1:18" x14ac:dyDescent="0.25">
      <c r="A2823" t="s">
        <v>12898</v>
      </c>
      <c r="B2823" t="s">
        <v>4606</v>
      </c>
      <c r="C2823" t="str">
        <f>HYPERLINK("https://nematode.unl.edu/ditmi17.jpg")</f>
        <v>https://nematode.unl.edu/ditmi17.jpg</v>
      </c>
      <c r="D2823" t="s">
        <v>77</v>
      </c>
      <c r="G2823" t="s">
        <v>112</v>
      </c>
      <c r="I2823" t="s">
        <v>41</v>
      </c>
      <c r="J2823" t="s">
        <v>20</v>
      </c>
      <c r="L2823" t="s">
        <v>29</v>
      </c>
      <c r="M2823" t="s">
        <v>4599</v>
      </c>
      <c r="N2823" t="s">
        <v>4599</v>
      </c>
      <c r="O2823" t="s">
        <v>23</v>
      </c>
      <c r="P2823" t="s">
        <v>24</v>
      </c>
      <c r="Q2823" t="s">
        <v>712</v>
      </c>
      <c r="R2823" t="s">
        <v>713</v>
      </c>
    </row>
    <row r="2824" spans="1:18" x14ac:dyDescent="0.25">
      <c r="A2824" t="s">
        <v>12893</v>
      </c>
      <c r="B2824" t="s">
        <v>4607</v>
      </c>
      <c r="C2824" t="str">
        <f>HYPERLINK("https://nematode.unl.edu/ditmi18.jpg")</f>
        <v>https://nematode.unl.edu/ditmi18.jpg</v>
      </c>
      <c r="D2824" t="s">
        <v>77</v>
      </c>
      <c r="G2824" t="s">
        <v>1906</v>
      </c>
      <c r="I2824" t="s">
        <v>41</v>
      </c>
      <c r="J2824" t="s">
        <v>20</v>
      </c>
      <c r="L2824" t="s">
        <v>29</v>
      </c>
      <c r="M2824" t="s">
        <v>4599</v>
      </c>
      <c r="N2824" t="s">
        <v>4599</v>
      </c>
      <c r="O2824" t="s">
        <v>23</v>
      </c>
      <c r="P2824" t="s">
        <v>24</v>
      </c>
      <c r="Q2824" t="s">
        <v>712</v>
      </c>
      <c r="R2824" t="s">
        <v>713</v>
      </c>
    </row>
    <row r="2825" spans="1:18" x14ac:dyDescent="0.25">
      <c r="A2825" t="s">
        <v>12895</v>
      </c>
      <c r="B2825" t="s">
        <v>4608</v>
      </c>
      <c r="C2825" t="str">
        <f>HYPERLINK("https://nematode.unl.edu/ditmi19.jpg")</f>
        <v>https://nematode.unl.edu/ditmi19.jpg</v>
      </c>
      <c r="D2825" t="s">
        <v>43</v>
      </c>
      <c r="G2825" t="s">
        <v>53</v>
      </c>
      <c r="I2825" t="s">
        <v>41</v>
      </c>
      <c r="J2825" t="s">
        <v>20</v>
      </c>
      <c r="L2825" t="s">
        <v>29</v>
      </c>
      <c r="M2825" t="s">
        <v>4599</v>
      </c>
      <c r="N2825" t="s">
        <v>4599</v>
      </c>
      <c r="O2825" t="s">
        <v>23</v>
      </c>
      <c r="P2825" t="s">
        <v>24</v>
      </c>
      <c r="Q2825" t="s">
        <v>712</v>
      </c>
      <c r="R2825" t="s">
        <v>713</v>
      </c>
    </row>
    <row r="2826" spans="1:18" x14ac:dyDescent="0.25">
      <c r="A2826" t="s">
        <v>12900</v>
      </c>
      <c r="B2826" t="s">
        <v>4609</v>
      </c>
      <c r="C2826" t="str">
        <f>HYPERLINK("https://nematode.unl.edu/ditmi2.jpg")</f>
        <v>https://nematode.unl.edu/ditmi2.jpg</v>
      </c>
      <c r="D2826" t="s">
        <v>43</v>
      </c>
      <c r="G2826" t="s">
        <v>28</v>
      </c>
      <c r="I2826" t="s">
        <v>19</v>
      </c>
      <c r="J2826" t="s">
        <v>20</v>
      </c>
      <c r="L2826" t="s">
        <v>29</v>
      </c>
      <c r="M2826" t="s">
        <v>4599</v>
      </c>
      <c r="N2826" t="s">
        <v>4599</v>
      </c>
      <c r="O2826" t="s">
        <v>23</v>
      </c>
      <c r="P2826" t="s">
        <v>24</v>
      </c>
      <c r="Q2826" t="s">
        <v>712</v>
      </c>
      <c r="R2826" t="s">
        <v>713</v>
      </c>
    </row>
    <row r="2827" spans="1:18" x14ac:dyDescent="0.25">
      <c r="A2827" t="s">
        <v>12896</v>
      </c>
      <c r="B2827" t="s">
        <v>4610</v>
      </c>
      <c r="C2827" t="str">
        <f>HYPERLINK("https://nematode.unl.edu/ditmi20.jpg")</f>
        <v>https://nematode.unl.edu/ditmi20.jpg</v>
      </c>
      <c r="D2827" t="s">
        <v>43</v>
      </c>
      <c r="G2827" t="s">
        <v>53</v>
      </c>
      <c r="I2827" t="s">
        <v>41</v>
      </c>
      <c r="J2827" t="s">
        <v>20</v>
      </c>
      <c r="L2827" t="s">
        <v>29</v>
      </c>
      <c r="M2827" t="s">
        <v>4599</v>
      </c>
      <c r="N2827" t="s">
        <v>4599</v>
      </c>
      <c r="O2827" t="s">
        <v>23</v>
      </c>
      <c r="P2827" t="s">
        <v>24</v>
      </c>
      <c r="Q2827" t="s">
        <v>712</v>
      </c>
      <c r="R2827" t="s">
        <v>713</v>
      </c>
    </row>
    <row r="2828" spans="1:18" x14ac:dyDescent="0.25">
      <c r="A2828" t="s">
        <v>12882</v>
      </c>
      <c r="B2828" t="s">
        <v>4611</v>
      </c>
      <c r="C2828" t="str">
        <f>HYPERLINK("https://nematode.unl.edu/ditmi21.jpg")</f>
        <v>https://nematode.unl.edu/ditmi21.jpg</v>
      </c>
      <c r="D2828" t="s">
        <v>77</v>
      </c>
      <c r="G2828" t="s">
        <v>34</v>
      </c>
      <c r="H2828" t="s">
        <v>18</v>
      </c>
      <c r="I2828" t="s">
        <v>19</v>
      </c>
      <c r="J2828" t="s">
        <v>20</v>
      </c>
      <c r="L2828" t="s">
        <v>29</v>
      </c>
      <c r="M2828" t="s">
        <v>4599</v>
      </c>
      <c r="N2828" t="s">
        <v>4599</v>
      </c>
      <c r="O2828" t="s">
        <v>23</v>
      </c>
      <c r="P2828" t="s">
        <v>24</v>
      </c>
      <c r="Q2828" t="s">
        <v>712</v>
      </c>
      <c r="R2828" t="s">
        <v>713</v>
      </c>
    </row>
    <row r="2829" spans="1:18" x14ac:dyDescent="0.25">
      <c r="A2829" t="s">
        <v>12901</v>
      </c>
      <c r="B2829" t="s">
        <v>4612</v>
      </c>
      <c r="C2829" t="str">
        <f>HYPERLINK("https://nematode.unl.edu/ditmi22.jpg")</f>
        <v>https://nematode.unl.edu/ditmi22.jpg</v>
      </c>
      <c r="D2829" t="s">
        <v>77</v>
      </c>
      <c r="G2829" t="s">
        <v>28</v>
      </c>
      <c r="I2829" t="s">
        <v>19</v>
      </c>
      <c r="J2829" t="s">
        <v>20</v>
      </c>
      <c r="L2829" t="s">
        <v>29</v>
      </c>
      <c r="M2829" t="s">
        <v>4599</v>
      </c>
      <c r="N2829" t="s">
        <v>4599</v>
      </c>
      <c r="O2829" t="s">
        <v>23</v>
      </c>
      <c r="P2829" t="s">
        <v>24</v>
      </c>
      <c r="Q2829" t="s">
        <v>712</v>
      </c>
      <c r="R2829" t="s">
        <v>713</v>
      </c>
    </row>
    <row r="2830" spans="1:18" x14ac:dyDescent="0.25">
      <c r="A2830" t="s">
        <v>12878</v>
      </c>
      <c r="B2830" t="s">
        <v>4613</v>
      </c>
      <c r="C2830" t="str">
        <f>HYPERLINK("https://nematode.unl.edu/ditmi23.jpg")</f>
        <v>https://nematode.unl.edu/ditmi23.jpg</v>
      </c>
      <c r="D2830" t="s">
        <v>43</v>
      </c>
      <c r="G2830" t="s">
        <v>96</v>
      </c>
      <c r="H2830" t="s">
        <v>18</v>
      </c>
      <c r="I2830" t="s">
        <v>19</v>
      </c>
      <c r="J2830" t="s">
        <v>20</v>
      </c>
      <c r="L2830" t="s">
        <v>29</v>
      </c>
      <c r="M2830" t="s">
        <v>4599</v>
      </c>
      <c r="N2830" t="s">
        <v>4599</v>
      </c>
      <c r="O2830" t="s">
        <v>23</v>
      </c>
      <c r="P2830" t="s">
        <v>24</v>
      </c>
      <c r="Q2830" t="s">
        <v>712</v>
      </c>
      <c r="R2830" t="s">
        <v>713</v>
      </c>
    </row>
    <row r="2831" spans="1:18" x14ac:dyDescent="0.25">
      <c r="A2831" t="s">
        <v>12908</v>
      </c>
      <c r="B2831" t="s">
        <v>4614</v>
      </c>
      <c r="C2831" t="str">
        <f>HYPERLINK("https://nematode.unl.edu/ditmi24.jpg")</f>
        <v>https://nematode.unl.edu/ditmi24.jpg</v>
      </c>
      <c r="D2831" t="s">
        <v>43</v>
      </c>
      <c r="G2831" t="s">
        <v>51</v>
      </c>
      <c r="I2831" t="s">
        <v>19</v>
      </c>
      <c r="J2831" t="s">
        <v>20</v>
      </c>
      <c r="L2831" t="s">
        <v>29</v>
      </c>
      <c r="M2831" t="s">
        <v>4599</v>
      </c>
      <c r="N2831" t="s">
        <v>4599</v>
      </c>
      <c r="O2831" t="s">
        <v>23</v>
      </c>
      <c r="P2831" t="s">
        <v>24</v>
      </c>
      <c r="Q2831" t="s">
        <v>712</v>
      </c>
      <c r="R2831" t="s">
        <v>713</v>
      </c>
    </row>
    <row r="2832" spans="1:18" x14ac:dyDescent="0.25">
      <c r="A2832" t="s">
        <v>12902</v>
      </c>
      <c r="B2832" t="s">
        <v>4615</v>
      </c>
      <c r="C2832" t="str">
        <f>HYPERLINK("https://nematode.unl.edu/ditmi25.jpg")</f>
        <v>https://nematode.unl.edu/ditmi25.jpg</v>
      </c>
      <c r="D2832" t="s">
        <v>43</v>
      </c>
      <c r="G2832" t="s">
        <v>28</v>
      </c>
      <c r="I2832" t="s">
        <v>19</v>
      </c>
      <c r="J2832" t="s">
        <v>20</v>
      </c>
      <c r="L2832" t="s">
        <v>29</v>
      </c>
      <c r="M2832" t="s">
        <v>4599</v>
      </c>
      <c r="N2832" t="s">
        <v>4599</v>
      </c>
      <c r="O2832" t="s">
        <v>23</v>
      </c>
      <c r="P2832" t="s">
        <v>24</v>
      </c>
      <c r="Q2832" t="s">
        <v>712</v>
      </c>
      <c r="R2832" t="s">
        <v>713</v>
      </c>
    </row>
    <row r="2833" spans="1:18" x14ac:dyDescent="0.25">
      <c r="A2833" t="s">
        <v>12883</v>
      </c>
      <c r="B2833" t="s">
        <v>4616</v>
      </c>
      <c r="C2833" t="str">
        <f>HYPERLINK("https://nematode.unl.edu/ditmi26.jpg")</f>
        <v>https://nematode.unl.edu/ditmi26.jpg</v>
      </c>
      <c r="D2833" t="s">
        <v>43</v>
      </c>
      <c r="G2833" t="s">
        <v>34</v>
      </c>
      <c r="H2833" t="s">
        <v>18</v>
      </c>
      <c r="I2833" t="s">
        <v>41</v>
      </c>
      <c r="J2833" t="s">
        <v>20</v>
      </c>
      <c r="L2833" t="s">
        <v>29</v>
      </c>
      <c r="M2833" t="s">
        <v>4599</v>
      </c>
      <c r="N2833" t="s">
        <v>4599</v>
      </c>
      <c r="O2833" t="s">
        <v>23</v>
      </c>
      <c r="P2833" t="s">
        <v>24</v>
      </c>
      <c r="Q2833" t="s">
        <v>712</v>
      </c>
      <c r="R2833" t="s">
        <v>713</v>
      </c>
    </row>
    <row r="2834" spans="1:18" x14ac:dyDescent="0.25">
      <c r="A2834" t="s">
        <v>12884</v>
      </c>
      <c r="B2834" t="s">
        <v>4617</v>
      </c>
      <c r="C2834" t="str">
        <f>HYPERLINK("https://nematode.unl.edu/ditmi27.jpg")</f>
        <v>https://nematode.unl.edu/ditmi27.jpg</v>
      </c>
      <c r="D2834" t="s">
        <v>43</v>
      </c>
      <c r="G2834" t="s">
        <v>34</v>
      </c>
      <c r="H2834" t="s">
        <v>18</v>
      </c>
      <c r="I2834" t="s">
        <v>19</v>
      </c>
      <c r="J2834" t="s">
        <v>20</v>
      </c>
      <c r="L2834" t="s">
        <v>29</v>
      </c>
      <c r="M2834" t="s">
        <v>4599</v>
      </c>
      <c r="N2834" t="s">
        <v>4599</v>
      </c>
      <c r="O2834" t="s">
        <v>23</v>
      </c>
      <c r="P2834" t="s">
        <v>24</v>
      </c>
      <c r="Q2834" t="s">
        <v>712</v>
      </c>
      <c r="R2834" t="s">
        <v>713</v>
      </c>
    </row>
    <row r="2835" spans="1:18" x14ac:dyDescent="0.25">
      <c r="A2835" t="s">
        <v>12909</v>
      </c>
      <c r="B2835" t="s">
        <v>4618</v>
      </c>
      <c r="C2835" t="str">
        <f>HYPERLINK("https://nematode.unl.edu/ditmi28.jpg")</f>
        <v>https://nematode.unl.edu/ditmi28.jpg</v>
      </c>
      <c r="D2835" t="s">
        <v>43</v>
      </c>
      <c r="G2835" t="s">
        <v>51</v>
      </c>
      <c r="I2835" t="s">
        <v>19</v>
      </c>
      <c r="J2835" t="s">
        <v>20</v>
      </c>
      <c r="L2835" t="s">
        <v>29</v>
      </c>
      <c r="M2835" t="s">
        <v>4599</v>
      </c>
      <c r="N2835" t="s">
        <v>4599</v>
      </c>
      <c r="O2835" t="s">
        <v>23</v>
      </c>
      <c r="P2835" t="s">
        <v>24</v>
      </c>
      <c r="Q2835" t="s">
        <v>712</v>
      </c>
      <c r="R2835" t="s">
        <v>713</v>
      </c>
    </row>
    <row r="2836" spans="1:18" x14ac:dyDescent="0.25">
      <c r="A2836" t="s">
        <v>12897</v>
      </c>
      <c r="B2836" t="s">
        <v>4619</v>
      </c>
      <c r="C2836" t="str">
        <f>HYPERLINK("https://nematode.unl.edu/ditmi29.jpg")</f>
        <v>https://nematode.unl.edu/ditmi29.jpg</v>
      </c>
      <c r="D2836" t="s">
        <v>43</v>
      </c>
      <c r="G2836" t="s">
        <v>414</v>
      </c>
      <c r="I2836" t="s">
        <v>41</v>
      </c>
      <c r="J2836" t="s">
        <v>20</v>
      </c>
      <c r="L2836" t="s">
        <v>29</v>
      </c>
      <c r="M2836" t="s">
        <v>4599</v>
      </c>
      <c r="N2836" t="s">
        <v>4599</v>
      </c>
      <c r="O2836" t="s">
        <v>23</v>
      </c>
      <c r="P2836" t="s">
        <v>24</v>
      </c>
      <c r="Q2836" t="s">
        <v>712</v>
      </c>
      <c r="R2836" t="s">
        <v>713</v>
      </c>
    </row>
    <row r="2837" spans="1:18" x14ac:dyDescent="0.25">
      <c r="A2837" t="s">
        <v>12885</v>
      </c>
      <c r="B2837" t="s">
        <v>4620</v>
      </c>
      <c r="C2837" t="str">
        <f>HYPERLINK("https://nematode.unl.edu/ditmi3.jpg")</f>
        <v>https://nematode.unl.edu/ditmi3.jpg</v>
      </c>
      <c r="D2837" t="s">
        <v>43</v>
      </c>
      <c r="G2837" t="s">
        <v>34</v>
      </c>
      <c r="H2837" t="s">
        <v>18</v>
      </c>
      <c r="I2837" t="s">
        <v>41</v>
      </c>
      <c r="J2837" t="s">
        <v>20</v>
      </c>
      <c r="L2837" t="s">
        <v>29</v>
      </c>
      <c r="M2837" t="s">
        <v>4599</v>
      </c>
      <c r="N2837" t="s">
        <v>4599</v>
      </c>
      <c r="O2837" t="s">
        <v>23</v>
      </c>
      <c r="P2837" t="s">
        <v>24</v>
      </c>
      <c r="Q2837" t="s">
        <v>712</v>
      </c>
      <c r="R2837" t="s">
        <v>713</v>
      </c>
    </row>
    <row r="2838" spans="1:18" x14ac:dyDescent="0.25">
      <c r="A2838" t="s">
        <v>12888</v>
      </c>
      <c r="B2838" t="s">
        <v>4621</v>
      </c>
      <c r="C2838" t="str">
        <f>HYPERLINK("https://nematode.unl.edu/ditmi30.jpg")</f>
        <v>https://nematode.unl.edu/ditmi30.jpg</v>
      </c>
      <c r="D2838" t="s">
        <v>43</v>
      </c>
      <c r="G2838" t="s">
        <v>384</v>
      </c>
      <c r="I2838" t="s">
        <v>41</v>
      </c>
      <c r="J2838" t="s">
        <v>20</v>
      </c>
      <c r="L2838" t="s">
        <v>29</v>
      </c>
      <c r="M2838" t="s">
        <v>4599</v>
      </c>
      <c r="N2838" t="s">
        <v>4599</v>
      </c>
      <c r="O2838" t="s">
        <v>23</v>
      </c>
      <c r="P2838" t="s">
        <v>24</v>
      </c>
      <c r="Q2838" t="s">
        <v>712</v>
      </c>
      <c r="R2838" t="s">
        <v>713</v>
      </c>
    </row>
    <row r="2839" spans="1:18" x14ac:dyDescent="0.25">
      <c r="A2839" t="s">
        <v>12903</v>
      </c>
      <c r="B2839" t="s">
        <v>4622</v>
      </c>
      <c r="C2839" t="str">
        <f>HYPERLINK("https://nematode.unl.edu/ditmi31.jpg")</f>
        <v>https://nematode.unl.edu/ditmi31.jpg</v>
      </c>
      <c r="D2839" t="s">
        <v>43</v>
      </c>
      <c r="G2839" t="s">
        <v>28</v>
      </c>
      <c r="I2839" t="s">
        <v>41</v>
      </c>
      <c r="J2839" t="s">
        <v>20</v>
      </c>
      <c r="L2839" t="s">
        <v>29</v>
      </c>
      <c r="M2839" t="s">
        <v>4599</v>
      </c>
      <c r="N2839" t="s">
        <v>4599</v>
      </c>
      <c r="O2839" t="s">
        <v>23</v>
      </c>
      <c r="P2839" t="s">
        <v>24</v>
      </c>
      <c r="Q2839" t="s">
        <v>712</v>
      </c>
      <c r="R2839" t="s">
        <v>713</v>
      </c>
    </row>
    <row r="2840" spans="1:18" x14ac:dyDescent="0.25">
      <c r="A2840" t="s">
        <v>12907</v>
      </c>
      <c r="B2840" t="s">
        <v>4623</v>
      </c>
      <c r="C2840" t="str">
        <f>HYPERLINK("https://nematode.unl.edu/ditmi4.jpg")</f>
        <v>https://nematode.unl.edu/ditmi4.jpg</v>
      </c>
      <c r="D2840" t="s">
        <v>43</v>
      </c>
      <c r="G2840" t="s">
        <v>422</v>
      </c>
      <c r="I2840" t="s">
        <v>41</v>
      </c>
      <c r="J2840" t="s">
        <v>20</v>
      </c>
      <c r="L2840" t="s">
        <v>29</v>
      </c>
      <c r="M2840" t="s">
        <v>4599</v>
      </c>
      <c r="N2840" t="s">
        <v>4599</v>
      </c>
      <c r="O2840" t="s">
        <v>23</v>
      </c>
      <c r="P2840" t="s">
        <v>24</v>
      </c>
      <c r="Q2840" t="s">
        <v>712</v>
      </c>
      <c r="R2840" t="s">
        <v>713</v>
      </c>
    </row>
    <row r="2841" spans="1:18" x14ac:dyDescent="0.25">
      <c r="A2841" t="s">
        <v>12889</v>
      </c>
      <c r="B2841" t="s">
        <v>4624</v>
      </c>
      <c r="C2841" t="str">
        <f>HYPERLINK("https://nematode.unl.edu/ditmi5.jpg")</f>
        <v>https://nematode.unl.edu/ditmi5.jpg</v>
      </c>
      <c r="D2841" t="s">
        <v>43</v>
      </c>
      <c r="G2841" t="s">
        <v>384</v>
      </c>
      <c r="I2841" t="s">
        <v>41</v>
      </c>
      <c r="J2841" t="s">
        <v>20</v>
      </c>
      <c r="L2841" t="s">
        <v>29</v>
      </c>
      <c r="M2841" t="s">
        <v>4599</v>
      </c>
      <c r="N2841" t="s">
        <v>4599</v>
      </c>
      <c r="O2841" t="s">
        <v>23</v>
      </c>
      <c r="P2841" t="s">
        <v>24</v>
      </c>
      <c r="Q2841" t="s">
        <v>712</v>
      </c>
      <c r="R2841" t="s">
        <v>713</v>
      </c>
    </row>
    <row r="2842" spans="1:18" x14ac:dyDescent="0.25">
      <c r="A2842" t="s">
        <v>12886</v>
      </c>
      <c r="B2842" t="s">
        <v>4625</v>
      </c>
      <c r="C2842" t="str">
        <f>HYPERLINK("https://nematode.unl.edu/ditmi6.jpg")</f>
        <v>https://nematode.unl.edu/ditmi6.jpg</v>
      </c>
      <c r="D2842" t="s">
        <v>43</v>
      </c>
      <c r="G2842" t="s">
        <v>34</v>
      </c>
      <c r="H2842" t="s">
        <v>18</v>
      </c>
      <c r="I2842" t="s">
        <v>19</v>
      </c>
      <c r="J2842" t="s">
        <v>20</v>
      </c>
      <c r="L2842" t="s">
        <v>29</v>
      </c>
      <c r="M2842" t="s">
        <v>4599</v>
      </c>
      <c r="N2842" t="s">
        <v>4599</v>
      </c>
      <c r="O2842" t="s">
        <v>23</v>
      </c>
      <c r="P2842" t="s">
        <v>24</v>
      </c>
      <c r="Q2842" t="s">
        <v>712</v>
      </c>
      <c r="R2842" t="s">
        <v>713</v>
      </c>
    </row>
    <row r="2843" spans="1:18" x14ac:dyDescent="0.25">
      <c r="A2843" t="s">
        <v>12910</v>
      </c>
      <c r="B2843" t="s">
        <v>4626</v>
      </c>
      <c r="C2843" t="str">
        <f>HYPERLINK("https://nematode.unl.edu/ditmi7.jpg")</f>
        <v>https://nematode.unl.edu/ditmi7.jpg</v>
      </c>
      <c r="D2843" t="s">
        <v>43</v>
      </c>
      <c r="G2843" t="s">
        <v>51</v>
      </c>
      <c r="I2843" t="s">
        <v>19</v>
      </c>
      <c r="J2843" t="s">
        <v>46</v>
      </c>
      <c r="L2843" t="s">
        <v>105</v>
      </c>
      <c r="M2843" t="s">
        <v>4599</v>
      </c>
      <c r="N2843" t="s">
        <v>4599</v>
      </c>
      <c r="O2843" t="s">
        <v>23</v>
      </c>
      <c r="P2843" t="s">
        <v>24</v>
      </c>
      <c r="Q2843" t="s">
        <v>712</v>
      </c>
      <c r="R2843" t="s">
        <v>713</v>
      </c>
    </row>
    <row r="2844" spans="1:18" x14ac:dyDescent="0.25">
      <c r="A2844" t="s">
        <v>12904</v>
      </c>
      <c r="B2844" t="s">
        <v>4627</v>
      </c>
      <c r="C2844" t="str">
        <f>HYPERLINK("https://nematode.unl.edu/ditmi8.jpg")</f>
        <v>https://nematode.unl.edu/ditmi8.jpg</v>
      </c>
      <c r="D2844" t="s">
        <v>43</v>
      </c>
      <c r="G2844" t="s">
        <v>28</v>
      </c>
      <c r="I2844" t="s">
        <v>19</v>
      </c>
      <c r="J2844" t="s">
        <v>20</v>
      </c>
      <c r="L2844" t="s">
        <v>752</v>
      </c>
      <c r="M2844" t="s">
        <v>4599</v>
      </c>
      <c r="N2844" t="s">
        <v>4599</v>
      </c>
      <c r="O2844" t="s">
        <v>23</v>
      </c>
      <c r="P2844" t="s">
        <v>24</v>
      </c>
      <c r="Q2844" t="s">
        <v>712</v>
      </c>
      <c r="R2844" t="s">
        <v>713</v>
      </c>
    </row>
    <row r="2845" spans="1:18" x14ac:dyDescent="0.25">
      <c r="A2845" t="s">
        <v>12911</v>
      </c>
      <c r="B2845" t="s">
        <v>4628</v>
      </c>
      <c r="C2845" t="str">
        <f>HYPERLINK("https://nematode.unl.edu/ditmic1.jpg")</f>
        <v>https://nematode.unl.edu/ditmic1.jpg</v>
      </c>
      <c r="D2845" t="s">
        <v>43</v>
      </c>
      <c r="G2845" t="s">
        <v>51</v>
      </c>
      <c r="I2845" t="s">
        <v>19</v>
      </c>
      <c r="J2845" t="s">
        <v>46</v>
      </c>
      <c r="L2845" t="s">
        <v>105</v>
      </c>
      <c r="M2845" t="s">
        <v>4599</v>
      </c>
      <c r="N2845" t="s">
        <v>4599</v>
      </c>
      <c r="O2845" t="s">
        <v>23</v>
      </c>
      <c r="P2845" t="s">
        <v>24</v>
      </c>
      <c r="Q2845" t="s">
        <v>712</v>
      </c>
      <c r="R2845" t="s">
        <v>713</v>
      </c>
    </row>
    <row r="2846" spans="1:18" x14ac:dyDescent="0.25">
      <c r="A2846" t="s">
        <v>12905</v>
      </c>
      <c r="B2846" t="s">
        <v>4629</v>
      </c>
      <c r="C2846" t="str">
        <f>HYPERLINK("https://nematode.unl.edu/ditmic2.jpg")</f>
        <v>https://nematode.unl.edu/ditmic2.jpg</v>
      </c>
      <c r="D2846" t="s">
        <v>43</v>
      </c>
      <c r="G2846" t="s">
        <v>28</v>
      </c>
      <c r="I2846" t="s">
        <v>19</v>
      </c>
      <c r="J2846" t="s">
        <v>46</v>
      </c>
      <c r="L2846" t="s">
        <v>105</v>
      </c>
      <c r="M2846" t="s">
        <v>4599</v>
      </c>
      <c r="N2846" t="s">
        <v>4599</v>
      </c>
      <c r="O2846" t="s">
        <v>23</v>
      </c>
      <c r="P2846" t="s">
        <v>24</v>
      </c>
      <c r="Q2846" t="s">
        <v>712</v>
      </c>
      <c r="R2846" t="s">
        <v>713</v>
      </c>
    </row>
    <row r="2847" spans="1:18" x14ac:dyDescent="0.25">
      <c r="A2847" t="s">
        <v>12887</v>
      </c>
      <c r="B2847" t="s">
        <v>4630</v>
      </c>
      <c r="C2847" t="str">
        <f>HYPERLINK("https://nematode.unl.edu/ditmic4.jpg")</f>
        <v>https://nematode.unl.edu/ditmic4.jpg</v>
      </c>
      <c r="D2847" t="s">
        <v>43</v>
      </c>
      <c r="G2847" t="s">
        <v>34</v>
      </c>
      <c r="H2847" t="s">
        <v>18</v>
      </c>
      <c r="I2847" t="s">
        <v>19</v>
      </c>
      <c r="J2847" t="s">
        <v>46</v>
      </c>
      <c r="L2847" t="s">
        <v>105</v>
      </c>
      <c r="M2847" t="s">
        <v>4599</v>
      </c>
      <c r="N2847" t="s">
        <v>4599</v>
      </c>
      <c r="O2847" t="s">
        <v>23</v>
      </c>
      <c r="P2847" t="s">
        <v>24</v>
      </c>
      <c r="Q2847" t="s">
        <v>712</v>
      </c>
      <c r="R2847" t="s">
        <v>713</v>
      </c>
    </row>
    <row r="2848" spans="1:18" x14ac:dyDescent="0.25">
      <c r="A2848" t="s">
        <v>12912</v>
      </c>
      <c r="B2848" t="s">
        <v>4631</v>
      </c>
      <c r="C2848" t="str">
        <f>HYPERLINK("https://nematode.unl.edu/ditmic5.jpg")</f>
        <v>https://nematode.unl.edu/ditmic5.jpg</v>
      </c>
      <c r="D2848" t="s">
        <v>43</v>
      </c>
      <c r="G2848" t="s">
        <v>51</v>
      </c>
      <c r="I2848" t="s">
        <v>19</v>
      </c>
      <c r="J2848" t="s">
        <v>46</v>
      </c>
      <c r="L2848" t="s">
        <v>105</v>
      </c>
      <c r="M2848" t="s">
        <v>4599</v>
      </c>
      <c r="N2848" t="s">
        <v>4599</v>
      </c>
      <c r="O2848" t="s">
        <v>23</v>
      </c>
      <c r="P2848" t="s">
        <v>24</v>
      </c>
      <c r="Q2848" t="s">
        <v>712</v>
      </c>
      <c r="R2848" t="s">
        <v>713</v>
      </c>
    </row>
    <row r="2849" spans="1:18" x14ac:dyDescent="0.25">
      <c r="A2849" t="s">
        <v>12891</v>
      </c>
      <c r="B2849" t="s">
        <v>4632</v>
      </c>
      <c r="C2849" t="str">
        <f>HYPERLINK("https://nematode.unl.edu/ditmic6.jpg")</f>
        <v>https://nematode.unl.edu/ditmic6.jpg</v>
      </c>
      <c r="D2849" t="s">
        <v>43</v>
      </c>
      <c r="G2849" t="s">
        <v>44</v>
      </c>
      <c r="I2849" t="s">
        <v>45</v>
      </c>
      <c r="J2849" t="s">
        <v>46</v>
      </c>
      <c r="L2849" t="s">
        <v>105</v>
      </c>
      <c r="M2849" t="s">
        <v>4599</v>
      </c>
      <c r="N2849" t="s">
        <v>4599</v>
      </c>
      <c r="O2849" t="s">
        <v>23</v>
      </c>
      <c r="P2849" t="s">
        <v>24</v>
      </c>
      <c r="Q2849" t="s">
        <v>712</v>
      </c>
      <c r="R2849" t="s">
        <v>713</v>
      </c>
    </row>
    <row r="2850" spans="1:18" x14ac:dyDescent="0.25">
      <c r="A2850" t="s">
        <v>12892</v>
      </c>
      <c r="B2850" t="s">
        <v>4633</v>
      </c>
      <c r="C2850" t="str">
        <f>HYPERLINK("https://nematode.unl.edu/ditmic7.jpg")</f>
        <v>https://nematode.unl.edu/ditmic7.jpg</v>
      </c>
      <c r="D2850" t="s">
        <v>43</v>
      </c>
      <c r="G2850" t="s">
        <v>44</v>
      </c>
      <c r="I2850" t="s">
        <v>45</v>
      </c>
      <c r="J2850" t="s">
        <v>46</v>
      </c>
      <c r="L2850" t="s">
        <v>105</v>
      </c>
      <c r="M2850" t="s">
        <v>4599</v>
      </c>
      <c r="N2850" t="s">
        <v>4599</v>
      </c>
      <c r="O2850" t="s">
        <v>23</v>
      </c>
      <c r="P2850" t="s">
        <v>24</v>
      </c>
      <c r="Q2850" t="s">
        <v>712</v>
      </c>
      <c r="R2850" t="s">
        <v>713</v>
      </c>
    </row>
    <row r="2851" spans="1:18" x14ac:dyDescent="0.25">
      <c r="A2851" t="s">
        <v>12906</v>
      </c>
      <c r="B2851" t="s">
        <v>4634</v>
      </c>
      <c r="C2851" t="str">
        <f>HYPERLINK("https://nematode.unl.edu/ditmic8.jpg")</f>
        <v>https://nematode.unl.edu/ditmic8.jpg</v>
      </c>
      <c r="D2851" t="s">
        <v>43</v>
      </c>
      <c r="G2851" t="s">
        <v>28</v>
      </c>
      <c r="I2851" t="s">
        <v>19</v>
      </c>
      <c r="J2851" t="s">
        <v>46</v>
      </c>
      <c r="L2851" t="s">
        <v>105</v>
      </c>
      <c r="M2851" t="s">
        <v>4599</v>
      </c>
      <c r="N2851" t="s">
        <v>4599</v>
      </c>
      <c r="O2851" t="s">
        <v>23</v>
      </c>
      <c r="P2851" t="s">
        <v>24</v>
      </c>
      <c r="Q2851" t="s">
        <v>712</v>
      </c>
      <c r="R2851" t="s">
        <v>713</v>
      </c>
    </row>
    <row r="2852" spans="1:18" x14ac:dyDescent="0.25">
      <c r="A2852" t="s">
        <v>12913</v>
      </c>
      <c r="B2852" t="s">
        <v>4635</v>
      </c>
      <c r="C2852" t="str">
        <f>HYPERLINK("https://nematode.unl.edu/ditob1.jpg")</f>
        <v>https://nematode.unl.edu/ditob1.jpg</v>
      </c>
      <c r="D2852" t="s">
        <v>43</v>
      </c>
      <c r="G2852" t="s">
        <v>34</v>
      </c>
      <c r="H2852" t="s">
        <v>18</v>
      </c>
      <c r="I2852" t="s">
        <v>19</v>
      </c>
      <c r="J2852" t="s">
        <v>20</v>
      </c>
      <c r="L2852" t="s">
        <v>29</v>
      </c>
      <c r="M2852" t="s">
        <v>729</v>
      </c>
      <c r="N2852" t="s">
        <v>729</v>
      </c>
      <c r="O2852" t="s">
        <v>23</v>
      </c>
      <c r="P2852" t="s">
        <v>24</v>
      </c>
      <c r="Q2852" t="s">
        <v>712</v>
      </c>
      <c r="R2852" t="s">
        <v>713</v>
      </c>
    </row>
    <row r="2853" spans="1:18" x14ac:dyDescent="0.25">
      <c r="A2853" t="s">
        <v>12921</v>
      </c>
      <c r="B2853" t="s">
        <v>4636</v>
      </c>
      <c r="C2853" t="str">
        <f>HYPERLINK("https://nematode.unl.edu/ditob2.jpg")</f>
        <v>https://nematode.unl.edu/ditob2.jpg</v>
      </c>
      <c r="D2853" t="s">
        <v>43</v>
      </c>
      <c r="G2853" t="s">
        <v>51</v>
      </c>
      <c r="I2853" t="s">
        <v>19</v>
      </c>
      <c r="J2853" t="s">
        <v>20</v>
      </c>
      <c r="L2853" t="s">
        <v>29</v>
      </c>
      <c r="M2853" t="s">
        <v>729</v>
      </c>
      <c r="N2853" t="s">
        <v>729</v>
      </c>
      <c r="O2853" t="s">
        <v>23</v>
      </c>
      <c r="P2853" t="s">
        <v>24</v>
      </c>
      <c r="Q2853" t="s">
        <v>712</v>
      </c>
      <c r="R2853" t="s">
        <v>713</v>
      </c>
    </row>
    <row r="2854" spans="1:18" x14ac:dyDescent="0.25">
      <c r="A2854" t="s">
        <v>12920</v>
      </c>
      <c r="B2854" t="s">
        <v>4637</v>
      </c>
      <c r="C2854" t="str">
        <f>HYPERLINK("https://nematode.unl.edu/ditob3.jpg")</f>
        <v>https://nematode.unl.edu/ditob3.jpg</v>
      </c>
      <c r="D2854" t="s">
        <v>43</v>
      </c>
      <c r="G2854" t="s">
        <v>28</v>
      </c>
      <c r="I2854" t="s">
        <v>19</v>
      </c>
      <c r="J2854" t="s">
        <v>20</v>
      </c>
      <c r="L2854" t="s">
        <v>29</v>
      </c>
      <c r="M2854" t="s">
        <v>729</v>
      </c>
      <c r="N2854" t="s">
        <v>729</v>
      </c>
      <c r="O2854" t="s">
        <v>23</v>
      </c>
      <c r="P2854" t="s">
        <v>24</v>
      </c>
      <c r="Q2854" t="s">
        <v>712</v>
      </c>
      <c r="R2854" t="s">
        <v>713</v>
      </c>
    </row>
    <row r="2855" spans="1:18" x14ac:dyDescent="0.25">
      <c r="A2855" t="s">
        <v>12922</v>
      </c>
      <c r="B2855" t="s">
        <v>4638</v>
      </c>
      <c r="C2855" t="str">
        <f>HYPERLINK("https://nematode.unl.edu/ditob4.jpg")</f>
        <v>https://nematode.unl.edu/ditob4.jpg</v>
      </c>
      <c r="D2855" t="s">
        <v>43</v>
      </c>
      <c r="G2855" t="s">
        <v>51</v>
      </c>
      <c r="I2855" t="s">
        <v>41</v>
      </c>
      <c r="J2855" t="s">
        <v>20</v>
      </c>
      <c r="L2855" t="s">
        <v>29</v>
      </c>
      <c r="M2855" t="s">
        <v>729</v>
      </c>
      <c r="N2855" t="s">
        <v>729</v>
      </c>
      <c r="O2855" t="s">
        <v>23</v>
      </c>
      <c r="P2855" t="s">
        <v>24</v>
      </c>
      <c r="Q2855" t="s">
        <v>712</v>
      </c>
      <c r="R2855" t="s">
        <v>713</v>
      </c>
    </row>
    <row r="2856" spans="1:18" x14ac:dyDescent="0.25">
      <c r="A2856" t="s">
        <v>12914</v>
      </c>
      <c r="B2856" t="s">
        <v>4639</v>
      </c>
      <c r="C2856" t="str">
        <f>HYPERLINK("https://nematode.unl.edu/ditob5.jpg")</f>
        <v>https://nematode.unl.edu/ditob5.jpg</v>
      </c>
      <c r="D2856" t="s">
        <v>43</v>
      </c>
      <c r="G2856" t="s">
        <v>34</v>
      </c>
      <c r="H2856" t="s">
        <v>18</v>
      </c>
      <c r="I2856" t="s">
        <v>41</v>
      </c>
      <c r="J2856" t="s">
        <v>20</v>
      </c>
      <c r="L2856" t="s">
        <v>29</v>
      </c>
      <c r="M2856" t="s">
        <v>729</v>
      </c>
      <c r="N2856" t="s">
        <v>729</v>
      </c>
      <c r="O2856" t="s">
        <v>23</v>
      </c>
      <c r="P2856" t="s">
        <v>24</v>
      </c>
      <c r="Q2856" t="s">
        <v>712</v>
      </c>
      <c r="R2856" t="s">
        <v>713</v>
      </c>
    </row>
    <row r="2857" spans="1:18" x14ac:dyDescent="0.25">
      <c r="A2857" t="s">
        <v>12918</v>
      </c>
      <c r="B2857" t="s">
        <v>4640</v>
      </c>
      <c r="C2857" t="str">
        <f>HYPERLINK("https://nematode.unl.edu/ditobcmp.jpg")</f>
        <v>https://nematode.unl.edu/ditobcmp.jpg</v>
      </c>
      <c r="G2857" t="s">
        <v>108</v>
      </c>
      <c r="M2857" t="s">
        <v>729</v>
      </c>
      <c r="N2857" t="s">
        <v>729</v>
      </c>
      <c r="O2857" t="s">
        <v>23</v>
      </c>
      <c r="P2857" t="s">
        <v>24</v>
      </c>
      <c r="Q2857" t="s">
        <v>712</v>
      </c>
      <c r="R2857" t="s">
        <v>713</v>
      </c>
    </row>
    <row r="2858" spans="1:18" x14ac:dyDescent="0.25">
      <c r="A2858" t="s">
        <v>12917</v>
      </c>
      <c r="B2858" t="s">
        <v>4641</v>
      </c>
      <c r="C2858" t="str">
        <f>HYPERLINK("https://nematode.unl.edu/ditobe1.jpg")</f>
        <v>https://nematode.unl.edu/ditobe1.jpg</v>
      </c>
      <c r="D2858" t="s">
        <v>43</v>
      </c>
      <c r="G2858" t="s">
        <v>44</v>
      </c>
      <c r="I2858" t="s">
        <v>45</v>
      </c>
      <c r="J2858" t="s">
        <v>46</v>
      </c>
      <c r="L2858" t="s">
        <v>727</v>
      </c>
      <c r="M2858" t="s">
        <v>729</v>
      </c>
      <c r="N2858" t="s">
        <v>729</v>
      </c>
      <c r="O2858" t="s">
        <v>23</v>
      </c>
      <c r="P2858" t="s">
        <v>24</v>
      </c>
      <c r="Q2858" t="s">
        <v>712</v>
      </c>
      <c r="R2858" t="s">
        <v>713</v>
      </c>
    </row>
    <row r="2859" spans="1:18" x14ac:dyDescent="0.25">
      <c r="A2859" t="s">
        <v>12915</v>
      </c>
      <c r="B2859" t="s">
        <v>4642</v>
      </c>
      <c r="C2859" t="str">
        <f>HYPERLINK("https://nematode.unl.edu/ditobe2.jpg")</f>
        <v>https://nematode.unl.edu/ditobe2.jpg</v>
      </c>
      <c r="D2859" t="s">
        <v>43</v>
      </c>
      <c r="G2859" t="s">
        <v>34</v>
      </c>
      <c r="H2859" t="s">
        <v>18</v>
      </c>
      <c r="I2859" t="s">
        <v>19</v>
      </c>
      <c r="J2859" t="s">
        <v>46</v>
      </c>
      <c r="L2859" t="s">
        <v>727</v>
      </c>
      <c r="M2859" t="s">
        <v>729</v>
      </c>
      <c r="N2859" t="s">
        <v>729</v>
      </c>
      <c r="O2859" t="s">
        <v>23</v>
      </c>
      <c r="P2859" t="s">
        <v>24</v>
      </c>
      <c r="Q2859" t="s">
        <v>712</v>
      </c>
      <c r="R2859" t="s">
        <v>713</v>
      </c>
    </row>
    <row r="2860" spans="1:18" x14ac:dyDescent="0.25">
      <c r="A2860" t="s">
        <v>12919</v>
      </c>
      <c r="B2860" t="s">
        <v>4643</v>
      </c>
      <c r="C2860" t="str">
        <f>HYPERLINK("https://nematode.unl.edu/ditobe3.jpg")</f>
        <v>https://nematode.unl.edu/ditobe3.jpg</v>
      </c>
      <c r="D2860" t="s">
        <v>43</v>
      </c>
      <c r="G2860" t="s">
        <v>4041</v>
      </c>
      <c r="I2860" t="s">
        <v>19</v>
      </c>
      <c r="J2860" t="s">
        <v>46</v>
      </c>
      <c r="L2860" t="s">
        <v>727</v>
      </c>
      <c r="M2860" t="s">
        <v>729</v>
      </c>
      <c r="N2860" t="s">
        <v>729</v>
      </c>
      <c r="O2860" t="s">
        <v>23</v>
      </c>
      <c r="P2860" t="s">
        <v>24</v>
      </c>
      <c r="Q2860" t="s">
        <v>712</v>
      </c>
      <c r="R2860" t="s">
        <v>713</v>
      </c>
    </row>
    <row r="2861" spans="1:18" x14ac:dyDescent="0.25">
      <c r="A2861" t="s">
        <v>12923</v>
      </c>
      <c r="B2861" t="s">
        <v>4644</v>
      </c>
      <c r="C2861" t="str">
        <f>HYPERLINK("https://nematode.unl.edu/ditobe4.jpg")</f>
        <v>https://nematode.unl.edu/ditobe4.jpg</v>
      </c>
      <c r="D2861" t="s">
        <v>43</v>
      </c>
      <c r="G2861" t="s">
        <v>51</v>
      </c>
      <c r="I2861" t="s">
        <v>19</v>
      </c>
      <c r="J2861" t="s">
        <v>46</v>
      </c>
      <c r="L2861" t="s">
        <v>727</v>
      </c>
      <c r="M2861" t="s">
        <v>729</v>
      </c>
      <c r="N2861" t="s">
        <v>729</v>
      </c>
      <c r="O2861" t="s">
        <v>23</v>
      </c>
      <c r="P2861" t="s">
        <v>24</v>
      </c>
      <c r="Q2861" t="s">
        <v>712</v>
      </c>
      <c r="R2861" t="s">
        <v>713</v>
      </c>
    </row>
    <row r="2862" spans="1:18" x14ac:dyDescent="0.25">
      <c r="A2862" t="s">
        <v>12924</v>
      </c>
      <c r="B2862" t="s">
        <v>4645</v>
      </c>
      <c r="C2862" t="str">
        <f>HYPERLINK("https://nematode.unl.edu/ditobe5.jpg")</f>
        <v>https://nematode.unl.edu/ditobe5.jpg</v>
      </c>
      <c r="D2862" t="s">
        <v>43</v>
      </c>
      <c r="G2862" t="s">
        <v>51</v>
      </c>
      <c r="I2862" t="s">
        <v>19</v>
      </c>
      <c r="J2862" t="s">
        <v>46</v>
      </c>
      <c r="L2862" t="s">
        <v>727</v>
      </c>
      <c r="M2862" t="s">
        <v>729</v>
      </c>
      <c r="N2862" t="s">
        <v>729</v>
      </c>
      <c r="O2862" t="s">
        <v>23</v>
      </c>
      <c r="P2862" t="s">
        <v>24</v>
      </c>
      <c r="Q2862" t="s">
        <v>712</v>
      </c>
      <c r="R2862" t="s">
        <v>713</v>
      </c>
    </row>
    <row r="2863" spans="1:18" x14ac:dyDescent="0.25">
      <c r="A2863" t="s">
        <v>12793</v>
      </c>
      <c r="B2863" t="s">
        <v>725</v>
      </c>
      <c r="C2863" t="str">
        <f>HYPERLINK("https://nematode.unl.edu/ditobe6.jpg")</f>
        <v>https://nematode.unl.edu/ditobe6.jpg</v>
      </c>
      <c r="D2863" t="s">
        <v>43</v>
      </c>
      <c r="G2863" t="s">
        <v>726</v>
      </c>
      <c r="I2863" t="s">
        <v>19</v>
      </c>
      <c r="J2863" t="s">
        <v>46</v>
      </c>
      <c r="L2863" t="s">
        <v>727</v>
      </c>
      <c r="M2863" t="s">
        <v>728</v>
      </c>
      <c r="N2863" t="s">
        <v>729</v>
      </c>
      <c r="O2863" t="s">
        <v>23</v>
      </c>
      <c r="P2863" t="s">
        <v>24</v>
      </c>
      <c r="Q2863" t="s">
        <v>712</v>
      </c>
      <c r="R2863" t="s">
        <v>713</v>
      </c>
    </row>
    <row r="2864" spans="1:18" x14ac:dyDescent="0.25">
      <c r="A2864" t="s">
        <v>12916</v>
      </c>
      <c r="B2864" t="s">
        <v>4646</v>
      </c>
      <c r="C2864" t="str">
        <f>HYPERLINK("https://nematode.unl.edu/ditobe7.jpg")</f>
        <v>https://nematode.unl.edu/ditobe7.jpg</v>
      </c>
      <c r="D2864" t="s">
        <v>43</v>
      </c>
      <c r="G2864" t="s">
        <v>34</v>
      </c>
      <c r="H2864" t="s">
        <v>18</v>
      </c>
      <c r="I2864" t="s">
        <v>19</v>
      </c>
      <c r="J2864" t="s">
        <v>46</v>
      </c>
      <c r="L2864" t="s">
        <v>727</v>
      </c>
      <c r="M2864" t="s">
        <v>729</v>
      </c>
      <c r="N2864" t="s">
        <v>729</v>
      </c>
      <c r="O2864" t="s">
        <v>23</v>
      </c>
      <c r="P2864" t="s">
        <v>24</v>
      </c>
      <c r="Q2864" t="s">
        <v>712</v>
      </c>
      <c r="R2864" t="s">
        <v>713</v>
      </c>
    </row>
    <row r="2865" spans="1:18" x14ac:dyDescent="0.25">
      <c r="A2865" t="s">
        <v>12786</v>
      </c>
      <c r="B2865" t="s">
        <v>4466</v>
      </c>
      <c r="C2865" t="str">
        <f>HYPERLINK("https://nematode.unl.edu/ditsp1.jpg")</f>
        <v>https://nematode.unl.edu/ditsp1.jpg</v>
      </c>
      <c r="D2865" t="s">
        <v>43</v>
      </c>
      <c r="G2865" t="s">
        <v>28</v>
      </c>
      <c r="I2865" t="s">
        <v>19</v>
      </c>
      <c r="J2865" t="s">
        <v>4467</v>
      </c>
      <c r="M2865" t="s">
        <v>713</v>
      </c>
      <c r="N2865" t="s">
        <v>713</v>
      </c>
      <c r="O2865" t="s">
        <v>23</v>
      </c>
      <c r="P2865" t="s">
        <v>24</v>
      </c>
      <c r="Q2865" t="s">
        <v>712</v>
      </c>
      <c r="R2865" t="s">
        <v>713</v>
      </c>
    </row>
    <row r="2866" spans="1:18" x14ac:dyDescent="0.25">
      <c r="A2866" t="s">
        <v>12774</v>
      </c>
      <c r="B2866" t="s">
        <v>4468</v>
      </c>
      <c r="C2866" t="str">
        <f>HYPERLINK("https://nematode.unl.edu/ditsp2.jpg")</f>
        <v>https://nematode.unl.edu/ditsp2.jpg</v>
      </c>
      <c r="D2866" t="s">
        <v>43</v>
      </c>
      <c r="G2866" t="s">
        <v>34</v>
      </c>
      <c r="H2866" t="s">
        <v>18</v>
      </c>
      <c r="I2866" t="s">
        <v>41</v>
      </c>
      <c r="J2866" t="s">
        <v>4467</v>
      </c>
      <c r="L2866" t="s">
        <v>206</v>
      </c>
      <c r="M2866" t="s">
        <v>713</v>
      </c>
      <c r="N2866" t="s">
        <v>713</v>
      </c>
      <c r="O2866" t="s">
        <v>23</v>
      </c>
      <c r="P2866" t="s">
        <v>24</v>
      </c>
      <c r="Q2866" t="s">
        <v>712</v>
      </c>
      <c r="R2866" t="s">
        <v>713</v>
      </c>
    </row>
    <row r="2867" spans="1:18" x14ac:dyDescent="0.25">
      <c r="A2867" t="s">
        <v>12791</v>
      </c>
      <c r="B2867" t="s">
        <v>4469</v>
      </c>
      <c r="C2867" t="str">
        <f>HYPERLINK("https://nematode.unl.edu/ditsp3.jpg")</f>
        <v>https://nematode.unl.edu/ditsp3.jpg</v>
      </c>
      <c r="D2867" t="s">
        <v>43</v>
      </c>
      <c r="G2867" t="s">
        <v>51</v>
      </c>
      <c r="I2867" t="s">
        <v>41</v>
      </c>
      <c r="J2867" t="s">
        <v>4467</v>
      </c>
      <c r="L2867" t="s">
        <v>206</v>
      </c>
      <c r="M2867" t="s">
        <v>713</v>
      </c>
      <c r="N2867" t="s">
        <v>713</v>
      </c>
      <c r="O2867" t="s">
        <v>23</v>
      </c>
      <c r="P2867" t="s">
        <v>24</v>
      </c>
      <c r="Q2867" t="s">
        <v>712</v>
      </c>
      <c r="R2867" t="s">
        <v>713</v>
      </c>
    </row>
    <row r="2868" spans="1:18" x14ac:dyDescent="0.25">
      <c r="A2868" t="s">
        <v>12787</v>
      </c>
      <c r="B2868" t="s">
        <v>4470</v>
      </c>
      <c r="C2868" t="str">
        <f>HYPERLINK("https://nematode.unl.edu/ditsp4.jpg")</f>
        <v>https://nematode.unl.edu/ditsp4.jpg</v>
      </c>
      <c r="D2868" t="s">
        <v>43</v>
      </c>
      <c r="G2868" t="s">
        <v>28</v>
      </c>
      <c r="I2868" t="s">
        <v>41</v>
      </c>
      <c r="J2868" t="s">
        <v>4467</v>
      </c>
      <c r="M2868" t="s">
        <v>713</v>
      </c>
      <c r="N2868" t="s">
        <v>713</v>
      </c>
      <c r="O2868" t="s">
        <v>23</v>
      </c>
      <c r="P2868" t="s">
        <v>24</v>
      </c>
      <c r="Q2868" t="s">
        <v>712</v>
      </c>
      <c r="R2868" t="s">
        <v>713</v>
      </c>
    </row>
    <row r="2869" spans="1:18" x14ac:dyDescent="0.25">
      <c r="A2869" t="s">
        <v>12775</v>
      </c>
      <c r="B2869" t="s">
        <v>4471</v>
      </c>
      <c r="C2869" t="str">
        <f>HYPERLINK("https://nematode.unl.edu/ditsp5.jpg")</f>
        <v>https://nematode.unl.edu/ditsp5.jpg</v>
      </c>
      <c r="D2869" t="s">
        <v>43</v>
      </c>
      <c r="G2869" t="s">
        <v>34</v>
      </c>
      <c r="H2869" t="s">
        <v>18</v>
      </c>
      <c r="I2869" t="s">
        <v>19</v>
      </c>
      <c r="J2869" t="s">
        <v>4467</v>
      </c>
      <c r="L2869" t="s">
        <v>206</v>
      </c>
      <c r="M2869" t="s">
        <v>713</v>
      </c>
      <c r="N2869" t="s">
        <v>713</v>
      </c>
      <c r="O2869" t="s">
        <v>23</v>
      </c>
      <c r="P2869" t="s">
        <v>24</v>
      </c>
      <c r="Q2869" t="s">
        <v>712</v>
      </c>
      <c r="R2869" t="s">
        <v>713</v>
      </c>
    </row>
    <row r="2870" spans="1:18" x14ac:dyDescent="0.25">
      <c r="A2870" t="s">
        <v>12776</v>
      </c>
      <c r="B2870" t="s">
        <v>4472</v>
      </c>
      <c r="C2870" t="str">
        <f>HYPERLINK("https://nematode.unl.edu/dityco1.jpg")</f>
        <v>https://nematode.unl.edu/dityco1.jpg</v>
      </c>
      <c r="D2870" t="s">
        <v>43</v>
      </c>
      <c r="G2870" t="s">
        <v>44</v>
      </c>
      <c r="I2870" t="s">
        <v>45</v>
      </c>
      <c r="J2870" t="s">
        <v>440</v>
      </c>
      <c r="L2870" t="s">
        <v>4473</v>
      </c>
      <c r="M2870" t="s">
        <v>713</v>
      </c>
      <c r="N2870" t="s">
        <v>713</v>
      </c>
      <c r="O2870" t="s">
        <v>23</v>
      </c>
      <c r="P2870" t="s">
        <v>24</v>
      </c>
      <c r="Q2870" t="s">
        <v>712</v>
      </c>
      <c r="R2870" t="s">
        <v>713</v>
      </c>
    </row>
    <row r="2871" spans="1:18" x14ac:dyDescent="0.25">
      <c r="A2871" t="s">
        <v>12767</v>
      </c>
      <c r="B2871" t="s">
        <v>4474</v>
      </c>
      <c r="C2871" t="str">
        <f>HYPERLINK("https://nematode.unl.edu/dityco2.jpg")</f>
        <v>https://nematode.unl.edu/dityco2.jpg</v>
      </c>
      <c r="D2871" t="s">
        <v>43</v>
      </c>
      <c r="G2871" t="s">
        <v>96</v>
      </c>
      <c r="H2871" t="s">
        <v>18</v>
      </c>
      <c r="I2871" t="s">
        <v>19</v>
      </c>
      <c r="J2871" t="s">
        <v>440</v>
      </c>
      <c r="L2871" t="s">
        <v>4473</v>
      </c>
      <c r="M2871" t="s">
        <v>713</v>
      </c>
      <c r="N2871" t="s">
        <v>713</v>
      </c>
      <c r="O2871" t="s">
        <v>23</v>
      </c>
      <c r="P2871" t="s">
        <v>24</v>
      </c>
      <c r="Q2871" t="s">
        <v>712</v>
      </c>
      <c r="R2871" t="s">
        <v>713</v>
      </c>
    </row>
    <row r="2872" spans="1:18" x14ac:dyDescent="0.25">
      <c r="A2872" t="s">
        <v>12782</v>
      </c>
      <c r="B2872" t="s">
        <v>4475</v>
      </c>
      <c r="C2872" t="str">
        <f>HYPERLINK("https://nematode.unl.edu/dityco3.jpg")</f>
        <v>https://nematode.unl.edu/dityco3.jpg</v>
      </c>
      <c r="D2872" t="s">
        <v>43</v>
      </c>
      <c r="G2872" t="s">
        <v>181</v>
      </c>
      <c r="I2872" t="s">
        <v>19</v>
      </c>
      <c r="J2872" t="s">
        <v>440</v>
      </c>
      <c r="L2872" t="s">
        <v>4473</v>
      </c>
      <c r="M2872" t="s">
        <v>713</v>
      </c>
      <c r="N2872" t="s">
        <v>713</v>
      </c>
      <c r="O2872" t="s">
        <v>23</v>
      </c>
      <c r="P2872" t="s">
        <v>24</v>
      </c>
      <c r="Q2872" t="s">
        <v>712</v>
      </c>
      <c r="R2872" t="s">
        <v>713</v>
      </c>
    </row>
    <row r="2873" spans="1:18" x14ac:dyDescent="0.25">
      <c r="A2873" t="s">
        <v>12768</v>
      </c>
      <c r="B2873" t="s">
        <v>4476</v>
      </c>
      <c r="C2873" t="str">
        <f>HYPERLINK("https://nematode.unl.edu/dityco4.jpg")</f>
        <v>https://nematode.unl.edu/dityco4.jpg</v>
      </c>
      <c r="D2873" t="s">
        <v>43</v>
      </c>
      <c r="G2873" t="s">
        <v>96</v>
      </c>
      <c r="H2873" t="s">
        <v>18</v>
      </c>
      <c r="I2873" t="s">
        <v>41</v>
      </c>
      <c r="J2873" t="s">
        <v>440</v>
      </c>
      <c r="L2873" t="s">
        <v>4473</v>
      </c>
      <c r="M2873" t="s">
        <v>713</v>
      </c>
      <c r="N2873" t="s">
        <v>713</v>
      </c>
      <c r="O2873" t="s">
        <v>23</v>
      </c>
      <c r="P2873" t="s">
        <v>24</v>
      </c>
      <c r="Q2873" t="s">
        <v>712</v>
      </c>
      <c r="R2873" t="s">
        <v>713</v>
      </c>
    </row>
    <row r="2874" spans="1:18" x14ac:dyDescent="0.25">
      <c r="A2874" t="s">
        <v>12778</v>
      </c>
      <c r="B2874" t="s">
        <v>4477</v>
      </c>
      <c r="C2874" t="str">
        <f>HYPERLINK("https://nematode.unl.edu/dityco5.jpg")</f>
        <v>https://nematode.unl.edu/dityco5.jpg</v>
      </c>
      <c r="D2874" t="s">
        <v>43</v>
      </c>
      <c r="G2874" t="s">
        <v>53</v>
      </c>
      <c r="I2874" t="s">
        <v>41</v>
      </c>
      <c r="J2874" t="s">
        <v>440</v>
      </c>
      <c r="L2874" t="s">
        <v>4473</v>
      </c>
      <c r="M2874" t="s">
        <v>713</v>
      </c>
      <c r="N2874" t="s">
        <v>713</v>
      </c>
      <c r="O2874" t="s">
        <v>23</v>
      </c>
      <c r="P2874" t="s">
        <v>24</v>
      </c>
      <c r="Q2874" t="s">
        <v>712</v>
      </c>
      <c r="R2874" t="s">
        <v>713</v>
      </c>
    </row>
    <row r="2875" spans="1:18" x14ac:dyDescent="0.25">
      <c r="A2875" t="s">
        <v>12779</v>
      </c>
      <c r="B2875" t="s">
        <v>4478</v>
      </c>
      <c r="C2875" t="str">
        <f>HYPERLINK("https://nematode.unl.edu/dityco6.jpg")</f>
        <v>https://nematode.unl.edu/dityco6.jpg</v>
      </c>
      <c r="D2875" t="s">
        <v>43</v>
      </c>
      <c r="G2875" t="s">
        <v>53</v>
      </c>
      <c r="I2875" t="s">
        <v>41</v>
      </c>
      <c r="J2875" t="s">
        <v>440</v>
      </c>
      <c r="L2875" t="s">
        <v>4473</v>
      </c>
      <c r="M2875" t="s">
        <v>713</v>
      </c>
      <c r="N2875" t="s">
        <v>713</v>
      </c>
      <c r="O2875" t="s">
        <v>23</v>
      </c>
      <c r="P2875" t="s">
        <v>24</v>
      </c>
      <c r="Q2875" t="s">
        <v>712</v>
      </c>
      <c r="R2875" t="s">
        <v>713</v>
      </c>
    </row>
    <row r="2876" spans="1:18" x14ac:dyDescent="0.25">
      <c r="A2876" t="s">
        <v>12783</v>
      </c>
      <c r="B2876" t="s">
        <v>4479</v>
      </c>
      <c r="C2876" t="str">
        <f>HYPERLINK("https://nematode.unl.edu/dityco7.jpg")</f>
        <v>https://nematode.unl.edu/dityco7.jpg</v>
      </c>
      <c r="D2876" t="s">
        <v>43</v>
      </c>
      <c r="G2876" t="s">
        <v>181</v>
      </c>
      <c r="I2876" t="s">
        <v>41</v>
      </c>
      <c r="J2876" t="s">
        <v>440</v>
      </c>
      <c r="L2876" t="s">
        <v>4473</v>
      </c>
      <c r="M2876" t="s">
        <v>713</v>
      </c>
      <c r="N2876" t="s">
        <v>713</v>
      </c>
      <c r="O2876" t="s">
        <v>23</v>
      </c>
      <c r="P2876" t="s">
        <v>24</v>
      </c>
      <c r="Q2876" t="s">
        <v>712</v>
      </c>
      <c r="R2876" t="s">
        <v>713</v>
      </c>
    </row>
    <row r="2877" spans="1:18" x14ac:dyDescent="0.25">
      <c r="A2877" t="s">
        <v>12769</v>
      </c>
      <c r="B2877" t="s">
        <v>4480</v>
      </c>
      <c r="C2877" t="str">
        <f>HYPERLINK("https://nematode.unl.edu/ditymn1.jpg")</f>
        <v>https://nematode.unl.edu/ditymn1.jpg</v>
      </c>
      <c r="D2877" t="s">
        <v>43</v>
      </c>
      <c r="G2877" t="s">
        <v>96</v>
      </c>
      <c r="H2877" t="s">
        <v>18</v>
      </c>
      <c r="I2877" t="s">
        <v>41</v>
      </c>
      <c r="J2877" t="s">
        <v>3622</v>
      </c>
      <c r="L2877" t="s">
        <v>4481</v>
      </c>
      <c r="M2877" t="s">
        <v>713</v>
      </c>
      <c r="N2877" t="s">
        <v>713</v>
      </c>
      <c r="O2877" t="s">
        <v>23</v>
      </c>
      <c r="P2877" t="s">
        <v>24</v>
      </c>
      <c r="Q2877" t="s">
        <v>712</v>
      </c>
      <c r="R2877" t="s">
        <v>713</v>
      </c>
    </row>
    <row r="2878" spans="1:18" x14ac:dyDescent="0.25">
      <c r="A2878" t="s">
        <v>12780</v>
      </c>
      <c r="B2878" t="s">
        <v>4482</v>
      </c>
      <c r="C2878" t="str">
        <f>HYPERLINK("https://nematode.unl.edu/ditymn2.jpg")</f>
        <v>https://nematode.unl.edu/ditymn2.jpg</v>
      </c>
      <c r="D2878" t="s">
        <v>43</v>
      </c>
      <c r="G2878" t="s">
        <v>53</v>
      </c>
      <c r="I2878" t="s">
        <v>41</v>
      </c>
      <c r="J2878" t="s">
        <v>3622</v>
      </c>
      <c r="L2878" t="s">
        <v>4481</v>
      </c>
      <c r="M2878" t="s">
        <v>713</v>
      </c>
      <c r="N2878" t="s">
        <v>713</v>
      </c>
      <c r="O2878" t="s">
        <v>23</v>
      </c>
      <c r="P2878" t="s">
        <v>24</v>
      </c>
      <c r="Q2878" t="s">
        <v>712</v>
      </c>
      <c r="R2878" t="s">
        <v>713</v>
      </c>
    </row>
    <row r="2879" spans="1:18" x14ac:dyDescent="0.25">
      <c r="A2879" t="s">
        <v>12784</v>
      </c>
      <c r="B2879" t="s">
        <v>4483</v>
      </c>
      <c r="C2879" t="str">
        <f>HYPERLINK("https://nematode.unl.edu/ditymn3.jpg")</f>
        <v>https://nematode.unl.edu/ditymn3.jpg</v>
      </c>
      <c r="D2879" t="s">
        <v>43</v>
      </c>
      <c r="G2879" t="s">
        <v>181</v>
      </c>
      <c r="I2879" t="s">
        <v>41</v>
      </c>
      <c r="J2879" t="s">
        <v>3622</v>
      </c>
      <c r="L2879" t="s">
        <v>4481</v>
      </c>
      <c r="M2879" t="s">
        <v>713</v>
      </c>
      <c r="N2879" t="s">
        <v>713</v>
      </c>
      <c r="O2879" t="s">
        <v>23</v>
      </c>
      <c r="P2879" t="s">
        <v>24</v>
      </c>
      <c r="Q2879" t="s">
        <v>712</v>
      </c>
      <c r="R2879" t="s">
        <v>713</v>
      </c>
    </row>
    <row r="2880" spans="1:18" x14ac:dyDescent="0.25">
      <c r="A2880" t="s">
        <v>12770</v>
      </c>
      <c r="B2880" t="s">
        <v>4484</v>
      </c>
      <c r="C2880" t="str">
        <f>HYPERLINK("https://nematode.unl.edu/dityne1.jpg")</f>
        <v>https://nematode.unl.edu/dityne1.jpg</v>
      </c>
      <c r="D2880" t="s">
        <v>77</v>
      </c>
      <c r="G2880" t="s">
        <v>96</v>
      </c>
      <c r="H2880" t="s">
        <v>18</v>
      </c>
      <c r="I2880" t="s">
        <v>19</v>
      </c>
      <c r="J2880" t="s">
        <v>3514</v>
      </c>
      <c r="L2880" t="s">
        <v>4485</v>
      </c>
      <c r="M2880" t="s">
        <v>713</v>
      </c>
      <c r="N2880" t="s">
        <v>713</v>
      </c>
      <c r="O2880" t="s">
        <v>23</v>
      </c>
      <c r="P2880" t="s">
        <v>24</v>
      </c>
      <c r="Q2880" t="s">
        <v>712</v>
      </c>
      <c r="R2880" t="s">
        <v>713</v>
      </c>
    </row>
    <row r="2881" spans="1:18" x14ac:dyDescent="0.25">
      <c r="A2881" t="s">
        <v>12792</v>
      </c>
      <c r="B2881" t="s">
        <v>4486</v>
      </c>
      <c r="C2881" t="str">
        <f>HYPERLINK("https://nematode.unl.edu/dityne10.jpg")</f>
        <v>https://nematode.unl.edu/dityne10.jpg</v>
      </c>
      <c r="D2881" t="s">
        <v>43</v>
      </c>
      <c r="G2881" t="s">
        <v>51</v>
      </c>
      <c r="I2881" t="s">
        <v>41</v>
      </c>
      <c r="J2881" t="s">
        <v>4487</v>
      </c>
      <c r="L2881" t="s">
        <v>4488</v>
      </c>
      <c r="M2881" t="s">
        <v>713</v>
      </c>
      <c r="N2881" t="s">
        <v>713</v>
      </c>
      <c r="O2881" t="s">
        <v>23</v>
      </c>
      <c r="P2881" t="s">
        <v>24</v>
      </c>
      <c r="Q2881" t="s">
        <v>712</v>
      </c>
      <c r="R2881" t="s">
        <v>713</v>
      </c>
    </row>
    <row r="2882" spans="1:18" x14ac:dyDescent="0.25">
      <c r="A2882" t="s">
        <v>12790</v>
      </c>
      <c r="B2882" t="s">
        <v>4489</v>
      </c>
      <c r="C2882" t="str">
        <f>HYPERLINK("https://nematode.unl.edu/dityne11.jpg")</f>
        <v>https://nematode.unl.edu/dityne11.jpg</v>
      </c>
      <c r="D2882" t="s">
        <v>43</v>
      </c>
      <c r="G2882" t="s">
        <v>422</v>
      </c>
      <c r="I2882" t="s">
        <v>41</v>
      </c>
      <c r="J2882" t="s">
        <v>4487</v>
      </c>
      <c r="L2882" t="s">
        <v>4488</v>
      </c>
      <c r="M2882" t="s">
        <v>713</v>
      </c>
      <c r="N2882" t="s">
        <v>713</v>
      </c>
      <c r="O2882" t="s">
        <v>23</v>
      </c>
      <c r="P2882" t="s">
        <v>24</v>
      </c>
      <c r="Q2882" t="s">
        <v>712</v>
      </c>
      <c r="R2882" t="s">
        <v>713</v>
      </c>
    </row>
    <row r="2883" spans="1:18" x14ac:dyDescent="0.25">
      <c r="A2883" t="s">
        <v>12789</v>
      </c>
      <c r="B2883" t="s">
        <v>4490</v>
      </c>
      <c r="C2883" t="str">
        <f>HYPERLINK("https://nematode.unl.edu/dityne2.jpg")</f>
        <v>https://nematode.unl.edu/dityne2.jpg</v>
      </c>
      <c r="D2883" t="s">
        <v>77</v>
      </c>
      <c r="G2883" t="s">
        <v>4491</v>
      </c>
      <c r="I2883" t="s">
        <v>19</v>
      </c>
      <c r="J2883" t="s">
        <v>3514</v>
      </c>
      <c r="L2883" t="s">
        <v>4485</v>
      </c>
      <c r="M2883" t="s">
        <v>713</v>
      </c>
      <c r="N2883" t="s">
        <v>713</v>
      </c>
      <c r="O2883" t="s">
        <v>23</v>
      </c>
      <c r="P2883" t="s">
        <v>24</v>
      </c>
      <c r="Q2883" t="s">
        <v>712</v>
      </c>
      <c r="R2883" t="s">
        <v>713</v>
      </c>
    </row>
    <row r="2884" spans="1:18" x14ac:dyDescent="0.25">
      <c r="A2884" t="s">
        <v>12771</v>
      </c>
      <c r="B2884" t="s">
        <v>4492</v>
      </c>
      <c r="C2884" t="str">
        <f>HYPERLINK("https://nematode.unl.edu/dityne3.jpg")</f>
        <v>https://nematode.unl.edu/dityne3.jpg</v>
      </c>
      <c r="D2884" t="s">
        <v>77</v>
      </c>
      <c r="G2884" t="s">
        <v>96</v>
      </c>
      <c r="H2884" t="s">
        <v>18</v>
      </c>
      <c r="I2884" t="s">
        <v>19</v>
      </c>
      <c r="J2884" t="s">
        <v>3514</v>
      </c>
      <c r="L2884" t="s">
        <v>4485</v>
      </c>
      <c r="M2884" t="s">
        <v>713</v>
      </c>
      <c r="N2884" t="s">
        <v>713</v>
      </c>
      <c r="O2884" t="s">
        <v>23</v>
      </c>
      <c r="P2884" t="s">
        <v>24</v>
      </c>
      <c r="Q2884" t="s">
        <v>712</v>
      </c>
      <c r="R2884" t="s">
        <v>713</v>
      </c>
    </row>
    <row r="2885" spans="1:18" x14ac:dyDescent="0.25">
      <c r="A2885" t="s">
        <v>12788</v>
      </c>
      <c r="B2885" t="s">
        <v>4493</v>
      </c>
      <c r="C2885" t="str">
        <f>HYPERLINK("https://nematode.unl.edu/dityne4.jpg")</f>
        <v>https://nematode.unl.edu/dityne4.jpg</v>
      </c>
      <c r="D2885" t="s">
        <v>77</v>
      </c>
      <c r="G2885" t="s">
        <v>28</v>
      </c>
      <c r="I2885" t="s">
        <v>19</v>
      </c>
      <c r="J2885" t="s">
        <v>3514</v>
      </c>
      <c r="L2885" t="s">
        <v>4485</v>
      </c>
      <c r="M2885" t="s">
        <v>713</v>
      </c>
      <c r="N2885" t="s">
        <v>713</v>
      </c>
      <c r="O2885" t="s">
        <v>23</v>
      </c>
      <c r="P2885" t="s">
        <v>24</v>
      </c>
      <c r="Q2885" t="s">
        <v>712</v>
      </c>
      <c r="R2885" t="s">
        <v>713</v>
      </c>
    </row>
    <row r="2886" spans="1:18" x14ac:dyDescent="0.25">
      <c r="A2886" t="s">
        <v>12772</v>
      </c>
      <c r="B2886" t="s">
        <v>4494</v>
      </c>
      <c r="C2886" t="str">
        <f>HYPERLINK("https://nematode.unl.edu/dityne5.jpg")</f>
        <v>https://nematode.unl.edu/dityne5.jpg</v>
      </c>
      <c r="D2886" t="s">
        <v>77</v>
      </c>
      <c r="G2886" t="s">
        <v>96</v>
      </c>
      <c r="H2886" t="s">
        <v>18</v>
      </c>
      <c r="I2886" t="s">
        <v>41</v>
      </c>
      <c r="J2886" t="s">
        <v>3514</v>
      </c>
      <c r="L2886" t="s">
        <v>4485</v>
      </c>
      <c r="M2886" t="s">
        <v>713</v>
      </c>
      <c r="N2886" t="s">
        <v>713</v>
      </c>
      <c r="O2886" t="s">
        <v>23</v>
      </c>
      <c r="P2886" t="s">
        <v>24</v>
      </c>
      <c r="Q2886" t="s">
        <v>712</v>
      </c>
      <c r="R2886" t="s">
        <v>713</v>
      </c>
    </row>
    <row r="2887" spans="1:18" x14ac:dyDescent="0.25">
      <c r="A2887" t="s">
        <v>12781</v>
      </c>
      <c r="B2887" t="s">
        <v>4495</v>
      </c>
      <c r="C2887" t="str">
        <f>HYPERLINK("https://nematode.unl.edu/dityne6.jpg")</f>
        <v>https://nematode.unl.edu/dityne6.jpg</v>
      </c>
      <c r="D2887" t="s">
        <v>77</v>
      </c>
      <c r="G2887" t="s">
        <v>53</v>
      </c>
      <c r="I2887" t="s">
        <v>41</v>
      </c>
      <c r="J2887" t="s">
        <v>3514</v>
      </c>
      <c r="L2887" t="s">
        <v>4485</v>
      </c>
      <c r="M2887" t="s">
        <v>713</v>
      </c>
      <c r="N2887" t="s">
        <v>713</v>
      </c>
      <c r="O2887" t="s">
        <v>23</v>
      </c>
      <c r="P2887" t="s">
        <v>24</v>
      </c>
      <c r="Q2887" t="s">
        <v>712</v>
      </c>
      <c r="R2887" t="s">
        <v>713</v>
      </c>
    </row>
    <row r="2888" spans="1:18" x14ac:dyDescent="0.25">
      <c r="A2888" t="s">
        <v>12785</v>
      </c>
      <c r="B2888" t="s">
        <v>4496</v>
      </c>
      <c r="C2888" t="str">
        <f>HYPERLINK("https://nematode.unl.edu/dityne7.jpg")</f>
        <v>https://nematode.unl.edu/dityne7.jpg</v>
      </c>
      <c r="D2888" t="s">
        <v>77</v>
      </c>
      <c r="G2888" t="s">
        <v>181</v>
      </c>
      <c r="I2888" t="s">
        <v>41</v>
      </c>
      <c r="J2888" t="s">
        <v>3514</v>
      </c>
      <c r="L2888" t="s">
        <v>4485</v>
      </c>
      <c r="M2888" t="s">
        <v>713</v>
      </c>
      <c r="N2888" t="s">
        <v>713</v>
      </c>
      <c r="O2888" t="s">
        <v>23</v>
      </c>
      <c r="P2888" t="s">
        <v>24</v>
      </c>
      <c r="Q2888" t="s">
        <v>712</v>
      </c>
      <c r="R2888" t="s">
        <v>713</v>
      </c>
    </row>
    <row r="2889" spans="1:18" x14ac:dyDescent="0.25">
      <c r="A2889" t="s">
        <v>12777</v>
      </c>
      <c r="B2889" t="s">
        <v>4497</v>
      </c>
      <c r="C2889" t="str">
        <f>HYPERLINK("https://nematode.unl.edu/dityne8.jpg")</f>
        <v>https://nematode.unl.edu/dityne8.jpg</v>
      </c>
      <c r="D2889" t="s">
        <v>43</v>
      </c>
      <c r="G2889" t="s">
        <v>44</v>
      </c>
      <c r="I2889" t="s">
        <v>19</v>
      </c>
      <c r="J2889" t="s">
        <v>4487</v>
      </c>
      <c r="L2889" t="s">
        <v>4488</v>
      </c>
      <c r="M2889" t="s">
        <v>713</v>
      </c>
      <c r="N2889" t="s">
        <v>713</v>
      </c>
      <c r="O2889" t="s">
        <v>23</v>
      </c>
      <c r="P2889" t="s">
        <v>24</v>
      </c>
      <c r="Q2889" t="s">
        <v>712</v>
      </c>
      <c r="R2889" t="s">
        <v>713</v>
      </c>
    </row>
    <row r="2890" spans="1:18" x14ac:dyDescent="0.25">
      <c r="A2890" t="s">
        <v>12773</v>
      </c>
      <c r="B2890" t="s">
        <v>4498</v>
      </c>
      <c r="C2890" t="str">
        <f>HYPERLINK("https://nematode.unl.edu/dityne9.jpg")</f>
        <v>https://nematode.unl.edu/dityne9.jpg</v>
      </c>
      <c r="D2890" t="s">
        <v>43</v>
      </c>
      <c r="G2890" t="s">
        <v>96</v>
      </c>
      <c r="H2890" t="s">
        <v>18</v>
      </c>
      <c r="I2890" t="s">
        <v>41</v>
      </c>
      <c r="J2890" t="s">
        <v>4487</v>
      </c>
      <c r="L2890" t="s">
        <v>4488</v>
      </c>
      <c r="M2890" t="s">
        <v>713</v>
      </c>
      <c r="N2890" t="s">
        <v>713</v>
      </c>
      <c r="O2890" t="s">
        <v>23</v>
      </c>
      <c r="P2890" t="s">
        <v>24</v>
      </c>
      <c r="Q2890" t="s">
        <v>712</v>
      </c>
      <c r="R2890" t="s">
        <v>713</v>
      </c>
    </row>
    <row r="2891" spans="1:18" x14ac:dyDescent="0.25">
      <c r="A2891" t="s">
        <v>12927</v>
      </c>
      <c r="B2891" t="s">
        <v>4647</v>
      </c>
      <c r="C2891" t="str">
        <f>HYPERLINK("https://nematode.unl.edu/dival1.jpg")</f>
        <v>https://nematode.unl.edu/dival1.jpg</v>
      </c>
      <c r="D2891" t="s">
        <v>77</v>
      </c>
      <c r="G2891" t="s">
        <v>44</v>
      </c>
      <c r="I2891" t="s">
        <v>45</v>
      </c>
      <c r="J2891" t="s">
        <v>20</v>
      </c>
      <c r="L2891" t="s">
        <v>1707</v>
      </c>
      <c r="M2891" t="s">
        <v>4648</v>
      </c>
      <c r="N2891" t="s">
        <v>4648</v>
      </c>
      <c r="O2891" t="s">
        <v>23</v>
      </c>
      <c r="P2891" t="s">
        <v>24</v>
      </c>
      <c r="Q2891" t="s">
        <v>712</v>
      </c>
      <c r="R2891" t="s">
        <v>713</v>
      </c>
    </row>
    <row r="2892" spans="1:18" x14ac:dyDescent="0.25">
      <c r="A2892" t="s">
        <v>12925</v>
      </c>
      <c r="B2892" t="s">
        <v>4649</v>
      </c>
      <c r="C2892" t="str">
        <f>HYPERLINK("https://nematode.unl.edu/dival2.jpg")</f>
        <v>https://nematode.unl.edu/dival2.jpg</v>
      </c>
      <c r="D2892" t="s">
        <v>77</v>
      </c>
      <c r="G2892" t="s">
        <v>34</v>
      </c>
      <c r="H2892" t="s">
        <v>18</v>
      </c>
      <c r="I2892" t="s">
        <v>19</v>
      </c>
      <c r="J2892" t="s">
        <v>20</v>
      </c>
      <c r="L2892" t="s">
        <v>1707</v>
      </c>
      <c r="M2892" t="s">
        <v>4648</v>
      </c>
      <c r="N2892" t="s">
        <v>4648</v>
      </c>
      <c r="O2892" t="s">
        <v>23</v>
      </c>
      <c r="P2892" t="s">
        <v>24</v>
      </c>
      <c r="Q2892" t="s">
        <v>712</v>
      </c>
      <c r="R2892" t="s">
        <v>713</v>
      </c>
    </row>
    <row r="2893" spans="1:18" x14ac:dyDescent="0.25">
      <c r="A2893" t="s">
        <v>12929</v>
      </c>
      <c r="B2893" t="s">
        <v>4650</v>
      </c>
      <c r="C2893" t="str">
        <f>HYPERLINK("https://nematode.unl.edu/dival3.jpg")</f>
        <v>https://nematode.unl.edu/dival3.jpg</v>
      </c>
      <c r="D2893" t="s">
        <v>77</v>
      </c>
      <c r="G2893" t="s">
        <v>28</v>
      </c>
      <c r="I2893" t="s">
        <v>19</v>
      </c>
      <c r="J2893" t="s">
        <v>20</v>
      </c>
      <c r="L2893" t="s">
        <v>1707</v>
      </c>
      <c r="M2893" t="s">
        <v>4648</v>
      </c>
      <c r="N2893" t="s">
        <v>4648</v>
      </c>
      <c r="O2893" t="s">
        <v>23</v>
      </c>
      <c r="P2893" t="s">
        <v>24</v>
      </c>
      <c r="Q2893" t="s">
        <v>712</v>
      </c>
      <c r="R2893" t="s">
        <v>713</v>
      </c>
    </row>
    <row r="2894" spans="1:18" x14ac:dyDescent="0.25">
      <c r="A2894" t="s">
        <v>12926</v>
      </c>
      <c r="B2894" t="s">
        <v>4651</v>
      </c>
      <c r="C2894" t="str">
        <f>HYPERLINK("https://nematode.unl.edu/dival4.jpg")</f>
        <v>https://nematode.unl.edu/dival4.jpg</v>
      </c>
      <c r="D2894" t="s">
        <v>77</v>
      </c>
      <c r="G2894" t="s">
        <v>34</v>
      </c>
      <c r="H2894" t="s">
        <v>18</v>
      </c>
      <c r="I2894" t="s">
        <v>41</v>
      </c>
      <c r="J2894" t="s">
        <v>20</v>
      </c>
      <c r="L2894" t="s">
        <v>1707</v>
      </c>
      <c r="M2894" t="s">
        <v>4648</v>
      </c>
      <c r="N2894" t="s">
        <v>4648</v>
      </c>
      <c r="O2894" t="s">
        <v>23</v>
      </c>
      <c r="P2894" t="s">
        <v>24</v>
      </c>
      <c r="Q2894" t="s">
        <v>712</v>
      </c>
      <c r="R2894" t="s">
        <v>713</v>
      </c>
    </row>
    <row r="2895" spans="1:18" x14ac:dyDescent="0.25">
      <c r="A2895" t="s">
        <v>12928</v>
      </c>
      <c r="B2895" t="s">
        <v>4652</v>
      </c>
      <c r="C2895" t="str">
        <f>HYPERLINK("https://nematode.unl.edu/dival5.jpg")</f>
        <v>https://nematode.unl.edu/dival5.jpg</v>
      </c>
      <c r="D2895" t="s">
        <v>77</v>
      </c>
      <c r="G2895" t="s">
        <v>4550</v>
      </c>
      <c r="I2895" t="s">
        <v>41</v>
      </c>
      <c r="J2895" t="s">
        <v>20</v>
      </c>
      <c r="L2895" t="s">
        <v>1707</v>
      </c>
      <c r="M2895" t="s">
        <v>4648</v>
      </c>
      <c r="N2895" t="s">
        <v>4648</v>
      </c>
      <c r="O2895" t="s">
        <v>23</v>
      </c>
      <c r="P2895" t="s">
        <v>24</v>
      </c>
      <c r="Q2895" t="s">
        <v>712</v>
      </c>
      <c r="R2895" t="s">
        <v>713</v>
      </c>
    </row>
    <row r="2896" spans="1:18" x14ac:dyDescent="0.25">
      <c r="A2896" t="s">
        <v>19562</v>
      </c>
      <c r="B2896" t="s">
        <v>808</v>
      </c>
      <c r="C2896" t="str">
        <f>HYPERLINK("https://nematode.unl.edu/docci1.jpg")</f>
        <v>https://nematode.unl.edu/docci1.jpg</v>
      </c>
      <c r="D2896" t="s">
        <v>77</v>
      </c>
      <c r="G2896" t="s">
        <v>96</v>
      </c>
      <c r="H2896" t="s">
        <v>18</v>
      </c>
      <c r="I2896" t="s">
        <v>19</v>
      </c>
      <c r="J2896" t="s">
        <v>46</v>
      </c>
      <c r="L2896" t="s">
        <v>105</v>
      </c>
      <c r="M2896" t="s">
        <v>809</v>
      </c>
      <c r="N2896" t="s">
        <v>810</v>
      </c>
      <c r="O2896" t="s">
        <v>73</v>
      </c>
      <c r="P2896" t="s">
        <v>81</v>
      </c>
      <c r="Q2896" t="s">
        <v>733</v>
      </c>
      <c r="R2896" t="s">
        <v>734</v>
      </c>
    </row>
    <row r="2897" spans="1:18" x14ac:dyDescent="0.25">
      <c r="A2897" t="s">
        <v>19565</v>
      </c>
      <c r="B2897" t="s">
        <v>811</v>
      </c>
      <c r="C2897" t="str">
        <f>HYPERLINK("https://nematode.unl.edu/docci10.jpg")</f>
        <v>https://nematode.unl.edu/docci10.jpg</v>
      </c>
      <c r="D2897" t="s">
        <v>16</v>
      </c>
      <c r="G2897" t="s">
        <v>34</v>
      </c>
      <c r="H2897" t="s">
        <v>18</v>
      </c>
      <c r="I2897" t="s">
        <v>41</v>
      </c>
      <c r="J2897" t="s">
        <v>46</v>
      </c>
      <c r="L2897" t="s">
        <v>105</v>
      </c>
      <c r="M2897" t="s">
        <v>809</v>
      </c>
      <c r="N2897" t="s">
        <v>810</v>
      </c>
      <c r="O2897" t="s">
        <v>73</v>
      </c>
      <c r="P2897" t="s">
        <v>81</v>
      </c>
      <c r="Q2897" t="s">
        <v>733</v>
      </c>
      <c r="R2897" t="s">
        <v>734</v>
      </c>
    </row>
    <row r="2898" spans="1:18" x14ac:dyDescent="0.25">
      <c r="A2898" t="s">
        <v>19580</v>
      </c>
      <c r="B2898" t="s">
        <v>812</v>
      </c>
      <c r="C2898" t="str">
        <f>HYPERLINK("https://nematode.unl.edu/docci2.jpg")</f>
        <v>https://nematode.unl.edu/docci2.jpg</v>
      </c>
      <c r="D2898" t="s">
        <v>77</v>
      </c>
      <c r="G2898" t="s">
        <v>44</v>
      </c>
      <c r="I2898" t="s">
        <v>45</v>
      </c>
      <c r="J2898" t="s">
        <v>46</v>
      </c>
      <c r="L2898" t="s">
        <v>105</v>
      </c>
      <c r="M2898" t="s">
        <v>809</v>
      </c>
      <c r="N2898" t="s">
        <v>810</v>
      </c>
      <c r="O2898" t="s">
        <v>73</v>
      </c>
      <c r="P2898" t="s">
        <v>81</v>
      </c>
      <c r="Q2898" t="s">
        <v>733</v>
      </c>
      <c r="R2898" t="s">
        <v>734</v>
      </c>
    </row>
    <row r="2899" spans="1:18" x14ac:dyDescent="0.25">
      <c r="A2899" t="s">
        <v>19585</v>
      </c>
      <c r="B2899" t="s">
        <v>813</v>
      </c>
      <c r="C2899" t="str">
        <f>HYPERLINK("https://nematode.unl.edu/docci3.jpg")</f>
        <v>https://nematode.unl.edu/docci3.jpg</v>
      </c>
      <c r="D2899" t="s">
        <v>77</v>
      </c>
      <c r="G2899" t="s">
        <v>112</v>
      </c>
      <c r="I2899" t="s">
        <v>19</v>
      </c>
      <c r="J2899" t="s">
        <v>46</v>
      </c>
      <c r="L2899" t="s">
        <v>105</v>
      </c>
      <c r="M2899" t="s">
        <v>809</v>
      </c>
      <c r="N2899" t="s">
        <v>810</v>
      </c>
      <c r="O2899" t="s">
        <v>73</v>
      </c>
      <c r="P2899" t="s">
        <v>81</v>
      </c>
      <c r="Q2899" t="s">
        <v>733</v>
      </c>
      <c r="R2899" t="s">
        <v>734</v>
      </c>
    </row>
    <row r="2900" spans="1:18" x14ac:dyDescent="0.25">
      <c r="A2900" t="s">
        <v>19581</v>
      </c>
      <c r="B2900" t="s">
        <v>814</v>
      </c>
      <c r="C2900" t="str">
        <f>HYPERLINK("https://nematode.unl.edu/docci5.jpg")</f>
        <v>https://nematode.unl.edu/docci5.jpg</v>
      </c>
      <c r="D2900" t="s">
        <v>16</v>
      </c>
      <c r="G2900" t="s">
        <v>44</v>
      </c>
      <c r="I2900" t="s">
        <v>45</v>
      </c>
      <c r="J2900" t="s">
        <v>46</v>
      </c>
      <c r="L2900" t="s">
        <v>105</v>
      </c>
      <c r="M2900" t="s">
        <v>809</v>
      </c>
      <c r="N2900" t="s">
        <v>810</v>
      </c>
      <c r="O2900" t="s">
        <v>73</v>
      </c>
      <c r="P2900" t="s">
        <v>81</v>
      </c>
      <c r="Q2900" t="s">
        <v>733</v>
      </c>
      <c r="R2900" t="s">
        <v>734</v>
      </c>
    </row>
    <row r="2901" spans="1:18" x14ac:dyDescent="0.25">
      <c r="A2901" t="s">
        <v>19564</v>
      </c>
      <c r="B2901" t="s">
        <v>815</v>
      </c>
      <c r="C2901" t="str">
        <f>HYPERLINK("https://nematode.unl.edu/docci6.jpg")</f>
        <v>https://nematode.unl.edu/docci6.jpg</v>
      </c>
      <c r="D2901" t="s">
        <v>16</v>
      </c>
      <c r="G2901" t="s">
        <v>17</v>
      </c>
      <c r="H2901" t="s">
        <v>18</v>
      </c>
      <c r="I2901" t="s">
        <v>19</v>
      </c>
      <c r="J2901" t="s">
        <v>46</v>
      </c>
      <c r="L2901" t="s">
        <v>105</v>
      </c>
      <c r="M2901" t="s">
        <v>809</v>
      </c>
      <c r="N2901" t="s">
        <v>810</v>
      </c>
      <c r="O2901" t="s">
        <v>73</v>
      </c>
      <c r="P2901" t="s">
        <v>81</v>
      </c>
      <c r="Q2901" t="s">
        <v>733</v>
      </c>
      <c r="R2901" t="s">
        <v>734</v>
      </c>
    </row>
    <row r="2902" spans="1:18" x14ac:dyDescent="0.25">
      <c r="A2902" t="s">
        <v>19566</v>
      </c>
      <c r="B2902" t="s">
        <v>816</v>
      </c>
      <c r="C2902" t="str">
        <f>HYPERLINK("https://nematode.unl.edu/docci7.jpg")</f>
        <v>https://nematode.unl.edu/docci7.jpg</v>
      </c>
      <c r="D2902" t="s">
        <v>16</v>
      </c>
      <c r="G2902" t="s">
        <v>34</v>
      </c>
      <c r="H2902" t="s">
        <v>18</v>
      </c>
      <c r="I2902" t="s">
        <v>19</v>
      </c>
      <c r="J2902" t="s">
        <v>46</v>
      </c>
      <c r="L2902" t="s">
        <v>105</v>
      </c>
      <c r="M2902" t="s">
        <v>809</v>
      </c>
      <c r="N2902" t="s">
        <v>810</v>
      </c>
      <c r="O2902" t="s">
        <v>73</v>
      </c>
      <c r="P2902" t="s">
        <v>81</v>
      </c>
      <c r="Q2902" t="s">
        <v>733</v>
      </c>
      <c r="R2902" t="s">
        <v>734</v>
      </c>
    </row>
    <row r="2903" spans="1:18" x14ac:dyDescent="0.25">
      <c r="A2903" t="s">
        <v>19586</v>
      </c>
      <c r="B2903" t="s">
        <v>817</v>
      </c>
      <c r="C2903" t="str">
        <f>HYPERLINK("https://nematode.unl.edu/docci8.jpg")</f>
        <v>https://nematode.unl.edu/docci8.jpg</v>
      </c>
      <c r="D2903" t="s">
        <v>16</v>
      </c>
      <c r="G2903" t="s">
        <v>28</v>
      </c>
      <c r="I2903" t="s">
        <v>19</v>
      </c>
      <c r="J2903" t="s">
        <v>46</v>
      </c>
      <c r="L2903" t="s">
        <v>105</v>
      </c>
      <c r="M2903" t="s">
        <v>809</v>
      </c>
      <c r="N2903" t="s">
        <v>810</v>
      </c>
      <c r="O2903" t="s">
        <v>73</v>
      </c>
      <c r="P2903" t="s">
        <v>81</v>
      </c>
      <c r="Q2903" t="s">
        <v>733</v>
      </c>
      <c r="R2903" t="s">
        <v>734</v>
      </c>
    </row>
    <row r="2904" spans="1:18" x14ac:dyDescent="0.25">
      <c r="A2904" t="s">
        <v>19575</v>
      </c>
      <c r="B2904" t="s">
        <v>818</v>
      </c>
      <c r="C2904" t="str">
        <f>HYPERLINK("https://nematode.unl.edu/docci9.jpg")</f>
        <v>https://nematode.unl.edu/docci9.jpg</v>
      </c>
      <c r="D2904" t="s">
        <v>16</v>
      </c>
      <c r="G2904" t="s">
        <v>87</v>
      </c>
      <c r="I2904" t="s">
        <v>19</v>
      </c>
      <c r="J2904" t="s">
        <v>46</v>
      </c>
      <c r="L2904" t="s">
        <v>105</v>
      </c>
      <c r="M2904" t="s">
        <v>809</v>
      </c>
      <c r="N2904" t="s">
        <v>810</v>
      </c>
      <c r="O2904" t="s">
        <v>73</v>
      </c>
      <c r="P2904" t="s">
        <v>81</v>
      </c>
      <c r="Q2904" t="s">
        <v>733</v>
      </c>
      <c r="R2904" t="s">
        <v>734</v>
      </c>
    </row>
    <row r="2905" spans="1:18" x14ac:dyDescent="0.25">
      <c r="A2905" t="s">
        <v>15856</v>
      </c>
      <c r="B2905" t="s">
        <v>4653</v>
      </c>
      <c r="C2905" t="str">
        <f>HYPERLINK("https://nematode.unl.edu/dolichet1.jpg")</f>
        <v>https://nematode.unl.edu/dolichet1.jpg</v>
      </c>
      <c r="D2905" t="s">
        <v>43</v>
      </c>
      <c r="G2905" t="s">
        <v>34</v>
      </c>
      <c r="H2905" t="s">
        <v>18</v>
      </c>
      <c r="I2905" t="s">
        <v>19</v>
      </c>
      <c r="J2905" t="s">
        <v>4654</v>
      </c>
      <c r="M2905" t="s">
        <v>4655</v>
      </c>
      <c r="N2905" t="s">
        <v>4655</v>
      </c>
      <c r="O2905" t="s">
        <v>23</v>
      </c>
      <c r="P2905" t="s">
        <v>24</v>
      </c>
      <c r="Q2905" t="s">
        <v>1071</v>
      </c>
      <c r="R2905" t="s">
        <v>4656</v>
      </c>
    </row>
    <row r="2906" spans="1:18" x14ac:dyDescent="0.25">
      <c r="A2906" t="s">
        <v>18784</v>
      </c>
      <c r="B2906" t="s">
        <v>1791</v>
      </c>
      <c r="C2906" t="str">
        <f>HYPERLINK("https://nematode.unl.edu/domidom1.jpg")</f>
        <v>https://nematode.unl.edu/domidom1.jpg</v>
      </c>
      <c r="D2906" t="s">
        <v>43</v>
      </c>
      <c r="G2906" t="s">
        <v>44</v>
      </c>
      <c r="I2906" t="s">
        <v>45</v>
      </c>
      <c r="J2906" t="s">
        <v>1517</v>
      </c>
      <c r="L2906" t="s">
        <v>1677</v>
      </c>
      <c r="M2906" t="s">
        <v>1792</v>
      </c>
      <c r="N2906" t="s">
        <v>1793</v>
      </c>
      <c r="O2906" t="s">
        <v>73</v>
      </c>
      <c r="P2906" t="s">
        <v>81</v>
      </c>
      <c r="Q2906" t="s">
        <v>1794</v>
      </c>
      <c r="R2906" t="s">
        <v>1795</v>
      </c>
    </row>
    <row r="2907" spans="1:18" x14ac:dyDescent="0.25">
      <c r="A2907" t="s">
        <v>18785</v>
      </c>
      <c r="B2907" t="s">
        <v>1796</v>
      </c>
      <c r="C2907" t="str">
        <f>HYPERLINK("https://nematode.unl.edu/domidom2.jpg")</f>
        <v>https://nematode.unl.edu/domidom2.jpg</v>
      </c>
      <c r="D2907" t="s">
        <v>43</v>
      </c>
      <c r="G2907" t="s">
        <v>44</v>
      </c>
      <c r="I2907" t="s">
        <v>19</v>
      </c>
      <c r="J2907" t="s">
        <v>1517</v>
      </c>
      <c r="L2907" t="s">
        <v>1677</v>
      </c>
      <c r="M2907" t="s">
        <v>1792</v>
      </c>
      <c r="N2907" t="s">
        <v>1793</v>
      </c>
      <c r="O2907" t="s">
        <v>73</v>
      </c>
      <c r="P2907" t="s">
        <v>81</v>
      </c>
      <c r="Q2907" t="s">
        <v>1794</v>
      </c>
      <c r="R2907" t="s">
        <v>1795</v>
      </c>
    </row>
    <row r="2908" spans="1:18" x14ac:dyDescent="0.25">
      <c r="A2908" t="s">
        <v>18782</v>
      </c>
      <c r="B2908" t="s">
        <v>1797</v>
      </c>
      <c r="C2908" t="str">
        <f>HYPERLINK("https://nematode.unl.edu/domidom3.jpg")</f>
        <v>https://nematode.unl.edu/domidom3.jpg</v>
      </c>
      <c r="D2908" t="s">
        <v>43</v>
      </c>
      <c r="G2908" t="s">
        <v>34</v>
      </c>
      <c r="H2908" t="s">
        <v>18</v>
      </c>
      <c r="I2908" t="s">
        <v>41</v>
      </c>
      <c r="J2908" t="s">
        <v>1517</v>
      </c>
      <c r="L2908" t="s">
        <v>1677</v>
      </c>
      <c r="M2908" t="s">
        <v>1792</v>
      </c>
      <c r="N2908" t="s">
        <v>1793</v>
      </c>
      <c r="O2908" t="s">
        <v>73</v>
      </c>
      <c r="P2908" t="s">
        <v>81</v>
      </c>
      <c r="Q2908" t="s">
        <v>1794</v>
      </c>
      <c r="R2908" t="s">
        <v>1795</v>
      </c>
    </row>
    <row r="2909" spans="1:18" x14ac:dyDescent="0.25">
      <c r="A2909" t="s">
        <v>18787</v>
      </c>
      <c r="B2909" t="s">
        <v>1798</v>
      </c>
      <c r="C2909" t="str">
        <f>HYPERLINK("https://nematode.unl.edu/domidom4.jpg")</f>
        <v>https://nematode.unl.edu/domidom4.jpg</v>
      </c>
      <c r="D2909" t="s">
        <v>43</v>
      </c>
      <c r="G2909" t="s">
        <v>1667</v>
      </c>
      <c r="I2909" t="s">
        <v>41</v>
      </c>
      <c r="J2909" t="s">
        <v>1517</v>
      </c>
      <c r="L2909" t="s">
        <v>1677</v>
      </c>
      <c r="M2909" t="s">
        <v>1792</v>
      </c>
      <c r="N2909" t="s">
        <v>1793</v>
      </c>
      <c r="O2909" t="s">
        <v>73</v>
      </c>
      <c r="P2909" t="s">
        <v>81</v>
      </c>
      <c r="Q2909" t="s">
        <v>1794</v>
      </c>
      <c r="R2909" t="s">
        <v>1795</v>
      </c>
    </row>
    <row r="2910" spans="1:18" x14ac:dyDescent="0.25">
      <c r="A2910" t="s">
        <v>18783</v>
      </c>
      <c r="B2910" t="s">
        <v>1799</v>
      </c>
      <c r="C2910" t="str">
        <f>HYPERLINK("https://nematode.unl.edu/domidom5.jpg")</f>
        <v>https://nematode.unl.edu/domidom5.jpg</v>
      </c>
      <c r="D2910" t="s">
        <v>43</v>
      </c>
      <c r="G2910" t="s">
        <v>34</v>
      </c>
      <c r="H2910" t="s">
        <v>18</v>
      </c>
      <c r="I2910" t="s">
        <v>41</v>
      </c>
      <c r="J2910" t="s">
        <v>1517</v>
      </c>
      <c r="L2910" t="s">
        <v>1677</v>
      </c>
      <c r="M2910" t="s">
        <v>1792</v>
      </c>
      <c r="N2910" t="s">
        <v>1793</v>
      </c>
      <c r="O2910" t="s">
        <v>73</v>
      </c>
      <c r="P2910" t="s">
        <v>81</v>
      </c>
      <c r="Q2910" t="s">
        <v>1794</v>
      </c>
      <c r="R2910" t="s">
        <v>1795</v>
      </c>
    </row>
    <row r="2911" spans="1:18" x14ac:dyDescent="0.25">
      <c r="A2911" t="s">
        <v>18789</v>
      </c>
      <c r="B2911" t="s">
        <v>1800</v>
      </c>
      <c r="C2911" t="str">
        <f>HYPERLINK("https://nematode.unl.edu/domidom6.jpg")</f>
        <v>https://nematode.unl.edu/domidom6.jpg</v>
      </c>
      <c r="D2911" t="s">
        <v>43</v>
      </c>
      <c r="G2911" t="s">
        <v>51</v>
      </c>
      <c r="I2911" t="s">
        <v>41</v>
      </c>
      <c r="J2911" t="s">
        <v>1517</v>
      </c>
      <c r="L2911" t="s">
        <v>1677</v>
      </c>
      <c r="M2911" t="s">
        <v>1792</v>
      </c>
      <c r="N2911" t="s">
        <v>1793</v>
      </c>
      <c r="O2911" t="s">
        <v>73</v>
      </c>
      <c r="P2911" t="s">
        <v>81</v>
      </c>
      <c r="Q2911" t="s">
        <v>1794</v>
      </c>
      <c r="R2911" t="s">
        <v>1795</v>
      </c>
    </row>
    <row r="2912" spans="1:18" x14ac:dyDescent="0.25">
      <c r="A2912" t="s">
        <v>18786</v>
      </c>
      <c r="B2912" t="s">
        <v>1801</v>
      </c>
      <c r="C2912" t="str">
        <f>HYPERLINK("https://nematode.unl.edu/domidom7.jpg")</f>
        <v>https://nematode.unl.edu/domidom7.jpg</v>
      </c>
      <c r="D2912" t="s">
        <v>43</v>
      </c>
      <c r="G2912" t="s">
        <v>856</v>
      </c>
      <c r="I2912" t="s">
        <v>41</v>
      </c>
      <c r="J2912" t="s">
        <v>1517</v>
      </c>
      <c r="L2912" t="s">
        <v>1677</v>
      </c>
      <c r="M2912" t="s">
        <v>1792</v>
      </c>
      <c r="N2912" t="s">
        <v>1793</v>
      </c>
      <c r="O2912" t="s">
        <v>73</v>
      </c>
      <c r="P2912" t="s">
        <v>81</v>
      </c>
      <c r="Q2912" t="s">
        <v>1794</v>
      </c>
      <c r="R2912" t="s">
        <v>1795</v>
      </c>
    </row>
    <row r="2913" spans="1:18" x14ac:dyDescent="0.25">
      <c r="A2913" t="s">
        <v>18788</v>
      </c>
      <c r="B2913" t="s">
        <v>1802</v>
      </c>
      <c r="C2913" t="str">
        <f>HYPERLINK("https://nematode.unl.edu/domidom8.jpg")</f>
        <v>https://nematode.unl.edu/domidom8.jpg</v>
      </c>
      <c r="D2913" t="s">
        <v>43</v>
      </c>
      <c r="G2913" t="s">
        <v>422</v>
      </c>
      <c r="I2913" t="s">
        <v>41</v>
      </c>
      <c r="J2913" t="s">
        <v>1517</v>
      </c>
      <c r="L2913" t="s">
        <v>1677</v>
      </c>
      <c r="M2913" t="s">
        <v>1792</v>
      </c>
      <c r="N2913" t="s">
        <v>1793</v>
      </c>
      <c r="O2913" t="s">
        <v>73</v>
      </c>
      <c r="P2913" t="s">
        <v>81</v>
      </c>
      <c r="Q2913" t="s">
        <v>1794</v>
      </c>
      <c r="R2913" t="s">
        <v>1795</v>
      </c>
    </row>
    <row r="2914" spans="1:18" x14ac:dyDescent="0.25">
      <c r="A2914" t="s">
        <v>20283</v>
      </c>
      <c r="B2914" t="s">
        <v>4693</v>
      </c>
      <c r="C2914" t="str">
        <f>HYPERLINK("https://nematode.unl.edu/domiletz1.jpg")</f>
        <v>https://nematode.unl.edu/domiletz1.jpg</v>
      </c>
      <c r="D2914" t="s">
        <v>43</v>
      </c>
      <c r="G2914" t="s">
        <v>44</v>
      </c>
      <c r="I2914" t="s">
        <v>91</v>
      </c>
      <c r="J2914" t="s">
        <v>116</v>
      </c>
      <c r="L2914" t="s">
        <v>85</v>
      </c>
      <c r="M2914" t="s">
        <v>4694</v>
      </c>
      <c r="N2914" t="s">
        <v>4694</v>
      </c>
      <c r="O2914" t="s">
        <v>73</v>
      </c>
      <c r="P2914" t="s">
        <v>81</v>
      </c>
      <c r="Q2914" t="s">
        <v>4662</v>
      </c>
      <c r="R2914" t="s">
        <v>4661</v>
      </c>
    </row>
    <row r="2915" spans="1:18" x14ac:dyDescent="0.25">
      <c r="A2915" t="s">
        <v>20278</v>
      </c>
      <c r="B2915" t="s">
        <v>4695</v>
      </c>
      <c r="C2915" t="str">
        <f>HYPERLINK("https://nematode.unl.edu/domiletz10.jpg")</f>
        <v>https://nematode.unl.edu/domiletz10.jpg</v>
      </c>
      <c r="D2915" t="s">
        <v>43</v>
      </c>
      <c r="G2915" t="s">
        <v>34</v>
      </c>
      <c r="H2915" t="s">
        <v>18</v>
      </c>
      <c r="I2915" t="s">
        <v>19</v>
      </c>
      <c r="J2915" t="s">
        <v>116</v>
      </c>
      <c r="L2915" t="s">
        <v>85</v>
      </c>
      <c r="M2915" t="s">
        <v>4694</v>
      </c>
      <c r="N2915" t="s">
        <v>4694</v>
      </c>
      <c r="O2915" t="s">
        <v>73</v>
      </c>
      <c r="P2915" t="s">
        <v>81</v>
      </c>
      <c r="Q2915" t="s">
        <v>4662</v>
      </c>
      <c r="R2915" t="s">
        <v>4661</v>
      </c>
    </row>
    <row r="2916" spans="1:18" x14ac:dyDescent="0.25">
      <c r="A2916" t="s">
        <v>20289</v>
      </c>
      <c r="B2916" t="s">
        <v>4696</v>
      </c>
      <c r="C2916" t="str">
        <f>HYPERLINK("https://nematode.unl.edu/domiletz11.jpg")</f>
        <v>https://nematode.unl.edu/domiletz11.jpg</v>
      </c>
      <c r="D2916" t="s">
        <v>43</v>
      </c>
      <c r="G2916" t="s">
        <v>51</v>
      </c>
      <c r="I2916" t="s">
        <v>19</v>
      </c>
      <c r="J2916" t="s">
        <v>116</v>
      </c>
      <c r="L2916" t="s">
        <v>85</v>
      </c>
      <c r="M2916" t="s">
        <v>4694</v>
      </c>
      <c r="N2916" t="s">
        <v>4694</v>
      </c>
      <c r="O2916" t="s">
        <v>73</v>
      </c>
      <c r="P2916" t="s">
        <v>81</v>
      </c>
      <c r="Q2916" t="s">
        <v>4662</v>
      </c>
      <c r="R2916" t="s">
        <v>4661</v>
      </c>
    </row>
    <row r="2917" spans="1:18" x14ac:dyDescent="0.25">
      <c r="A2917" t="s">
        <v>20285</v>
      </c>
      <c r="B2917" t="s">
        <v>4697</v>
      </c>
      <c r="C2917" t="str">
        <f>HYPERLINK("https://nematode.unl.edu/domiletz12.jpg")</f>
        <v>https://nematode.unl.edu/domiletz12.jpg</v>
      </c>
      <c r="D2917" t="s">
        <v>43</v>
      </c>
      <c r="G2917" t="s">
        <v>28</v>
      </c>
      <c r="I2917" t="s">
        <v>19</v>
      </c>
      <c r="J2917" t="s">
        <v>116</v>
      </c>
      <c r="L2917" t="s">
        <v>85</v>
      </c>
      <c r="M2917" t="s">
        <v>4694</v>
      </c>
      <c r="N2917" t="s">
        <v>4694</v>
      </c>
      <c r="O2917" t="s">
        <v>73</v>
      </c>
      <c r="P2917" t="s">
        <v>81</v>
      </c>
      <c r="Q2917" t="s">
        <v>4662</v>
      </c>
      <c r="R2917" t="s">
        <v>4661</v>
      </c>
    </row>
    <row r="2918" spans="1:18" x14ac:dyDescent="0.25">
      <c r="A2918" t="s">
        <v>20279</v>
      </c>
      <c r="B2918" t="s">
        <v>4698</v>
      </c>
      <c r="C2918" t="str">
        <f>HYPERLINK("https://nematode.unl.edu/domiletz13.jpg")</f>
        <v>https://nematode.unl.edu/domiletz13.jpg</v>
      </c>
      <c r="D2918" t="s">
        <v>16</v>
      </c>
      <c r="G2918" t="s">
        <v>34</v>
      </c>
      <c r="H2918" t="s">
        <v>18</v>
      </c>
      <c r="I2918" t="s">
        <v>19</v>
      </c>
      <c r="J2918" t="s">
        <v>116</v>
      </c>
      <c r="L2918" t="s">
        <v>85</v>
      </c>
      <c r="M2918" t="s">
        <v>4694</v>
      </c>
      <c r="N2918" t="s">
        <v>4694</v>
      </c>
      <c r="O2918" t="s">
        <v>73</v>
      </c>
      <c r="P2918" t="s">
        <v>81</v>
      </c>
      <c r="Q2918" t="s">
        <v>4662</v>
      </c>
      <c r="R2918" t="s">
        <v>4661</v>
      </c>
    </row>
    <row r="2919" spans="1:18" x14ac:dyDescent="0.25">
      <c r="A2919" t="s">
        <v>20286</v>
      </c>
      <c r="B2919" t="s">
        <v>4699</v>
      </c>
      <c r="C2919" t="str">
        <f>HYPERLINK("https://nematode.unl.edu/domiletz14.jpg")</f>
        <v>https://nematode.unl.edu/domiletz14.jpg</v>
      </c>
      <c r="D2919" t="s">
        <v>16</v>
      </c>
      <c r="G2919" t="s">
        <v>28</v>
      </c>
      <c r="I2919" t="s">
        <v>19</v>
      </c>
      <c r="J2919" t="s">
        <v>116</v>
      </c>
      <c r="L2919" t="s">
        <v>85</v>
      </c>
      <c r="M2919" t="s">
        <v>4694</v>
      </c>
      <c r="N2919" t="s">
        <v>4694</v>
      </c>
      <c r="O2919" t="s">
        <v>73</v>
      </c>
      <c r="P2919" t="s">
        <v>81</v>
      </c>
      <c r="Q2919" t="s">
        <v>4662</v>
      </c>
      <c r="R2919" t="s">
        <v>4661</v>
      </c>
    </row>
    <row r="2920" spans="1:18" x14ac:dyDescent="0.25">
      <c r="A2920" t="s">
        <v>20280</v>
      </c>
      <c r="B2920" t="s">
        <v>4700</v>
      </c>
      <c r="C2920" t="str">
        <f>HYPERLINK("https://nematode.unl.edu/domiletz2.jpg")</f>
        <v>https://nematode.unl.edu/domiletz2.jpg</v>
      </c>
      <c r="D2920" t="s">
        <v>43</v>
      </c>
      <c r="G2920" t="s">
        <v>34</v>
      </c>
      <c r="H2920" t="s">
        <v>18</v>
      </c>
      <c r="I2920" t="s">
        <v>137</v>
      </c>
      <c r="J2920" t="s">
        <v>116</v>
      </c>
      <c r="L2920" t="s">
        <v>85</v>
      </c>
      <c r="M2920" t="s">
        <v>4694</v>
      </c>
      <c r="N2920" t="s">
        <v>4694</v>
      </c>
      <c r="O2920" t="s">
        <v>73</v>
      </c>
      <c r="P2920" t="s">
        <v>81</v>
      </c>
      <c r="Q2920" t="s">
        <v>4662</v>
      </c>
      <c r="R2920" t="s">
        <v>4661</v>
      </c>
    </row>
    <row r="2921" spans="1:18" x14ac:dyDescent="0.25">
      <c r="A2921" t="s">
        <v>20290</v>
      </c>
      <c r="B2921" t="s">
        <v>4701</v>
      </c>
      <c r="C2921" t="str">
        <f>HYPERLINK("https://nematode.unl.edu/domiletz3.jpg")</f>
        <v>https://nematode.unl.edu/domiletz3.jpg</v>
      </c>
      <c r="D2921" t="s">
        <v>43</v>
      </c>
      <c r="G2921" t="s">
        <v>51</v>
      </c>
      <c r="I2921" t="s">
        <v>137</v>
      </c>
      <c r="J2921" t="s">
        <v>116</v>
      </c>
      <c r="L2921" t="s">
        <v>85</v>
      </c>
      <c r="M2921" t="s">
        <v>4694</v>
      </c>
      <c r="N2921" t="s">
        <v>4694</v>
      </c>
      <c r="O2921" t="s">
        <v>73</v>
      </c>
      <c r="P2921" t="s">
        <v>81</v>
      </c>
      <c r="Q2921" t="s">
        <v>4662</v>
      </c>
      <c r="R2921" t="s">
        <v>4661</v>
      </c>
    </row>
    <row r="2922" spans="1:18" x14ac:dyDescent="0.25">
      <c r="A2922" t="s">
        <v>20287</v>
      </c>
      <c r="B2922" t="s">
        <v>4702</v>
      </c>
      <c r="C2922" t="str">
        <f>HYPERLINK("https://nematode.unl.edu/domiletz4.jpg")</f>
        <v>https://nematode.unl.edu/domiletz4.jpg</v>
      </c>
      <c r="D2922" t="s">
        <v>43</v>
      </c>
      <c r="G2922" t="s">
        <v>28</v>
      </c>
      <c r="I2922" t="s">
        <v>137</v>
      </c>
      <c r="J2922" t="s">
        <v>116</v>
      </c>
      <c r="L2922" t="s">
        <v>85</v>
      </c>
      <c r="M2922" t="s">
        <v>4694</v>
      </c>
      <c r="N2922" t="s">
        <v>4694</v>
      </c>
      <c r="O2922" t="s">
        <v>73</v>
      </c>
      <c r="P2922" t="s">
        <v>81</v>
      </c>
      <c r="Q2922" t="s">
        <v>4662</v>
      </c>
      <c r="R2922" t="s">
        <v>4661</v>
      </c>
    </row>
    <row r="2923" spans="1:18" x14ac:dyDescent="0.25">
      <c r="A2923" t="s">
        <v>20284</v>
      </c>
      <c r="B2923" t="s">
        <v>4703</v>
      </c>
      <c r="C2923" t="str">
        <f>HYPERLINK("https://nematode.unl.edu/domiletz5.jpg")</f>
        <v>https://nematode.unl.edu/domiletz5.jpg</v>
      </c>
      <c r="D2923" t="s">
        <v>43</v>
      </c>
      <c r="G2923" t="s">
        <v>44</v>
      </c>
      <c r="I2923" t="s">
        <v>91</v>
      </c>
      <c r="J2923" t="s">
        <v>116</v>
      </c>
      <c r="L2923" t="s">
        <v>85</v>
      </c>
      <c r="M2923" t="s">
        <v>4694</v>
      </c>
      <c r="N2923" t="s">
        <v>4694</v>
      </c>
      <c r="O2923" t="s">
        <v>73</v>
      </c>
      <c r="P2923" t="s">
        <v>81</v>
      </c>
      <c r="Q2923" t="s">
        <v>4662</v>
      </c>
      <c r="R2923" t="s">
        <v>4661</v>
      </c>
    </row>
    <row r="2924" spans="1:18" x14ac:dyDescent="0.25">
      <c r="A2924" t="s">
        <v>20281</v>
      </c>
      <c r="B2924" t="s">
        <v>4704</v>
      </c>
      <c r="C2924" t="str">
        <f>HYPERLINK("https://nematode.unl.edu/domiletz6.jpg")</f>
        <v>https://nematode.unl.edu/domiletz6.jpg</v>
      </c>
      <c r="D2924" t="s">
        <v>43</v>
      </c>
      <c r="G2924" t="s">
        <v>34</v>
      </c>
      <c r="H2924" t="s">
        <v>18</v>
      </c>
      <c r="I2924" t="s">
        <v>19</v>
      </c>
      <c r="J2924" t="s">
        <v>116</v>
      </c>
      <c r="L2924" t="s">
        <v>85</v>
      </c>
      <c r="M2924" t="s">
        <v>4694</v>
      </c>
      <c r="N2924" t="s">
        <v>4694</v>
      </c>
      <c r="O2924" t="s">
        <v>73</v>
      </c>
      <c r="P2924" t="s">
        <v>81</v>
      </c>
      <c r="Q2924" t="s">
        <v>4662</v>
      </c>
      <c r="R2924" t="s">
        <v>4661</v>
      </c>
    </row>
    <row r="2925" spans="1:18" x14ac:dyDescent="0.25">
      <c r="A2925" t="s">
        <v>20282</v>
      </c>
      <c r="B2925" t="s">
        <v>4705</v>
      </c>
      <c r="C2925" t="str">
        <f>HYPERLINK("https://nematode.unl.edu/domiletz7.jpg")</f>
        <v>https://nematode.unl.edu/domiletz7.jpg</v>
      </c>
      <c r="D2925" t="s">
        <v>43</v>
      </c>
      <c r="G2925" t="s">
        <v>87</v>
      </c>
      <c r="I2925" t="s">
        <v>19</v>
      </c>
      <c r="J2925" t="s">
        <v>116</v>
      </c>
      <c r="L2925" t="s">
        <v>85</v>
      </c>
      <c r="M2925" t="s">
        <v>4694</v>
      </c>
      <c r="N2925" t="s">
        <v>4694</v>
      </c>
      <c r="O2925" t="s">
        <v>73</v>
      </c>
      <c r="P2925" t="s">
        <v>81</v>
      </c>
      <c r="Q2925" t="s">
        <v>4662</v>
      </c>
      <c r="R2925" t="s">
        <v>4661</v>
      </c>
    </row>
    <row r="2926" spans="1:18" x14ac:dyDescent="0.25">
      <c r="A2926" t="s">
        <v>20291</v>
      </c>
      <c r="B2926" t="s">
        <v>4706</v>
      </c>
      <c r="C2926" t="str">
        <f>HYPERLINK("https://nematode.unl.edu/domiletz8.jpg")</f>
        <v>https://nematode.unl.edu/domiletz8.jpg</v>
      </c>
      <c r="D2926" t="s">
        <v>43</v>
      </c>
      <c r="G2926" t="s">
        <v>51</v>
      </c>
      <c r="I2926" t="s">
        <v>19</v>
      </c>
      <c r="J2926" t="s">
        <v>116</v>
      </c>
      <c r="L2926" t="s">
        <v>85</v>
      </c>
      <c r="M2926" t="s">
        <v>4694</v>
      </c>
      <c r="N2926" t="s">
        <v>4694</v>
      </c>
      <c r="O2926" t="s">
        <v>73</v>
      </c>
      <c r="P2926" t="s">
        <v>81</v>
      </c>
      <c r="Q2926" t="s">
        <v>4662</v>
      </c>
      <c r="R2926" t="s">
        <v>4661</v>
      </c>
    </row>
    <row r="2927" spans="1:18" x14ac:dyDescent="0.25">
      <c r="A2927" t="s">
        <v>20288</v>
      </c>
      <c r="B2927" t="s">
        <v>4707</v>
      </c>
      <c r="C2927" t="str">
        <f>HYPERLINK("https://nematode.unl.edu/domiletz9.jpg")</f>
        <v>https://nematode.unl.edu/domiletz9.jpg</v>
      </c>
      <c r="D2927" t="s">
        <v>43</v>
      </c>
      <c r="G2927" t="s">
        <v>28</v>
      </c>
      <c r="I2927" t="s">
        <v>19</v>
      </c>
      <c r="J2927" t="s">
        <v>116</v>
      </c>
      <c r="L2927" t="s">
        <v>85</v>
      </c>
      <c r="M2927" t="s">
        <v>4694</v>
      </c>
      <c r="N2927" t="s">
        <v>4694</v>
      </c>
      <c r="O2927" t="s">
        <v>73</v>
      </c>
      <c r="P2927" t="s">
        <v>81</v>
      </c>
      <c r="Q2927" t="s">
        <v>4662</v>
      </c>
      <c r="R2927" t="s">
        <v>4661</v>
      </c>
    </row>
    <row r="2928" spans="1:18" x14ac:dyDescent="0.25">
      <c r="A2928" t="s">
        <v>19501</v>
      </c>
      <c r="B2928" t="s">
        <v>932</v>
      </c>
      <c r="C2928" t="str">
        <f>HYPERLINK("https://nematode.unl.edu/dorae1.jpg")</f>
        <v>https://nematode.unl.edu/dorae1.jpg</v>
      </c>
      <c r="D2928" t="s">
        <v>43</v>
      </c>
      <c r="G2928" t="s">
        <v>44</v>
      </c>
      <c r="I2928" t="s">
        <v>91</v>
      </c>
      <c r="J2928" t="s">
        <v>20</v>
      </c>
      <c r="L2928" t="s">
        <v>933</v>
      </c>
      <c r="M2928" t="s">
        <v>934</v>
      </c>
      <c r="N2928" t="s">
        <v>935</v>
      </c>
      <c r="O2928" t="s">
        <v>73</v>
      </c>
      <c r="P2928" t="s">
        <v>81</v>
      </c>
      <c r="Q2928" t="s">
        <v>733</v>
      </c>
      <c r="R2928" t="s">
        <v>734</v>
      </c>
    </row>
    <row r="2929" spans="1:18" x14ac:dyDescent="0.25">
      <c r="A2929" t="s">
        <v>19505</v>
      </c>
      <c r="B2929" t="s">
        <v>936</v>
      </c>
      <c r="C2929" t="str">
        <f>HYPERLINK("https://nematode.unl.edu/dorae10.jpg")</f>
        <v>https://nematode.unl.edu/dorae10.jpg</v>
      </c>
      <c r="D2929" t="s">
        <v>43</v>
      </c>
      <c r="G2929" t="s">
        <v>28</v>
      </c>
      <c r="I2929" t="s">
        <v>19</v>
      </c>
      <c r="J2929" t="s">
        <v>20</v>
      </c>
      <c r="L2929" t="s">
        <v>206</v>
      </c>
      <c r="M2929" t="s">
        <v>934</v>
      </c>
      <c r="N2929" t="s">
        <v>935</v>
      </c>
      <c r="O2929" t="s">
        <v>73</v>
      </c>
      <c r="P2929" t="s">
        <v>81</v>
      </c>
      <c r="Q2929" t="s">
        <v>733</v>
      </c>
      <c r="R2929" t="s">
        <v>734</v>
      </c>
    </row>
    <row r="2930" spans="1:18" x14ac:dyDescent="0.25">
      <c r="A2930" t="s">
        <v>19507</v>
      </c>
      <c r="B2930" t="s">
        <v>937</v>
      </c>
      <c r="C2930" t="str">
        <f>HYPERLINK("https://nematode.unl.edu/dorae11.jpg")</f>
        <v>https://nematode.unl.edu/dorae11.jpg</v>
      </c>
      <c r="D2930" t="s">
        <v>43</v>
      </c>
      <c r="G2930" t="s">
        <v>51</v>
      </c>
      <c r="I2930" t="s">
        <v>41</v>
      </c>
      <c r="J2930" t="s">
        <v>20</v>
      </c>
      <c r="L2930" t="s">
        <v>206</v>
      </c>
      <c r="M2930" t="s">
        <v>934</v>
      </c>
      <c r="N2930" t="s">
        <v>935</v>
      </c>
      <c r="O2930" t="s">
        <v>73</v>
      </c>
      <c r="P2930" t="s">
        <v>81</v>
      </c>
      <c r="Q2930" t="s">
        <v>733</v>
      </c>
      <c r="R2930" t="s">
        <v>734</v>
      </c>
    </row>
    <row r="2931" spans="1:18" x14ac:dyDescent="0.25">
      <c r="A2931" t="s">
        <v>19496</v>
      </c>
      <c r="B2931" t="s">
        <v>938</v>
      </c>
      <c r="C2931" t="str">
        <f>HYPERLINK("https://nematode.unl.edu/dorae12.jpg")</f>
        <v>https://nematode.unl.edu/dorae12.jpg</v>
      </c>
      <c r="D2931" t="s">
        <v>43</v>
      </c>
      <c r="G2931" t="s">
        <v>34</v>
      </c>
      <c r="H2931" t="s">
        <v>18</v>
      </c>
      <c r="I2931" t="s">
        <v>41</v>
      </c>
      <c r="J2931" t="s">
        <v>20</v>
      </c>
      <c r="L2931" t="s">
        <v>206</v>
      </c>
      <c r="M2931" t="s">
        <v>934</v>
      </c>
      <c r="N2931" t="s">
        <v>935</v>
      </c>
      <c r="O2931" t="s">
        <v>73</v>
      </c>
      <c r="P2931" t="s">
        <v>81</v>
      </c>
      <c r="Q2931" t="s">
        <v>733</v>
      </c>
      <c r="R2931" t="s">
        <v>734</v>
      </c>
    </row>
    <row r="2932" spans="1:18" x14ac:dyDescent="0.25">
      <c r="A2932" t="s">
        <v>19497</v>
      </c>
      <c r="B2932" t="s">
        <v>939</v>
      </c>
      <c r="C2932" t="str">
        <f>HYPERLINK("https://nematode.unl.edu/dorae13.jpg")</f>
        <v>https://nematode.unl.edu/dorae13.jpg</v>
      </c>
      <c r="D2932" t="s">
        <v>43</v>
      </c>
      <c r="G2932" t="s">
        <v>34</v>
      </c>
      <c r="H2932" t="s">
        <v>18</v>
      </c>
      <c r="I2932" t="s">
        <v>19</v>
      </c>
      <c r="J2932" t="s">
        <v>20</v>
      </c>
      <c r="L2932" t="s">
        <v>206</v>
      </c>
      <c r="M2932" t="s">
        <v>934</v>
      </c>
      <c r="N2932" t="s">
        <v>935</v>
      </c>
      <c r="O2932" t="s">
        <v>73</v>
      </c>
      <c r="P2932" t="s">
        <v>81</v>
      </c>
      <c r="Q2932" t="s">
        <v>733</v>
      </c>
      <c r="R2932" t="s">
        <v>734</v>
      </c>
    </row>
    <row r="2933" spans="1:18" x14ac:dyDescent="0.25">
      <c r="A2933" t="s">
        <v>19508</v>
      </c>
      <c r="B2933" t="s">
        <v>940</v>
      </c>
      <c r="C2933" t="str">
        <f>HYPERLINK("https://nematode.unl.edu/dorae14.jpg")</f>
        <v>https://nematode.unl.edu/dorae14.jpg</v>
      </c>
      <c r="D2933" t="s">
        <v>43</v>
      </c>
      <c r="G2933" t="s">
        <v>51</v>
      </c>
      <c r="I2933" t="s">
        <v>19</v>
      </c>
      <c r="J2933" t="s">
        <v>20</v>
      </c>
      <c r="L2933" t="s">
        <v>206</v>
      </c>
      <c r="M2933" t="s">
        <v>934</v>
      </c>
      <c r="N2933" t="s">
        <v>935</v>
      </c>
      <c r="O2933" t="s">
        <v>73</v>
      </c>
      <c r="P2933" t="s">
        <v>81</v>
      </c>
      <c r="Q2933" t="s">
        <v>733</v>
      </c>
      <c r="R2933" t="s">
        <v>734</v>
      </c>
    </row>
    <row r="2934" spans="1:18" x14ac:dyDescent="0.25">
      <c r="A2934" t="s">
        <v>19506</v>
      </c>
      <c r="B2934" t="s">
        <v>941</v>
      </c>
      <c r="C2934" t="str">
        <f>HYPERLINK("https://nematode.unl.edu/dorae2.jpg")</f>
        <v>https://nematode.unl.edu/dorae2.jpg</v>
      </c>
      <c r="D2934" t="s">
        <v>43</v>
      </c>
      <c r="G2934" t="s">
        <v>28</v>
      </c>
      <c r="I2934" t="s">
        <v>19</v>
      </c>
      <c r="J2934" t="s">
        <v>20</v>
      </c>
      <c r="L2934" t="s">
        <v>206</v>
      </c>
      <c r="M2934" t="s">
        <v>934</v>
      </c>
      <c r="N2934" t="s">
        <v>935</v>
      </c>
      <c r="O2934" t="s">
        <v>73</v>
      </c>
      <c r="P2934" t="s">
        <v>81</v>
      </c>
      <c r="Q2934" t="s">
        <v>733</v>
      </c>
      <c r="R2934" t="s">
        <v>734</v>
      </c>
    </row>
    <row r="2935" spans="1:18" x14ac:dyDescent="0.25">
      <c r="A2935" t="s">
        <v>19509</v>
      </c>
      <c r="B2935" t="s">
        <v>942</v>
      </c>
      <c r="C2935" t="str">
        <f>HYPERLINK("https://nematode.unl.edu/dorae3.jpg")</f>
        <v>https://nematode.unl.edu/dorae3.jpg</v>
      </c>
      <c r="D2935" t="s">
        <v>43</v>
      </c>
      <c r="G2935" t="s">
        <v>51</v>
      </c>
      <c r="I2935" t="s">
        <v>19</v>
      </c>
      <c r="J2935" t="s">
        <v>20</v>
      </c>
      <c r="L2935" t="s">
        <v>206</v>
      </c>
      <c r="M2935" t="s">
        <v>934</v>
      </c>
      <c r="N2935" t="s">
        <v>935</v>
      </c>
      <c r="O2935" t="s">
        <v>73</v>
      </c>
      <c r="P2935" t="s">
        <v>81</v>
      </c>
      <c r="Q2935" t="s">
        <v>733</v>
      </c>
      <c r="R2935" t="s">
        <v>734</v>
      </c>
    </row>
    <row r="2936" spans="1:18" x14ac:dyDescent="0.25">
      <c r="A2936" t="s">
        <v>19498</v>
      </c>
      <c r="B2936" t="s">
        <v>943</v>
      </c>
      <c r="C2936" t="str">
        <f>HYPERLINK("https://nematode.unl.edu/dorae4.jpg")</f>
        <v>https://nematode.unl.edu/dorae4.jpg</v>
      </c>
      <c r="D2936" t="s">
        <v>43</v>
      </c>
      <c r="G2936" t="s">
        <v>34</v>
      </c>
      <c r="H2936" t="s">
        <v>18</v>
      </c>
      <c r="I2936" t="s">
        <v>19</v>
      </c>
      <c r="J2936" t="s">
        <v>20</v>
      </c>
      <c r="L2936" t="s">
        <v>206</v>
      </c>
      <c r="M2936" t="s">
        <v>934</v>
      </c>
      <c r="N2936" t="s">
        <v>935</v>
      </c>
      <c r="O2936" t="s">
        <v>73</v>
      </c>
      <c r="P2936" t="s">
        <v>81</v>
      </c>
      <c r="Q2936" t="s">
        <v>733</v>
      </c>
      <c r="R2936" t="s">
        <v>734</v>
      </c>
    </row>
    <row r="2937" spans="1:18" x14ac:dyDescent="0.25">
      <c r="A2937" t="s">
        <v>19502</v>
      </c>
      <c r="B2937" t="s">
        <v>944</v>
      </c>
      <c r="C2937" t="str">
        <f>HYPERLINK("https://nematode.unl.edu/dorae5.jpg")</f>
        <v>https://nematode.unl.edu/dorae5.jpg</v>
      </c>
      <c r="D2937" t="s">
        <v>77</v>
      </c>
      <c r="G2937" t="s">
        <v>44</v>
      </c>
      <c r="I2937" t="s">
        <v>19</v>
      </c>
      <c r="J2937" t="s">
        <v>20</v>
      </c>
      <c r="L2937" t="s">
        <v>206</v>
      </c>
      <c r="M2937" t="s">
        <v>934</v>
      </c>
      <c r="N2937" t="s">
        <v>935</v>
      </c>
      <c r="O2937" t="s">
        <v>73</v>
      </c>
      <c r="P2937" t="s">
        <v>81</v>
      </c>
      <c r="Q2937" t="s">
        <v>733</v>
      </c>
      <c r="R2937" t="s">
        <v>734</v>
      </c>
    </row>
    <row r="2938" spans="1:18" x14ac:dyDescent="0.25">
      <c r="A2938" t="s">
        <v>19499</v>
      </c>
      <c r="B2938" t="s">
        <v>945</v>
      </c>
      <c r="C2938" t="str">
        <f>HYPERLINK("https://nematode.unl.edu/dorae6.jpg")</f>
        <v>https://nematode.unl.edu/dorae6.jpg</v>
      </c>
      <c r="D2938" t="s">
        <v>77</v>
      </c>
      <c r="G2938" t="s">
        <v>34</v>
      </c>
      <c r="H2938" t="s">
        <v>18</v>
      </c>
      <c r="I2938" t="s">
        <v>19</v>
      </c>
      <c r="J2938" t="s">
        <v>20</v>
      </c>
      <c r="L2938" t="s">
        <v>206</v>
      </c>
      <c r="M2938" t="s">
        <v>934</v>
      </c>
      <c r="N2938" t="s">
        <v>935</v>
      </c>
      <c r="O2938" t="s">
        <v>73</v>
      </c>
      <c r="P2938" t="s">
        <v>81</v>
      </c>
      <c r="Q2938" t="s">
        <v>733</v>
      </c>
      <c r="R2938" t="s">
        <v>734</v>
      </c>
    </row>
    <row r="2939" spans="1:18" x14ac:dyDescent="0.25">
      <c r="A2939" t="s">
        <v>19503</v>
      </c>
      <c r="B2939" t="s">
        <v>946</v>
      </c>
      <c r="C2939" t="str">
        <f>HYPERLINK("https://nematode.unl.edu/dorae7.jpg")</f>
        <v>https://nematode.unl.edu/dorae7.jpg</v>
      </c>
      <c r="D2939" t="s">
        <v>77</v>
      </c>
      <c r="G2939" t="s">
        <v>112</v>
      </c>
      <c r="I2939" t="s">
        <v>19</v>
      </c>
      <c r="J2939" t="s">
        <v>20</v>
      </c>
      <c r="L2939" t="s">
        <v>206</v>
      </c>
      <c r="M2939" t="s">
        <v>934</v>
      </c>
      <c r="N2939" t="s">
        <v>935</v>
      </c>
      <c r="O2939" t="s">
        <v>73</v>
      </c>
      <c r="P2939" t="s">
        <v>81</v>
      </c>
      <c r="Q2939" t="s">
        <v>733</v>
      </c>
      <c r="R2939" t="s">
        <v>734</v>
      </c>
    </row>
    <row r="2940" spans="1:18" x14ac:dyDescent="0.25">
      <c r="A2940" t="s">
        <v>19504</v>
      </c>
      <c r="B2940" t="s">
        <v>947</v>
      </c>
      <c r="C2940" t="str">
        <f>HYPERLINK("https://nematode.unl.edu/dorae8.jpg")</f>
        <v>https://nematode.unl.edu/dorae8.jpg</v>
      </c>
      <c r="D2940" t="s">
        <v>77</v>
      </c>
      <c r="G2940" t="s">
        <v>230</v>
      </c>
      <c r="I2940" t="s">
        <v>137</v>
      </c>
      <c r="J2940" t="s">
        <v>20</v>
      </c>
      <c r="L2940" t="s">
        <v>206</v>
      </c>
      <c r="M2940" t="s">
        <v>934</v>
      </c>
      <c r="N2940" t="s">
        <v>935</v>
      </c>
      <c r="O2940" t="s">
        <v>73</v>
      </c>
      <c r="P2940" t="s">
        <v>81</v>
      </c>
      <c r="Q2940" t="s">
        <v>733</v>
      </c>
      <c r="R2940" t="s">
        <v>734</v>
      </c>
    </row>
    <row r="2941" spans="1:18" x14ac:dyDescent="0.25">
      <c r="A2941" t="s">
        <v>19500</v>
      </c>
      <c r="B2941" t="s">
        <v>948</v>
      </c>
      <c r="C2941" t="str">
        <f>HYPERLINK("https://nematode.unl.edu/dorae9.jpg")</f>
        <v>https://nematode.unl.edu/dorae9.jpg</v>
      </c>
      <c r="D2941" t="s">
        <v>43</v>
      </c>
      <c r="G2941" t="s">
        <v>34</v>
      </c>
      <c r="H2941" t="s">
        <v>18</v>
      </c>
      <c r="I2941" t="s">
        <v>19</v>
      </c>
      <c r="J2941" t="s">
        <v>20</v>
      </c>
      <c r="L2941" t="s">
        <v>206</v>
      </c>
      <c r="M2941" t="s">
        <v>934</v>
      </c>
      <c r="N2941" t="s">
        <v>935</v>
      </c>
      <c r="O2941" t="s">
        <v>73</v>
      </c>
      <c r="P2941" t="s">
        <v>81</v>
      </c>
      <c r="Q2941" t="s">
        <v>733</v>
      </c>
      <c r="R2941" t="s">
        <v>734</v>
      </c>
    </row>
    <row r="2942" spans="1:18" x14ac:dyDescent="0.25">
      <c r="A2942" t="s">
        <v>20250</v>
      </c>
      <c r="B2942" t="s">
        <v>4660</v>
      </c>
      <c r="C2942" t="str">
        <f>HYPERLINK("https://nematode.unl.edu/dordehd.jpg")</f>
        <v>https://nematode.unl.edu/dordehd.jpg</v>
      </c>
      <c r="D2942" t="s">
        <v>16</v>
      </c>
      <c r="G2942" t="s">
        <v>34</v>
      </c>
      <c r="H2942" t="s">
        <v>18</v>
      </c>
      <c r="I2942" t="s">
        <v>19</v>
      </c>
      <c r="J2942" t="s">
        <v>46</v>
      </c>
      <c r="L2942" t="s">
        <v>105</v>
      </c>
      <c r="M2942" t="s">
        <v>4661</v>
      </c>
      <c r="N2942" t="s">
        <v>4661</v>
      </c>
      <c r="O2942" t="s">
        <v>73</v>
      </c>
      <c r="P2942" t="s">
        <v>81</v>
      </c>
      <c r="Q2942" t="s">
        <v>4662</v>
      </c>
      <c r="R2942" t="s">
        <v>4661</v>
      </c>
    </row>
    <row r="2943" spans="1:18" x14ac:dyDescent="0.25">
      <c r="A2943" t="s">
        <v>19519</v>
      </c>
      <c r="B2943" t="s">
        <v>751</v>
      </c>
      <c r="C2943" t="str">
        <f>HYPERLINK("https://nematode.unl.edu/dordem1.jpg")</f>
        <v>https://nematode.unl.edu/dordem1.jpg</v>
      </c>
      <c r="D2943" t="s">
        <v>43</v>
      </c>
      <c r="G2943" t="s">
        <v>28</v>
      </c>
      <c r="I2943" t="s">
        <v>19</v>
      </c>
      <c r="J2943" t="s">
        <v>20</v>
      </c>
      <c r="L2943" t="s">
        <v>752</v>
      </c>
      <c r="M2943" t="s">
        <v>753</v>
      </c>
      <c r="N2943" t="s">
        <v>754</v>
      </c>
      <c r="O2943" t="s">
        <v>73</v>
      </c>
      <c r="P2943" t="s">
        <v>81</v>
      </c>
      <c r="Q2943" t="s">
        <v>733</v>
      </c>
      <c r="R2943" t="s">
        <v>734</v>
      </c>
    </row>
    <row r="2944" spans="1:18" x14ac:dyDescent="0.25">
      <c r="A2944" t="s">
        <v>19516</v>
      </c>
      <c r="B2944" t="s">
        <v>755</v>
      </c>
      <c r="C2944" t="str">
        <f>HYPERLINK("https://nematode.unl.edu/dordem10.jpg")</f>
        <v>https://nematode.unl.edu/dordem10.jpg</v>
      </c>
      <c r="D2944" t="s">
        <v>16</v>
      </c>
      <c r="G2944" t="s">
        <v>87</v>
      </c>
      <c r="I2944" t="s">
        <v>19</v>
      </c>
      <c r="J2944" t="s">
        <v>20</v>
      </c>
      <c r="L2944" t="s">
        <v>752</v>
      </c>
      <c r="M2944" t="s">
        <v>753</v>
      </c>
      <c r="N2944" t="s">
        <v>754</v>
      </c>
      <c r="O2944" t="s">
        <v>73</v>
      </c>
      <c r="P2944" t="s">
        <v>81</v>
      </c>
      <c r="Q2944" t="s">
        <v>733</v>
      </c>
      <c r="R2944" t="s">
        <v>734</v>
      </c>
    </row>
    <row r="2945" spans="1:18" x14ac:dyDescent="0.25">
      <c r="A2945" t="s">
        <v>19518</v>
      </c>
      <c r="B2945" t="s">
        <v>756</v>
      </c>
      <c r="C2945" t="str">
        <f>HYPERLINK("https://nematode.unl.edu/dordem11.jpg")</f>
        <v>https://nematode.unl.edu/dordem11.jpg</v>
      </c>
      <c r="D2945" t="s">
        <v>43</v>
      </c>
      <c r="G2945" t="s">
        <v>44</v>
      </c>
      <c r="I2945" t="s">
        <v>91</v>
      </c>
      <c r="J2945" t="s">
        <v>20</v>
      </c>
      <c r="L2945" t="s">
        <v>752</v>
      </c>
      <c r="M2945" t="s">
        <v>753</v>
      </c>
      <c r="N2945" t="s">
        <v>754</v>
      </c>
      <c r="O2945" t="s">
        <v>73</v>
      </c>
      <c r="P2945" t="s">
        <v>81</v>
      </c>
      <c r="Q2945" t="s">
        <v>733</v>
      </c>
      <c r="R2945" t="s">
        <v>734</v>
      </c>
    </row>
    <row r="2946" spans="1:18" x14ac:dyDescent="0.25">
      <c r="A2946" t="s">
        <v>19520</v>
      </c>
      <c r="B2946" t="s">
        <v>757</v>
      </c>
      <c r="C2946" t="str">
        <f>HYPERLINK("https://nematode.unl.edu/dordem12.jpg")</f>
        <v>https://nematode.unl.edu/dordem12.jpg</v>
      </c>
      <c r="D2946" t="s">
        <v>43</v>
      </c>
      <c r="G2946" t="s">
        <v>28</v>
      </c>
      <c r="I2946" t="s">
        <v>19</v>
      </c>
      <c r="J2946" t="s">
        <v>20</v>
      </c>
      <c r="L2946" t="s">
        <v>752</v>
      </c>
      <c r="M2946" t="s">
        <v>753</v>
      </c>
      <c r="N2946" t="s">
        <v>754</v>
      </c>
      <c r="O2946" t="s">
        <v>73</v>
      </c>
      <c r="P2946" t="s">
        <v>81</v>
      </c>
      <c r="Q2946" t="s">
        <v>733</v>
      </c>
      <c r="R2946" t="s">
        <v>734</v>
      </c>
    </row>
    <row r="2947" spans="1:18" x14ac:dyDescent="0.25">
      <c r="A2947" t="s">
        <v>19524</v>
      </c>
      <c r="B2947" t="s">
        <v>758</v>
      </c>
      <c r="C2947" t="str">
        <f>HYPERLINK("https://nematode.unl.edu/dordem13.jpg")</f>
        <v>https://nematode.unl.edu/dordem13.jpg</v>
      </c>
      <c r="D2947" t="s">
        <v>43</v>
      </c>
      <c r="G2947" t="s">
        <v>51</v>
      </c>
      <c r="I2947" t="s">
        <v>19</v>
      </c>
      <c r="J2947" t="s">
        <v>20</v>
      </c>
      <c r="L2947" t="s">
        <v>752</v>
      </c>
      <c r="M2947" t="s">
        <v>753</v>
      </c>
      <c r="N2947" t="s">
        <v>754</v>
      </c>
      <c r="O2947" t="s">
        <v>73</v>
      </c>
      <c r="P2947" t="s">
        <v>81</v>
      </c>
      <c r="Q2947" t="s">
        <v>733</v>
      </c>
      <c r="R2947" t="s">
        <v>734</v>
      </c>
    </row>
    <row r="2948" spans="1:18" x14ac:dyDescent="0.25">
      <c r="A2948" t="s">
        <v>19510</v>
      </c>
      <c r="B2948" t="s">
        <v>759</v>
      </c>
      <c r="C2948" t="str">
        <f>HYPERLINK("https://nematode.unl.edu/dordem14.jpg")</f>
        <v>https://nematode.unl.edu/dordem14.jpg</v>
      </c>
      <c r="D2948" t="s">
        <v>43</v>
      </c>
      <c r="G2948" t="s">
        <v>34</v>
      </c>
      <c r="H2948" t="s">
        <v>18</v>
      </c>
      <c r="I2948" t="s">
        <v>19</v>
      </c>
      <c r="J2948" t="s">
        <v>20</v>
      </c>
      <c r="L2948" t="s">
        <v>752</v>
      </c>
      <c r="M2948" t="s">
        <v>753</v>
      </c>
      <c r="N2948" t="s">
        <v>754</v>
      </c>
      <c r="O2948" t="s">
        <v>73</v>
      </c>
      <c r="P2948" t="s">
        <v>81</v>
      </c>
      <c r="Q2948" t="s">
        <v>733</v>
      </c>
      <c r="R2948" t="s">
        <v>734</v>
      </c>
    </row>
    <row r="2949" spans="1:18" x14ac:dyDescent="0.25">
      <c r="A2949" t="s">
        <v>19511</v>
      </c>
      <c r="B2949" t="s">
        <v>760</v>
      </c>
      <c r="C2949" t="str">
        <f>HYPERLINK("https://nematode.unl.edu/dordem15.jpg")</f>
        <v>https://nematode.unl.edu/dordem15.jpg</v>
      </c>
      <c r="D2949" t="s">
        <v>16</v>
      </c>
      <c r="G2949" t="s">
        <v>34</v>
      </c>
      <c r="H2949" t="s">
        <v>18</v>
      </c>
      <c r="I2949" t="s">
        <v>19</v>
      </c>
      <c r="J2949" t="s">
        <v>20</v>
      </c>
      <c r="L2949" t="s">
        <v>752</v>
      </c>
      <c r="M2949" t="s">
        <v>753</v>
      </c>
      <c r="N2949" t="s">
        <v>754</v>
      </c>
      <c r="O2949" t="s">
        <v>73</v>
      </c>
      <c r="P2949" t="s">
        <v>81</v>
      </c>
      <c r="Q2949" t="s">
        <v>733</v>
      </c>
      <c r="R2949" t="s">
        <v>734</v>
      </c>
    </row>
    <row r="2950" spans="1:18" x14ac:dyDescent="0.25">
      <c r="A2950" t="s">
        <v>19521</v>
      </c>
      <c r="B2950" t="s">
        <v>761</v>
      </c>
      <c r="C2950" t="str">
        <f>HYPERLINK("https://nematode.unl.edu/dordem16.jpg")</f>
        <v>https://nematode.unl.edu/dordem16.jpg</v>
      </c>
      <c r="D2950" t="s">
        <v>16</v>
      </c>
      <c r="G2950" t="s">
        <v>28</v>
      </c>
      <c r="I2950" t="s">
        <v>19</v>
      </c>
      <c r="J2950" t="s">
        <v>20</v>
      </c>
      <c r="L2950" t="s">
        <v>752</v>
      </c>
      <c r="M2950" t="s">
        <v>753</v>
      </c>
      <c r="N2950" t="s">
        <v>754</v>
      </c>
      <c r="O2950" t="s">
        <v>73</v>
      </c>
      <c r="P2950" t="s">
        <v>81</v>
      </c>
      <c r="Q2950" t="s">
        <v>733</v>
      </c>
      <c r="R2950" t="s">
        <v>734</v>
      </c>
    </row>
    <row r="2951" spans="1:18" x14ac:dyDescent="0.25">
      <c r="A2951" t="s">
        <v>19512</v>
      </c>
      <c r="B2951" t="s">
        <v>762</v>
      </c>
      <c r="C2951" t="str">
        <f>HYPERLINK("https://nematode.unl.edu/dordem17.jpg")</f>
        <v>https://nematode.unl.edu/dordem17.jpg</v>
      </c>
      <c r="D2951" t="s">
        <v>16</v>
      </c>
      <c r="G2951" t="s">
        <v>34</v>
      </c>
      <c r="H2951" t="s">
        <v>18</v>
      </c>
      <c r="I2951" t="s">
        <v>41</v>
      </c>
      <c r="J2951" t="s">
        <v>20</v>
      </c>
      <c r="L2951" t="s">
        <v>752</v>
      </c>
      <c r="M2951" t="s">
        <v>753</v>
      </c>
      <c r="N2951" t="s">
        <v>754</v>
      </c>
      <c r="O2951" t="s">
        <v>73</v>
      </c>
      <c r="P2951" t="s">
        <v>81</v>
      </c>
      <c r="Q2951" t="s">
        <v>733</v>
      </c>
      <c r="R2951" t="s">
        <v>734</v>
      </c>
    </row>
    <row r="2952" spans="1:18" x14ac:dyDescent="0.25">
      <c r="A2952" t="s">
        <v>19525</v>
      </c>
      <c r="B2952" t="s">
        <v>763</v>
      </c>
      <c r="C2952" t="str">
        <f>HYPERLINK("https://nematode.unl.edu/dordem2.jpg")</f>
        <v>https://nematode.unl.edu/dordem2.jpg</v>
      </c>
      <c r="D2952" t="s">
        <v>43</v>
      </c>
      <c r="G2952" t="s">
        <v>51</v>
      </c>
      <c r="I2952" t="s">
        <v>19</v>
      </c>
      <c r="J2952" t="s">
        <v>20</v>
      </c>
      <c r="L2952" t="s">
        <v>752</v>
      </c>
      <c r="M2952" t="s">
        <v>753</v>
      </c>
      <c r="N2952" t="s">
        <v>754</v>
      </c>
      <c r="O2952" t="s">
        <v>73</v>
      </c>
      <c r="P2952" t="s">
        <v>81</v>
      </c>
      <c r="Q2952" t="s">
        <v>733</v>
      </c>
      <c r="R2952" t="s">
        <v>734</v>
      </c>
    </row>
    <row r="2953" spans="1:18" x14ac:dyDescent="0.25">
      <c r="A2953" t="s">
        <v>19513</v>
      </c>
      <c r="B2953" t="s">
        <v>764</v>
      </c>
      <c r="C2953" t="str">
        <f>HYPERLINK("https://nematode.unl.edu/dordem3.jpg")</f>
        <v>https://nematode.unl.edu/dordem3.jpg</v>
      </c>
      <c r="D2953" t="s">
        <v>43</v>
      </c>
      <c r="G2953" t="s">
        <v>34</v>
      </c>
      <c r="H2953" t="s">
        <v>18</v>
      </c>
      <c r="I2953" t="s">
        <v>19</v>
      </c>
      <c r="J2953" t="s">
        <v>20</v>
      </c>
      <c r="L2953" t="s">
        <v>752</v>
      </c>
      <c r="M2953" t="s">
        <v>753</v>
      </c>
      <c r="N2953" t="s">
        <v>754</v>
      </c>
      <c r="O2953" t="s">
        <v>73</v>
      </c>
      <c r="P2953" t="s">
        <v>81</v>
      </c>
      <c r="Q2953" t="s">
        <v>733</v>
      </c>
      <c r="R2953" t="s">
        <v>734</v>
      </c>
    </row>
    <row r="2954" spans="1:18" x14ac:dyDescent="0.25">
      <c r="A2954" t="s">
        <v>19517</v>
      </c>
      <c r="B2954" t="s">
        <v>765</v>
      </c>
      <c r="C2954" t="str">
        <f>HYPERLINK("https://nematode.unl.edu/dordem4.jpg")</f>
        <v>https://nematode.unl.edu/dordem4.jpg</v>
      </c>
      <c r="D2954" t="s">
        <v>43</v>
      </c>
      <c r="G2954" t="s">
        <v>87</v>
      </c>
      <c r="I2954" t="s">
        <v>45</v>
      </c>
      <c r="J2954" t="s">
        <v>20</v>
      </c>
      <c r="L2954" t="s">
        <v>752</v>
      </c>
      <c r="M2954" t="s">
        <v>753</v>
      </c>
      <c r="N2954" t="s">
        <v>754</v>
      </c>
      <c r="O2954" t="s">
        <v>73</v>
      </c>
      <c r="P2954" t="s">
        <v>81</v>
      </c>
      <c r="Q2954" t="s">
        <v>733</v>
      </c>
      <c r="R2954" t="s">
        <v>734</v>
      </c>
    </row>
    <row r="2955" spans="1:18" x14ac:dyDescent="0.25">
      <c r="A2955" t="s">
        <v>19514</v>
      </c>
      <c r="B2955" t="s">
        <v>766</v>
      </c>
      <c r="C2955" t="str">
        <f>HYPERLINK("https://nematode.unl.edu/dordem5.jpg")</f>
        <v>https://nematode.unl.edu/dordem5.jpg</v>
      </c>
      <c r="D2955" t="s">
        <v>43</v>
      </c>
      <c r="G2955" t="s">
        <v>34</v>
      </c>
      <c r="H2955" t="s">
        <v>18</v>
      </c>
      <c r="I2955" t="s">
        <v>41</v>
      </c>
      <c r="J2955" t="s">
        <v>20</v>
      </c>
      <c r="L2955" t="s">
        <v>752</v>
      </c>
      <c r="M2955" t="s">
        <v>753</v>
      </c>
      <c r="N2955" t="s">
        <v>754</v>
      </c>
      <c r="O2955" t="s">
        <v>73</v>
      </c>
      <c r="P2955" t="s">
        <v>81</v>
      </c>
      <c r="Q2955" t="s">
        <v>733</v>
      </c>
      <c r="R2955" t="s">
        <v>734</v>
      </c>
    </row>
    <row r="2956" spans="1:18" x14ac:dyDescent="0.25">
      <c r="A2956" t="s">
        <v>19526</v>
      </c>
      <c r="B2956" t="s">
        <v>767</v>
      </c>
      <c r="C2956" t="str">
        <f>HYPERLINK("https://nematode.unl.edu/dordem6.jpg")</f>
        <v>https://nematode.unl.edu/dordem6.jpg</v>
      </c>
      <c r="D2956" t="s">
        <v>43</v>
      </c>
      <c r="G2956" t="s">
        <v>51</v>
      </c>
      <c r="I2956" t="s">
        <v>41</v>
      </c>
      <c r="J2956" t="s">
        <v>20</v>
      </c>
      <c r="L2956" t="s">
        <v>752</v>
      </c>
      <c r="M2956" t="s">
        <v>753</v>
      </c>
      <c r="N2956" t="s">
        <v>754</v>
      </c>
      <c r="O2956" t="s">
        <v>73</v>
      </c>
      <c r="P2956" t="s">
        <v>81</v>
      </c>
      <c r="Q2956" t="s">
        <v>733</v>
      </c>
      <c r="R2956" t="s">
        <v>734</v>
      </c>
    </row>
    <row r="2957" spans="1:18" x14ac:dyDescent="0.25">
      <c r="A2957" t="s">
        <v>19523</v>
      </c>
      <c r="B2957" t="s">
        <v>768</v>
      </c>
      <c r="C2957" t="str">
        <f>HYPERLINK("https://nematode.unl.edu/dordem7.jpg")</f>
        <v>https://nematode.unl.edu/dordem7.jpg</v>
      </c>
      <c r="D2957" t="s">
        <v>43</v>
      </c>
      <c r="G2957" t="s">
        <v>422</v>
      </c>
      <c r="I2957" t="s">
        <v>41</v>
      </c>
      <c r="J2957" t="s">
        <v>20</v>
      </c>
      <c r="L2957" t="s">
        <v>752</v>
      </c>
      <c r="M2957" t="s">
        <v>753</v>
      </c>
      <c r="N2957" t="s">
        <v>754</v>
      </c>
      <c r="O2957" t="s">
        <v>73</v>
      </c>
      <c r="P2957" t="s">
        <v>81</v>
      </c>
      <c r="Q2957" t="s">
        <v>733</v>
      </c>
      <c r="R2957" t="s">
        <v>734</v>
      </c>
    </row>
    <row r="2958" spans="1:18" x14ac:dyDescent="0.25">
      <c r="A2958" t="s">
        <v>19515</v>
      </c>
      <c r="B2958" t="s">
        <v>769</v>
      </c>
      <c r="C2958" t="str">
        <f>HYPERLINK("https://nematode.unl.edu/dordem8.jpg")</f>
        <v>https://nematode.unl.edu/dordem8.jpg</v>
      </c>
      <c r="D2958" t="s">
        <v>16</v>
      </c>
      <c r="G2958" t="s">
        <v>34</v>
      </c>
      <c r="H2958" t="s">
        <v>18</v>
      </c>
      <c r="I2958" t="s">
        <v>19</v>
      </c>
      <c r="J2958" t="s">
        <v>20</v>
      </c>
      <c r="L2958" t="s">
        <v>752</v>
      </c>
      <c r="M2958" t="s">
        <v>753</v>
      </c>
      <c r="N2958" t="s">
        <v>754</v>
      </c>
      <c r="O2958" t="s">
        <v>73</v>
      </c>
      <c r="P2958" t="s">
        <v>81</v>
      </c>
      <c r="Q2958" t="s">
        <v>733</v>
      </c>
      <c r="R2958" t="s">
        <v>734</v>
      </c>
    </row>
    <row r="2959" spans="1:18" x14ac:dyDescent="0.25">
      <c r="A2959" t="s">
        <v>19522</v>
      </c>
      <c r="B2959" t="s">
        <v>770</v>
      </c>
      <c r="C2959" t="str">
        <f>HYPERLINK("https://nematode.unl.edu/dordem9.jpg")</f>
        <v>https://nematode.unl.edu/dordem9.jpg</v>
      </c>
      <c r="D2959" t="s">
        <v>16</v>
      </c>
      <c r="G2959" t="s">
        <v>28</v>
      </c>
      <c r="I2959" t="s">
        <v>19</v>
      </c>
      <c r="J2959" t="s">
        <v>20</v>
      </c>
      <c r="L2959" t="s">
        <v>752</v>
      </c>
      <c r="M2959" t="s">
        <v>753</v>
      </c>
      <c r="N2959" t="s">
        <v>754</v>
      </c>
      <c r="O2959" t="s">
        <v>73</v>
      </c>
      <c r="P2959" t="s">
        <v>81</v>
      </c>
      <c r="Q2959" t="s">
        <v>733</v>
      </c>
      <c r="R2959" t="s">
        <v>734</v>
      </c>
    </row>
    <row r="2960" spans="1:18" x14ac:dyDescent="0.25">
      <c r="A2960" t="s">
        <v>20251</v>
      </c>
      <c r="B2960" t="s">
        <v>4663</v>
      </c>
      <c r="C2960" t="str">
        <f>HYPERLINK("https://nematode.unl.edu/dordetl.jpg")</f>
        <v>https://nematode.unl.edu/dordetl.jpg</v>
      </c>
      <c r="D2960" t="s">
        <v>16</v>
      </c>
      <c r="G2960" t="s">
        <v>28</v>
      </c>
      <c r="I2960" t="s">
        <v>19</v>
      </c>
      <c r="J2960" t="s">
        <v>46</v>
      </c>
      <c r="L2960" t="s">
        <v>4664</v>
      </c>
      <c r="M2960" t="s">
        <v>4661</v>
      </c>
      <c r="N2960" t="s">
        <v>4661</v>
      </c>
      <c r="O2960" t="s">
        <v>73</v>
      </c>
      <c r="P2960" t="s">
        <v>81</v>
      </c>
      <c r="Q2960" t="s">
        <v>4662</v>
      </c>
      <c r="R2960" t="s">
        <v>4661</v>
      </c>
    </row>
    <row r="2961" spans="1:18" x14ac:dyDescent="0.25">
      <c r="A2961" t="s">
        <v>19531</v>
      </c>
      <c r="B2961" t="s">
        <v>784</v>
      </c>
      <c r="C2961" t="str">
        <f>HYPERLINK("https://nematode.unl.edu/dordir1.jpg")</f>
        <v>https://nematode.unl.edu/dordir1.jpg</v>
      </c>
      <c r="D2961" t="s">
        <v>43</v>
      </c>
      <c r="G2961" t="s">
        <v>44</v>
      </c>
      <c r="I2961" t="s">
        <v>91</v>
      </c>
      <c r="J2961" t="s">
        <v>20</v>
      </c>
      <c r="L2961" t="s">
        <v>141</v>
      </c>
      <c r="M2961" t="s">
        <v>785</v>
      </c>
      <c r="N2961" t="s">
        <v>786</v>
      </c>
      <c r="O2961" t="s">
        <v>73</v>
      </c>
      <c r="P2961" t="s">
        <v>81</v>
      </c>
      <c r="Q2961" t="s">
        <v>733</v>
      </c>
      <c r="R2961" t="s">
        <v>734</v>
      </c>
    </row>
    <row r="2962" spans="1:18" x14ac:dyDescent="0.25">
      <c r="A2962" t="s">
        <v>19527</v>
      </c>
      <c r="B2962" t="s">
        <v>787</v>
      </c>
      <c r="C2962" t="str">
        <f>HYPERLINK("https://nematode.unl.edu/dordir2.jpg")</f>
        <v>https://nematode.unl.edu/dordir2.jpg</v>
      </c>
      <c r="D2962" t="s">
        <v>43</v>
      </c>
      <c r="G2962" t="s">
        <v>96</v>
      </c>
      <c r="H2962" t="s">
        <v>18</v>
      </c>
      <c r="I2962" t="s">
        <v>45</v>
      </c>
      <c r="J2962" t="s">
        <v>20</v>
      </c>
      <c r="L2962" t="s">
        <v>35</v>
      </c>
      <c r="M2962" t="s">
        <v>785</v>
      </c>
      <c r="N2962" t="s">
        <v>786</v>
      </c>
      <c r="O2962" t="s">
        <v>73</v>
      </c>
      <c r="P2962" t="s">
        <v>81</v>
      </c>
      <c r="Q2962" t="s">
        <v>733</v>
      </c>
      <c r="R2962" t="s">
        <v>734</v>
      </c>
    </row>
    <row r="2963" spans="1:18" x14ac:dyDescent="0.25">
      <c r="A2963" t="s">
        <v>19528</v>
      </c>
      <c r="B2963" t="s">
        <v>788</v>
      </c>
      <c r="C2963" t="str">
        <f>HYPERLINK("https://nematode.unl.edu/dordir3.jpg")</f>
        <v>https://nematode.unl.edu/dordir3.jpg</v>
      </c>
      <c r="D2963" t="s">
        <v>43</v>
      </c>
      <c r="G2963" t="s">
        <v>34</v>
      </c>
      <c r="H2963" t="s">
        <v>18</v>
      </c>
      <c r="I2963" t="s">
        <v>19</v>
      </c>
      <c r="J2963" t="s">
        <v>20</v>
      </c>
      <c r="L2963" t="s">
        <v>35</v>
      </c>
      <c r="M2963" t="s">
        <v>785</v>
      </c>
      <c r="N2963" t="s">
        <v>786</v>
      </c>
      <c r="O2963" t="s">
        <v>73</v>
      </c>
      <c r="P2963" t="s">
        <v>81</v>
      </c>
      <c r="Q2963" t="s">
        <v>733</v>
      </c>
      <c r="R2963" t="s">
        <v>734</v>
      </c>
    </row>
    <row r="2964" spans="1:18" x14ac:dyDescent="0.25">
      <c r="A2964" t="s">
        <v>19534</v>
      </c>
      <c r="B2964" t="s">
        <v>789</v>
      </c>
      <c r="C2964" t="str">
        <f>HYPERLINK("https://nematode.unl.edu/dordir4.jpg")</f>
        <v>https://nematode.unl.edu/dordir4.jpg</v>
      </c>
      <c r="D2964" t="s">
        <v>43</v>
      </c>
      <c r="G2964" t="s">
        <v>51</v>
      </c>
      <c r="I2964" t="s">
        <v>19</v>
      </c>
      <c r="J2964" t="s">
        <v>20</v>
      </c>
      <c r="L2964" t="s">
        <v>35</v>
      </c>
      <c r="M2964" t="s">
        <v>785</v>
      </c>
      <c r="N2964" t="s">
        <v>786</v>
      </c>
      <c r="O2964" t="s">
        <v>73</v>
      </c>
      <c r="P2964" t="s">
        <v>81</v>
      </c>
      <c r="Q2964" t="s">
        <v>733</v>
      </c>
      <c r="R2964" t="s">
        <v>734</v>
      </c>
    </row>
    <row r="2965" spans="1:18" x14ac:dyDescent="0.25">
      <c r="A2965" t="s">
        <v>19532</v>
      </c>
      <c r="B2965" t="s">
        <v>790</v>
      </c>
      <c r="C2965" t="str">
        <f>HYPERLINK("https://nematode.unl.edu/dordir5.jpg")</f>
        <v>https://nematode.unl.edu/dordir5.jpg</v>
      </c>
      <c r="D2965" t="s">
        <v>43</v>
      </c>
      <c r="G2965" t="s">
        <v>28</v>
      </c>
      <c r="I2965" t="s">
        <v>19</v>
      </c>
      <c r="J2965" t="s">
        <v>20</v>
      </c>
      <c r="L2965" t="s">
        <v>35</v>
      </c>
      <c r="M2965" t="s">
        <v>785</v>
      </c>
      <c r="N2965" t="s">
        <v>786</v>
      </c>
      <c r="O2965" t="s">
        <v>73</v>
      </c>
      <c r="P2965" t="s">
        <v>81</v>
      </c>
      <c r="Q2965" t="s">
        <v>733</v>
      </c>
      <c r="R2965" t="s">
        <v>734</v>
      </c>
    </row>
    <row r="2966" spans="1:18" x14ac:dyDescent="0.25">
      <c r="A2966" t="s">
        <v>19529</v>
      </c>
      <c r="B2966" t="s">
        <v>791</v>
      </c>
      <c r="C2966" t="str">
        <f>HYPERLINK("https://nematode.unl.edu/dordir6.jpg")</f>
        <v>https://nematode.unl.edu/dordir6.jpg</v>
      </c>
      <c r="D2966" t="s">
        <v>43</v>
      </c>
      <c r="G2966" t="s">
        <v>34</v>
      </c>
      <c r="H2966" t="s">
        <v>18</v>
      </c>
      <c r="I2966" t="s">
        <v>19</v>
      </c>
      <c r="J2966" t="s">
        <v>20</v>
      </c>
      <c r="L2966" t="s">
        <v>35</v>
      </c>
      <c r="M2966" t="s">
        <v>785</v>
      </c>
      <c r="N2966" t="s">
        <v>786</v>
      </c>
      <c r="O2966" t="s">
        <v>73</v>
      </c>
      <c r="P2966" t="s">
        <v>81</v>
      </c>
      <c r="Q2966" t="s">
        <v>733</v>
      </c>
      <c r="R2966" t="s">
        <v>734</v>
      </c>
    </row>
    <row r="2967" spans="1:18" x14ac:dyDescent="0.25">
      <c r="A2967" t="s">
        <v>19535</v>
      </c>
      <c r="B2967" t="s">
        <v>792</v>
      </c>
      <c r="C2967" t="str">
        <f>HYPERLINK("https://nematode.unl.edu/dordir7.jpg")</f>
        <v>https://nematode.unl.edu/dordir7.jpg</v>
      </c>
      <c r="D2967" t="s">
        <v>43</v>
      </c>
      <c r="G2967" t="s">
        <v>51</v>
      </c>
      <c r="I2967" t="s">
        <v>19</v>
      </c>
      <c r="J2967" t="s">
        <v>20</v>
      </c>
      <c r="L2967" t="s">
        <v>35</v>
      </c>
      <c r="M2967" t="s">
        <v>785</v>
      </c>
      <c r="N2967" t="s">
        <v>786</v>
      </c>
      <c r="O2967" t="s">
        <v>73</v>
      </c>
      <c r="P2967" t="s">
        <v>81</v>
      </c>
      <c r="Q2967" t="s">
        <v>733</v>
      </c>
      <c r="R2967" t="s">
        <v>734</v>
      </c>
    </row>
    <row r="2968" spans="1:18" x14ac:dyDescent="0.25">
      <c r="A2968" t="s">
        <v>19533</v>
      </c>
      <c r="B2968" t="s">
        <v>793</v>
      </c>
      <c r="C2968" t="str">
        <f>HYPERLINK("https://nematode.unl.edu/dordir8.jpg")</f>
        <v>https://nematode.unl.edu/dordir8.jpg</v>
      </c>
      <c r="D2968" t="s">
        <v>43</v>
      </c>
      <c r="G2968" t="s">
        <v>28</v>
      </c>
      <c r="I2968" t="s">
        <v>19</v>
      </c>
      <c r="J2968" t="s">
        <v>20</v>
      </c>
      <c r="L2968" t="s">
        <v>35</v>
      </c>
      <c r="M2968" t="s">
        <v>785</v>
      </c>
      <c r="N2968" t="s">
        <v>786</v>
      </c>
      <c r="O2968" t="s">
        <v>73</v>
      </c>
      <c r="P2968" t="s">
        <v>81</v>
      </c>
      <c r="Q2968" t="s">
        <v>733</v>
      </c>
      <c r="R2968" t="s">
        <v>734</v>
      </c>
    </row>
    <row r="2969" spans="1:18" x14ac:dyDescent="0.25">
      <c r="A2969" t="s">
        <v>19530</v>
      </c>
      <c r="B2969" t="s">
        <v>794</v>
      </c>
      <c r="C2969" t="str">
        <f>HYPERLINK("https://nematode.unl.edu/dordir9.jpg")</f>
        <v>https://nematode.unl.edu/dordir9.jpg</v>
      </c>
      <c r="D2969" t="s">
        <v>43</v>
      </c>
      <c r="G2969" t="s">
        <v>34</v>
      </c>
      <c r="H2969" t="s">
        <v>18</v>
      </c>
      <c r="I2969" t="s">
        <v>41</v>
      </c>
      <c r="J2969" t="s">
        <v>20</v>
      </c>
      <c r="L2969" t="s">
        <v>35</v>
      </c>
      <c r="M2969" t="s">
        <v>785</v>
      </c>
      <c r="N2969" t="s">
        <v>786</v>
      </c>
      <c r="O2969" t="s">
        <v>73</v>
      </c>
      <c r="P2969" t="s">
        <v>81</v>
      </c>
      <c r="Q2969" t="s">
        <v>733</v>
      </c>
      <c r="R2969" t="s">
        <v>734</v>
      </c>
    </row>
    <row r="2970" spans="1:18" x14ac:dyDescent="0.25">
      <c r="A2970" t="s">
        <v>19538</v>
      </c>
      <c r="B2970" t="s">
        <v>744</v>
      </c>
      <c r="C2970" t="str">
        <f>HYPERLINK("https://nematode.unl.edu/dordisc1.jpg")</f>
        <v>https://nematode.unl.edu/dordisc1.jpg</v>
      </c>
      <c r="D2970" t="s">
        <v>43</v>
      </c>
      <c r="G2970" t="s">
        <v>44</v>
      </c>
      <c r="I2970" t="s">
        <v>41</v>
      </c>
      <c r="J2970" t="s">
        <v>20</v>
      </c>
      <c r="L2970" t="s">
        <v>35</v>
      </c>
      <c r="M2970" t="s">
        <v>745</v>
      </c>
      <c r="N2970" t="s">
        <v>746</v>
      </c>
      <c r="O2970" t="s">
        <v>73</v>
      </c>
      <c r="P2970" t="s">
        <v>81</v>
      </c>
      <c r="Q2970" t="s">
        <v>733</v>
      </c>
      <c r="R2970" t="s">
        <v>734</v>
      </c>
    </row>
    <row r="2971" spans="1:18" x14ac:dyDescent="0.25">
      <c r="A2971" t="s">
        <v>19536</v>
      </c>
      <c r="B2971" t="s">
        <v>747</v>
      </c>
      <c r="C2971" t="str">
        <f>HYPERLINK("https://nematode.unl.edu/dordisc2.jpg")</f>
        <v>https://nematode.unl.edu/dordisc2.jpg</v>
      </c>
      <c r="D2971" t="s">
        <v>43</v>
      </c>
      <c r="G2971" t="s">
        <v>34</v>
      </c>
      <c r="H2971" t="s">
        <v>18</v>
      </c>
      <c r="I2971" t="s">
        <v>19</v>
      </c>
      <c r="J2971" t="s">
        <v>20</v>
      </c>
      <c r="L2971" t="s">
        <v>35</v>
      </c>
      <c r="M2971" t="s">
        <v>745</v>
      </c>
      <c r="N2971" t="s">
        <v>746</v>
      </c>
      <c r="O2971" t="s">
        <v>73</v>
      </c>
      <c r="P2971" t="s">
        <v>81</v>
      </c>
      <c r="Q2971" t="s">
        <v>733</v>
      </c>
      <c r="R2971" t="s">
        <v>734</v>
      </c>
    </row>
    <row r="2972" spans="1:18" x14ac:dyDescent="0.25">
      <c r="A2972" t="s">
        <v>19540</v>
      </c>
      <c r="B2972" t="s">
        <v>748</v>
      </c>
      <c r="C2972" t="str">
        <f>HYPERLINK("https://nematode.unl.edu/dordisc3.jpg")</f>
        <v>https://nematode.unl.edu/dordisc3.jpg</v>
      </c>
      <c r="D2972" t="s">
        <v>43</v>
      </c>
      <c r="G2972" t="s">
        <v>51</v>
      </c>
      <c r="I2972" t="s">
        <v>19</v>
      </c>
      <c r="J2972" t="s">
        <v>20</v>
      </c>
      <c r="L2972" t="s">
        <v>35</v>
      </c>
      <c r="M2972" t="s">
        <v>745</v>
      </c>
      <c r="N2972" t="s">
        <v>746</v>
      </c>
      <c r="O2972" t="s">
        <v>73</v>
      </c>
      <c r="P2972" t="s">
        <v>81</v>
      </c>
      <c r="Q2972" t="s">
        <v>733</v>
      </c>
      <c r="R2972" t="s">
        <v>734</v>
      </c>
    </row>
    <row r="2973" spans="1:18" x14ac:dyDescent="0.25">
      <c r="A2973" t="s">
        <v>19539</v>
      </c>
      <c r="B2973" t="s">
        <v>749</v>
      </c>
      <c r="C2973" t="str">
        <f>HYPERLINK("https://nematode.unl.edu/dordisc4.jpg")</f>
        <v>https://nematode.unl.edu/dordisc4.jpg</v>
      </c>
      <c r="D2973" t="s">
        <v>43</v>
      </c>
      <c r="G2973" t="s">
        <v>28</v>
      </c>
      <c r="I2973" t="s">
        <v>19</v>
      </c>
      <c r="J2973" t="s">
        <v>20</v>
      </c>
      <c r="L2973" t="s">
        <v>35</v>
      </c>
      <c r="M2973" t="s">
        <v>745</v>
      </c>
      <c r="N2973" t="s">
        <v>746</v>
      </c>
      <c r="O2973" t="s">
        <v>73</v>
      </c>
      <c r="P2973" t="s">
        <v>81</v>
      </c>
      <c r="Q2973" t="s">
        <v>733</v>
      </c>
      <c r="R2973" t="s">
        <v>734</v>
      </c>
    </row>
    <row r="2974" spans="1:18" x14ac:dyDescent="0.25">
      <c r="A2974" t="s">
        <v>19537</v>
      </c>
      <c r="B2974" t="s">
        <v>750</v>
      </c>
      <c r="C2974" t="str">
        <f>HYPERLINK("https://nematode.unl.edu/dordisc5.jpg")</f>
        <v>https://nematode.unl.edu/dordisc5.jpg</v>
      </c>
      <c r="D2974" t="s">
        <v>43</v>
      </c>
      <c r="G2974" t="s">
        <v>34</v>
      </c>
      <c r="H2974" t="s">
        <v>18</v>
      </c>
      <c r="I2974" t="s">
        <v>41</v>
      </c>
      <c r="J2974" t="s">
        <v>20</v>
      </c>
      <c r="L2974" t="s">
        <v>183</v>
      </c>
      <c r="M2974" t="s">
        <v>745</v>
      </c>
      <c r="N2974" t="s">
        <v>746</v>
      </c>
      <c r="O2974" t="s">
        <v>73</v>
      </c>
      <c r="P2974" t="s">
        <v>81</v>
      </c>
      <c r="Q2974" t="s">
        <v>733</v>
      </c>
      <c r="R2974" t="s">
        <v>734</v>
      </c>
    </row>
    <row r="2975" spans="1:18" x14ac:dyDescent="0.25">
      <c r="A2975" t="s">
        <v>20257</v>
      </c>
      <c r="B2975" t="s">
        <v>4671</v>
      </c>
      <c r="C2975" t="str">
        <f>HYPERLINK("https://nematode.unl.edu/dorele1.jpg")</f>
        <v>https://nematode.unl.edu/dorele1.jpg</v>
      </c>
      <c r="D2975" t="s">
        <v>43</v>
      </c>
      <c r="G2975" t="s">
        <v>34</v>
      </c>
      <c r="H2975" t="s">
        <v>18</v>
      </c>
      <c r="I2975" t="s">
        <v>19</v>
      </c>
      <c r="J2975" t="s">
        <v>20</v>
      </c>
      <c r="L2975" t="s">
        <v>85</v>
      </c>
      <c r="M2975" t="s">
        <v>4667</v>
      </c>
      <c r="N2975" t="s">
        <v>4667</v>
      </c>
      <c r="O2975" t="s">
        <v>73</v>
      </c>
      <c r="P2975" t="s">
        <v>81</v>
      </c>
      <c r="Q2975" t="s">
        <v>4662</v>
      </c>
      <c r="R2975" t="s">
        <v>4661</v>
      </c>
    </row>
    <row r="2976" spans="1:18" x14ac:dyDescent="0.25">
      <c r="A2976" t="s">
        <v>20258</v>
      </c>
      <c r="B2976" t="s">
        <v>4672</v>
      </c>
      <c r="C2976" t="str">
        <f>HYPERLINK("https://nematode.unl.edu/dorele10.jpg")</f>
        <v>https://nematode.unl.edu/dorele10.jpg</v>
      </c>
      <c r="D2976" t="s">
        <v>43</v>
      </c>
      <c r="G2976" t="s">
        <v>34</v>
      </c>
      <c r="H2976" t="s">
        <v>18</v>
      </c>
      <c r="I2976" t="s">
        <v>19</v>
      </c>
      <c r="J2976" t="s">
        <v>20</v>
      </c>
      <c r="L2976" t="s">
        <v>85</v>
      </c>
      <c r="M2976" t="s">
        <v>4667</v>
      </c>
      <c r="N2976" t="s">
        <v>4667</v>
      </c>
      <c r="O2976" t="s">
        <v>73</v>
      </c>
      <c r="P2976" t="s">
        <v>81</v>
      </c>
      <c r="Q2976" t="s">
        <v>4662</v>
      </c>
      <c r="R2976" t="s">
        <v>4661</v>
      </c>
    </row>
    <row r="2977" spans="1:18" x14ac:dyDescent="0.25">
      <c r="A2977" t="s">
        <v>20253</v>
      </c>
      <c r="B2977" t="s">
        <v>4673</v>
      </c>
      <c r="C2977" t="str">
        <f>HYPERLINK("https://nematode.unl.edu/dorele11.jpg")</f>
        <v>https://nematode.unl.edu/dorele11.jpg</v>
      </c>
      <c r="D2977" t="s">
        <v>43</v>
      </c>
      <c r="G2977" t="s">
        <v>17</v>
      </c>
      <c r="H2977" t="s">
        <v>18</v>
      </c>
      <c r="I2977" t="s">
        <v>19</v>
      </c>
      <c r="J2977" t="s">
        <v>20</v>
      </c>
      <c r="L2977" t="s">
        <v>183</v>
      </c>
      <c r="M2977" t="s">
        <v>4667</v>
      </c>
      <c r="N2977" t="s">
        <v>4667</v>
      </c>
      <c r="O2977" t="s">
        <v>73</v>
      </c>
      <c r="P2977" t="s">
        <v>81</v>
      </c>
      <c r="Q2977" t="s">
        <v>4662</v>
      </c>
      <c r="R2977" t="s">
        <v>4661</v>
      </c>
    </row>
    <row r="2978" spans="1:18" x14ac:dyDescent="0.25">
      <c r="A2978" t="s">
        <v>20259</v>
      </c>
      <c r="B2978" t="s">
        <v>4674</v>
      </c>
      <c r="C2978" t="str">
        <f>HYPERLINK("https://nematode.unl.edu/dorele12.jpg")</f>
        <v>https://nematode.unl.edu/dorele12.jpg</v>
      </c>
      <c r="D2978" t="s">
        <v>43</v>
      </c>
      <c r="G2978" t="s">
        <v>34</v>
      </c>
      <c r="H2978" t="s">
        <v>18</v>
      </c>
      <c r="I2978" t="s">
        <v>41</v>
      </c>
      <c r="J2978" t="s">
        <v>20</v>
      </c>
      <c r="L2978" t="s">
        <v>183</v>
      </c>
      <c r="M2978" t="s">
        <v>4667</v>
      </c>
      <c r="N2978" t="s">
        <v>4667</v>
      </c>
      <c r="O2978" t="s">
        <v>73</v>
      </c>
      <c r="P2978" t="s">
        <v>81</v>
      </c>
      <c r="Q2978" t="s">
        <v>4662</v>
      </c>
      <c r="R2978" t="s">
        <v>4661</v>
      </c>
    </row>
    <row r="2979" spans="1:18" x14ac:dyDescent="0.25">
      <c r="A2979" t="s">
        <v>20275</v>
      </c>
      <c r="B2979" t="s">
        <v>4675</v>
      </c>
      <c r="C2979" t="str">
        <f>HYPERLINK("https://nematode.unl.edu/dorele13.jpg")</f>
        <v>https://nematode.unl.edu/dorele13.jpg</v>
      </c>
      <c r="D2979" t="s">
        <v>43</v>
      </c>
      <c r="G2979" t="s">
        <v>51</v>
      </c>
      <c r="I2979" t="s">
        <v>19</v>
      </c>
      <c r="J2979" t="s">
        <v>20</v>
      </c>
      <c r="L2979" t="s">
        <v>183</v>
      </c>
      <c r="M2979" t="s">
        <v>4667</v>
      </c>
      <c r="N2979" t="s">
        <v>4667</v>
      </c>
      <c r="O2979" t="s">
        <v>73</v>
      </c>
      <c r="P2979" t="s">
        <v>81</v>
      </c>
      <c r="Q2979" t="s">
        <v>4662</v>
      </c>
      <c r="R2979" t="s">
        <v>4661</v>
      </c>
    </row>
    <row r="2980" spans="1:18" x14ac:dyDescent="0.25">
      <c r="A2980" t="s">
        <v>20264</v>
      </c>
      <c r="B2980" t="s">
        <v>4676</v>
      </c>
      <c r="C2980" t="str">
        <f>HYPERLINK("https://nematode.unl.edu/dorele14.jpg")</f>
        <v>https://nematode.unl.edu/dorele14.jpg</v>
      </c>
      <c r="D2980" t="s">
        <v>43</v>
      </c>
      <c r="G2980" t="s">
        <v>87</v>
      </c>
      <c r="I2980" t="s">
        <v>41</v>
      </c>
      <c r="J2980" t="s">
        <v>20</v>
      </c>
      <c r="L2980" t="s">
        <v>183</v>
      </c>
      <c r="M2980" t="s">
        <v>4667</v>
      </c>
      <c r="N2980" t="s">
        <v>4667</v>
      </c>
      <c r="O2980" t="s">
        <v>73</v>
      </c>
      <c r="P2980" t="s">
        <v>81</v>
      </c>
      <c r="Q2980" t="s">
        <v>4662</v>
      </c>
      <c r="R2980" t="s">
        <v>4661</v>
      </c>
    </row>
    <row r="2981" spans="1:18" x14ac:dyDescent="0.25">
      <c r="A2981" t="s">
        <v>20276</v>
      </c>
      <c r="B2981" t="s">
        <v>4677</v>
      </c>
      <c r="C2981" t="str">
        <f>HYPERLINK("https://nematode.unl.edu/dorele15.jpg")</f>
        <v>https://nematode.unl.edu/dorele15.jpg</v>
      </c>
      <c r="D2981" t="s">
        <v>43</v>
      </c>
      <c r="G2981" t="s">
        <v>51</v>
      </c>
      <c r="I2981" t="s">
        <v>41</v>
      </c>
      <c r="J2981" t="s">
        <v>20</v>
      </c>
      <c r="L2981" t="s">
        <v>183</v>
      </c>
      <c r="M2981" t="s">
        <v>4667</v>
      </c>
      <c r="N2981" t="s">
        <v>4667</v>
      </c>
      <c r="O2981" t="s">
        <v>73</v>
      </c>
      <c r="P2981" t="s">
        <v>81</v>
      </c>
      <c r="Q2981" t="s">
        <v>4662</v>
      </c>
      <c r="R2981" t="s">
        <v>4661</v>
      </c>
    </row>
    <row r="2982" spans="1:18" x14ac:dyDescent="0.25">
      <c r="A2982" t="s">
        <v>20260</v>
      </c>
      <c r="B2982" t="s">
        <v>4678</v>
      </c>
      <c r="C2982" t="str">
        <f>HYPERLINK("https://nematode.unl.edu/dorele16.jpg")</f>
        <v>https://nematode.unl.edu/dorele16.jpg</v>
      </c>
      <c r="D2982" t="s">
        <v>43</v>
      </c>
      <c r="G2982" t="s">
        <v>34</v>
      </c>
      <c r="H2982" t="s">
        <v>18</v>
      </c>
      <c r="I2982" t="s">
        <v>41</v>
      </c>
      <c r="J2982" t="s">
        <v>20</v>
      </c>
      <c r="L2982" t="s">
        <v>183</v>
      </c>
      <c r="M2982" t="s">
        <v>4667</v>
      </c>
      <c r="N2982" t="s">
        <v>4667</v>
      </c>
      <c r="O2982" t="s">
        <v>73</v>
      </c>
      <c r="P2982" t="s">
        <v>81</v>
      </c>
      <c r="Q2982" t="s">
        <v>4662</v>
      </c>
      <c r="R2982" t="s">
        <v>4661</v>
      </c>
    </row>
    <row r="2983" spans="1:18" x14ac:dyDescent="0.25">
      <c r="A2983" t="s">
        <v>20266</v>
      </c>
      <c r="B2983" t="s">
        <v>4679</v>
      </c>
      <c r="C2983" t="str">
        <f>HYPERLINK("https://nematode.unl.edu/dorele17.jpg")</f>
        <v>https://nematode.unl.edu/dorele17.jpg</v>
      </c>
      <c r="D2983" t="s">
        <v>77</v>
      </c>
      <c r="G2983" t="s">
        <v>44</v>
      </c>
      <c r="I2983" t="s">
        <v>45</v>
      </c>
      <c r="J2983" t="s">
        <v>20</v>
      </c>
      <c r="L2983" t="s">
        <v>183</v>
      </c>
      <c r="M2983" t="s">
        <v>4667</v>
      </c>
      <c r="N2983" t="s">
        <v>4667</v>
      </c>
      <c r="O2983" t="s">
        <v>73</v>
      </c>
      <c r="P2983" t="s">
        <v>81</v>
      </c>
      <c r="Q2983" t="s">
        <v>4662</v>
      </c>
      <c r="R2983" t="s">
        <v>4661</v>
      </c>
    </row>
    <row r="2984" spans="1:18" x14ac:dyDescent="0.25">
      <c r="A2984" t="s">
        <v>20270</v>
      </c>
      <c r="B2984" t="s">
        <v>4680</v>
      </c>
      <c r="C2984" t="str">
        <f>HYPERLINK("https://nematode.unl.edu/dorele18.jpg")</f>
        <v>https://nematode.unl.edu/dorele18.jpg</v>
      </c>
      <c r="D2984" t="s">
        <v>77</v>
      </c>
      <c r="G2984" t="s">
        <v>112</v>
      </c>
      <c r="I2984" t="s">
        <v>19</v>
      </c>
      <c r="J2984" t="s">
        <v>20</v>
      </c>
      <c r="L2984" t="s">
        <v>64</v>
      </c>
      <c r="M2984" t="s">
        <v>4667</v>
      </c>
      <c r="N2984" t="s">
        <v>4667</v>
      </c>
      <c r="O2984" t="s">
        <v>73</v>
      </c>
      <c r="P2984" t="s">
        <v>81</v>
      </c>
      <c r="Q2984" t="s">
        <v>4662</v>
      </c>
      <c r="R2984" t="s">
        <v>4661</v>
      </c>
    </row>
    <row r="2985" spans="1:18" x14ac:dyDescent="0.25">
      <c r="A2985" t="s">
        <v>20272</v>
      </c>
      <c r="B2985" t="s">
        <v>4681</v>
      </c>
      <c r="C2985" t="str">
        <f>HYPERLINK("https://nematode.unl.edu/dorele19.jpg")</f>
        <v>https://nematode.unl.edu/dorele19.jpg</v>
      </c>
      <c r="D2985" t="s">
        <v>43</v>
      </c>
      <c r="G2985" t="s">
        <v>28</v>
      </c>
      <c r="I2985" t="s">
        <v>19</v>
      </c>
      <c r="J2985" t="s">
        <v>20</v>
      </c>
      <c r="L2985" t="s">
        <v>183</v>
      </c>
      <c r="M2985" t="s">
        <v>4667</v>
      </c>
      <c r="N2985" t="s">
        <v>4667</v>
      </c>
      <c r="O2985" t="s">
        <v>73</v>
      </c>
      <c r="P2985" t="s">
        <v>81</v>
      </c>
      <c r="Q2985" t="s">
        <v>4662</v>
      </c>
      <c r="R2985" t="s">
        <v>4661</v>
      </c>
    </row>
    <row r="2986" spans="1:18" x14ac:dyDescent="0.25">
      <c r="A2986" t="s">
        <v>20267</v>
      </c>
      <c r="B2986" t="s">
        <v>4682</v>
      </c>
      <c r="C2986" t="str">
        <f>HYPERLINK("https://nematode.unl.edu/dorele2.jpg")</f>
        <v>https://nematode.unl.edu/dorele2.jpg</v>
      </c>
      <c r="D2986" t="s">
        <v>43</v>
      </c>
      <c r="G2986" t="s">
        <v>44</v>
      </c>
      <c r="I2986" t="s">
        <v>91</v>
      </c>
      <c r="J2986" t="s">
        <v>20</v>
      </c>
      <c r="L2986" t="s">
        <v>183</v>
      </c>
      <c r="M2986" t="s">
        <v>4667</v>
      </c>
      <c r="N2986" t="s">
        <v>4667</v>
      </c>
      <c r="O2986" t="s">
        <v>73</v>
      </c>
      <c r="P2986" t="s">
        <v>81</v>
      </c>
      <c r="Q2986" t="s">
        <v>4662</v>
      </c>
      <c r="R2986" t="s">
        <v>4661</v>
      </c>
    </row>
    <row r="2987" spans="1:18" x14ac:dyDescent="0.25">
      <c r="A2987" t="s">
        <v>20252</v>
      </c>
      <c r="B2987" t="s">
        <v>4683</v>
      </c>
      <c r="C2987" t="str">
        <f>HYPERLINK("https://nematode.unl.edu/dorele20.jpg")</f>
        <v>https://nematode.unl.edu/dorele20.jpg</v>
      </c>
      <c r="D2987" t="s">
        <v>43</v>
      </c>
      <c r="G2987" t="s">
        <v>96</v>
      </c>
      <c r="H2987" t="s">
        <v>18</v>
      </c>
      <c r="I2987" t="s">
        <v>45</v>
      </c>
      <c r="J2987" t="s">
        <v>20</v>
      </c>
      <c r="L2987" t="s">
        <v>183</v>
      </c>
      <c r="M2987" t="s">
        <v>4667</v>
      </c>
      <c r="N2987" t="s">
        <v>4667</v>
      </c>
      <c r="O2987" t="s">
        <v>73</v>
      </c>
      <c r="P2987" t="s">
        <v>81</v>
      </c>
      <c r="Q2987" t="s">
        <v>4662</v>
      </c>
      <c r="R2987" t="s">
        <v>4661</v>
      </c>
    </row>
    <row r="2988" spans="1:18" x14ac:dyDescent="0.25">
      <c r="A2988" t="s">
        <v>20254</v>
      </c>
      <c r="B2988" t="s">
        <v>4684</v>
      </c>
      <c r="C2988" t="str">
        <f>HYPERLINK("https://nematode.unl.edu/dorele21.jpg")</f>
        <v>https://nematode.unl.edu/dorele21.jpg</v>
      </c>
      <c r="D2988" t="s">
        <v>43</v>
      </c>
      <c r="G2988" t="s">
        <v>17</v>
      </c>
      <c r="H2988" t="s">
        <v>18</v>
      </c>
      <c r="I2988" t="s">
        <v>41</v>
      </c>
      <c r="J2988" t="s">
        <v>20</v>
      </c>
      <c r="L2988" t="s">
        <v>183</v>
      </c>
      <c r="M2988" t="s">
        <v>4667</v>
      </c>
      <c r="N2988" t="s">
        <v>4667</v>
      </c>
      <c r="O2988" t="s">
        <v>73</v>
      </c>
      <c r="P2988" t="s">
        <v>81</v>
      </c>
      <c r="Q2988" t="s">
        <v>4662</v>
      </c>
      <c r="R2988" t="s">
        <v>4661</v>
      </c>
    </row>
    <row r="2989" spans="1:18" x14ac:dyDescent="0.25">
      <c r="A2989" t="s">
        <v>20268</v>
      </c>
      <c r="B2989" t="s">
        <v>4685</v>
      </c>
      <c r="C2989" t="str">
        <f>HYPERLINK("https://nematode.unl.edu/dorele3.jpg")</f>
        <v>https://nematode.unl.edu/dorele3.jpg</v>
      </c>
      <c r="D2989" t="s">
        <v>43</v>
      </c>
      <c r="G2989" t="s">
        <v>44</v>
      </c>
      <c r="I2989" t="s">
        <v>45</v>
      </c>
      <c r="J2989" t="s">
        <v>20</v>
      </c>
      <c r="L2989" t="s">
        <v>183</v>
      </c>
      <c r="M2989" t="s">
        <v>4667</v>
      </c>
      <c r="N2989" t="s">
        <v>4667</v>
      </c>
      <c r="O2989" t="s">
        <v>73</v>
      </c>
      <c r="P2989" t="s">
        <v>81</v>
      </c>
      <c r="Q2989" t="s">
        <v>4662</v>
      </c>
      <c r="R2989" t="s">
        <v>4661</v>
      </c>
    </row>
    <row r="2990" spans="1:18" x14ac:dyDescent="0.25">
      <c r="A2990" t="s">
        <v>20273</v>
      </c>
      <c r="B2990" t="s">
        <v>4686</v>
      </c>
      <c r="C2990" t="str">
        <f>HYPERLINK("https://nematode.unl.edu/dorele4.jpg")</f>
        <v>https://nematode.unl.edu/dorele4.jpg</v>
      </c>
      <c r="D2990" t="s">
        <v>43</v>
      </c>
      <c r="G2990" t="s">
        <v>28</v>
      </c>
      <c r="I2990" t="s">
        <v>19</v>
      </c>
      <c r="J2990" t="s">
        <v>20</v>
      </c>
      <c r="L2990" t="s">
        <v>183</v>
      </c>
      <c r="M2990" t="s">
        <v>4667</v>
      </c>
      <c r="N2990" t="s">
        <v>4667</v>
      </c>
      <c r="O2990" t="s">
        <v>73</v>
      </c>
      <c r="P2990" t="s">
        <v>81</v>
      </c>
      <c r="Q2990" t="s">
        <v>4662</v>
      </c>
      <c r="R2990" t="s">
        <v>4661</v>
      </c>
    </row>
    <row r="2991" spans="1:18" x14ac:dyDescent="0.25">
      <c r="A2991" t="s">
        <v>20277</v>
      </c>
      <c r="B2991" t="s">
        <v>4687</v>
      </c>
      <c r="C2991" t="str">
        <f>HYPERLINK("https://nematode.unl.edu/dorele5.jpg")</f>
        <v>https://nematode.unl.edu/dorele5.jpg</v>
      </c>
      <c r="D2991" t="s">
        <v>43</v>
      </c>
      <c r="G2991" t="s">
        <v>51</v>
      </c>
      <c r="I2991" t="s">
        <v>19</v>
      </c>
      <c r="J2991" t="s">
        <v>20</v>
      </c>
      <c r="L2991" t="s">
        <v>183</v>
      </c>
      <c r="M2991" t="s">
        <v>4667</v>
      </c>
      <c r="N2991" t="s">
        <v>4667</v>
      </c>
      <c r="O2991" t="s">
        <v>73</v>
      </c>
      <c r="P2991" t="s">
        <v>81</v>
      </c>
      <c r="Q2991" t="s">
        <v>4662</v>
      </c>
      <c r="R2991" t="s">
        <v>4661</v>
      </c>
    </row>
    <row r="2992" spans="1:18" x14ac:dyDescent="0.25">
      <c r="A2992" t="s">
        <v>20265</v>
      </c>
      <c r="B2992" t="s">
        <v>4688</v>
      </c>
      <c r="C2992" t="str">
        <f>HYPERLINK("https://nematode.unl.edu/dorele6.jpg")</f>
        <v>https://nematode.unl.edu/dorele6.jpg</v>
      </c>
      <c r="D2992" t="s">
        <v>43</v>
      </c>
      <c r="G2992" t="s">
        <v>87</v>
      </c>
      <c r="I2992" t="s">
        <v>19</v>
      </c>
      <c r="J2992" t="s">
        <v>20</v>
      </c>
      <c r="L2992" t="s">
        <v>183</v>
      </c>
      <c r="M2992" t="s">
        <v>4667</v>
      </c>
      <c r="N2992" t="s">
        <v>4667</v>
      </c>
      <c r="O2992" t="s">
        <v>73</v>
      </c>
      <c r="P2992" t="s">
        <v>81</v>
      </c>
      <c r="Q2992" t="s">
        <v>4662</v>
      </c>
      <c r="R2992" t="s">
        <v>4661</v>
      </c>
    </row>
    <row r="2993" spans="1:18" x14ac:dyDescent="0.25">
      <c r="A2993" t="s">
        <v>20261</v>
      </c>
      <c r="B2993" t="s">
        <v>4689</v>
      </c>
      <c r="C2993" t="str">
        <f>HYPERLINK("https://nematode.unl.edu/dorele7.jpg")</f>
        <v>https://nematode.unl.edu/dorele7.jpg</v>
      </c>
      <c r="D2993" t="s">
        <v>43</v>
      </c>
      <c r="G2993" t="s">
        <v>34</v>
      </c>
      <c r="H2993" t="s">
        <v>18</v>
      </c>
      <c r="I2993" t="s">
        <v>19</v>
      </c>
      <c r="J2993" t="s">
        <v>20</v>
      </c>
      <c r="L2993" t="s">
        <v>183</v>
      </c>
      <c r="M2993" t="s">
        <v>4667</v>
      </c>
      <c r="N2993" t="s">
        <v>4667</v>
      </c>
      <c r="O2993" t="s">
        <v>73</v>
      </c>
      <c r="P2993" t="s">
        <v>81</v>
      </c>
      <c r="Q2993" t="s">
        <v>4662</v>
      </c>
      <c r="R2993" t="s">
        <v>4661</v>
      </c>
    </row>
    <row r="2994" spans="1:18" x14ac:dyDescent="0.25">
      <c r="A2994" t="s">
        <v>20262</v>
      </c>
      <c r="B2994" t="s">
        <v>4690</v>
      </c>
      <c r="C2994" t="str">
        <f>HYPERLINK("https://nematode.unl.edu/dorele8.jpg")</f>
        <v>https://nematode.unl.edu/dorele8.jpg</v>
      </c>
      <c r="D2994" t="s">
        <v>43</v>
      </c>
      <c r="G2994" t="s">
        <v>34</v>
      </c>
      <c r="H2994" t="s">
        <v>18</v>
      </c>
      <c r="I2994" t="s">
        <v>41</v>
      </c>
      <c r="J2994" t="s">
        <v>20</v>
      </c>
      <c r="L2994" t="s">
        <v>183</v>
      </c>
      <c r="M2994" t="s">
        <v>4667</v>
      </c>
      <c r="N2994" t="s">
        <v>4667</v>
      </c>
      <c r="O2994" t="s">
        <v>73</v>
      </c>
      <c r="P2994" t="s">
        <v>81</v>
      </c>
      <c r="Q2994" t="s">
        <v>4662</v>
      </c>
      <c r="R2994" t="s">
        <v>4661</v>
      </c>
    </row>
    <row r="2995" spans="1:18" x14ac:dyDescent="0.25">
      <c r="A2995" t="s">
        <v>20255</v>
      </c>
      <c r="B2995" t="s">
        <v>4691</v>
      </c>
      <c r="C2995" t="str">
        <f>HYPERLINK("https://nematode.unl.edu/dorele9.jpg")</f>
        <v>https://nematode.unl.edu/dorele9.jpg</v>
      </c>
      <c r="D2995" t="s">
        <v>43</v>
      </c>
      <c r="G2995" t="s">
        <v>17</v>
      </c>
      <c r="H2995" t="s">
        <v>18</v>
      </c>
      <c r="I2995" t="s">
        <v>19</v>
      </c>
      <c r="J2995" t="s">
        <v>20</v>
      </c>
      <c r="L2995" t="s">
        <v>183</v>
      </c>
      <c r="M2995" t="s">
        <v>4667</v>
      </c>
      <c r="N2995" t="s">
        <v>4667</v>
      </c>
      <c r="O2995" t="s">
        <v>73</v>
      </c>
      <c r="P2995" t="s">
        <v>81</v>
      </c>
      <c r="Q2995" t="s">
        <v>4662</v>
      </c>
      <c r="R2995" t="s">
        <v>4661</v>
      </c>
    </row>
    <row r="2996" spans="1:18" x14ac:dyDescent="0.25">
      <c r="A2996" t="s">
        <v>20269</v>
      </c>
      <c r="B2996" t="s">
        <v>4692</v>
      </c>
      <c r="C2996" t="str">
        <f>HYPERLINK("https://nematode.unl.edu/dorelecmp.jpg")</f>
        <v>https://nematode.unl.edu/dorelecmp.jpg</v>
      </c>
      <c r="D2996" t="s">
        <v>43</v>
      </c>
      <c r="G2996" t="s">
        <v>108</v>
      </c>
      <c r="M2996" t="s">
        <v>4667</v>
      </c>
      <c r="N2996" t="s">
        <v>4667</v>
      </c>
      <c r="O2996" t="s">
        <v>73</v>
      </c>
      <c r="P2996" t="s">
        <v>81</v>
      </c>
      <c r="Q2996" t="s">
        <v>4662</v>
      </c>
      <c r="R2996" t="s">
        <v>4661</v>
      </c>
    </row>
    <row r="2997" spans="1:18" x14ac:dyDescent="0.25">
      <c r="A2997" t="s">
        <v>19542</v>
      </c>
      <c r="B2997" t="s">
        <v>771</v>
      </c>
      <c r="C2997" t="str">
        <f>HYPERLINK("https://nematode.unl.edu/dorgra1.jpg")</f>
        <v>https://nematode.unl.edu/dorgra1.jpg</v>
      </c>
      <c r="D2997" t="s">
        <v>43</v>
      </c>
      <c r="G2997" t="s">
        <v>44</v>
      </c>
      <c r="I2997" t="s">
        <v>91</v>
      </c>
      <c r="J2997" t="s">
        <v>20</v>
      </c>
      <c r="L2997" t="s">
        <v>141</v>
      </c>
      <c r="M2997" t="s">
        <v>772</v>
      </c>
      <c r="N2997" t="s">
        <v>773</v>
      </c>
      <c r="O2997" t="s">
        <v>73</v>
      </c>
      <c r="P2997" t="s">
        <v>81</v>
      </c>
      <c r="Q2997" t="s">
        <v>733</v>
      </c>
      <c r="R2997" t="s">
        <v>734</v>
      </c>
    </row>
    <row r="2998" spans="1:18" x14ac:dyDescent="0.25">
      <c r="A2998" t="s">
        <v>19541</v>
      </c>
      <c r="B2998" t="s">
        <v>774</v>
      </c>
      <c r="C2998" t="str">
        <f>HYPERLINK("https://nematode.unl.edu/dorgra2.jpg")</f>
        <v>https://nematode.unl.edu/dorgra2.jpg</v>
      </c>
      <c r="D2998" t="s">
        <v>43</v>
      </c>
      <c r="G2998" t="s">
        <v>34</v>
      </c>
      <c r="H2998" t="s">
        <v>18</v>
      </c>
      <c r="I2998" t="s">
        <v>19</v>
      </c>
      <c r="J2998" t="s">
        <v>20</v>
      </c>
      <c r="L2998" t="s">
        <v>141</v>
      </c>
      <c r="M2998" t="s">
        <v>772</v>
      </c>
      <c r="N2998" t="s">
        <v>773</v>
      </c>
      <c r="O2998" t="s">
        <v>73</v>
      </c>
      <c r="P2998" t="s">
        <v>81</v>
      </c>
      <c r="Q2998" t="s">
        <v>733</v>
      </c>
      <c r="R2998" t="s">
        <v>734</v>
      </c>
    </row>
    <row r="2999" spans="1:18" x14ac:dyDescent="0.25">
      <c r="A2999" t="s">
        <v>19544</v>
      </c>
      <c r="B2999" t="s">
        <v>775</v>
      </c>
      <c r="C2999" t="str">
        <f>HYPERLINK("https://nematode.unl.edu/dorgra3.jpg")</f>
        <v>https://nematode.unl.edu/dorgra3.jpg</v>
      </c>
      <c r="D2999" t="s">
        <v>43</v>
      </c>
      <c r="G2999" t="s">
        <v>51</v>
      </c>
      <c r="I2999" t="s">
        <v>19</v>
      </c>
      <c r="J2999" t="s">
        <v>20</v>
      </c>
      <c r="L2999" t="s">
        <v>141</v>
      </c>
      <c r="M2999" t="s">
        <v>772</v>
      </c>
      <c r="N2999" t="s">
        <v>773</v>
      </c>
      <c r="O2999" t="s">
        <v>73</v>
      </c>
      <c r="P2999" t="s">
        <v>81</v>
      </c>
      <c r="Q2999" t="s">
        <v>733</v>
      </c>
      <c r="R2999" t="s">
        <v>734</v>
      </c>
    </row>
    <row r="3000" spans="1:18" x14ac:dyDescent="0.25">
      <c r="A3000" t="s">
        <v>19543</v>
      </c>
      <c r="B3000" t="s">
        <v>776</v>
      </c>
      <c r="C3000" t="str">
        <f>HYPERLINK("https://nematode.unl.edu/dorgra4.jpg")</f>
        <v>https://nematode.unl.edu/dorgra4.jpg</v>
      </c>
      <c r="D3000" t="s">
        <v>43</v>
      </c>
      <c r="G3000" t="s">
        <v>28</v>
      </c>
      <c r="I3000" t="s">
        <v>19</v>
      </c>
      <c r="J3000" t="s">
        <v>20</v>
      </c>
      <c r="L3000" t="s">
        <v>141</v>
      </c>
      <c r="M3000" t="s">
        <v>772</v>
      </c>
      <c r="N3000" t="s">
        <v>773</v>
      </c>
      <c r="O3000" t="s">
        <v>73</v>
      </c>
      <c r="P3000" t="s">
        <v>81</v>
      </c>
      <c r="Q3000" t="s">
        <v>733</v>
      </c>
      <c r="R3000" t="s">
        <v>734</v>
      </c>
    </row>
    <row r="3001" spans="1:18" x14ac:dyDescent="0.25">
      <c r="A3001" t="s">
        <v>19545</v>
      </c>
      <c r="B3001" t="s">
        <v>777</v>
      </c>
      <c r="C3001" t="str">
        <f>HYPERLINK("https://nematode.unl.edu/dorlon1.jpg")</f>
        <v>https://nematode.unl.edu/dorlon1.jpg</v>
      </c>
      <c r="D3001" t="s">
        <v>43</v>
      </c>
      <c r="G3001" t="s">
        <v>34</v>
      </c>
      <c r="H3001" t="s">
        <v>18</v>
      </c>
      <c r="I3001" t="s">
        <v>19</v>
      </c>
      <c r="J3001" t="s">
        <v>20</v>
      </c>
      <c r="L3001" t="s">
        <v>141</v>
      </c>
      <c r="M3001" t="s">
        <v>778</v>
      </c>
      <c r="N3001" t="s">
        <v>779</v>
      </c>
      <c r="O3001" t="s">
        <v>73</v>
      </c>
      <c r="P3001" t="s">
        <v>81</v>
      </c>
      <c r="Q3001" t="s">
        <v>733</v>
      </c>
      <c r="R3001" t="s">
        <v>734</v>
      </c>
    </row>
    <row r="3002" spans="1:18" x14ac:dyDescent="0.25">
      <c r="A3002" t="s">
        <v>19548</v>
      </c>
      <c r="B3002" t="s">
        <v>780</v>
      </c>
      <c r="C3002" t="str">
        <f>HYPERLINK("https://nematode.unl.edu/dorlon2.jpg")</f>
        <v>https://nematode.unl.edu/dorlon2.jpg</v>
      </c>
      <c r="D3002" t="s">
        <v>43</v>
      </c>
      <c r="G3002" t="s">
        <v>51</v>
      </c>
      <c r="I3002" t="s">
        <v>19</v>
      </c>
      <c r="J3002" t="s">
        <v>20</v>
      </c>
      <c r="L3002" t="s">
        <v>141</v>
      </c>
      <c r="M3002" t="s">
        <v>778</v>
      </c>
      <c r="N3002" t="s">
        <v>779</v>
      </c>
      <c r="O3002" t="s">
        <v>73</v>
      </c>
      <c r="P3002" t="s">
        <v>81</v>
      </c>
      <c r="Q3002" t="s">
        <v>733</v>
      </c>
      <c r="R3002" t="s">
        <v>734</v>
      </c>
    </row>
    <row r="3003" spans="1:18" x14ac:dyDescent="0.25">
      <c r="A3003" t="s">
        <v>19547</v>
      </c>
      <c r="B3003" t="s">
        <v>781</v>
      </c>
      <c r="C3003" t="str">
        <f>HYPERLINK("https://nematode.unl.edu/dorlon3.jpg")</f>
        <v>https://nematode.unl.edu/dorlon3.jpg</v>
      </c>
      <c r="D3003" t="s">
        <v>43</v>
      </c>
      <c r="G3003" t="s">
        <v>28</v>
      </c>
      <c r="I3003" t="s">
        <v>19</v>
      </c>
      <c r="J3003" t="s">
        <v>20</v>
      </c>
      <c r="L3003" t="s">
        <v>141</v>
      </c>
      <c r="M3003" t="s">
        <v>778</v>
      </c>
      <c r="N3003" t="s">
        <v>779</v>
      </c>
      <c r="O3003" t="s">
        <v>73</v>
      </c>
      <c r="P3003" t="s">
        <v>81</v>
      </c>
      <c r="Q3003" t="s">
        <v>733</v>
      </c>
      <c r="R3003" t="s">
        <v>734</v>
      </c>
    </row>
    <row r="3004" spans="1:18" x14ac:dyDescent="0.25">
      <c r="A3004" t="s">
        <v>19546</v>
      </c>
      <c r="B3004" t="s">
        <v>782</v>
      </c>
      <c r="C3004" t="str">
        <f>HYPERLINK("https://nematode.unl.edu/dorlon4.jpg")</f>
        <v>https://nematode.unl.edu/dorlon4.jpg</v>
      </c>
      <c r="D3004" t="s">
        <v>43</v>
      </c>
      <c r="G3004" t="s">
        <v>34</v>
      </c>
      <c r="H3004" t="s">
        <v>18</v>
      </c>
      <c r="I3004" t="s">
        <v>41</v>
      </c>
      <c r="J3004" t="s">
        <v>20</v>
      </c>
      <c r="L3004" t="s">
        <v>141</v>
      </c>
      <c r="M3004" t="s">
        <v>778</v>
      </c>
      <c r="N3004" t="s">
        <v>779</v>
      </c>
      <c r="O3004" t="s">
        <v>73</v>
      </c>
      <c r="P3004" t="s">
        <v>81</v>
      </c>
      <c r="Q3004" t="s">
        <v>733</v>
      </c>
      <c r="R3004" t="s">
        <v>734</v>
      </c>
    </row>
    <row r="3005" spans="1:18" x14ac:dyDescent="0.25">
      <c r="A3005" t="s">
        <v>19549</v>
      </c>
      <c r="B3005" t="s">
        <v>783</v>
      </c>
      <c r="C3005" t="str">
        <f>HYPERLINK("https://nematode.unl.edu/dorlon5.jpg")</f>
        <v>https://nematode.unl.edu/dorlon5.jpg</v>
      </c>
      <c r="D3005" t="s">
        <v>43</v>
      </c>
      <c r="G3005" t="s">
        <v>51</v>
      </c>
      <c r="I3005" t="s">
        <v>41</v>
      </c>
      <c r="J3005" t="s">
        <v>20</v>
      </c>
      <c r="L3005" t="s">
        <v>141</v>
      </c>
      <c r="M3005" t="s">
        <v>778</v>
      </c>
      <c r="N3005" t="s">
        <v>779</v>
      </c>
      <c r="O3005" t="s">
        <v>73</v>
      </c>
      <c r="P3005" t="s">
        <v>81</v>
      </c>
      <c r="Q3005" t="s">
        <v>733</v>
      </c>
      <c r="R3005" t="s">
        <v>734</v>
      </c>
    </row>
    <row r="3006" spans="1:18" x14ac:dyDescent="0.25">
      <c r="A3006" t="s">
        <v>19555</v>
      </c>
      <c r="B3006" t="s">
        <v>795</v>
      </c>
      <c r="C3006" t="str">
        <f>HYPERLINK("https://nematode.unl.edu/dormont1.jpg")</f>
        <v>https://nematode.unl.edu/dormont1.jpg</v>
      </c>
      <c r="D3006" t="s">
        <v>43</v>
      </c>
      <c r="G3006" t="s">
        <v>44</v>
      </c>
      <c r="I3006" t="s">
        <v>45</v>
      </c>
      <c r="J3006" t="s">
        <v>20</v>
      </c>
      <c r="L3006" t="s">
        <v>183</v>
      </c>
      <c r="M3006" t="s">
        <v>796</v>
      </c>
      <c r="N3006" t="s">
        <v>786</v>
      </c>
      <c r="O3006" t="s">
        <v>73</v>
      </c>
      <c r="P3006" t="s">
        <v>81</v>
      </c>
      <c r="Q3006" t="s">
        <v>733</v>
      </c>
      <c r="R3006" t="s">
        <v>734</v>
      </c>
    </row>
    <row r="3007" spans="1:18" x14ac:dyDescent="0.25">
      <c r="A3007" t="s">
        <v>19550</v>
      </c>
      <c r="B3007" t="s">
        <v>797</v>
      </c>
      <c r="C3007" t="str">
        <f>HYPERLINK("https://nematode.unl.edu/dormont10.jpg")</f>
        <v>https://nematode.unl.edu/dormont10.jpg</v>
      </c>
      <c r="D3007" t="s">
        <v>43</v>
      </c>
      <c r="G3007" t="s">
        <v>34</v>
      </c>
      <c r="H3007" t="s">
        <v>18</v>
      </c>
      <c r="I3007" t="s">
        <v>41</v>
      </c>
      <c r="J3007" t="s">
        <v>20</v>
      </c>
      <c r="L3007" t="s">
        <v>38</v>
      </c>
      <c r="M3007" t="s">
        <v>796</v>
      </c>
      <c r="N3007" t="s">
        <v>786</v>
      </c>
      <c r="O3007" t="s">
        <v>73</v>
      </c>
      <c r="P3007" t="s">
        <v>81</v>
      </c>
      <c r="Q3007" t="s">
        <v>733</v>
      </c>
      <c r="R3007" t="s">
        <v>734</v>
      </c>
    </row>
    <row r="3008" spans="1:18" x14ac:dyDescent="0.25">
      <c r="A3008" t="s">
        <v>19556</v>
      </c>
      <c r="B3008" t="s">
        <v>798</v>
      </c>
      <c r="C3008" t="str">
        <f>HYPERLINK("https://nematode.unl.edu/dormont11.jpg")</f>
        <v>https://nematode.unl.edu/dormont11.jpg</v>
      </c>
      <c r="D3008" t="s">
        <v>43</v>
      </c>
      <c r="G3008" t="s">
        <v>28</v>
      </c>
      <c r="I3008" t="s">
        <v>41</v>
      </c>
      <c r="J3008" t="s">
        <v>20</v>
      </c>
      <c r="L3008" t="s">
        <v>38</v>
      </c>
      <c r="M3008" t="s">
        <v>796</v>
      </c>
      <c r="N3008" t="s">
        <v>786</v>
      </c>
      <c r="O3008" t="s">
        <v>73</v>
      </c>
      <c r="P3008" t="s">
        <v>81</v>
      </c>
      <c r="Q3008" t="s">
        <v>733</v>
      </c>
      <c r="R3008" t="s">
        <v>734</v>
      </c>
    </row>
    <row r="3009" spans="1:18" x14ac:dyDescent="0.25">
      <c r="A3009" t="s">
        <v>19551</v>
      </c>
      <c r="B3009" t="s">
        <v>799</v>
      </c>
      <c r="C3009" t="str">
        <f>HYPERLINK("https://nematode.unl.edu/dormont12.jpg")</f>
        <v>https://nematode.unl.edu/dormont12.jpg</v>
      </c>
      <c r="D3009" t="s">
        <v>43</v>
      </c>
      <c r="G3009" t="s">
        <v>34</v>
      </c>
      <c r="H3009" t="s">
        <v>18</v>
      </c>
      <c r="I3009" t="s">
        <v>19</v>
      </c>
      <c r="J3009" t="s">
        <v>20</v>
      </c>
      <c r="L3009" t="s">
        <v>38</v>
      </c>
      <c r="M3009" t="s">
        <v>796</v>
      </c>
      <c r="N3009" t="s">
        <v>786</v>
      </c>
      <c r="O3009" t="s">
        <v>73</v>
      </c>
      <c r="P3009" t="s">
        <v>81</v>
      </c>
      <c r="Q3009" t="s">
        <v>733</v>
      </c>
      <c r="R3009" t="s">
        <v>734</v>
      </c>
    </row>
    <row r="3010" spans="1:18" x14ac:dyDescent="0.25">
      <c r="A3010" t="s">
        <v>19552</v>
      </c>
      <c r="B3010" t="s">
        <v>800</v>
      </c>
      <c r="C3010" t="str">
        <f>HYPERLINK("https://nematode.unl.edu/dormont2.jpg")</f>
        <v>https://nematode.unl.edu/dormont2.jpg</v>
      </c>
      <c r="D3010" t="s">
        <v>43</v>
      </c>
      <c r="G3010" t="s">
        <v>34</v>
      </c>
      <c r="H3010" t="s">
        <v>18</v>
      </c>
      <c r="I3010" t="s">
        <v>137</v>
      </c>
      <c r="J3010" t="s">
        <v>20</v>
      </c>
      <c r="L3010" t="s">
        <v>38</v>
      </c>
      <c r="M3010" t="s">
        <v>796</v>
      </c>
      <c r="N3010" t="s">
        <v>786</v>
      </c>
      <c r="O3010" t="s">
        <v>73</v>
      </c>
      <c r="P3010" t="s">
        <v>81</v>
      </c>
      <c r="Q3010" t="s">
        <v>733</v>
      </c>
      <c r="R3010" t="s">
        <v>734</v>
      </c>
    </row>
    <row r="3011" spans="1:18" x14ac:dyDescent="0.25">
      <c r="A3011" t="s">
        <v>19559</v>
      </c>
      <c r="B3011" t="s">
        <v>801</v>
      </c>
      <c r="C3011" t="str">
        <f>HYPERLINK("https://nematode.unl.edu/dormont3.jpg")</f>
        <v>https://nematode.unl.edu/dormont3.jpg</v>
      </c>
      <c r="D3011" t="s">
        <v>43</v>
      </c>
      <c r="G3011" t="s">
        <v>51</v>
      </c>
      <c r="I3011" t="s">
        <v>137</v>
      </c>
      <c r="J3011" t="s">
        <v>20</v>
      </c>
      <c r="L3011" t="s">
        <v>38</v>
      </c>
      <c r="M3011" t="s">
        <v>796</v>
      </c>
      <c r="N3011" t="s">
        <v>786</v>
      </c>
      <c r="O3011" t="s">
        <v>73</v>
      </c>
      <c r="P3011" t="s">
        <v>81</v>
      </c>
      <c r="Q3011" t="s">
        <v>733</v>
      </c>
      <c r="R3011" t="s">
        <v>734</v>
      </c>
    </row>
    <row r="3012" spans="1:18" x14ac:dyDescent="0.25">
      <c r="A3012" t="s">
        <v>19557</v>
      </c>
      <c r="B3012" t="s">
        <v>802</v>
      </c>
      <c r="C3012" t="str">
        <f>HYPERLINK("https://nematode.unl.edu/dormont4.jpg")</f>
        <v>https://nematode.unl.edu/dormont4.jpg</v>
      </c>
      <c r="D3012" t="s">
        <v>43</v>
      </c>
      <c r="G3012" t="s">
        <v>28</v>
      </c>
      <c r="I3012" t="s">
        <v>137</v>
      </c>
      <c r="J3012" t="s">
        <v>20</v>
      </c>
      <c r="L3012" t="s">
        <v>38</v>
      </c>
      <c r="M3012" t="s">
        <v>796</v>
      </c>
      <c r="N3012" t="s">
        <v>786</v>
      </c>
      <c r="O3012" t="s">
        <v>73</v>
      </c>
      <c r="P3012" t="s">
        <v>81</v>
      </c>
      <c r="Q3012" t="s">
        <v>733</v>
      </c>
      <c r="R3012" t="s">
        <v>734</v>
      </c>
    </row>
    <row r="3013" spans="1:18" x14ac:dyDescent="0.25">
      <c r="A3013" t="s">
        <v>19553</v>
      </c>
      <c r="B3013" t="s">
        <v>803</v>
      </c>
      <c r="C3013" t="str">
        <f>HYPERLINK("https://nematode.unl.edu/dormont5.jpg")</f>
        <v>https://nematode.unl.edu/dormont5.jpg</v>
      </c>
      <c r="D3013" t="s">
        <v>43</v>
      </c>
      <c r="G3013" t="s">
        <v>34</v>
      </c>
      <c r="H3013" t="s">
        <v>18</v>
      </c>
      <c r="I3013" t="s">
        <v>19</v>
      </c>
      <c r="J3013" t="s">
        <v>20</v>
      </c>
      <c r="L3013" t="s">
        <v>38</v>
      </c>
      <c r="M3013" t="s">
        <v>796</v>
      </c>
      <c r="N3013" t="s">
        <v>786</v>
      </c>
      <c r="O3013" t="s">
        <v>73</v>
      </c>
      <c r="P3013" t="s">
        <v>81</v>
      </c>
      <c r="Q3013" t="s">
        <v>733</v>
      </c>
      <c r="R3013" t="s">
        <v>734</v>
      </c>
    </row>
    <row r="3014" spans="1:18" x14ac:dyDescent="0.25">
      <c r="A3014" t="s">
        <v>19560</v>
      </c>
      <c r="B3014" t="s">
        <v>804</v>
      </c>
      <c r="C3014" t="str">
        <f>HYPERLINK("https://nematode.unl.edu/dormont6.jpg")</f>
        <v>https://nematode.unl.edu/dormont6.jpg</v>
      </c>
      <c r="D3014" t="s">
        <v>43</v>
      </c>
      <c r="G3014" t="s">
        <v>51</v>
      </c>
      <c r="I3014" t="s">
        <v>19</v>
      </c>
      <c r="J3014" t="s">
        <v>20</v>
      </c>
      <c r="L3014" t="s">
        <v>38</v>
      </c>
      <c r="M3014" t="s">
        <v>796</v>
      </c>
      <c r="N3014" t="s">
        <v>786</v>
      </c>
      <c r="O3014" t="s">
        <v>73</v>
      </c>
      <c r="P3014" t="s">
        <v>81</v>
      </c>
      <c r="Q3014" t="s">
        <v>733</v>
      </c>
      <c r="R3014" t="s">
        <v>734</v>
      </c>
    </row>
    <row r="3015" spans="1:18" x14ac:dyDescent="0.25">
      <c r="A3015" t="s">
        <v>19558</v>
      </c>
      <c r="B3015" t="s">
        <v>805</v>
      </c>
      <c r="C3015" t="str">
        <f>HYPERLINK("https://nematode.unl.edu/dormont7.jpg")</f>
        <v>https://nematode.unl.edu/dormont7.jpg</v>
      </c>
      <c r="D3015" t="s">
        <v>43</v>
      </c>
      <c r="G3015" t="s">
        <v>28</v>
      </c>
      <c r="I3015" t="s">
        <v>19</v>
      </c>
      <c r="J3015" t="s">
        <v>20</v>
      </c>
      <c r="L3015" t="s">
        <v>38</v>
      </c>
      <c r="M3015" t="s">
        <v>796</v>
      </c>
      <c r="N3015" t="s">
        <v>786</v>
      </c>
      <c r="O3015" t="s">
        <v>73</v>
      </c>
      <c r="P3015" t="s">
        <v>81</v>
      </c>
      <c r="Q3015" t="s">
        <v>733</v>
      </c>
      <c r="R3015" t="s">
        <v>734</v>
      </c>
    </row>
    <row r="3016" spans="1:18" x14ac:dyDescent="0.25">
      <c r="A3016" t="s">
        <v>19554</v>
      </c>
      <c r="B3016" t="s">
        <v>806</v>
      </c>
      <c r="C3016" t="str">
        <f>HYPERLINK("https://nematode.unl.edu/dormont8.jpg")</f>
        <v>https://nematode.unl.edu/dormont8.jpg</v>
      </c>
      <c r="D3016" t="s">
        <v>43</v>
      </c>
      <c r="G3016" t="s">
        <v>34</v>
      </c>
      <c r="H3016" t="s">
        <v>18</v>
      </c>
      <c r="I3016" t="s">
        <v>41</v>
      </c>
      <c r="J3016" t="s">
        <v>20</v>
      </c>
      <c r="L3016" t="s">
        <v>38</v>
      </c>
      <c r="M3016" t="s">
        <v>796</v>
      </c>
      <c r="N3016" t="s">
        <v>786</v>
      </c>
      <c r="O3016" t="s">
        <v>73</v>
      </c>
      <c r="P3016" t="s">
        <v>81</v>
      </c>
      <c r="Q3016" t="s">
        <v>733</v>
      </c>
      <c r="R3016" t="s">
        <v>734</v>
      </c>
    </row>
    <row r="3017" spans="1:18" x14ac:dyDescent="0.25">
      <c r="A3017" t="s">
        <v>19561</v>
      </c>
      <c r="B3017" t="s">
        <v>807</v>
      </c>
      <c r="C3017" t="str">
        <f>HYPERLINK("https://nematode.unl.edu/dormont9.jpg")</f>
        <v>https://nematode.unl.edu/dormont9.jpg</v>
      </c>
      <c r="D3017" t="s">
        <v>43</v>
      </c>
      <c r="G3017" t="s">
        <v>51</v>
      </c>
      <c r="I3017" t="s">
        <v>41</v>
      </c>
      <c r="J3017" t="s">
        <v>20</v>
      </c>
      <c r="L3017" t="s">
        <v>38</v>
      </c>
      <c r="M3017" t="s">
        <v>796</v>
      </c>
      <c r="N3017" t="s">
        <v>786</v>
      </c>
      <c r="O3017" t="s">
        <v>73</v>
      </c>
      <c r="P3017" t="s">
        <v>81</v>
      </c>
      <c r="Q3017" t="s">
        <v>733</v>
      </c>
      <c r="R3017" t="s">
        <v>734</v>
      </c>
    </row>
    <row r="3018" spans="1:18" x14ac:dyDescent="0.25">
      <c r="A3018" t="s">
        <v>19563</v>
      </c>
      <c r="B3018" t="s">
        <v>819</v>
      </c>
      <c r="C3018" t="str">
        <f>HYPERLINK("https://nematode.unl.edu/dorocc1.jpg")</f>
        <v>https://nematode.unl.edu/dorocc1.jpg</v>
      </c>
      <c r="D3018" t="s">
        <v>43</v>
      </c>
      <c r="G3018" t="s">
        <v>96</v>
      </c>
      <c r="H3018" t="s">
        <v>18</v>
      </c>
      <c r="I3018" t="s">
        <v>19</v>
      </c>
      <c r="J3018" t="s">
        <v>127</v>
      </c>
      <c r="L3018" t="s">
        <v>128</v>
      </c>
      <c r="M3018" t="s">
        <v>809</v>
      </c>
      <c r="N3018" t="s">
        <v>810</v>
      </c>
      <c r="O3018" t="s">
        <v>73</v>
      </c>
      <c r="P3018" t="s">
        <v>81</v>
      </c>
      <c r="Q3018" t="s">
        <v>733</v>
      </c>
      <c r="R3018" t="s">
        <v>734</v>
      </c>
    </row>
    <row r="3019" spans="1:18" x14ac:dyDescent="0.25">
      <c r="A3019" t="s">
        <v>19594</v>
      </c>
      <c r="B3019" t="s">
        <v>820</v>
      </c>
      <c r="C3019" t="str">
        <f>HYPERLINK("https://nematode.unl.edu/dorocc2.jpg")</f>
        <v>https://nematode.unl.edu/dorocc2.jpg</v>
      </c>
      <c r="D3019" t="s">
        <v>43</v>
      </c>
      <c r="G3019" t="s">
        <v>51</v>
      </c>
      <c r="I3019" t="s">
        <v>19</v>
      </c>
      <c r="J3019" t="s">
        <v>127</v>
      </c>
      <c r="L3019" t="s">
        <v>128</v>
      </c>
      <c r="M3019" t="s">
        <v>809</v>
      </c>
      <c r="N3019" t="s">
        <v>810</v>
      </c>
      <c r="O3019" t="s">
        <v>73</v>
      </c>
      <c r="P3019" t="s">
        <v>81</v>
      </c>
      <c r="Q3019" t="s">
        <v>733</v>
      </c>
      <c r="R3019" t="s">
        <v>734</v>
      </c>
    </row>
    <row r="3020" spans="1:18" x14ac:dyDescent="0.25">
      <c r="A3020" t="s">
        <v>19587</v>
      </c>
      <c r="B3020" t="s">
        <v>821</v>
      </c>
      <c r="C3020" t="str">
        <f>HYPERLINK("https://nematode.unl.edu/dorocc3.jpg")</f>
        <v>https://nematode.unl.edu/dorocc3.jpg</v>
      </c>
      <c r="D3020" t="s">
        <v>43</v>
      </c>
      <c r="G3020" t="s">
        <v>28</v>
      </c>
      <c r="I3020" t="s">
        <v>19</v>
      </c>
      <c r="J3020" t="s">
        <v>127</v>
      </c>
      <c r="L3020" t="s">
        <v>128</v>
      </c>
      <c r="M3020" t="s">
        <v>809</v>
      </c>
      <c r="N3020" t="s">
        <v>810</v>
      </c>
      <c r="O3020" t="s">
        <v>73</v>
      </c>
      <c r="P3020" t="s">
        <v>81</v>
      </c>
      <c r="Q3020" t="s">
        <v>733</v>
      </c>
      <c r="R3020" t="s">
        <v>734</v>
      </c>
    </row>
    <row r="3021" spans="1:18" x14ac:dyDescent="0.25">
      <c r="A3021" t="s">
        <v>19567</v>
      </c>
      <c r="B3021" t="s">
        <v>822</v>
      </c>
      <c r="C3021" t="str">
        <f>HYPERLINK("https://nematode.unl.edu/dorocc4.jpg")</f>
        <v>https://nematode.unl.edu/dorocc4.jpg</v>
      </c>
      <c r="D3021" t="s">
        <v>43</v>
      </c>
      <c r="G3021" t="s">
        <v>34</v>
      </c>
      <c r="H3021" t="s">
        <v>18</v>
      </c>
      <c r="I3021" t="s">
        <v>19</v>
      </c>
      <c r="J3021" t="s">
        <v>127</v>
      </c>
      <c r="L3021" t="s">
        <v>128</v>
      </c>
      <c r="M3021" t="s">
        <v>809</v>
      </c>
      <c r="N3021" t="s">
        <v>810</v>
      </c>
      <c r="O3021" t="s">
        <v>73</v>
      </c>
      <c r="P3021" t="s">
        <v>81</v>
      </c>
      <c r="Q3021" t="s">
        <v>733</v>
      </c>
      <c r="R3021" t="s">
        <v>734</v>
      </c>
    </row>
    <row r="3022" spans="1:18" x14ac:dyDescent="0.25">
      <c r="A3022" t="s">
        <v>19595</v>
      </c>
      <c r="B3022" t="s">
        <v>823</v>
      </c>
      <c r="C3022" t="str">
        <f>HYPERLINK("https://nematode.unl.edu/dorocc5.jpg")</f>
        <v>https://nematode.unl.edu/dorocc5.jpg</v>
      </c>
      <c r="D3022" t="s">
        <v>43</v>
      </c>
      <c r="G3022" t="s">
        <v>51</v>
      </c>
      <c r="I3022" t="s">
        <v>19</v>
      </c>
      <c r="J3022" t="s">
        <v>127</v>
      </c>
      <c r="L3022" t="s">
        <v>128</v>
      </c>
      <c r="M3022" t="s">
        <v>809</v>
      </c>
      <c r="N3022" t="s">
        <v>810</v>
      </c>
      <c r="O3022" t="s">
        <v>73</v>
      </c>
      <c r="P3022" t="s">
        <v>81</v>
      </c>
      <c r="Q3022" t="s">
        <v>733</v>
      </c>
      <c r="R3022" t="s">
        <v>734</v>
      </c>
    </row>
    <row r="3023" spans="1:18" x14ac:dyDescent="0.25">
      <c r="A3023" t="s">
        <v>19588</v>
      </c>
      <c r="B3023" t="s">
        <v>824</v>
      </c>
      <c r="C3023" t="str">
        <f>HYPERLINK("https://nematode.unl.edu/dorocc6.jpg")</f>
        <v>https://nematode.unl.edu/dorocc6.jpg</v>
      </c>
      <c r="D3023" t="s">
        <v>43</v>
      </c>
      <c r="G3023" t="s">
        <v>28</v>
      </c>
      <c r="I3023" t="s">
        <v>19</v>
      </c>
      <c r="J3023" t="s">
        <v>127</v>
      </c>
      <c r="L3023" t="s">
        <v>128</v>
      </c>
      <c r="M3023" t="s">
        <v>809</v>
      </c>
      <c r="N3023" t="s">
        <v>810</v>
      </c>
      <c r="O3023" t="s">
        <v>73</v>
      </c>
      <c r="P3023" t="s">
        <v>81</v>
      </c>
      <c r="Q3023" t="s">
        <v>733</v>
      </c>
      <c r="R3023" t="s">
        <v>734</v>
      </c>
    </row>
    <row r="3024" spans="1:18" x14ac:dyDescent="0.25">
      <c r="A3024" t="s">
        <v>19599</v>
      </c>
      <c r="B3024" t="s">
        <v>730</v>
      </c>
      <c r="C3024" t="str">
        <f>HYPERLINK("https://nematode.unl.edu/dorpa1.jpg")</f>
        <v>https://nematode.unl.edu/dorpa1.jpg</v>
      </c>
      <c r="D3024" t="s">
        <v>43</v>
      </c>
      <c r="G3024" t="s">
        <v>34</v>
      </c>
      <c r="H3024" t="s">
        <v>18</v>
      </c>
      <c r="I3024" t="s">
        <v>19</v>
      </c>
      <c r="J3024" t="s">
        <v>20</v>
      </c>
      <c r="L3024" t="s">
        <v>173</v>
      </c>
      <c r="M3024" t="s">
        <v>731</v>
      </c>
      <c r="N3024" t="s">
        <v>732</v>
      </c>
      <c r="O3024" t="s">
        <v>73</v>
      </c>
      <c r="P3024" t="s">
        <v>81</v>
      </c>
      <c r="Q3024" t="s">
        <v>733</v>
      </c>
      <c r="R3024" t="s">
        <v>734</v>
      </c>
    </row>
    <row r="3025" spans="1:18" x14ac:dyDescent="0.25">
      <c r="A3025" t="s">
        <v>19600</v>
      </c>
      <c r="B3025" t="s">
        <v>735</v>
      </c>
      <c r="C3025" t="str">
        <f>HYPERLINK("https://nematode.unl.edu/dorpa10.jpg")</f>
        <v>https://nematode.unl.edu/dorpa10.jpg</v>
      </c>
      <c r="D3025" t="s">
        <v>43</v>
      </c>
      <c r="G3025" t="s">
        <v>34</v>
      </c>
      <c r="H3025" t="s">
        <v>18</v>
      </c>
      <c r="I3025" t="s">
        <v>41</v>
      </c>
      <c r="J3025" t="s">
        <v>20</v>
      </c>
      <c r="L3025" t="s">
        <v>173</v>
      </c>
      <c r="M3025" t="s">
        <v>731</v>
      </c>
      <c r="N3025" t="s">
        <v>732</v>
      </c>
      <c r="O3025" t="s">
        <v>73</v>
      </c>
      <c r="P3025" t="s">
        <v>81</v>
      </c>
      <c r="Q3025" t="s">
        <v>733</v>
      </c>
      <c r="R3025" t="s">
        <v>734</v>
      </c>
    </row>
    <row r="3026" spans="1:18" x14ac:dyDescent="0.25">
      <c r="A3026" t="s">
        <v>19603</v>
      </c>
      <c r="B3026" t="s">
        <v>736</v>
      </c>
      <c r="C3026" t="str">
        <f>HYPERLINK("https://nematode.unl.edu/dorpa2.jpg")</f>
        <v>https://nematode.unl.edu/dorpa2.jpg</v>
      </c>
      <c r="D3026" t="s">
        <v>43</v>
      </c>
      <c r="G3026" t="s">
        <v>87</v>
      </c>
      <c r="I3026" t="s">
        <v>19</v>
      </c>
      <c r="J3026" t="s">
        <v>20</v>
      </c>
      <c r="L3026" t="s">
        <v>173</v>
      </c>
      <c r="M3026" t="s">
        <v>731</v>
      </c>
      <c r="N3026" t="s">
        <v>732</v>
      </c>
      <c r="O3026" t="s">
        <v>73</v>
      </c>
      <c r="P3026" t="s">
        <v>81</v>
      </c>
      <c r="Q3026" t="s">
        <v>733</v>
      </c>
      <c r="R3026" t="s">
        <v>734</v>
      </c>
    </row>
    <row r="3027" spans="1:18" x14ac:dyDescent="0.25">
      <c r="A3027" t="s">
        <v>19606</v>
      </c>
      <c r="B3027" t="s">
        <v>737</v>
      </c>
      <c r="C3027" t="str">
        <f>HYPERLINK("https://nematode.unl.edu/dorpa3.jpg")</f>
        <v>https://nematode.unl.edu/dorpa3.jpg</v>
      </c>
      <c r="D3027" t="s">
        <v>43</v>
      </c>
      <c r="G3027" t="s">
        <v>28</v>
      </c>
      <c r="I3027" t="s">
        <v>19</v>
      </c>
      <c r="J3027" t="s">
        <v>20</v>
      </c>
      <c r="L3027" t="s">
        <v>173</v>
      </c>
      <c r="M3027" t="s">
        <v>731</v>
      </c>
      <c r="N3027" t="s">
        <v>732</v>
      </c>
      <c r="O3027" t="s">
        <v>73</v>
      </c>
      <c r="P3027" t="s">
        <v>81</v>
      </c>
      <c r="Q3027" t="s">
        <v>733</v>
      </c>
      <c r="R3027" t="s">
        <v>734</v>
      </c>
    </row>
    <row r="3028" spans="1:18" x14ac:dyDescent="0.25">
      <c r="A3028" t="s">
        <v>19607</v>
      </c>
      <c r="B3028" t="s">
        <v>738</v>
      </c>
      <c r="C3028" t="str">
        <f>HYPERLINK("https://nematode.unl.edu/dorpa4.jpg")</f>
        <v>https://nematode.unl.edu/dorpa4.jpg</v>
      </c>
      <c r="D3028" t="s">
        <v>43</v>
      </c>
      <c r="G3028" t="s">
        <v>51</v>
      </c>
      <c r="I3028" t="s">
        <v>41</v>
      </c>
      <c r="J3028" t="s">
        <v>20</v>
      </c>
      <c r="L3028" t="s">
        <v>173</v>
      </c>
      <c r="M3028" t="s">
        <v>731</v>
      </c>
      <c r="N3028" t="s">
        <v>732</v>
      </c>
      <c r="O3028" t="s">
        <v>73</v>
      </c>
      <c r="P3028" t="s">
        <v>81</v>
      </c>
      <c r="Q3028" t="s">
        <v>733</v>
      </c>
      <c r="R3028" t="s">
        <v>734</v>
      </c>
    </row>
    <row r="3029" spans="1:18" x14ac:dyDescent="0.25">
      <c r="A3029" t="s">
        <v>19604</v>
      </c>
      <c r="B3029" t="s">
        <v>739</v>
      </c>
      <c r="C3029" t="str">
        <f>HYPERLINK("https://nematode.unl.edu/dorpa5.jpg")</f>
        <v>https://nematode.unl.edu/dorpa5.jpg</v>
      </c>
      <c r="D3029" t="s">
        <v>43</v>
      </c>
      <c r="G3029" t="s">
        <v>87</v>
      </c>
      <c r="I3029" t="s">
        <v>41</v>
      </c>
      <c r="J3029" t="s">
        <v>20</v>
      </c>
      <c r="L3029" t="s">
        <v>173</v>
      </c>
      <c r="M3029" t="s">
        <v>731</v>
      </c>
      <c r="N3029" t="s">
        <v>732</v>
      </c>
      <c r="O3029" t="s">
        <v>73</v>
      </c>
      <c r="P3029" t="s">
        <v>81</v>
      </c>
      <c r="Q3029" t="s">
        <v>733</v>
      </c>
      <c r="R3029" t="s">
        <v>734</v>
      </c>
    </row>
    <row r="3030" spans="1:18" x14ac:dyDescent="0.25">
      <c r="A3030" t="s">
        <v>19601</v>
      </c>
      <c r="B3030" t="s">
        <v>740</v>
      </c>
      <c r="C3030" t="str">
        <f>HYPERLINK("https://nematode.unl.edu/dorpa6.jpg")</f>
        <v>https://nematode.unl.edu/dorpa6.jpg</v>
      </c>
      <c r="D3030" t="s">
        <v>43</v>
      </c>
      <c r="G3030" t="s">
        <v>34</v>
      </c>
      <c r="H3030" t="s">
        <v>18</v>
      </c>
      <c r="I3030" t="s">
        <v>41</v>
      </c>
      <c r="J3030" t="s">
        <v>20</v>
      </c>
      <c r="L3030" t="s">
        <v>173</v>
      </c>
      <c r="M3030" t="s">
        <v>731</v>
      </c>
      <c r="N3030" t="s">
        <v>732</v>
      </c>
      <c r="O3030" t="s">
        <v>73</v>
      </c>
      <c r="P3030" t="s">
        <v>81</v>
      </c>
      <c r="Q3030" t="s">
        <v>733</v>
      </c>
      <c r="R3030" t="s">
        <v>734</v>
      </c>
    </row>
    <row r="3031" spans="1:18" x14ac:dyDescent="0.25">
      <c r="A3031" t="s">
        <v>19605</v>
      </c>
      <c r="B3031" t="s">
        <v>741</v>
      </c>
      <c r="C3031" t="str">
        <f>HYPERLINK("https://nematode.unl.edu/dorpa7.jpg")</f>
        <v>https://nematode.unl.edu/dorpa7.jpg</v>
      </c>
      <c r="D3031" t="s">
        <v>43</v>
      </c>
      <c r="G3031" t="s">
        <v>44</v>
      </c>
      <c r="I3031" t="s">
        <v>45</v>
      </c>
      <c r="J3031" t="s">
        <v>20</v>
      </c>
      <c r="L3031" t="s">
        <v>173</v>
      </c>
      <c r="M3031" t="s">
        <v>731</v>
      </c>
      <c r="N3031" t="s">
        <v>732</v>
      </c>
      <c r="O3031" t="s">
        <v>73</v>
      </c>
      <c r="P3031" t="s">
        <v>81</v>
      </c>
      <c r="Q3031" t="s">
        <v>733</v>
      </c>
      <c r="R3031" t="s">
        <v>734</v>
      </c>
    </row>
    <row r="3032" spans="1:18" x14ac:dyDescent="0.25">
      <c r="A3032" t="s">
        <v>19602</v>
      </c>
      <c r="B3032" t="s">
        <v>742</v>
      </c>
      <c r="C3032" t="str">
        <f>HYPERLINK("https://nematode.unl.edu/dorpa8.jpg")</f>
        <v>https://nematode.unl.edu/dorpa8.jpg</v>
      </c>
      <c r="D3032" t="s">
        <v>43</v>
      </c>
      <c r="G3032" t="s">
        <v>34</v>
      </c>
      <c r="H3032" t="s">
        <v>18</v>
      </c>
      <c r="I3032" t="s">
        <v>19</v>
      </c>
      <c r="J3032" t="s">
        <v>20</v>
      </c>
      <c r="L3032" t="s">
        <v>173</v>
      </c>
      <c r="M3032" t="s">
        <v>731</v>
      </c>
      <c r="N3032" t="s">
        <v>732</v>
      </c>
      <c r="O3032" t="s">
        <v>73</v>
      </c>
      <c r="P3032" t="s">
        <v>81</v>
      </c>
      <c r="Q3032" t="s">
        <v>733</v>
      </c>
      <c r="R3032" t="s">
        <v>734</v>
      </c>
    </row>
    <row r="3033" spans="1:18" x14ac:dyDescent="0.25">
      <c r="A3033" t="s">
        <v>19608</v>
      </c>
      <c r="B3033" t="s">
        <v>743</v>
      </c>
      <c r="C3033" t="str">
        <f>HYPERLINK("https://nematode.unl.edu/dorpa9.jpg")</f>
        <v>https://nematode.unl.edu/dorpa9.jpg</v>
      </c>
      <c r="D3033" t="s">
        <v>43</v>
      </c>
      <c r="G3033" t="s">
        <v>51</v>
      </c>
      <c r="I3033" t="s">
        <v>19</v>
      </c>
      <c r="J3033" t="s">
        <v>20</v>
      </c>
      <c r="L3033" t="s">
        <v>173</v>
      </c>
      <c r="M3033" t="s">
        <v>731</v>
      </c>
      <c r="N3033" t="s">
        <v>732</v>
      </c>
      <c r="O3033" t="s">
        <v>73</v>
      </c>
      <c r="P3033" t="s">
        <v>81</v>
      </c>
      <c r="Q3033" t="s">
        <v>733</v>
      </c>
      <c r="R3033" t="s">
        <v>734</v>
      </c>
    </row>
    <row r="3034" spans="1:18" x14ac:dyDescent="0.25">
      <c r="A3034" t="s">
        <v>19668</v>
      </c>
      <c r="B3034" t="s">
        <v>879</v>
      </c>
      <c r="C3034" t="str">
        <f>HYPERLINK("https://nematode.unl.edu/dorspic.jpg")</f>
        <v>https://nematode.unl.edu/dorspic.jpg</v>
      </c>
      <c r="D3034" t="s">
        <v>77</v>
      </c>
      <c r="G3034" t="s">
        <v>112</v>
      </c>
      <c r="I3034" t="s">
        <v>19</v>
      </c>
      <c r="J3034" t="s">
        <v>46</v>
      </c>
      <c r="L3034" t="s">
        <v>105</v>
      </c>
      <c r="M3034" t="s">
        <v>880</v>
      </c>
      <c r="N3034" t="s">
        <v>881</v>
      </c>
      <c r="O3034" t="s">
        <v>73</v>
      </c>
      <c r="P3034" t="s">
        <v>81</v>
      </c>
      <c r="Q3034" t="s">
        <v>733</v>
      </c>
      <c r="R3034" t="s">
        <v>734</v>
      </c>
    </row>
    <row r="3035" spans="1:18" x14ac:dyDescent="0.25">
      <c r="A3035" t="s">
        <v>19611</v>
      </c>
      <c r="B3035" t="s">
        <v>848</v>
      </c>
      <c r="C3035" t="str">
        <f>HYPERLINK("https://nematode.unl.edu/dorten1.jpg")</f>
        <v>https://nematode.unl.edu/dorten1.jpg</v>
      </c>
      <c r="D3035" t="s">
        <v>43</v>
      </c>
      <c r="G3035" t="s">
        <v>34</v>
      </c>
      <c r="H3035" t="s">
        <v>18</v>
      </c>
      <c r="I3035" t="s">
        <v>41</v>
      </c>
      <c r="J3035" t="s">
        <v>20</v>
      </c>
      <c r="L3035" t="s">
        <v>64</v>
      </c>
      <c r="M3035" t="s">
        <v>849</v>
      </c>
      <c r="N3035" t="s">
        <v>850</v>
      </c>
      <c r="O3035" t="s">
        <v>73</v>
      </c>
      <c r="P3035" t="s">
        <v>81</v>
      </c>
      <c r="Q3035" t="s">
        <v>733</v>
      </c>
      <c r="R3035" t="s">
        <v>734</v>
      </c>
    </row>
    <row r="3036" spans="1:18" x14ac:dyDescent="0.25">
      <c r="A3036" t="s">
        <v>19627</v>
      </c>
      <c r="B3036" t="s">
        <v>851</v>
      </c>
      <c r="C3036" t="str">
        <f>HYPERLINK("https://nematode.unl.edu/dorten10.jpg")</f>
        <v>https://nematode.unl.edu/dorten10.jpg</v>
      </c>
      <c r="D3036" t="s">
        <v>43</v>
      </c>
      <c r="G3036" t="s">
        <v>28</v>
      </c>
      <c r="I3036" t="s">
        <v>19</v>
      </c>
      <c r="J3036" t="s">
        <v>20</v>
      </c>
      <c r="L3036" t="s">
        <v>64</v>
      </c>
      <c r="M3036" t="s">
        <v>849</v>
      </c>
      <c r="N3036" t="s">
        <v>850</v>
      </c>
      <c r="O3036" t="s">
        <v>73</v>
      </c>
      <c r="P3036" t="s">
        <v>81</v>
      </c>
      <c r="Q3036" t="s">
        <v>733</v>
      </c>
      <c r="R3036" t="s">
        <v>734</v>
      </c>
    </row>
    <row r="3037" spans="1:18" x14ac:dyDescent="0.25">
      <c r="A3037" t="s">
        <v>19612</v>
      </c>
      <c r="B3037" t="s">
        <v>852</v>
      </c>
      <c r="C3037" t="str">
        <f>HYPERLINK("https://nematode.unl.edu/dorten11.jpg")</f>
        <v>https://nematode.unl.edu/dorten11.jpg</v>
      </c>
      <c r="D3037" t="s">
        <v>16</v>
      </c>
      <c r="G3037" t="s">
        <v>34</v>
      </c>
      <c r="H3037" t="s">
        <v>18</v>
      </c>
      <c r="I3037" t="s">
        <v>19</v>
      </c>
      <c r="J3037" t="s">
        <v>20</v>
      </c>
      <c r="L3037" t="s">
        <v>64</v>
      </c>
      <c r="M3037" t="s">
        <v>849</v>
      </c>
      <c r="N3037" t="s">
        <v>850</v>
      </c>
      <c r="O3037" t="s">
        <v>73</v>
      </c>
      <c r="P3037" t="s">
        <v>81</v>
      </c>
      <c r="Q3037" t="s">
        <v>733</v>
      </c>
      <c r="R3037" t="s">
        <v>734</v>
      </c>
    </row>
    <row r="3038" spans="1:18" x14ac:dyDescent="0.25">
      <c r="A3038" t="s">
        <v>19628</v>
      </c>
      <c r="B3038" t="s">
        <v>853</v>
      </c>
      <c r="C3038" t="str">
        <f>HYPERLINK("https://nematode.unl.edu/dorten12.jpg")</f>
        <v>https://nematode.unl.edu/dorten12.jpg</v>
      </c>
      <c r="D3038" t="s">
        <v>16</v>
      </c>
      <c r="G3038" t="s">
        <v>28</v>
      </c>
      <c r="I3038" t="s">
        <v>19</v>
      </c>
      <c r="J3038" t="s">
        <v>20</v>
      </c>
      <c r="L3038" t="s">
        <v>64</v>
      </c>
      <c r="M3038" t="s">
        <v>849</v>
      </c>
      <c r="N3038" t="s">
        <v>850</v>
      </c>
      <c r="O3038" t="s">
        <v>73</v>
      </c>
      <c r="P3038" t="s">
        <v>81</v>
      </c>
      <c r="Q3038" t="s">
        <v>733</v>
      </c>
      <c r="R3038" t="s">
        <v>734</v>
      </c>
    </row>
    <row r="3039" spans="1:18" x14ac:dyDescent="0.25">
      <c r="A3039" t="s">
        <v>19613</v>
      </c>
      <c r="B3039" t="s">
        <v>854</v>
      </c>
      <c r="C3039" t="str">
        <f>HYPERLINK("https://nematode.unl.edu/dorten13.jpg")</f>
        <v>https://nematode.unl.edu/dorten13.jpg</v>
      </c>
      <c r="D3039" t="s">
        <v>43</v>
      </c>
      <c r="G3039" t="s">
        <v>34</v>
      </c>
      <c r="H3039" t="s">
        <v>18</v>
      </c>
      <c r="I3039" t="s">
        <v>19</v>
      </c>
      <c r="J3039" t="s">
        <v>20</v>
      </c>
      <c r="L3039" t="s">
        <v>64</v>
      </c>
      <c r="M3039" t="s">
        <v>849</v>
      </c>
      <c r="N3039" t="s">
        <v>850</v>
      </c>
      <c r="O3039" t="s">
        <v>73</v>
      </c>
      <c r="P3039" t="s">
        <v>81</v>
      </c>
      <c r="Q3039" t="s">
        <v>733</v>
      </c>
      <c r="R3039" t="s">
        <v>734</v>
      </c>
    </row>
    <row r="3040" spans="1:18" x14ac:dyDescent="0.25">
      <c r="A3040" t="s">
        <v>19626</v>
      </c>
      <c r="B3040" t="s">
        <v>855</v>
      </c>
      <c r="C3040" t="str">
        <f>HYPERLINK("https://nematode.unl.edu/dorten14.jpg")</f>
        <v>https://nematode.unl.edu/dorten14.jpg</v>
      </c>
      <c r="D3040" t="s">
        <v>43</v>
      </c>
      <c r="G3040" t="s">
        <v>856</v>
      </c>
      <c r="I3040" t="s">
        <v>19</v>
      </c>
      <c r="J3040" t="s">
        <v>20</v>
      </c>
      <c r="L3040" t="s">
        <v>64</v>
      </c>
      <c r="M3040" t="s">
        <v>849</v>
      </c>
      <c r="N3040" t="s">
        <v>850</v>
      </c>
      <c r="O3040" t="s">
        <v>73</v>
      </c>
      <c r="P3040" t="s">
        <v>81</v>
      </c>
      <c r="Q3040" t="s">
        <v>733</v>
      </c>
      <c r="R3040" t="s">
        <v>734</v>
      </c>
    </row>
    <row r="3041" spans="1:18" x14ac:dyDescent="0.25">
      <c r="A3041" t="s">
        <v>19621</v>
      </c>
      <c r="B3041" t="s">
        <v>857</v>
      </c>
      <c r="C3041" t="str">
        <f>HYPERLINK("https://nematode.unl.edu/dorten2.jpg")</f>
        <v>https://nematode.unl.edu/dorten2.jpg</v>
      </c>
      <c r="D3041" t="s">
        <v>43</v>
      </c>
      <c r="G3041" t="s">
        <v>87</v>
      </c>
      <c r="I3041" t="s">
        <v>41</v>
      </c>
      <c r="J3041" t="s">
        <v>20</v>
      </c>
      <c r="L3041" t="s">
        <v>64</v>
      </c>
      <c r="M3041" t="s">
        <v>849</v>
      </c>
      <c r="N3041" t="s">
        <v>850</v>
      </c>
      <c r="O3041" t="s">
        <v>73</v>
      </c>
      <c r="P3041" t="s">
        <v>81</v>
      </c>
      <c r="Q3041" t="s">
        <v>733</v>
      </c>
      <c r="R3041" t="s">
        <v>734</v>
      </c>
    </row>
    <row r="3042" spans="1:18" x14ac:dyDescent="0.25">
      <c r="A3042" t="s">
        <v>19629</v>
      </c>
      <c r="B3042" t="s">
        <v>858</v>
      </c>
      <c r="C3042" t="str">
        <f>HYPERLINK("https://nematode.unl.edu/dorten3.jpg")</f>
        <v>https://nematode.unl.edu/dorten3.jpg</v>
      </c>
      <c r="D3042" t="s">
        <v>43</v>
      </c>
      <c r="G3042" t="s">
        <v>28</v>
      </c>
      <c r="I3042" t="s">
        <v>41</v>
      </c>
      <c r="J3042" t="s">
        <v>20</v>
      </c>
      <c r="L3042" t="s">
        <v>64</v>
      </c>
      <c r="M3042" t="s">
        <v>849</v>
      </c>
      <c r="N3042" t="s">
        <v>850</v>
      </c>
      <c r="O3042" t="s">
        <v>73</v>
      </c>
      <c r="P3042" t="s">
        <v>81</v>
      </c>
      <c r="Q3042" t="s">
        <v>733</v>
      </c>
      <c r="R3042" t="s">
        <v>734</v>
      </c>
    </row>
    <row r="3043" spans="1:18" x14ac:dyDescent="0.25">
      <c r="A3043" t="s">
        <v>19614</v>
      </c>
      <c r="B3043" t="s">
        <v>859</v>
      </c>
      <c r="C3043" t="str">
        <f>HYPERLINK("https://nematode.unl.edu/dorten4.jpg")</f>
        <v>https://nematode.unl.edu/dorten4.jpg</v>
      </c>
      <c r="D3043" t="s">
        <v>43</v>
      </c>
      <c r="G3043" t="s">
        <v>34</v>
      </c>
      <c r="H3043" t="s">
        <v>18</v>
      </c>
      <c r="I3043" t="s">
        <v>41</v>
      </c>
      <c r="J3043" t="s">
        <v>20</v>
      </c>
      <c r="L3043" t="s">
        <v>64</v>
      </c>
      <c r="M3043" t="s">
        <v>849</v>
      </c>
      <c r="N3043" t="s">
        <v>850</v>
      </c>
      <c r="O3043" t="s">
        <v>73</v>
      </c>
      <c r="P3043" t="s">
        <v>81</v>
      </c>
      <c r="Q3043" t="s">
        <v>733</v>
      </c>
      <c r="R3043" t="s">
        <v>734</v>
      </c>
    </row>
    <row r="3044" spans="1:18" x14ac:dyDescent="0.25">
      <c r="A3044" t="s">
        <v>19609</v>
      </c>
      <c r="B3044" t="s">
        <v>860</v>
      </c>
      <c r="C3044" t="str">
        <f>HYPERLINK("https://nematode.unl.edu/dorten5.jpg")</f>
        <v>https://nematode.unl.edu/dorten5.jpg</v>
      </c>
      <c r="D3044" t="s">
        <v>43</v>
      </c>
      <c r="G3044" t="s">
        <v>96</v>
      </c>
      <c r="H3044" t="s">
        <v>18</v>
      </c>
      <c r="I3044" t="s">
        <v>19</v>
      </c>
      <c r="J3044" t="s">
        <v>20</v>
      </c>
      <c r="L3044" t="s">
        <v>64</v>
      </c>
      <c r="M3044" t="s">
        <v>849</v>
      </c>
      <c r="N3044" t="s">
        <v>850</v>
      </c>
      <c r="O3044" t="s">
        <v>73</v>
      </c>
      <c r="P3044" t="s">
        <v>81</v>
      </c>
      <c r="Q3044" t="s">
        <v>733</v>
      </c>
      <c r="R3044" t="s">
        <v>734</v>
      </c>
    </row>
    <row r="3045" spans="1:18" x14ac:dyDescent="0.25">
      <c r="A3045" t="s">
        <v>19624</v>
      </c>
      <c r="B3045" t="s">
        <v>861</v>
      </c>
      <c r="C3045" t="str">
        <f>HYPERLINK("https://nematode.unl.edu/dorten6.jpg")</f>
        <v>https://nematode.unl.edu/dorten6.jpg</v>
      </c>
      <c r="D3045" t="s">
        <v>43</v>
      </c>
      <c r="G3045" t="s">
        <v>44</v>
      </c>
      <c r="I3045" t="s">
        <v>45</v>
      </c>
      <c r="J3045" t="s">
        <v>20</v>
      </c>
      <c r="L3045" t="s">
        <v>64</v>
      </c>
      <c r="M3045" t="s">
        <v>849</v>
      </c>
      <c r="N3045" t="s">
        <v>850</v>
      </c>
      <c r="O3045" t="s">
        <v>73</v>
      </c>
      <c r="P3045" t="s">
        <v>81</v>
      </c>
      <c r="Q3045" t="s">
        <v>733</v>
      </c>
      <c r="R3045" t="s">
        <v>734</v>
      </c>
    </row>
    <row r="3046" spans="1:18" x14ac:dyDescent="0.25">
      <c r="A3046" t="s">
        <v>19633</v>
      </c>
      <c r="B3046" t="s">
        <v>862</v>
      </c>
      <c r="C3046" t="str">
        <f>HYPERLINK("https://nematode.unl.edu/dorten7.jpg")</f>
        <v>https://nematode.unl.edu/dorten7.jpg</v>
      </c>
      <c r="D3046" t="s">
        <v>43</v>
      </c>
      <c r="G3046" t="s">
        <v>51</v>
      </c>
      <c r="I3046" t="s">
        <v>19</v>
      </c>
      <c r="J3046" t="s">
        <v>20</v>
      </c>
      <c r="L3046" t="s">
        <v>64</v>
      </c>
      <c r="M3046" t="s">
        <v>849</v>
      </c>
      <c r="N3046" t="s">
        <v>850</v>
      </c>
      <c r="O3046" t="s">
        <v>73</v>
      </c>
      <c r="P3046" t="s">
        <v>81</v>
      </c>
      <c r="Q3046" t="s">
        <v>733</v>
      </c>
      <c r="R3046" t="s">
        <v>734</v>
      </c>
    </row>
    <row r="3047" spans="1:18" x14ac:dyDescent="0.25">
      <c r="A3047" t="s">
        <v>19615</v>
      </c>
      <c r="B3047" t="s">
        <v>863</v>
      </c>
      <c r="C3047" t="str">
        <f>HYPERLINK("https://nematode.unl.edu/dorten8.jpg")</f>
        <v>https://nematode.unl.edu/dorten8.jpg</v>
      </c>
      <c r="D3047" t="s">
        <v>43</v>
      </c>
      <c r="G3047" t="s">
        <v>34</v>
      </c>
      <c r="H3047" t="s">
        <v>18</v>
      </c>
      <c r="I3047" t="s">
        <v>19</v>
      </c>
      <c r="J3047" t="s">
        <v>20</v>
      </c>
      <c r="L3047" t="s">
        <v>64</v>
      </c>
      <c r="M3047" t="s">
        <v>849</v>
      </c>
      <c r="N3047" t="s">
        <v>850</v>
      </c>
      <c r="O3047" t="s">
        <v>73</v>
      </c>
      <c r="P3047" t="s">
        <v>81</v>
      </c>
      <c r="Q3047" t="s">
        <v>733</v>
      </c>
      <c r="R3047" t="s">
        <v>734</v>
      </c>
    </row>
    <row r="3048" spans="1:18" x14ac:dyDescent="0.25">
      <c r="A3048" t="s">
        <v>19610</v>
      </c>
      <c r="B3048" t="s">
        <v>864</v>
      </c>
      <c r="C3048" t="str">
        <f>HYPERLINK("https://nematode.unl.edu/dorten9.jpg")</f>
        <v>https://nematode.unl.edu/dorten9.jpg</v>
      </c>
      <c r="D3048" t="s">
        <v>43</v>
      </c>
      <c r="G3048" t="s">
        <v>96</v>
      </c>
      <c r="H3048" t="s">
        <v>18</v>
      </c>
      <c r="I3048" t="s">
        <v>19</v>
      </c>
      <c r="J3048" t="s">
        <v>20</v>
      </c>
      <c r="L3048" t="s">
        <v>64</v>
      </c>
      <c r="M3048" t="s">
        <v>849</v>
      </c>
      <c r="N3048" t="s">
        <v>850</v>
      </c>
      <c r="O3048" t="s">
        <v>73</v>
      </c>
      <c r="P3048" t="s">
        <v>81</v>
      </c>
      <c r="Q3048" t="s">
        <v>733</v>
      </c>
      <c r="R3048" t="s">
        <v>734</v>
      </c>
    </row>
    <row r="3049" spans="1:18" x14ac:dyDescent="0.25">
      <c r="A3049" t="s">
        <v>21023</v>
      </c>
      <c r="B3049" t="s">
        <v>4657</v>
      </c>
      <c r="C3049" t="str">
        <f>HYPERLINK("https://nematode.unl.edu/dorybryo.jpg")</f>
        <v>https://nematode.unl.edu/dorybryo.jpg</v>
      </c>
      <c r="G3049" t="s">
        <v>108</v>
      </c>
      <c r="J3049" t="s">
        <v>482</v>
      </c>
      <c r="M3049" t="s">
        <v>4658</v>
      </c>
      <c r="N3049" t="s">
        <v>4658</v>
      </c>
      <c r="O3049" t="s">
        <v>73</v>
      </c>
      <c r="P3049" t="s">
        <v>81</v>
      </c>
      <c r="Q3049" t="s">
        <v>82</v>
      </c>
      <c r="R3049" t="s">
        <v>4659</v>
      </c>
    </row>
    <row r="3050" spans="1:18" x14ac:dyDescent="0.25">
      <c r="A3050" t="s">
        <v>21971</v>
      </c>
      <c r="B3050" t="s">
        <v>949</v>
      </c>
      <c r="C3050" t="str">
        <f>HYPERLINK("https://nematode.unl.edu/dorycor1.jpg")</f>
        <v>https://nematode.unl.edu/dorycor1.jpg</v>
      </c>
      <c r="D3050" t="s">
        <v>43</v>
      </c>
      <c r="G3050" t="s">
        <v>44</v>
      </c>
      <c r="I3050" t="s">
        <v>45</v>
      </c>
      <c r="J3050" t="s">
        <v>20</v>
      </c>
      <c r="L3050" t="s">
        <v>29</v>
      </c>
      <c r="M3050" t="s">
        <v>950</v>
      </c>
      <c r="N3050" t="s">
        <v>951</v>
      </c>
      <c r="O3050" t="s">
        <v>73</v>
      </c>
      <c r="P3050" t="s">
        <v>81</v>
      </c>
      <c r="Q3050" t="s">
        <v>952</v>
      </c>
      <c r="R3050" t="s">
        <v>953</v>
      </c>
    </row>
    <row r="3051" spans="1:18" x14ac:dyDescent="0.25">
      <c r="A3051" t="s">
        <v>21977</v>
      </c>
      <c r="B3051" t="s">
        <v>954</v>
      </c>
      <c r="C3051" t="str">
        <f>HYPERLINK("https://nematode.unl.edu/dorycor10.jpg")</f>
        <v>https://nematode.unl.edu/dorycor10.jpg</v>
      </c>
      <c r="D3051" t="s">
        <v>43</v>
      </c>
      <c r="G3051" t="s">
        <v>51</v>
      </c>
      <c r="I3051" t="s">
        <v>19</v>
      </c>
      <c r="J3051" t="s">
        <v>20</v>
      </c>
      <c r="L3051" t="s">
        <v>29</v>
      </c>
      <c r="M3051" t="s">
        <v>950</v>
      </c>
      <c r="N3051" t="s">
        <v>951</v>
      </c>
      <c r="O3051" t="s">
        <v>73</v>
      </c>
      <c r="P3051" t="s">
        <v>81</v>
      </c>
      <c r="Q3051" t="s">
        <v>952</v>
      </c>
      <c r="R3051" t="s">
        <v>953</v>
      </c>
    </row>
    <row r="3052" spans="1:18" x14ac:dyDescent="0.25">
      <c r="A3052" t="s">
        <v>21960</v>
      </c>
      <c r="B3052" t="s">
        <v>955</v>
      </c>
      <c r="C3052" t="str">
        <f>HYPERLINK("https://nematode.unl.edu/dorycor11.jpg")</f>
        <v>https://nematode.unl.edu/dorycor11.jpg</v>
      </c>
      <c r="D3052" t="s">
        <v>43</v>
      </c>
      <c r="G3052" t="s">
        <v>96</v>
      </c>
      <c r="H3052" t="s">
        <v>18</v>
      </c>
      <c r="I3052" t="s">
        <v>19</v>
      </c>
      <c r="J3052" t="s">
        <v>20</v>
      </c>
      <c r="L3052" t="s">
        <v>29</v>
      </c>
      <c r="M3052" t="s">
        <v>950</v>
      </c>
      <c r="N3052" t="s">
        <v>951</v>
      </c>
      <c r="O3052" t="s">
        <v>73</v>
      </c>
      <c r="P3052" t="s">
        <v>81</v>
      </c>
      <c r="Q3052" t="s">
        <v>952</v>
      </c>
      <c r="R3052" t="s">
        <v>953</v>
      </c>
    </row>
    <row r="3053" spans="1:18" x14ac:dyDescent="0.25">
      <c r="A3053" t="s">
        <v>21963</v>
      </c>
      <c r="B3053" t="s">
        <v>956</v>
      </c>
      <c r="C3053" t="str">
        <f>HYPERLINK("https://nematode.unl.edu/dorycor12.jpg")</f>
        <v>https://nematode.unl.edu/dorycor12.jpg</v>
      </c>
      <c r="D3053" t="s">
        <v>43</v>
      </c>
      <c r="G3053" t="s">
        <v>34</v>
      </c>
      <c r="H3053" t="s">
        <v>18</v>
      </c>
      <c r="I3053" t="s">
        <v>41</v>
      </c>
      <c r="J3053" t="s">
        <v>20</v>
      </c>
      <c r="L3053" t="s">
        <v>29</v>
      </c>
      <c r="M3053" t="s">
        <v>950</v>
      </c>
      <c r="N3053" t="s">
        <v>951</v>
      </c>
      <c r="O3053" t="s">
        <v>73</v>
      </c>
      <c r="P3053" t="s">
        <v>81</v>
      </c>
      <c r="Q3053" t="s">
        <v>952</v>
      </c>
      <c r="R3053" t="s">
        <v>953</v>
      </c>
    </row>
    <row r="3054" spans="1:18" x14ac:dyDescent="0.25">
      <c r="A3054" t="s">
        <v>21978</v>
      </c>
      <c r="B3054" t="s">
        <v>957</v>
      </c>
      <c r="C3054" t="str">
        <f>HYPERLINK("https://nematode.unl.edu/dorycor13.jpg")</f>
        <v>https://nematode.unl.edu/dorycor13.jpg</v>
      </c>
      <c r="D3054" t="s">
        <v>43</v>
      </c>
      <c r="G3054" t="s">
        <v>51</v>
      </c>
      <c r="I3054" t="s">
        <v>19</v>
      </c>
      <c r="J3054" t="s">
        <v>20</v>
      </c>
      <c r="L3054" t="s">
        <v>193</v>
      </c>
      <c r="M3054" t="s">
        <v>950</v>
      </c>
      <c r="N3054" t="s">
        <v>951</v>
      </c>
      <c r="O3054" t="s">
        <v>73</v>
      </c>
      <c r="P3054" t="s">
        <v>81</v>
      </c>
      <c r="Q3054" t="s">
        <v>952</v>
      </c>
      <c r="R3054" t="s">
        <v>953</v>
      </c>
    </row>
    <row r="3055" spans="1:18" x14ac:dyDescent="0.25">
      <c r="A3055" t="s">
        <v>21970</v>
      </c>
      <c r="B3055" t="s">
        <v>958</v>
      </c>
      <c r="C3055" t="str">
        <f>HYPERLINK("https://nematode.unl.edu/dorycor14.jpg")</f>
        <v>https://nematode.unl.edu/dorycor14.jpg</v>
      </c>
      <c r="D3055" t="s">
        <v>43</v>
      </c>
      <c r="G3055" t="s">
        <v>87</v>
      </c>
      <c r="I3055" t="s">
        <v>19</v>
      </c>
      <c r="J3055" t="s">
        <v>20</v>
      </c>
      <c r="L3055" t="s">
        <v>193</v>
      </c>
      <c r="M3055" t="s">
        <v>950</v>
      </c>
      <c r="N3055" t="s">
        <v>951</v>
      </c>
      <c r="O3055" t="s">
        <v>73</v>
      </c>
      <c r="P3055" t="s">
        <v>81</v>
      </c>
      <c r="Q3055" t="s">
        <v>952</v>
      </c>
      <c r="R3055" t="s">
        <v>953</v>
      </c>
    </row>
    <row r="3056" spans="1:18" x14ac:dyDescent="0.25">
      <c r="A3056" t="s">
        <v>21964</v>
      </c>
      <c r="B3056" t="s">
        <v>959</v>
      </c>
      <c r="C3056" t="str">
        <f>HYPERLINK("https://nematode.unl.edu/dorycor15.jpg")</f>
        <v>https://nematode.unl.edu/dorycor15.jpg</v>
      </c>
      <c r="D3056" t="s">
        <v>43</v>
      </c>
      <c r="G3056" t="s">
        <v>34</v>
      </c>
      <c r="H3056" t="s">
        <v>18</v>
      </c>
      <c r="I3056" t="s">
        <v>19</v>
      </c>
      <c r="J3056" t="s">
        <v>20</v>
      </c>
      <c r="L3056" t="s">
        <v>193</v>
      </c>
      <c r="M3056" t="s">
        <v>950</v>
      </c>
      <c r="N3056" t="s">
        <v>951</v>
      </c>
      <c r="O3056" t="s">
        <v>73</v>
      </c>
      <c r="P3056" t="s">
        <v>81</v>
      </c>
      <c r="Q3056" t="s">
        <v>952</v>
      </c>
      <c r="R3056" t="s">
        <v>953</v>
      </c>
    </row>
    <row r="3057" spans="1:18" x14ac:dyDescent="0.25">
      <c r="A3057" t="s">
        <v>21972</v>
      </c>
      <c r="B3057" t="s">
        <v>960</v>
      </c>
      <c r="C3057" t="str">
        <f>HYPERLINK("https://nematode.unl.edu/dorycor16.jpg")</f>
        <v>https://nematode.unl.edu/dorycor16.jpg</v>
      </c>
      <c r="D3057" t="s">
        <v>43</v>
      </c>
      <c r="G3057" t="s">
        <v>28</v>
      </c>
      <c r="I3057" t="s">
        <v>19</v>
      </c>
      <c r="J3057" t="s">
        <v>20</v>
      </c>
      <c r="L3057" t="s">
        <v>193</v>
      </c>
      <c r="M3057" t="s">
        <v>950</v>
      </c>
      <c r="N3057" t="s">
        <v>951</v>
      </c>
      <c r="O3057" t="s">
        <v>73</v>
      </c>
      <c r="P3057" t="s">
        <v>81</v>
      </c>
      <c r="Q3057" t="s">
        <v>952</v>
      </c>
      <c r="R3057" t="s">
        <v>953</v>
      </c>
    </row>
    <row r="3058" spans="1:18" x14ac:dyDescent="0.25">
      <c r="A3058" t="s">
        <v>21965</v>
      </c>
      <c r="B3058" t="s">
        <v>961</v>
      </c>
      <c r="C3058" t="str">
        <f>HYPERLINK("https://nematode.unl.edu/dorycor17.jpg")</f>
        <v>https://nematode.unl.edu/dorycor17.jpg</v>
      </c>
      <c r="D3058" t="s">
        <v>43</v>
      </c>
      <c r="G3058" t="s">
        <v>34</v>
      </c>
      <c r="H3058" t="s">
        <v>18</v>
      </c>
      <c r="I3058" t="s">
        <v>41</v>
      </c>
      <c r="J3058" t="s">
        <v>20</v>
      </c>
      <c r="L3058" t="s">
        <v>193</v>
      </c>
      <c r="M3058" t="s">
        <v>950</v>
      </c>
      <c r="N3058" t="s">
        <v>951</v>
      </c>
      <c r="O3058" t="s">
        <v>73</v>
      </c>
      <c r="P3058" t="s">
        <v>81</v>
      </c>
      <c r="Q3058" t="s">
        <v>952</v>
      </c>
      <c r="R3058" t="s">
        <v>953</v>
      </c>
    </row>
    <row r="3059" spans="1:18" x14ac:dyDescent="0.25">
      <c r="A3059" t="s">
        <v>21973</v>
      </c>
      <c r="B3059" t="s">
        <v>962</v>
      </c>
      <c r="C3059" t="str">
        <f>HYPERLINK("https://nematode.unl.edu/dorycor18.jpg")</f>
        <v>https://nematode.unl.edu/dorycor18.jpg</v>
      </c>
      <c r="D3059" t="s">
        <v>43</v>
      </c>
      <c r="G3059" t="s">
        <v>28</v>
      </c>
      <c r="I3059" t="s">
        <v>19</v>
      </c>
      <c r="J3059" t="s">
        <v>20</v>
      </c>
      <c r="L3059" t="s">
        <v>193</v>
      </c>
      <c r="M3059" t="s">
        <v>950</v>
      </c>
      <c r="N3059" t="s">
        <v>951</v>
      </c>
      <c r="O3059" t="s">
        <v>73</v>
      </c>
      <c r="P3059" t="s">
        <v>81</v>
      </c>
      <c r="Q3059" t="s">
        <v>952</v>
      </c>
      <c r="R3059" t="s">
        <v>953</v>
      </c>
    </row>
    <row r="3060" spans="1:18" x14ac:dyDescent="0.25">
      <c r="A3060" t="s">
        <v>21979</v>
      </c>
      <c r="B3060" t="s">
        <v>963</v>
      </c>
      <c r="C3060" t="str">
        <f>HYPERLINK("https://nematode.unl.edu/dorycor19.jpg")</f>
        <v>https://nematode.unl.edu/dorycor19.jpg</v>
      </c>
      <c r="D3060" t="s">
        <v>43</v>
      </c>
      <c r="G3060" t="s">
        <v>51</v>
      </c>
      <c r="I3060" t="s">
        <v>19</v>
      </c>
      <c r="J3060" t="s">
        <v>20</v>
      </c>
      <c r="L3060" t="s">
        <v>193</v>
      </c>
      <c r="M3060" t="s">
        <v>950</v>
      </c>
      <c r="N3060" t="s">
        <v>951</v>
      </c>
      <c r="O3060" t="s">
        <v>73</v>
      </c>
      <c r="P3060" t="s">
        <v>81</v>
      </c>
      <c r="Q3060" t="s">
        <v>952</v>
      </c>
      <c r="R3060" t="s">
        <v>953</v>
      </c>
    </row>
    <row r="3061" spans="1:18" x14ac:dyDescent="0.25">
      <c r="A3061" t="s">
        <v>21961</v>
      </c>
      <c r="B3061" t="s">
        <v>964</v>
      </c>
      <c r="C3061" t="str">
        <f>HYPERLINK("https://nematode.unl.edu/dorycor2.jpg")</f>
        <v>https://nematode.unl.edu/dorycor2.jpg</v>
      </c>
      <c r="D3061" t="s">
        <v>43</v>
      </c>
      <c r="G3061" t="s">
        <v>96</v>
      </c>
      <c r="H3061" t="s">
        <v>18</v>
      </c>
      <c r="I3061" t="s">
        <v>19</v>
      </c>
      <c r="J3061" t="s">
        <v>20</v>
      </c>
      <c r="L3061" t="s">
        <v>193</v>
      </c>
      <c r="M3061" t="s">
        <v>950</v>
      </c>
      <c r="N3061" t="s">
        <v>951</v>
      </c>
      <c r="O3061" t="s">
        <v>73</v>
      </c>
      <c r="P3061" t="s">
        <v>81</v>
      </c>
      <c r="Q3061" t="s">
        <v>952</v>
      </c>
      <c r="R3061" t="s">
        <v>953</v>
      </c>
    </row>
    <row r="3062" spans="1:18" x14ac:dyDescent="0.25">
      <c r="A3062" t="s">
        <v>21962</v>
      </c>
      <c r="B3062" t="s">
        <v>965</v>
      </c>
      <c r="C3062" t="str">
        <f>HYPERLINK("https://nematode.unl.edu/dorycor20.jpg")</f>
        <v>https://nematode.unl.edu/dorycor20.jpg</v>
      </c>
      <c r="D3062" t="s">
        <v>43</v>
      </c>
      <c r="G3062" t="s">
        <v>96</v>
      </c>
      <c r="H3062" t="s">
        <v>18</v>
      </c>
      <c r="I3062" t="s">
        <v>19</v>
      </c>
      <c r="J3062" t="s">
        <v>20</v>
      </c>
      <c r="L3062" t="s">
        <v>193</v>
      </c>
      <c r="M3062" t="s">
        <v>950</v>
      </c>
      <c r="N3062" t="s">
        <v>951</v>
      </c>
      <c r="O3062" t="s">
        <v>73</v>
      </c>
      <c r="P3062" t="s">
        <v>81</v>
      </c>
      <c r="Q3062" t="s">
        <v>952</v>
      </c>
      <c r="R3062" t="s">
        <v>953</v>
      </c>
    </row>
    <row r="3063" spans="1:18" x14ac:dyDescent="0.25">
      <c r="A3063" t="s">
        <v>21966</v>
      </c>
      <c r="B3063" t="s">
        <v>966</v>
      </c>
      <c r="C3063" t="str">
        <f>HYPERLINK("https://nematode.unl.edu/dorycor21.jpg")</f>
        <v>https://nematode.unl.edu/dorycor21.jpg</v>
      </c>
      <c r="D3063" t="s">
        <v>43</v>
      </c>
      <c r="G3063" t="s">
        <v>34</v>
      </c>
      <c r="H3063" t="s">
        <v>18</v>
      </c>
      <c r="I3063" t="s">
        <v>41</v>
      </c>
      <c r="J3063" t="s">
        <v>20</v>
      </c>
      <c r="L3063" t="s">
        <v>193</v>
      </c>
      <c r="M3063" t="s">
        <v>950</v>
      </c>
      <c r="N3063" t="s">
        <v>951</v>
      </c>
      <c r="O3063" t="s">
        <v>73</v>
      </c>
      <c r="P3063" t="s">
        <v>81</v>
      </c>
      <c r="Q3063" t="s">
        <v>952</v>
      </c>
      <c r="R3063" t="s">
        <v>953</v>
      </c>
    </row>
    <row r="3064" spans="1:18" x14ac:dyDescent="0.25">
      <c r="A3064" t="s">
        <v>21967</v>
      </c>
      <c r="B3064" t="s">
        <v>967</v>
      </c>
      <c r="C3064" t="str">
        <f>HYPERLINK("https://nematode.unl.edu/dorycor22.jpg")</f>
        <v>https://nematode.unl.edu/dorycor22.jpg</v>
      </c>
      <c r="D3064" t="s">
        <v>43</v>
      </c>
      <c r="G3064" t="s">
        <v>34</v>
      </c>
      <c r="H3064" t="s">
        <v>18</v>
      </c>
      <c r="I3064" t="s">
        <v>41</v>
      </c>
      <c r="J3064" t="s">
        <v>20</v>
      </c>
      <c r="L3064" t="s">
        <v>193</v>
      </c>
      <c r="M3064" t="s">
        <v>950</v>
      </c>
      <c r="N3064" t="s">
        <v>951</v>
      </c>
      <c r="O3064" t="s">
        <v>73</v>
      </c>
      <c r="P3064" t="s">
        <v>81</v>
      </c>
      <c r="Q3064" t="s">
        <v>952</v>
      </c>
      <c r="R3064" t="s">
        <v>953</v>
      </c>
    </row>
    <row r="3065" spans="1:18" x14ac:dyDescent="0.25">
      <c r="A3065" t="s">
        <v>21980</v>
      </c>
      <c r="B3065" t="s">
        <v>968</v>
      </c>
      <c r="C3065" t="str">
        <f>HYPERLINK("https://nematode.unl.edu/dorycor3.jpg")</f>
        <v>https://nematode.unl.edu/dorycor3.jpg</v>
      </c>
      <c r="D3065" t="s">
        <v>43</v>
      </c>
      <c r="G3065" t="s">
        <v>51</v>
      </c>
      <c r="I3065" t="s">
        <v>19</v>
      </c>
      <c r="J3065" t="s">
        <v>20</v>
      </c>
      <c r="L3065" t="s">
        <v>193</v>
      </c>
      <c r="M3065" t="s">
        <v>950</v>
      </c>
      <c r="N3065" t="s">
        <v>951</v>
      </c>
      <c r="O3065" t="s">
        <v>73</v>
      </c>
      <c r="P3065" t="s">
        <v>81</v>
      </c>
      <c r="Q3065" t="s">
        <v>952</v>
      </c>
      <c r="R3065" t="s">
        <v>953</v>
      </c>
    </row>
    <row r="3066" spans="1:18" x14ac:dyDescent="0.25">
      <c r="A3066" t="s">
        <v>21974</v>
      </c>
      <c r="B3066" t="s">
        <v>969</v>
      </c>
      <c r="C3066" t="str">
        <f>HYPERLINK("https://nematode.unl.edu/dorycor4.jpg")</f>
        <v>https://nematode.unl.edu/dorycor4.jpg</v>
      </c>
      <c r="D3066" t="s">
        <v>43</v>
      </c>
      <c r="G3066" t="s">
        <v>28</v>
      </c>
      <c r="I3066" t="s">
        <v>19</v>
      </c>
      <c r="J3066" t="s">
        <v>20</v>
      </c>
      <c r="L3066" t="s">
        <v>193</v>
      </c>
      <c r="M3066" t="s">
        <v>950</v>
      </c>
      <c r="N3066" t="s">
        <v>951</v>
      </c>
      <c r="O3066" t="s">
        <v>73</v>
      </c>
      <c r="P3066" t="s">
        <v>81</v>
      </c>
      <c r="Q3066" t="s">
        <v>952</v>
      </c>
      <c r="R3066" t="s">
        <v>953</v>
      </c>
    </row>
    <row r="3067" spans="1:18" x14ac:dyDescent="0.25">
      <c r="A3067" t="s">
        <v>21968</v>
      </c>
      <c r="B3067" t="s">
        <v>970</v>
      </c>
      <c r="C3067" t="str">
        <f>HYPERLINK("https://nematode.unl.edu/dorycor5.jpg")</f>
        <v>https://nematode.unl.edu/dorycor5.jpg</v>
      </c>
      <c r="D3067" t="s">
        <v>43</v>
      </c>
      <c r="G3067" t="s">
        <v>34</v>
      </c>
      <c r="H3067" t="s">
        <v>18</v>
      </c>
      <c r="I3067" t="s">
        <v>41</v>
      </c>
      <c r="J3067" t="s">
        <v>20</v>
      </c>
      <c r="L3067" t="s">
        <v>193</v>
      </c>
      <c r="M3067" t="s">
        <v>950</v>
      </c>
      <c r="N3067" t="s">
        <v>951</v>
      </c>
      <c r="O3067" t="s">
        <v>73</v>
      </c>
      <c r="P3067" t="s">
        <v>81</v>
      </c>
      <c r="Q3067" t="s">
        <v>952</v>
      </c>
      <c r="R3067" t="s">
        <v>953</v>
      </c>
    </row>
    <row r="3068" spans="1:18" x14ac:dyDescent="0.25">
      <c r="A3068" t="s">
        <v>21981</v>
      </c>
      <c r="B3068" t="s">
        <v>971</v>
      </c>
      <c r="C3068" t="str">
        <f>HYPERLINK("https://nematode.unl.edu/dorycor6.jpg")</f>
        <v>https://nematode.unl.edu/dorycor6.jpg</v>
      </c>
      <c r="D3068" t="s">
        <v>43</v>
      </c>
      <c r="G3068" t="s">
        <v>51</v>
      </c>
      <c r="I3068" t="s">
        <v>41</v>
      </c>
      <c r="J3068" t="s">
        <v>20</v>
      </c>
      <c r="L3068" t="s">
        <v>193</v>
      </c>
      <c r="M3068" t="s">
        <v>950</v>
      </c>
      <c r="N3068" t="s">
        <v>951</v>
      </c>
      <c r="O3068" t="s">
        <v>73</v>
      </c>
      <c r="P3068" t="s">
        <v>81</v>
      </c>
      <c r="Q3068" t="s">
        <v>952</v>
      </c>
      <c r="R3068" t="s">
        <v>953</v>
      </c>
    </row>
    <row r="3069" spans="1:18" x14ac:dyDescent="0.25">
      <c r="A3069" t="s">
        <v>21975</v>
      </c>
      <c r="B3069" t="s">
        <v>972</v>
      </c>
      <c r="C3069" t="str">
        <f>HYPERLINK("https://nematode.unl.edu/dorycor7.jpg")</f>
        <v>https://nematode.unl.edu/dorycor7.jpg</v>
      </c>
      <c r="D3069" t="s">
        <v>43</v>
      </c>
      <c r="G3069" t="s">
        <v>28</v>
      </c>
      <c r="I3069" t="s">
        <v>41</v>
      </c>
      <c r="J3069" t="s">
        <v>20</v>
      </c>
      <c r="L3069" t="s">
        <v>193</v>
      </c>
      <c r="M3069" t="s">
        <v>950</v>
      </c>
      <c r="N3069" t="s">
        <v>951</v>
      </c>
      <c r="O3069" t="s">
        <v>73</v>
      </c>
      <c r="P3069" t="s">
        <v>81</v>
      </c>
      <c r="Q3069" t="s">
        <v>952</v>
      </c>
      <c r="R3069" t="s">
        <v>953</v>
      </c>
    </row>
    <row r="3070" spans="1:18" x14ac:dyDescent="0.25">
      <c r="A3070" t="s">
        <v>21969</v>
      </c>
      <c r="B3070" t="s">
        <v>973</v>
      </c>
      <c r="C3070" t="str">
        <f>HYPERLINK("https://nematode.unl.edu/dorycor8.jpg")</f>
        <v>https://nematode.unl.edu/dorycor8.jpg</v>
      </c>
      <c r="D3070" t="s">
        <v>43</v>
      </c>
      <c r="G3070" t="s">
        <v>34</v>
      </c>
      <c r="H3070" t="s">
        <v>18</v>
      </c>
      <c r="I3070" t="s">
        <v>41</v>
      </c>
      <c r="J3070" t="s">
        <v>20</v>
      </c>
      <c r="L3070" t="s">
        <v>193</v>
      </c>
      <c r="M3070" t="s">
        <v>950</v>
      </c>
      <c r="N3070" t="s">
        <v>951</v>
      </c>
      <c r="O3070" t="s">
        <v>73</v>
      </c>
      <c r="P3070" t="s">
        <v>81</v>
      </c>
      <c r="Q3070" t="s">
        <v>952</v>
      </c>
      <c r="R3070" t="s">
        <v>953</v>
      </c>
    </row>
    <row r="3071" spans="1:18" x14ac:dyDescent="0.25">
      <c r="A3071" t="s">
        <v>21976</v>
      </c>
      <c r="B3071" t="s">
        <v>974</v>
      </c>
      <c r="C3071" t="str">
        <f>HYPERLINK("https://nematode.unl.edu/dorycor9.jpg")</f>
        <v>https://nematode.unl.edu/dorycor9.jpg</v>
      </c>
      <c r="D3071" t="s">
        <v>43</v>
      </c>
      <c r="G3071" t="s">
        <v>28</v>
      </c>
      <c r="I3071" t="s">
        <v>19</v>
      </c>
      <c r="J3071" t="s">
        <v>20</v>
      </c>
      <c r="L3071" t="s">
        <v>193</v>
      </c>
      <c r="M3071" t="s">
        <v>950</v>
      </c>
      <c r="N3071" t="s">
        <v>951</v>
      </c>
      <c r="O3071" t="s">
        <v>73</v>
      </c>
      <c r="P3071" t="s">
        <v>81</v>
      </c>
      <c r="Q3071" t="s">
        <v>952</v>
      </c>
      <c r="R3071" t="s">
        <v>953</v>
      </c>
    </row>
    <row r="3072" spans="1:18" x14ac:dyDescent="0.25">
      <c r="A3072" t="s">
        <v>19660</v>
      </c>
      <c r="B3072" t="s">
        <v>882</v>
      </c>
      <c r="C3072" t="str">
        <f>HYPERLINK("https://nematode.unl.edu/doryeso.jpg")</f>
        <v>https://nematode.unl.edu/doryeso.jpg</v>
      </c>
      <c r="D3072" t="s">
        <v>77</v>
      </c>
      <c r="G3072" t="s">
        <v>87</v>
      </c>
      <c r="I3072" t="s">
        <v>19</v>
      </c>
      <c r="J3072" t="s">
        <v>46</v>
      </c>
      <c r="L3072" t="s">
        <v>727</v>
      </c>
      <c r="M3072" t="s">
        <v>880</v>
      </c>
      <c r="N3072" t="s">
        <v>881</v>
      </c>
      <c r="O3072" t="s">
        <v>73</v>
      </c>
      <c r="P3072" t="s">
        <v>81</v>
      </c>
      <c r="Q3072" t="s">
        <v>733</v>
      </c>
      <c r="R3072" t="s">
        <v>734</v>
      </c>
    </row>
    <row r="3073" spans="1:18" x14ac:dyDescent="0.25">
      <c r="A3073" t="s">
        <v>21955</v>
      </c>
      <c r="B3073" t="s">
        <v>4708</v>
      </c>
      <c r="C3073" t="str">
        <f>HYPERLINK("https://nematode.unl.edu/doryll1.jpg")</f>
        <v>https://nematode.unl.edu/doryll1.jpg</v>
      </c>
      <c r="D3073" t="s">
        <v>43</v>
      </c>
      <c r="G3073" t="s">
        <v>34</v>
      </c>
      <c r="H3073" t="s">
        <v>18</v>
      </c>
      <c r="I3073" t="s">
        <v>19</v>
      </c>
      <c r="J3073" t="s">
        <v>20</v>
      </c>
      <c r="L3073" t="s">
        <v>1768</v>
      </c>
      <c r="M3073" t="s">
        <v>953</v>
      </c>
      <c r="N3073" t="s">
        <v>953</v>
      </c>
      <c r="O3073" t="s">
        <v>73</v>
      </c>
      <c r="P3073" t="s">
        <v>81</v>
      </c>
      <c r="Q3073" t="s">
        <v>952</v>
      </c>
      <c r="R3073" t="s">
        <v>953</v>
      </c>
    </row>
    <row r="3074" spans="1:18" x14ac:dyDescent="0.25">
      <c r="A3074" t="s">
        <v>21958</v>
      </c>
      <c r="B3074" t="s">
        <v>4709</v>
      </c>
      <c r="C3074" t="str">
        <f>HYPERLINK("https://nematode.unl.edu/doryll2.jpg")</f>
        <v>https://nematode.unl.edu/doryll2.jpg</v>
      </c>
      <c r="D3074" t="s">
        <v>43</v>
      </c>
      <c r="G3074" t="s">
        <v>51</v>
      </c>
      <c r="I3074" t="s">
        <v>19</v>
      </c>
      <c r="J3074" t="s">
        <v>20</v>
      </c>
      <c r="L3074" t="s">
        <v>1768</v>
      </c>
      <c r="M3074" t="s">
        <v>953</v>
      </c>
      <c r="N3074" t="s">
        <v>953</v>
      </c>
      <c r="O3074" t="s">
        <v>73</v>
      </c>
      <c r="P3074" t="s">
        <v>81</v>
      </c>
      <c r="Q3074" t="s">
        <v>952</v>
      </c>
      <c r="R3074" t="s">
        <v>953</v>
      </c>
    </row>
    <row r="3075" spans="1:18" x14ac:dyDescent="0.25">
      <c r="A3075" t="s">
        <v>21957</v>
      </c>
      <c r="B3075" t="s">
        <v>4710</v>
      </c>
      <c r="C3075" t="str">
        <f>HYPERLINK("https://nematode.unl.edu/doryll3.jpg")</f>
        <v>https://nematode.unl.edu/doryll3.jpg</v>
      </c>
      <c r="D3075" t="s">
        <v>43</v>
      </c>
      <c r="G3075" t="s">
        <v>28</v>
      </c>
      <c r="I3075" t="s">
        <v>19</v>
      </c>
      <c r="J3075" t="s">
        <v>20</v>
      </c>
      <c r="L3075" t="s">
        <v>1768</v>
      </c>
      <c r="M3075" t="s">
        <v>953</v>
      </c>
      <c r="N3075" t="s">
        <v>953</v>
      </c>
      <c r="O3075" t="s">
        <v>73</v>
      </c>
      <c r="P3075" t="s">
        <v>81</v>
      </c>
      <c r="Q3075" t="s">
        <v>952</v>
      </c>
      <c r="R3075" t="s">
        <v>953</v>
      </c>
    </row>
    <row r="3076" spans="1:18" x14ac:dyDescent="0.25">
      <c r="A3076" t="s">
        <v>21956</v>
      </c>
      <c r="B3076" t="s">
        <v>4711</v>
      </c>
      <c r="C3076" t="str">
        <f>HYPERLINK("https://nematode.unl.edu/doryll4.jpg")</f>
        <v>https://nematode.unl.edu/doryll4.jpg</v>
      </c>
      <c r="D3076" t="s">
        <v>43</v>
      </c>
      <c r="G3076" t="s">
        <v>34</v>
      </c>
      <c r="H3076" t="s">
        <v>18</v>
      </c>
      <c r="I3076" t="s">
        <v>41</v>
      </c>
      <c r="J3076" t="s">
        <v>20</v>
      </c>
      <c r="L3076" t="s">
        <v>1768</v>
      </c>
      <c r="M3076" t="s">
        <v>953</v>
      </c>
      <c r="N3076" t="s">
        <v>953</v>
      </c>
      <c r="O3076" t="s">
        <v>73</v>
      </c>
      <c r="P3076" t="s">
        <v>81</v>
      </c>
      <c r="Q3076" t="s">
        <v>952</v>
      </c>
      <c r="R3076" t="s">
        <v>953</v>
      </c>
    </row>
    <row r="3077" spans="1:18" x14ac:dyDescent="0.25">
      <c r="A3077" t="s">
        <v>21959</v>
      </c>
      <c r="B3077" t="s">
        <v>4712</v>
      </c>
      <c r="C3077" t="str">
        <f>HYPERLINK("https://nematode.unl.edu/doryll5.jpg")</f>
        <v>https://nematode.unl.edu/doryll5.jpg</v>
      </c>
      <c r="D3077" t="s">
        <v>43</v>
      </c>
      <c r="G3077" t="s">
        <v>51</v>
      </c>
      <c r="I3077" t="s">
        <v>41</v>
      </c>
      <c r="J3077" t="s">
        <v>20</v>
      </c>
      <c r="L3077" t="s">
        <v>1768</v>
      </c>
      <c r="M3077" t="s">
        <v>953</v>
      </c>
      <c r="N3077" t="s">
        <v>953</v>
      </c>
      <c r="O3077" t="s">
        <v>73</v>
      </c>
      <c r="P3077" t="s">
        <v>81</v>
      </c>
      <c r="Q3077" t="s">
        <v>952</v>
      </c>
      <c r="R3077" t="s">
        <v>953</v>
      </c>
    </row>
    <row r="3078" spans="1:18" x14ac:dyDescent="0.25">
      <c r="A3078" t="s">
        <v>21992</v>
      </c>
      <c r="B3078" t="s">
        <v>4713</v>
      </c>
      <c r="C3078" t="str">
        <f>HYPERLINK("https://nematode.unl.edu/dorymi1.jpg")</f>
        <v>https://nematode.unl.edu/dorymi1.jpg</v>
      </c>
      <c r="D3078" t="s">
        <v>43</v>
      </c>
      <c r="G3078" t="s">
        <v>28</v>
      </c>
      <c r="I3078" t="s">
        <v>19</v>
      </c>
      <c r="J3078" t="s">
        <v>20</v>
      </c>
      <c r="L3078" t="s">
        <v>29</v>
      </c>
      <c r="M3078" t="s">
        <v>4714</v>
      </c>
      <c r="N3078" t="s">
        <v>4714</v>
      </c>
      <c r="O3078" t="s">
        <v>73</v>
      </c>
      <c r="P3078" t="s">
        <v>81</v>
      </c>
      <c r="Q3078" t="s">
        <v>952</v>
      </c>
      <c r="R3078" t="s">
        <v>953</v>
      </c>
    </row>
    <row r="3079" spans="1:18" x14ac:dyDescent="0.25">
      <c r="A3079" t="s">
        <v>21983</v>
      </c>
      <c r="B3079" t="s">
        <v>4715</v>
      </c>
      <c r="C3079" t="str">
        <f>HYPERLINK("https://nematode.unl.edu/dorymi10.jpg")</f>
        <v>https://nematode.unl.edu/dorymi10.jpg</v>
      </c>
      <c r="D3079" t="s">
        <v>43</v>
      </c>
      <c r="G3079" t="s">
        <v>34</v>
      </c>
      <c r="H3079" t="s">
        <v>18</v>
      </c>
      <c r="I3079" t="s">
        <v>41</v>
      </c>
      <c r="J3079" t="s">
        <v>20</v>
      </c>
      <c r="L3079" t="s">
        <v>29</v>
      </c>
      <c r="M3079" t="s">
        <v>4714</v>
      </c>
      <c r="N3079" t="s">
        <v>4714</v>
      </c>
      <c r="O3079" t="s">
        <v>73</v>
      </c>
      <c r="P3079" t="s">
        <v>81</v>
      </c>
      <c r="Q3079" t="s">
        <v>952</v>
      </c>
      <c r="R3079" t="s">
        <v>953</v>
      </c>
    </row>
    <row r="3080" spans="1:18" x14ac:dyDescent="0.25">
      <c r="A3080" t="s">
        <v>21989</v>
      </c>
      <c r="B3080" t="s">
        <v>4716</v>
      </c>
      <c r="C3080" t="str">
        <f>HYPERLINK("https://nematode.unl.edu/dorymi11.jpg")</f>
        <v>https://nematode.unl.edu/dorymi11.jpg</v>
      </c>
      <c r="D3080" t="s">
        <v>43</v>
      </c>
      <c r="G3080" t="s">
        <v>87</v>
      </c>
      <c r="I3080" t="s">
        <v>41</v>
      </c>
      <c r="J3080" t="s">
        <v>20</v>
      </c>
      <c r="L3080" t="s">
        <v>29</v>
      </c>
      <c r="M3080" t="s">
        <v>4714</v>
      </c>
      <c r="N3080" t="s">
        <v>4714</v>
      </c>
      <c r="O3080" t="s">
        <v>73</v>
      </c>
      <c r="P3080" t="s">
        <v>81</v>
      </c>
      <c r="Q3080" t="s">
        <v>952</v>
      </c>
      <c r="R3080" t="s">
        <v>953</v>
      </c>
    </row>
    <row r="3081" spans="1:18" x14ac:dyDescent="0.25">
      <c r="A3081" t="s">
        <v>21993</v>
      </c>
      <c r="B3081" t="s">
        <v>4717</v>
      </c>
      <c r="C3081" t="str">
        <f>HYPERLINK("https://nematode.unl.edu/dorymi12.jpg")</f>
        <v>https://nematode.unl.edu/dorymi12.jpg</v>
      </c>
      <c r="D3081" t="s">
        <v>43</v>
      </c>
      <c r="G3081" t="s">
        <v>28</v>
      </c>
      <c r="I3081" t="s">
        <v>19</v>
      </c>
      <c r="J3081" t="s">
        <v>20</v>
      </c>
      <c r="L3081" t="s">
        <v>29</v>
      </c>
      <c r="M3081" t="s">
        <v>4714</v>
      </c>
      <c r="N3081" t="s">
        <v>4714</v>
      </c>
      <c r="O3081" t="s">
        <v>73</v>
      </c>
      <c r="P3081" t="s">
        <v>81</v>
      </c>
      <c r="Q3081" t="s">
        <v>952</v>
      </c>
      <c r="R3081" t="s">
        <v>953</v>
      </c>
    </row>
    <row r="3082" spans="1:18" x14ac:dyDescent="0.25">
      <c r="A3082" t="s">
        <v>21995</v>
      </c>
      <c r="B3082" t="s">
        <v>4718</v>
      </c>
      <c r="C3082" t="str">
        <f>HYPERLINK("https://nematode.unl.edu/dorymi13.jpg")</f>
        <v>https://nematode.unl.edu/dorymi13.jpg</v>
      </c>
      <c r="D3082" t="s">
        <v>43</v>
      </c>
      <c r="G3082" t="s">
        <v>51</v>
      </c>
      <c r="I3082" t="s">
        <v>19</v>
      </c>
      <c r="J3082" t="s">
        <v>20</v>
      </c>
      <c r="L3082" t="s">
        <v>29</v>
      </c>
      <c r="M3082" t="s">
        <v>4714</v>
      </c>
      <c r="N3082" t="s">
        <v>4714</v>
      </c>
      <c r="O3082" t="s">
        <v>73</v>
      </c>
      <c r="P3082" t="s">
        <v>81</v>
      </c>
      <c r="Q3082" t="s">
        <v>952</v>
      </c>
      <c r="R3082" t="s">
        <v>953</v>
      </c>
    </row>
    <row r="3083" spans="1:18" x14ac:dyDescent="0.25">
      <c r="A3083" t="s">
        <v>21990</v>
      </c>
      <c r="B3083" t="s">
        <v>4719</v>
      </c>
      <c r="C3083" t="str">
        <f>HYPERLINK("https://nematode.unl.edu/dorymi14.jpg")</f>
        <v>https://nematode.unl.edu/dorymi14.jpg</v>
      </c>
      <c r="D3083" t="s">
        <v>43</v>
      </c>
      <c r="G3083" t="s">
        <v>87</v>
      </c>
      <c r="I3083" t="s">
        <v>19</v>
      </c>
      <c r="J3083" t="s">
        <v>20</v>
      </c>
      <c r="L3083" t="s">
        <v>29</v>
      </c>
      <c r="M3083" t="s">
        <v>4714</v>
      </c>
      <c r="N3083" t="s">
        <v>4714</v>
      </c>
      <c r="O3083" t="s">
        <v>73</v>
      </c>
      <c r="P3083" t="s">
        <v>81</v>
      </c>
      <c r="Q3083" t="s">
        <v>952</v>
      </c>
      <c r="R3083" t="s">
        <v>953</v>
      </c>
    </row>
    <row r="3084" spans="1:18" x14ac:dyDescent="0.25">
      <c r="A3084" t="s">
        <v>21984</v>
      </c>
      <c r="B3084" t="s">
        <v>4720</v>
      </c>
      <c r="C3084" t="str">
        <f>HYPERLINK("https://nematode.unl.edu/dorymi15.jpg")</f>
        <v>https://nematode.unl.edu/dorymi15.jpg</v>
      </c>
      <c r="D3084" t="s">
        <v>43</v>
      </c>
      <c r="G3084" t="s">
        <v>34</v>
      </c>
      <c r="H3084" t="s">
        <v>18</v>
      </c>
      <c r="I3084" t="s">
        <v>19</v>
      </c>
      <c r="J3084" t="s">
        <v>20</v>
      </c>
      <c r="L3084" t="s">
        <v>29</v>
      </c>
      <c r="M3084" t="s">
        <v>4714</v>
      </c>
      <c r="N3084" t="s">
        <v>4714</v>
      </c>
      <c r="O3084" t="s">
        <v>73</v>
      </c>
      <c r="P3084" t="s">
        <v>81</v>
      </c>
      <c r="Q3084" t="s">
        <v>952</v>
      </c>
      <c r="R3084" t="s">
        <v>953</v>
      </c>
    </row>
    <row r="3085" spans="1:18" x14ac:dyDescent="0.25">
      <c r="A3085" t="s">
        <v>21985</v>
      </c>
      <c r="B3085" t="s">
        <v>4721</v>
      </c>
      <c r="C3085" t="str">
        <f>HYPERLINK("https://nematode.unl.edu/dorymi16.jpg")</f>
        <v>https://nematode.unl.edu/dorymi16.jpg</v>
      </c>
      <c r="D3085" t="s">
        <v>43</v>
      </c>
      <c r="G3085" t="s">
        <v>34</v>
      </c>
      <c r="H3085" t="s">
        <v>18</v>
      </c>
      <c r="I3085" t="s">
        <v>41</v>
      </c>
      <c r="J3085" t="s">
        <v>20</v>
      </c>
      <c r="L3085" t="s">
        <v>29</v>
      </c>
      <c r="M3085" t="s">
        <v>4714</v>
      </c>
      <c r="N3085" t="s">
        <v>4714</v>
      </c>
      <c r="O3085" t="s">
        <v>73</v>
      </c>
      <c r="P3085" t="s">
        <v>81</v>
      </c>
      <c r="Q3085" t="s">
        <v>952</v>
      </c>
      <c r="R3085" t="s">
        <v>953</v>
      </c>
    </row>
    <row r="3086" spans="1:18" x14ac:dyDescent="0.25">
      <c r="A3086" t="s">
        <v>21996</v>
      </c>
      <c r="B3086" t="s">
        <v>4722</v>
      </c>
      <c r="C3086" t="str">
        <f>HYPERLINK("https://nematode.unl.edu/dorymi2.jpg")</f>
        <v>https://nematode.unl.edu/dorymi2.jpg</v>
      </c>
      <c r="D3086" t="s">
        <v>43</v>
      </c>
      <c r="G3086" t="s">
        <v>51</v>
      </c>
      <c r="I3086" t="s">
        <v>19</v>
      </c>
      <c r="J3086" t="s">
        <v>20</v>
      </c>
      <c r="L3086" t="s">
        <v>29</v>
      </c>
      <c r="M3086" t="s">
        <v>4714</v>
      </c>
      <c r="N3086" t="s">
        <v>4714</v>
      </c>
      <c r="O3086" t="s">
        <v>73</v>
      </c>
      <c r="P3086" t="s">
        <v>81</v>
      </c>
      <c r="Q3086" t="s">
        <v>952</v>
      </c>
      <c r="R3086" t="s">
        <v>953</v>
      </c>
    </row>
    <row r="3087" spans="1:18" x14ac:dyDescent="0.25">
      <c r="A3087" t="s">
        <v>21982</v>
      </c>
      <c r="B3087" t="s">
        <v>4723</v>
      </c>
      <c r="C3087" t="str">
        <f>HYPERLINK("https://nematode.unl.edu/dorymi3.jpg")</f>
        <v>https://nematode.unl.edu/dorymi3.jpg</v>
      </c>
      <c r="D3087" t="s">
        <v>43</v>
      </c>
      <c r="G3087" t="s">
        <v>96</v>
      </c>
      <c r="H3087" t="s">
        <v>18</v>
      </c>
      <c r="I3087" t="s">
        <v>19</v>
      </c>
      <c r="J3087" t="s">
        <v>20</v>
      </c>
      <c r="L3087" t="s">
        <v>29</v>
      </c>
      <c r="M3087" t="s">
        <v>4714</v>
      </c>
      <c r="N3087" t="s">
        <v>4714</v>
      </c>
      <c r="O3087" t="s">
        <v>73</v>
      </c>
      <c r="P3087" t="s">
        <v>81</v>
      </c>
      <c r="Q3087" t="s">
        <v>952</v>
      </c>
      <c r="R3087" t="s">
        <v>953</v>
      </c>
    </row>
    <row r="3088" spans="1:18" x14ac:dyDescent="0.25">
      <c r="A3088" t="s">
        <v>21986</v>
      </c>
      <c r="B3088" t="s">
        <v>4724</v>
      </c>
      <c r="C3088" t="str">
        <f>HYPERLINK("https://nematode.unl.edu/dorymi4.jpg")</f>
        <v>https://nematode.unl.edu/dorymi4.jpg</v>
      </c>
      <c r="D3088" t="s">
        <v>43</v>
      </c>
      <c r="G3088" t="s">
        <v>34</v>
      </c>
      <c r="H3088" t="s">
        <v>18</v>
      </c>
      <c r="I3088" t="s">
        <v>41</v>
      </c>
      <c r="J3088" t="s">
        <v>20</v>
      </c>
      <c r="L3088" t="s">
        <v>29</v>
      </c>
      <c r="M3088" t="s">
        <v>4714</v>
      </c>
      <c r="N3088" t="s">
        <v>4714</v>
      </c>
      <c r="O3088" t="s">
        <v>73</v>
      </c>
      <c r="P3088" t="s">
        <v>81</v>
      </c>
      <c r="Q3088" t="s">
        <v>952</v>
      </c>
      <c r="R3088" t="s">
        <v>953</v>
      </c>
    </row>
    <row r="3089" spans="1:18" x14ac:dyDescent="0.25">
      <c r="A3089" t="s">
        <v>21987</v>
      </c>
      <c r="B3089" t="s">
        <v>4725</v>
      </c>
      <c r="C3089" t="str">
        <f>HYPERLINK("https://nematode.unl.edu/dorymi5.jpg")</f>
        <v>https://nematode.unl.edu/dorymi5.jpg</v>
      </c>
      <c r="D3089" t="s">
        <v>43</v>
      </c>
      <c r="G3089" t="s">
        <v>34</v>
      </c>
      <c r="H3089" t="s">
        <v>18</v>
      </c>
      <c r="I3089" t="s">
        <v>41</v>
      </c>
      <c r="J3089" t="s">
        <v>20</v>
      </c>
      <c r="L3089" t="s">
        <v>29</v>
      </c>
      <c r="M3089" t="s">
        <v>4714</v>
      </c>
      <c r="N3089" t="s">
        <v>4714</v>
      </c>
      <c r="O3089" t="s">
        <v>73</v>
      </c>
      <c r="P3089" t="s">
        <v>81</v>
      </c>
      <c r="Q3089" t="s">
        <v>952</v>
      </c>
      <c r="R3089" t="s">
        <v>953</v>
      </c>
    </row>
    <row r="3090" spans="1:18" x14ac:dyDescent="0.25">
      <c r="A3090" t="s">
        <v>21991</v>
      </c>
      <c r="B3090" t="s">
        <v>4726</v>
      </c>
      <c r="C3090" t="str">
        <f>HYPERLINK("https://nematode.unl.edu/dorymi6.jpg")</f>
        <v>https://nematode.unl.edu/dorymi6.jpg</v>
      </c>
      <c r="D3090" t="s">
        <v>43</v>
      </c>
      <c r="G3090" t="s">
        <v>44</v>
      </c>
      <c r="I3090" t="s">
        <v>45</v>
      </c>
      <c r="J3090" t="s">
        <v>20</v>
      </c>
      <c r="L3090" t="s">
        <v>29</v>
      </c>
      <c r="M3090" t="s">
        <v>4714</v>
      </c>
      <c r="N3090" t="s">
        <v>4714</v>
      </c>
      <c r="O3090" t="s">
        <v>73</v>
      </c>
      <c r="P3090" t="s">
        <v>81</v>
      </c>
      <c r="Q3090" t="s">
        <v>952</v>
      </c>
      <c r="R3090" t="s">
        <v>953</v>
      </c>
    </row>
    <row r="3091" spans="1:18" x14ac:dyDescent="0.25">
      <c r="A3091" t="s">
        <v>21994</v>
      </c>
      <c r="B3091" t="s">
        <v>4727</v>
      </c>
      <c r="C3091" t="str">
        <f>HYPERLINK("https://nematode.unl.edu/dorymi7.jpg")</f>
        <v>https://nematode.unl.edu/dorymi7.jpg</v>
      </c>
      <c r="D3091" t="s">
        <v>43</v>
      </c>
      <c r="G3091" t="s">
        <v>28</v>
      </c>
      <c r="I3091" t="s">
        <v>19</v>
      </c>
      <c r="J3091" t="s">
        <v>20</v>
      </c>
      <c r="L3091" t="s">
        <v>29</v>
      </c>
      <c r="M3091" t="s">
        <v>4714</v>
      </c>
      <c r="N3091" t="s">
        <v>4714</v>
      </c>
      <c r="O3091" t="s">
        <v>73</v>
      </c>
      <c r="P3091" t="s">
        <v>81</v>
      </c>
      <c r="Q3091" t="s">
        <v>952</v>
      </c>
      <c r="R3091" t="s">
        <v>953</v>
      </c>
    </row>
    <row r="3092" spans="1:18" x14ac:dyDescent="0.25">
      <c r="A3092" t="s">
        <v>21997</v>
      </c>
      <c r="B3092" t="s">
        <v>4728</v>
      </c>
      <c r="C3092" t="str">
        <f>HYPERLINK("https://nematode.unl.edu/dorymi8.jpg")</f>
        <v>https://nematode.unl.edu/dorymi8.jpg</v>
      </c>
      <c r="D3092" t="s">
        <v>43</v>
      </c>
      <c r="G3092" t="s">
        <v>51</v>
      </c>
      <c r="I3092" t="s">
        <v>41</v>
      </c>
      <c r="J3092" t="s">
        <v>20</v>
      </c>
      <c r="L3092" t="s">
        <v>29</v>
      </c>
      <c r="M3092" t="s">
        <v>4714</v>
      </c>
      <c r="N3092" t="s">
        <v>4714</v>
      </c>
      <c r="O3092" t="s">
        <v>73</v>
      </c>
      <c r="P3092" t="s">
        <v>81</v>
      </c>
      <c r="Q3092" t="s">
        <v>952</v>
      </c>
      <c r="R3092" t="s">
        <v>953</v>
      </c>
    </row>
    <row r="3093" spans="1:18" x14ac:dyDescent="0.25">
      <c r="A3093" t="s">
        <v>21988</v>
      </c>
      <c r="B3093" t="s">
        <v>4729</v>
      </c>
      <c r="C3093" t="str">
        <f>HYPERLINK("https://nematode.unl.edu/dorymi9.jpg")</f>
        <v>https://nematode.unl.edu/dorymi9.jpg</v>
      </c>
      <c r="D3093" t="s">
        <v>43</v>
      </c>
      <c r="G3093" t="s">
        <v>34</v>
      </c>
      <c r="H3093" t="s">
        <v>18</v>
      </c>
      <c r="I3093" t="s">
        <v>19</v>
      </c>
      <c r="J3093" t="s">
        <v>20</v>
      </c>
      <c r="L3093" t="s">
        <v>29</v>
      </c>
      <c r="M3093" t="s">
        <v>4714</v>
      </c>
      <c r="N3093" t="s">
        <v>4714</v>
      </c>
      <c r="O3093" t="s">
        <v>73</v>
      </c>
      <c r="P3093" t="s">
        <v>81</v>
      </c>
      <c r="Q3093" t="s">
        <v>952</v>
      </c>
      <c r="R3093" t="s">
        <v>953</v>
      </c>
    </row>
    <row r="3094" spans="1:18" x14ac:dyDescent="0.25">
      <c r="A3094" t="s">
        <v>19582</v>
      </c>
      <c r="B3094" t="s">
        <v>825</v>
      </c>
      <c r="C3094" t="str">
        <f>HYPERLINK("https://nematode.unl.edu/doryo1.jpg")</f>
        <v>https://nematode.unl.edu/doryo1.jpg</v>
      </c>
      <c r="D3094" t="s">
        <v>43</v>
      </c>
      <c r="G3094" t="s">
        <v>44</v>
      </c>
      <c r="I3094" t="s">
        <v>91</v>
      </c>
      <c r="J3094" t="s">
        <v>20</v>
      </c>
      <c r="L3094" t="s">
        <v>352</v>
      </c>
      <c r="M3094" t="s">
        <v>809</v>
      </c>
      <c r="N3094" t="s">
        <v>810</v>
      </c>
      <c r="O3094" t="s">
        <v>73</v>
      </c>
      <c r="P3094" t="s">
        <v>81</v>
      </c>
      <c r="Q3094" t="s">
        <v>733</v>
      </c>
      <c r="R3094" t="s">
        <v>734</v>
      </c>
    </row>
    <row r="3095" spans="1:18" x14ac:dyDescent="0.25">
      <c r="A3095" t="s">
        <v>19584</v>
      </c>
      <c r="B3095" t="s">
        <v>826</v>
      </c>
      <c r="C3095" t="str">
        <f>HYPERLINK("https://nematode.unl.edu/doryo10.jpg")</f>
        <v>https://nematode.unl.edu/doryo10.jpg</v>
      </c>
      <c r="D3095" t="s">
        <v>43</v>
      </c>
      <c r="G3095" t="s">
        <v>827</v>
      </c>
      <c r="I3095" t="s">
        <v>41</v>
      </c>
      <c r="J3095" t="s">
        <v>20</v>
      </c>
      <c r="L3095" t="s">
        <v>352</v>
      </c>
      <c r="M3095" t="s">
        <v>809</v>
      </c>
      <c r="N3095" t="s">
        <v>810</v>
      </c>
      <c r="O3095" t="s">
        <v>73</v>
      </c>
      <c r="P3095" t="s">
        <v>81</v>
      </c>
      <c r="Q3095" t="s">
        <v>733</v>
      </c>
      <c r="R3095" t="s">
        <v>734</v>
      </c>
    </row>
    <row r="3096" spans="1:18" x14ac:dyDescent="0.25">
      <c r="A3096" t="s">
        <v>19568</v>
      </c>
      <c r="B3096" t="s">
        <v>828</v>
      </c>
      <c r="C3096" t="str">
        <f>HYPERLINK("https://nematode.unl.edu/doryo11.jpg")</f>
        <v>https://nematode.unl.edu/doryo11.jpg</v>
      </c>
      <c r="D3096" t="s">
        <v>43</v>
      </c>
      <c r="G3096" t="s">
        <v>34</v>
      </c>
      <c r="H3096" t="s">
        <v>18</v>
      </c>
      <c r="I3096" t="s">
        <v>41</v>
      </c>
      <c r="J3096" t="s">
        <v>20</v>
      </c>
      <c r="L3096" t="s">
        <v>193</v>
      </c>
      <c r="M3096" t="s">
        <v>809</v>
      </c>
      <c r="N3096" t="s">
        <v>810</v>
      </c>
      <c r="O3096" t="s">
        <v>73</v>
      </c>
      <c r="P3096" t="s">
        <v>81</v>
      </c>
      <c r="Q3096" t="s">
        <v>733</v>
      </c>
      <c r="R3096" t="s">
        <v>734</v>
      </c>
    </row>
    <row r="3097" spans="1:18" x14ac:dyDescent="0.25">
      <c r="A3097" t="s">
        <v>19583</v>
      </c>
      <c r="B3097" t="s">
        <v>829</v>
      </c>
      <c r="C3097" t="str">
        <f>HYPERLINK("https://nematode.unl.edu/doryo12.jpg")</f>
        <v>https://nematode.unl.edu/doryo12.jpg</v>
      </c>
      <c r="D3097" t="s">
        <v>43</v>
      </c>
      <c r="G3097" t="s">
        <v>44</v>
      </c>
      <c r="I3097" t="s">
        <v>45</v>
      </c>
      <c r="J3097" t="s">
        <v>20</v>
      </c>
      <c r="L3097" t="s">
        <v>193</v>
      </c>
      <c r="M3097" t="s">
        <v>809</v>
      </c>
      <c r="N3097" t="s">
        <v>810</v>
      </c>
      <c r="O3097" t="s">
        <v>73</v>
      </c>
      <c r="P3097" t="s">
        <v>81</v>
      </c>
      <c r="Q3097" t="s">
        <v>733</v>
      </c>
      <c r="R3097" t="s">
        <v>734</v>
      </c>
    </row>
    <row r="3098" spans="1:18" x14ac:dyDescent="0.25">
      <c r="A3098" t="s">
        <v>19569</v>
      </c>
      <c r="B3098" t="s">
        <v>830</v>
      </c>
      <c r="C3098" t="str">
        <f>HYPERLINK("https://nematode.unl.edu/doryo13.jpg")</f>
        <v>https://nematode.unl.edu/doryo13.jpg</v>
      </c>
      <c r="D3098" t="s">
        <v>43</v>
      </c>
      <c r="G3098" t="s">
        <v>34</v>
      </c>
      <c r="H3098" t="s">
        <v>18</v>
      </c>
      <c r="I3098" t="s">
        <v>41</v>
      </c>
      <c r="J3098" t="s">
        <v>20</v>
      </c>
      <c r="L3098" t="s">
        <v>193</v>
      </c>
      <c r="M3098" t="s">
        <v>809</v>
      </c>
      <c r="N3098" t="s">
        <v>810</v>
      </c>
      <c r="O3098" t="s">
        <v>73</v>
      </c>
      <c r="P3098" t="s">
        <v>81</v>
      </c>
      <c r="Q3098" t="s">
        <v>733</v>
      </c>
      <c r="R3098" t="s">
        <v>734</v>
      </c>
    </row>
    <row r="3099" spans="1:18" x14ac:dyDescent="0.25">
      <c r="A3099" t="s">
        <v>19576</v>
      </c>
      <c r="B3099" t="s">
        <v>831</v>
      </c>
      <c r="C3099" t="str">
        <f>HYPERLINK("https://nematode.unl.edu/doryo14.jpg")</f>
        <v>https://nematode.unl.edu/doryo14.jpg</v>
      </c>
      <c r="D3099" t="s">
        <v>43</v>
      </c>
      <c r="G3099" t="s">
        <v>87</v>
      </c>
      <c r="I3099" t="s">
        <v>19</v>
      </c>
      <c r="J3099" t="s">
        <v>20</v>
      </c>
      <c r="L3099" t="s">
        <v>193</v>
      </c>
      <c r="M3099" t="s">
        <v>809</v>
      </c>
      <c r="N3099" t="s">
        <v>810</v>
      </c>
      <c r="O3099" t="s">
        <v>73</v>
      </c>
      <c r="P3099" t="s">
        <v>81</v>
      </c>
      <c r="Q3099" t="s">
        <v>733</v>
      </c>
      <c r="R3099" t="s">
        <v>734</v>
      </c>
    </row>
    <row r="3100" spans="1:18" x14ac:dyDescent="0.25">
      <c r="A3100" t="s">
        <v>19570</v>
      </c>
      <c r="B3100" t="s">
        <v>832</v>
      </c>
      <c r="C3100" t="str">
        <f>HYPERLINK("https://nematode.unl.edu/doryo15.jpg")</f>
        <v>https://nematode.unl.edu/doryo15.jpg</v>
      </c>
      <c r="D3100" t="s">
        <v>43</v>
      </c>
      <c r="G3100" t="s">
        <v>34</v>
      </c>
      <c r="H3100" t="s">
        <v>18</v>
      </c>
      <c r="I3100" t="s">
        <v>41</v>
      </c>
      <c r="J3100" t="s">
        <v>20</v>
      </c>
      <c r="L3100" t="s">
        <v>193</v>
      </c>
      <c r="M3100" t="s">
        <v>809</v>
      </c>
      <c r="N3100" t="s">
        <v>810</v>
      </c>
      <c r="O3100" t="s">
        <v>73</v>
      </c>
      <c r="P3100" t="s">
        <v>81</v>
      </c>
      <c r="Q3100" t="s">
        <v>733</v>
      </c>
      <c r="R3100" t="s">
        <v>734</v>
      </c>
    </row>
    <row r="3101" spans="1:18" x14ac:dyDescent="0.25">
      <c r="A3101" t="s">
        <v>19589</v>
      </c>
      <c r="B3101" t="s">
        <v>833</v>
      </c>
      <c r="C3101" t="str">
        <f>HYPERLINK("https://nematode.unl.edu/doryo16.jpg")</f>
        <v>https://nematode.unl.edu/doryo16.jpg</v>
      </c>
      <c r="D3101" t="s">
        <v>43</v>
      </c>
      <c r="G3101" t="s">
        <v>28</v>
      </c>
      <c r="I3101" t="s">
        <v>19</v>
      </c>
      <c r="J3101" t="s">
        <v>20</v>
      </c>
      <c r="L3101" t="s">
        <v>193</v>
      </c>
      <c r="M3101" t="s">
        <v>809</v>
      </c>
      <c r="N3101" t="s">
        <v>810</v>
      </c>
      <c r="O3101" t="s">
        <v>73</v>
      </c>
      <c r="P3101" t="s">
        <v>81</v>
      </c>
      <c r="Q3101" t="s">
        <v>733</v>
      </c>
      <c r="R3101" t="s">
        <v>734</v>
      </c>
    </row>
    <row r="3102" spans="1:18" x14ac:dyDescent="0.25">
      <c r="A3102" t="s">
        <v>19596</v>
      </c>
      <c r="B3102" t="s">
        <v>834</v>
      </c>
      <c r="C3102" t="str">
        <f>HYPERLINK("https://nematode.unl.edu/doryo17.jpg")</f>
        <v>https://nematode.unl.edu/doryo17.jpg</v>
      </c>
      <c r="D3102" t="s">
        <v>43</v>
      </c>
      <c r="G3102" t="s">
        <v>51</v>
      </c>
      <c r="I3102" t="s">
        <v>19</v>
      </c>
      <c r="J3102" t="s">
        <v>20</v>
      </c>
      <c r="L3102" t="s">
        <v>193</v>
      </c>
      <c r="M3102" t="s">
        <v>809</v>
      </c>
      <c r="N3102" t="s">
        <v>810</v>
      </c>
      <c r="O3102" t="s">
        <v>73</v>
      </c>
      <c r="P3102" t="s">
        <v>81</v>
      </c>
      <c r="Q3102" t="s">
        <v>733</v>
      </c>
      <c r="R3102" t="s">
        <v>734</v>
      </c>
    </row>
    <row r="3103" spans="1:18" x14ac:dyDescent="0.25">
      <c r="A3103" t="s">
        <v>19571</v>
      </c>
      <c r="B3103" t="s">
        <v>835</v>
      </c>
      <c r="C3103" t="str">
        <f>HYPERLINK("https://nematode.unl.edu/doryo19.jpg")</f>
        <v>https://nematode.unl.edu/doryo19.jpg</v>
      </c>
      <c r="D3103" t="s">
        <v>16</v>
      </c>
      <c r="G3103" t="s">
        <v>34</v>
      </c>
      <c r="H3103" t="s">
        <v>18</v>
      </c>
      <c r="I3103" t="s">
        <v>19</v>
      </c>
      <c r="J3103" t="s">
        <v>20</v>
      </c>
      <c r="L3103" t="s">
        <v>193</v>
      </c>
      <c r="M3103" t="s">
        <v>809</v>
      </c>
      <c r="N3103" t="s">
        <v>810</v>
      </c>
      <c r="O3103" t="s">
        <v>73</v>
      </c>
      <c r="P3103" t="s">
        <v>81</v>
      </c>
      <c r="Q3103" t="s">
        <v>733</v>
      </c>
      <c r="R3103" t="s">
        <v>734</v>
      </c>
    </row>
    <row r="3104" spans="1:18" x14ac:dyDescent="0.25">
      <c r="A3104" t="s">
        <v>19572</v>
      </c>
      <c r="B3104" t="s">
        <v>836</v>
      </c>
      <c r="C3104" t="str">
        <f>HYPERLINK("https://nematode.unl.edu/doryo2.jpg")</f>
        <v>https://nematode.unl.edu/doryo2.jpg</v>
      </c>
      <c r="D3104" t="s">
        <v>43</v>
      </c>
      <c r="G3104" t="s">
        <v>34</v>
      </c>
      <c r="H3104" t="s">
        <v>18</v>
      </c>
      <c r="I3104" t="s">
        <v>19</v>
      </c>
      <c r="J3104" t="s">
        <v>20</v>
      </c>
      <c r="L3104" t="s">
        <v>193</v>
      </c>
      <c r="M3104" t="s">
        <v>809</v>
      </c>
      <c r="N3104" t="s">
        <v>810</v>
      </c>
      <c r="O3104" t="s">
        <v>73</v>
      </c>
      <c r="P3104" t="s">
        <v>81</v>
      </c>
      <c r="Q3104" t="s">
        <v>733</v>
      </c>
      <c r="R3104" t="s">
        <v>734</v>
      </c>
    </row>
    <row r="3105" spans="1:18" x14ac:dyDescent="0.25">
      <c r="A3105" t="s">
        <v>19577</v>
      </c>
      <c r="B3105" t="s">
        <v>837</v>
      </c>
      <c r="C3105" t="str">
        <f>HYPERLINK("https://nematode.unl.edu/doryo20.jpg")</f>
        <v>https://nematode.unl.edu/doryo20.jpg</v>
      </c>
      <c r="D3105" t="s">
        <v>16</v>
      </c>
      <c r="G3105" t="s">
        <v>87</v>
      </c>
      <c r="I3105" t="s">
        <v>19</v>
      </c>
      <c r="J3105" t="s">
        <v>20</v>
      </c>
      <c r="L3105" t="s">
        <v>193</v>
      </c>
      <c r="M3105" t="s">
        <v>809</v>
      </c>
      <c r="N3105" t="s">
        <v>810</v>
      </c>
      <c r="O3105" t="s">
        <v>73</v>
      </c>
      <c r="P3105" t="s">
        <v>81</v>
      </c>
      <c r="Q3105" t="s">
        <v>733</v>
      </c>
      <c r="R3105" t="s">
        <v>734</v>
      </c>
    </row>
    <row r="3106" spans="1:18" x14ac:dyDescent="0.25">
      <c r="A3106" t="s">
        <v>19590</v>
      </c>
      <c r="B3106" t="s">
        <v>838</v>
      </c>
      <c r="C3106" t="str">
        <f>HYPERLINK("https://nematode.unl.edu/doryo21.jpg")</f>
        <v>https://nematode.unl.edu/doryo21.jpg</v>
      </c>
      <c r="D3106" t="s">
        <v>16</v>
      </c>
      <c r="G3106" t="s">
        <v>28</v>
      </c>
      <c r="I3106" t="s">
        <v>19</v>
      </c>
      <c r="J3106" t="s">
        <v>20</v>
      </c>
      <c r="L3106" t="s">
        <v>193</v>
      </c>
      <c r="M3106" t="s">
        <v>809</v>
      </c>
      <c r="N3106" t="s">
        <v>810</v>
      </c>
      <c r="O3106" t="s">
        <v>73</v>
      </c>
      <c r="P3106" t="s">
        <v>81</v>
      </c>
      <c r="Q3106" t="s">
        <v>733</v>
      </c>
      <c r="R3106" t="s">
        <v>734</v>
      </c>
    </row>
    <row r="3107" spans="1:18" x14ac:dyDescent="0.25">
      <c r="A3107" t="s">
        <v>19578</v>
      </c>
      <c r="B3107" t="s">
        <v>839</v>
      </c>
      <c r="C3107" t="str">
        <f>HYPERLINK("https://nematode.unl.edu/doryo22.jpg")</f>
        <v>https://nematode.unl.edu/doryo22.jpg</v>
      </c>
      <c r="D3107" t="s">
        <v>16</v>
      </c>
      <c r="G3107" t="s">
        <v>87</v>
      </c>
      <c r="I3107" t="s">
        <v>41</v>
      </c>
      <c r="J3107" t="s">
        <v>20</v>
      </c>
      <c r="L3107" t="s">
        <v>193</v>
      </c>
      <c r="M3107" t="s">
        <v>809</v>
      </c>
      <c r="N3107" t="s">
        <v>810</v>
      </c>
      <c r="O3107" t="s">
        <v>73</v>
      </c>
      <c r="P3107" t="s">
        <v>81</v>
      </c>
      <c r="Q3107" t="s">
        <v>733</v>
      </c>
      <c r="R3107" t="s">
        <v>734</v>
      </c>
    </row>
    <row r="3108" spans="1:18" x14ac:dyDescent="0.25">
      <c r="A3108" t="s">
        <v>19591</v>
      </c>
      <c r="B3108" t="s">
        <v>840</v>
      </c>
      <c r="C3108" t="str">
        <f>HYPERLINK("https://nematode.unl.edu/doryo23.jpg")</f>
        <v>https://nematode.unl.edu/doryo23.jpg</v>
      </c>
      <c r="D3108" t="s">
        <v>16</v>
      </c>
      <c r="G3108" t="s">
        <v>28</v>
      </c>
      <c r="I3108" t="s">
        <v>41</v>
      </c>
      <c r="J3108" t="s">
        <v>20</v>
      </c>
      <c r="L3108" t="s">
        <v>193</v>
      </c>
      <c r="M3108" t="s">
        <v>809</v>
      </c>
      <c r="N3108" t="s">
        <v>810</v>
      </c>
      <c r="O3108" t="s">
        <v>73</v>
      </c>
      <c r="P3108" t="s">
        <v>81</v>
      </c>
      <c r="Q3108" t="s">
        <v>733</v>
      </c>
      <c r="R3108" t="s">
        <v>734</v>
      </c>
    </row>
    <row r="3109" spans="1:18" x14ac:dyDescent="0.25">
      <c r="A3109" t="s">
        <v>19597</v>
      </c>
      <c r="B3109" t="s">
        <v>841</v>
      </c>
      <c r="C3109" t="str">
        <f>HYPERLINK("https://nematode.unl.edu/doryo3.jpg")</f>
        <v>https://nematode.unl.edu/doryo3.jpg</v>
      </c>
      <c r="D3109" t="s">
        <v>43</v>
      </c>
      <c r="G3109" t="s">
        <v>51</v>
      </c>
      <c r="I3109" t="s">
        <v>19</v>
      </c>
      <c r="J3109" t="s">
        <v>20</v>
      </c>
      <c r="L3109" t="s">
        <v>193</v>
      </c>
      <c r="M3109" t="s">
        <v>809</v>
      </c>
      <c r="N3109" t="s">
        <v>810</v>
      </c>
      <c r="O3109" t="s">
        <v>73</v>
      </c>
      <c r="P3109" t="s">
        <v>81</v>
      </c>
      <c r="Q3109" t="s">
        <v>733</v>
      </c>
      <c r="R3109" t="s">
        <v>734</v>
      </c>
    </row>
    <row r="3110" spans="1:18" x14ac:dyDescent="0.25">
      <c r="A3110" t="s">
        <v>19592</v>
      </c>
      <c r="B3110" t="s">
        <v>842</v>
      </c>
      <c r="C3110" t="str">
        <f>HYPERLINK("https://nematode.unl.edu/doryo4.jpg")</f>
        <v>https://nematode.unl.edu/doryo4.jpg</v>
      </c>
      <c r="D3110" t="s">
        <v>43</v>
      </c>
      <c r="G3110" t="s">
        <v>28</v>
      </c>
      <c r="I3110" t="s">
        <v>19</v>
      </c>
      <c r="J3110" t="s">
        <v>20</v>
      </c>
      <c r="L3110" t="s">
        <v>193</v>
      </c>
      <c r="M3110" t="s">
        <v>809</v>
      </c>
      <c r="N3110" t="s">
        <v>810</v>
      </c>
      <c r="O3110" t="s">
        <v>73</v>
      </c>
      <c r="P3110" t="s">
        <v>81</v>
      </c>
      <c r="Q3110" t="s">
        <v>733</v>
      </c>
      <c r="R3110" t="s">
        <v>734</v>
      </c>
    </row>
    <row r="3111" spans="1:18" x14ac:dyDescent="0.25">
      <c r="A3111" t="s">
        <v>19573</v>
      </c>
      <c r="B3111" t="s">
        <v>843</v>
      </c>
      <c r="C3111" t="str">
        <f>HYPERLINK("https://nematode.unl.edu/doryo5.jpg")</f>
        <v>https://nematode.unl.edu/doryo5.jpg</v>
      </c>
      <c r="D3111" t="s">
        <v>43</v>
      </c>
      <c r="G3111" t="s">
        <v>34</v>
      </c>
      <c r="H3111" t="s">
        <v>18</v>
      </c>
      <c r="I3111" t="s">
        <v>41</v>
      </c>
      <c r="J3111" t="s">
        <v>20</v>
      </c>
      <c r="L3111" t="s">
        <v>193</v>
      </c>
      <c r="M3111" t="s">
        <v>809</v>
      </c>
      <c r="N3111" t="s">
        <v>810</v>
      </c>
      <c r="O3111" t="s">
        <v>73</v>
      </c>
      <c r="P3111" t="s">
        <v>81</v>
      </c>
      <c r="Q3111" t="s">
        <v>733</v>
      </c>
      <c r="R3111" t="s">
        <v>734</v>
      </c>
    </row>
    <row r="3112" spans="1:18" x14ac:dyDescent="0.25">
      <c r="A3112" t="s">
        <v>19574</v>
      </c>
      <c r="B3112" t="s">
        <v>844</v>
      </c>
      <c r="C3112" t="str">
        <f>HYPERLINK("https://nematode.unl.edu/doryo6.jpg")</f>
        <v>https://nematode.unl.edu/doryo6.jpg</v>
      </c>
      <c r="D3112" t="s">
        <v>43</v>
      </c>
      <c r="G3112" t="s">
        <v>34</v>
      </c>
      <c r="H3112" t="s">
        <v>18</v>
      </c>
      <c r="I3112" t="s">
        <v>19</v>
      </c>
      <c r="J3112" t="s">
        <v>20</v>
      </c>
      <c r="L3112" t="s">
        <v>193</v>
      </c>
      <c r="M3112" t="s">
        <v>809</v>
      </c>
      <c r="N3112" t="s">
        <v>810</v>
      </c>
      <c r="O3112" t="s">
        <v>73</v>
      </c>
      <c r="P3112" t="s">
        <v>81</v>
      </c>
      <c r="Q3112" t="s">
        <v>733</v>
      </c>
      <c r="R3112" t="s">
        <v>734</v>
      </c>
    </row>
    <row r="3113" spans="1:18" x14ac:dyDescent="0.25">
      <c r="A3113" t="s">
        <v>19579</v>
      </c>
      <c r="B3113" t="s">
        <v>845</v>
      </c>
      <c r="C3113" t="str">
        <f>HYPERLINK("https://nematode.unl.edu/doryo7.jpg")</f>
        <v>https://nematode.unl.edu/doryo7.jpg</v>
      </c>
      <c r="D3113" t="s">
        <v>43</v>
      </c>
      <c r="G3113" t="s">
        <v>87</v>
      </c>
      <c r="I3113" t="s">
        <v>19</v>
      </c>
      <c r="J3113" t="s">
        <v>20</v>
      </c>
      <c r="L3113" t="s">
        <v>193</v>
      </c>
      <c r="M3113" t="s">
        <v>809</v>
      </c>
      <c r="N3113" t="s">
        <v>810</v>
      </c>
      <c r="O3113" t="s">
        <v>73</v>
      </c>
      <c r="P3113" t="s">
        <v>81</v>
      </c>
      <c r="Q3113" t="s">
        <v>733</v>
      </c>
      <c r="R3113" t="s">
        <v>734</v>
      </c>
    </row>
    <row r="3114" spans="1:18" x14ac:dyDescent="0.25">
      <c r="A3114" t="s">
        <v>19598</v>
      </c>
      <c r="B3114" t="s">
        <v>846</v>
      </c>
      <c r="C3114" t="str">
        <f>HYPERLINK("https://nematode.unl.edu/doryo8.jpg")</f>
        <v>https://nematode.unl.edu/doryo8.jpg</v>
      </c>
      <c r="D3114" t="s">
        <v>43</v>
      </c>
      <c r="G3114" t="s">
        <v>51</v>
      </c>
      <c r="I3114" t="s">
        <v>19</v>
      </c>
      <c r="J3114" t="s">
        <v>20</v>
      </c>
      <c r="L3114" t="s">
        <v>193</v>
      </c>
      <c r="M3114" t="s">
        <v>809</v>
      </c>
      <c r="N3114" t="s">
        <v>810</v>
      </c>
      <c r="O3114" t="s">
        <v>73</v>
      </c>
      <c r="P3114" t="s">
        <v>81</v>
      </c>
      <c r="Q3114" t="s">
        <v>733</v>
      </c>
      <c r="R3114" t="s">
        <v>734</v>
      </c>
    </row>
    <row r="3115" spans="1:18" x14ac:dyDescent="0.25">
      <c r="A3115" t="s">
        <v>19593</v>
      </c>
      <c r="B3115" t="s">
        <v>847</v>
      </c>
      <c r="C3115" t="str">
        <f>HYPERLINK("https://nematode.unl.edu/doryo9.jpg")</f>
        <v>https://nematode.unl.edu/doryo9.jpg</v>
      </c>
      <c r="D3115" t="s">
        <v>43</v>
      </c>
      <c r="G3115" t="s">
        <v>28</v>
      </c>
      <c r="I3115" t="s">
        <v>19</v>
      </c>
      <c r="J3115" t="s">
        <v>20</v>
      </c>
      <c r="L3115" t="s">
        <v>352</v>
      </c>
      <c r="M3115" t="s">
        <v>809</v>
      </c>
      <c r="N3115" t="s">
        <v>810</v>
      </c>
      <c r="O3115" t="s">
        <v>73</v>
      </c>
      <c r="P3115" t="s">
        <v>81</v>
      </c>
      <c r="Q3115" t="s">
        <v>733</v>
      </c>
      <c r="R3115" t="s">
        <v>734</v>
      </c>
    </row>
    <row r="3116" spans="1:18" x14ac:dyDescent="0.25">
      <c r="A3116" t="s">
        <v>19642</v>
      </c>
      <c r="B3116" t="s">
        <v>883</v>
      </c>
      <c r="C3116" t="str">
        <f>HYPERLINK("https://nematode.unl.edu/doryspr.jpg")</f>
        <v>https://nematode.unl.edu/doryspr.jpg</v>
      </c>
      <c r="D3116" t="s">
        <v>77</v>
      </c>
      <c r="G3116" t="s">
        <v>34</v>
      </c>
      <c r="H3116" t="s">
        <v>18</v>
      </c>
      <c r="I3116" t="s">
        <v>19</v>
      </c>
      <c r="J3116" t="s">
        <v>46</v>
      </c>
      <c r="L3116" t="s">
        <v>727</v>
      </c>
      <c r="M3116" t="s">
        <v>880</v>
      </c>
      <c r="N3116" t="s">
        <v>881</v>
      </c>
      <c r="O3116" t="s">
        <v>73</v>
      </c>
      <c r="P3116" t="s">
        <v>81</v>
      </c>
      <c r="Q3116" t="s">
        <v>733</v>
      </c>
      <c r="R3116" t="s">
        <v>734</v>
      </c>
    </row>
    <row r="3117" spans="1:18" x14ac:dyDescent="0.25">
      <c r="A3117" t="s">
        <v>19670</v>
      </c>
      <c r="B3117" t="s">
        <v>884</v>
      </c>
      <c r="C3117" t="str">
        <f>HYPERLINK("https://nematode.unl.edu/dorysup.jpg")</f>
        <v>https://nematode.unl.edu/dorysup.jpg</v>
      </c>
      <c r="D3117" t="s">
        <v>77</v>
      </c>
      <c r="G3117" t="s">
        <v>28</v>
      </c>
      <c r="I3117" t="s">
        <v>19</v>
      </c>
      <c r="J3117" t="s">
        <v>46</v>
      </c>
      <c r="L3117" t="s">
        <v>727</v>
      </c>
      <c r="M3117" t="s">
        <v>880</v>
      </c>
      <c r="N3117" t="s">
        <v>881</v>
      </c>
      <c r="O3117" t="s">
        <v>73</v>
      </c>
      <c r="P3117" t="s">
        <v>81</v>
      </c>
      <c r="Q3117" t="s">
        <v>733</v>
      </c>
      <c r="R3117" t="s">
        <v>734</v>
      </c>
    </row>
    <row r="3118" spans="1:18" x14ac:dyDescent="0.25">
      <c r="A3118" t="s">
        <v>19625</v>
      </c>
      <c r="B3118" t="s">
        <v>865</v>
      </c>
      <c r="C3118" t="str">
        <f>HYPERLINK("https://nematode.unl.edu/doryte1.jpg")</f>
        <v>https://nematode.unl.edu/doryte1.jpg</v>
      </c>
      <c r="D3118" t="s">
        <v>43</v>
      </c>
      <c r="G3118" t="s">
        <v>44</v>
      </c>
      <c r="I3118" t="s">
        <v>45</v>
      </c>
      <c r="J3118" t="s">
        <v>46</v>
      </c>
      <c r="L3118" t="s">
        <v>727</v>
      </c>
      <c r="M3118" t="s">
        <v>849</v>
      </c>
      <c r="N3118" t="s">
        <v>850</v>
      </c>
      <c r="O3118" t="s">
        <v>73</v>
      </c>
      <c r="P3118" t="s">
        <v>81</v>
      </c>
      <c r="Q3118" t="s">
        <v>733</v>
      </c>
      <c r="R3118" t="s">
        <v>734</v>
      </c>
    </row>
    <row r="3119" spans="1:18" x14ac:dyDescent="0.25">
      <c r="A3119" t="s">
        <v>19616</v>
      </c>
      <c r="B3119" t="s">
        <v>866</v>
      </c>
      <c r="C3119" t="str">
        <f>HYPERLINK("https://nematode.unl.edu/doryte2.jpg")</f>
        <v>https://nematode.unl.edu/doryte2.jpg</v>
      </c>
      <c r="D3119" t="s">
        <v>43</v>
      </c>
      <c r="G3119" t="s">
        <v>34</v>
      </c>
      <c r="H3119" t="s">
        <v>18</v>
      </c>
      <c r="I3119" t="s">
        <v>19</v>
      </c>
      <c r="J3119" t="s">
        <v>46</v>
      </c>
      <c r="L3119" t="s">
        <v>727</v>
      </c>
      <c r="M3119" t="s">
        <v>849</v>
      </c>
      <c r="N3119" t="s">
        <v>850</v>
      </c>
      <c r="O3119" t="s">
        <v>73</v>
      </c>
      <c r="P3119" t="s">
        <v>81</v>
      </c>
      <c r="Q3119" t="s">
        <v>733</v>
      </c>
      <c r="R3119" t="s">
        <v>734</v>
      </c>
    </row>
    <row r="3120" spans="1:18" x14ac:dyDescent="0.25">
      <c r="A3120" t="s">
        <v>19622</v>
      </c>
      <c r="B3120" t="s">
        <v>867</v>
      </c>
      <c r="C3120" t="str">
        <f>HYPERLINK("https://nematode.unl.edu/doryte3.jpg")</f>
        <v>https://nematode.unl.edu/doryte3.jpg</v>
      </c>
      <c r="D3120" t="s">
        <v>43</v>
      </c>
      <c r="G3120" t="s">
        <v>87</v>
      </c>
      <c r="I3120" t="s">
        <v>19</v>
      </c>
      <c r="J3120" t="s">
        <v>46</v>
      </c>
      <c r="L3120" t="s">
        <v>727</v>
      </c>
      <c r="M3120" t="s">
        <v>849</v>
      </c>
      <c r="N3120" t="s">
        <v>850</v>
      </c>
      <c r="O3120" t="s">
        <v>73</v>
      </c>
      <c r="P3120" t="s">
        <v>81</v>
      </c>
      <c r="Q3120" t="s">
        <v>733</v>
      </c>
      <c r="R3120" t="s">
        <v>734</v>
      </c>
    </row>
    <row r="3121" spans="1:18" x14ac:dyDescent="0.25">
      <c r="A3121" t="s">
        <v>19634</v>
      </c>
      <c r="B3121" t="s">
        <v>868</v>
      </c>
      <c r="C3121" t="str">
        <f>HYPERLINK("https://nematode.unl.edu/doryte4.jpg")</f>
        <v>https://nematode.unl.edu/doryte4.jpg</v>
      </c>
      <c r="D3121" t="s">
        <v>43</v>
      </c>
      <c r="G3121" t="s">
        <v>51</v>
      </c>
      <c r="I3121" t="s">
        <v>19</v>
      </c>
      <c r="J3121" t="s">
        <v>46</v>
      </c>
      <c r="L3121" t="s">
        <v>727</v>
      </c>
      <c r="M3121" t="s">
        <v>849</v>
      </c>
      <c r="N3121" t="s">
        <v>850</v>
      </c>
      <c r="O3121" t="s">
        <v>73</v>
      </c>
      <c r="P3121" t="s">
        <v>81</v>
      </c>
      <c r="Q3121" t="s">
        <v>733</v>
      </c>
      <c r="R3121" t="s">
        <v>734</v>
      </c>
    </row>
    <row r="3122" spans="1:18" x14ac:dyDescent="0.25">
      <c r="A3122" t="s">
        <v>19630</v>
      </c>
      <c r="B3122" t="s">
        <v>869</v>
      </c>
      <c r="C3122" t="str">
        <f>HYPERLINK("https://nematode.unl.edu/doryte5.jpg")</f>
        <v>https://nematode.unl.edu/doryte5.jpg</v>
      </c>
      <c r="D3122" t="s">
        <v>43</v>
      </c>
      <c r="G3122" t="s">
        <v>28</v>
      </c>
      <c r="I3122" t="s">
        <v>19</v>
      </c>
      <c r="J3122" t="s">
        <v>46</v>
      </c>
      <c r="L3122" t="s">
        <v>727</v>
      </c>
      <c r="M3122" t="s">
        <v>849</v>
      </c>
      <c r="N3122" t="s">
        <v>850</v>
      </c>
      <c r="O3122" t="s">
        <v>73</v>
      </c>
      <c r="P3122" t="s">
        <v>81</v>
      </c>
      <c r="Q3122" t="s">
        <v>733</v>
      </c>
      <c r="R3122" t="s">
        <v>734</v>
      </c>
    </row>
    <row r="3123" spans="1:18" x14ac:dyDescent="0.25">
      <c r="A3123" t="s">
        <v>19617</v>
      </c>
      <c r="B3123" t="s">
        <v>870</v>
      </c>
      <c r="C3123" t="str">
        <f>HYPERLINK("https://nematode.unl.edu/doryte6.jpg")</f>
        <v>https://nematode.unl.edu/doryte6.jpg</v>
      </c>
      <c r="D3123" t="s">
        <v>43</v>
      </c>
      <c r="G3123" t="s">
        <v>34</v>
      </c>
      <c r="H3123" t="s">
        <v>18</v>
      </c>
      <c r="I3123" t="s">
        <v>41</v>
      </c>
      <c r="J3123" t="s">
        <v>46</v>
      </c>
      <c r="L3123" t="s">
        <v>727</v>
      </c>
      <c r="M3123" t="s">
        <v>849</v>
      </c>
      <c r="N3123" t="s">
        <v>850</v>
      </c>
      <c r="O3123" t="s">
        <v>73</v>
      </c>
      <c r="P3123" t="s">
        <v>81</v>
      </c>
      <c r="Q3123" t="s">
        <v>733</v>
      </c>
      <c r="R3123" t="s">
        <v>734</v>
      </c>
    </row>
    <row r="3124" spans="1:18" x14ac:dyDescent="0.25">
      <c r="A3124" t="s">
        <v>19665</v>
      </c>
      <c r="B3124" t="s">
        <v>885</v>
      </c>
      <c r="C3124" t="str">
        <f>HYPERLINK("https://nematode.unl.edu/doryv1.jpg")</f>
        <v>https://nematode.unl.edu/doryv1.jpg</v>
      </c>
      <c r="D3124" t="s">
        <v>16</v>
      </c>
      <c r="G3124" t="s">
        <v>44</v>
      </c>
      <c r="I3124" t="s">
        <v>91</v>
      </c>
      <c r="J3124" t="s">
        <v>46</v>
      </c>
      <c r="L3124" t="s">
        <v>727</v>
      </c>
      <c r="M3124" t="s">
        <v>880</v>
      </c>
      <c r="N3124" t="s">
        <v>881</v>
      </c>
      <c r="O3124" t="s">
        <v>73</v>
      </c>
      <c r="P3124" t="s">
        <v>81</v>
      </c>
      <c r="Q3124" t="s">
        <v>733</v>
      </c>
      <c r="R3124" t="s">
        <v>734</v>
      </c>
    </row>
    <row r="3125" spans="1:18" x14ac:dyDescent="0.25">
      <c r="A3125" t="s">
        <v>19661</v>
      </c>
      <c r="B3125" t="s">
        <v>886</v>
      </c>
      <c r="C3125" t="str">
        <f>HYPERLINK("https://nematode.unl.edu/doryv10.jpg")</f>
        <v>https://nematode.unl.edu/doryv10.jpg</v>
      </c>
      <c r="D3125" t="s">
        <v>77</v>
      </c>
      <c r="G3125" t="s">
        <v>87</v>
      </c>
      <c r="I3125" t="s">
        <v>19</v>
      </c>
      <c r="J3125" t="s">
        <v>46</v>
      </c>
      <c r="L3125" t="s">
        <v>727</v>
      </c>
      <c r="M3125" t="s">
        <v>880</v>
      </c>
      <c r="N3125" t="s">
        <v>881</v>
      </c>
      <c r="O3125" t="s">
        <v>73</v>
      </c>
      <c r="P3125" t="s">
        <v>81</v>
      </c>
      <c r="Q3125" t="s">
        <v>733</v>
      </c>
      <c r="R3125" t="s">
        <v>734</v>
      </c>
    </row>
    <row r="3126" spans="1:18" x14ac:dyDescent="0.25">
      <c r="A3126" t="s">
        <v>19643</v>
      </c>
      <c r="B3126" t="s">
        <v>887</v>
      </c>
      <c r="C3126" t="str">
        <f>HYPERLINK("https://nematode.unl.edu/doryv11.jpg")</f>
        <v>https://nematode.unl.edu/doryv11.jpg</v>
      </c>
      <c r="D3126" t="s">
        <v>43</v>
      </c>
      <c r="G3126" t="s">
        <v>34</v>
      </c>
      <c r="H3126" t="s">
        <v>18</v>
      </c>
      <c r="I3126" t="s">
        <v>19</v>
      </c>
      <c r="J3126" t="s">
        <v>46</v>
      </c>
      <c r="L3126" t="s">
        <v>727</v>
      </c>
      <c r="M3126" t="s">
        <v>880</v>
      </c>
      <c r="N3126" t="s">
        <v>881</v>
      </c>
      <c r="O3126" t="s">
        <v>73</v>
      </c>
      <c r="P3126" t="s">
        <v>81</v>
      </c>
      <c r="Q3126" t="s">
        <v>733</v>
      </c>
      <c r="R3126" t="s">
        <v>734</v>
      </c>
    </row>
    <row r="3127" spans="1:18" x14ac:dyDescent="0.25">
      <c r="A3127" t="s">
        <v>19662</v>
      </c>
      <c r="B3127" t="s">
        <v>888</v>
      </c>
      <c r="C3127" t="str">
        <f>HYPERLINK("https://nematode.unl.edu/doryv12.jpg")</f>
        <v>https://nematode.unl.edu/doryv12.jpg</v>
      </c>
      <c r="D3127" t="s">
        <v>43</v>
      </c>
      <c r="G3127" t="s">
        <v>87</v>
      </c>
      <c r="I3127" t="s">
        <v>137</v>
      </c>
      <c r="J3127" t="s">
        <v>46</v>
      </c>
      <c r="L3127" t="s">
        <v>727</v>
      </c>
      <c r="M3127" t="s">
        <v>880</v>
      </c>
      <c r="N3127" t="s">
        <v>881</v>
      </c>
      <c r="O3127" t="s">
        <v>73</v>
      </c>
      <c r="P3127" t="s">
        <v>81</v>
      </c>
      <c r="Q3127" t="s">
        <v>733</v>
      </c>
      <c r="R3127" t="s">
        <v>734</v>
      </c>
    </row>
    <row r="3128" spans="1:18" x14ac:dyDescent="0.25">
      <c r="A3128" t="s">
        <v>19683</v>
      </c>
      <c r="B3128" t="s">
        <v>889</v>
      </c>
      <c r="C3128" t="str">
        <f>HYPERLINK("https://nematode.unl.edu/doryv13.jpg")</f>
        <v>https://nematode.unl.edu/doryv13.jpg</v>
      </c>
      <c r="D3128" t="s">
        <v>43</v>
      </c>
      <c r="G3128" t="s">
        <v>51</v>
      </c>
      <c r="I3128" t="s">
        <v>19</v>
      </c>
      <c r="J3128" t="s">
        <v>46</v>
      </c>
      <c r="L3128" t="s">
        <v>727</v>
      </c>
      <c r="M3128" t="s">
        <v>880</v>
      </c>
      <c r="N3128" t="s">
        <v>881</v>
      </c>
      <c r="O3128" t="s">
        <v>73</v>
      </c>
      <c r="P3128" t="s">
        <v>81</v>
      </c>
      <c r="Q3128" t="s">
        <v>733</v>
      </c>
      <c r="R3128" t="s">
        <v>734</v>
      </c>
    </row>
    <row r="3129" spans="1:18" x14ac:dyDescent="0.25">
      <c r="A3129" t="s">
        <v>19671</v>
      </c>
      <c r="B3129" t="s">
        <v>890</v>
      </c>
      <c r="C3129" t="str">
        <f>HYPERLINK("https://nematode.unl.edu/doryv14.jpg")</f>
        <v>https://nematode.unl.edu/doryv14.jpg</v>
      </c>
      <c r="D3129" t="s">
        <v>43</v>
      </c>
      <c r="G3129" t="s">
        <v>28</v>
      </c>
      <c r="I3129" t="s">
        <v>19</v>
      </c>
      <c r="J3129" t="s">
        <v>46</v>
      </c>
      <c r="L3129" t="s">
        <v>727</v>
      </c>
      <c r="M3129" t="s">
        <v>880</v>
      </c>
      <c r="N3129" t="s">
        <v>881</v>
      </c>
      <c r="O3129" t="s">
        <v>73</v>
      </c>
      <c r="P3129" t="s">
        <v>81</v>
      </c>
      <c r="Q3129" t="s">
        <v>733</v>
      </c>
      <c r="R3129" t="s">
        <v>734</v>
      </c>
    </row>
    <row r="3130" spans="1:18" x14ac:dyDescent="0.25">
      <c r="A3130" t="s">
        <v>19666</v>
      </c>
      <c r="B3130" t="s">
        <v>891</v>
      </c>
      <c r="C3130" t="str">
        <f>HYPERLINK("https://nematode.unl.edu/doryv15.jpg")</f>
        <v>https://nematode.unl.edu/doryv15.jpg</v>
      </c>
      <c r="D3130" t="s">
        <v>43</v>
      </c>
      <c r="G3130" t="s">
        <v>44</v>
      </c>
      <c r="I3130" t="s">
        <v>19</v>
      </c>
      <c r="J3130" t="s">
        <v>46</v>
      </c>
      <c r="L3130" t="s">
        <v>727</v>
      </c>
      <c r="M3130" t="s">
        <v>880</v>
      </c>
      <c r="N3130" t="s">
        <v>881</v>
      </c>
      <c r="O3130" t="s">
        <v>73</v>
      </c>
      <c r="P3130" t="s">
        <v>81</v>
      </c>
      <c r="Q3130" t="s">
        <v>733</v>
      </c>
      <c r="R3130" t="s">
        <v>734</v>
      </c>
    </row>
    <row r="3131" spans="1:18" x14ac:dyDescent="0.25">
      <c r="A3131" t="s">
        <v>19644</v>
      </c>
      <c r="B3131" t="s">
        <v>892</v>
      </c>
      <c r="C3131" t="str">
        <f>HYPERLINK("https://nematode.unl.edu/doryv16.jpg")</f>
        <v>https://nematode.unl.edu/doryv16.jpg</v>
      </c>
      <c r="D3131" t="s">
        <v>43</v>
      </c>
      <c r="G3131" t="s">
        <v>34</v>
      </c>
      <c r="H3131" t="s">
        <v>18</v>
      </c>
      <c r="I3131" t="s">
        <v>19</v>
      </c>
      <c r="J3131" t="s">
        <v>46</v>
      </c>
      <c r="L3131" t="s">
        <v>727</v>
      </c>
      <c r="M3131" t="s">
        <v>880</v>
      </c>
      <c r="N3131" t="s">
        <v>881</v>
      </c>
      <c r="O3131" t="s">
        <v>73</v>
      </c>
      <c r="P3131" t="s">
        <v>81</v>
      </c>
      <c r="Q3131" t="s">
        <v>733</v>
      </c>
      <c r="R3131" t="s">
        <v>734</v>
      </c>
    </row>
    <row r="3132" spans="1:18" x14ac:dyDescent="0.25">
      <c r="A3132" t="s">
        <v>19684</v>
      </c>
      <c r="B3132" t="s">
        <v>893</v>
      </c>
      <c r="C3132" t="str">
        <f>HYPERLINK("https://nematode.unl.edu/doryv17.jpg")</f>
        <v>https://nematode.unl.edu/doryv17.jpg</v>
      </c>
      <c r="D3132" t="s">
        <v>43</v>
      </c>
      <c r="G3132" t="s">
        <v>51</v>
      </c>
      <c r="I3132" t="s">
        <v>19</v>
      </c>
      <c r="J3132" t="s">
        <v>46</v>
      </c>
      <c r="L3132" t="s">
        <v>727</v>
      </c>
      <c r="M3132" t="s">
        <v>880</v>
      </c>
      <c r="N3132" t="s">
        <v>881</v>
      </c>
      <c r="O3132" t="s">
        <v>73</v>
      </c>
      <c r="P3132" t="s">
        <v>81</v>
      </c>
      <c r="Q3132" t="s">
        <v>733</v>
      </c>
      <c r="R3132" t="s">
        <v>734</v>
      </c>
    </row>
    <row r="3133" spans="1:18" x14ac:dyDescent="0.25">
      <c r="A3133" t="s">
        <v>19672</v>
      </c>
      <c r="B3133" t="s">
        <v>894</v>
      </c>
      <c r="C3133" t="str">
        <f>HYPERLINK("https://nematode.unl.edu/doryv2.jpg")</f>
        <v>https://nematode.unl.edu/doryv2.jpg</v>
      </c>
      <c r="D3133" t="s">
        <v>77</v>
      </c>
      <c r="G3133" t="s">
        <v>28</v>
      </c>
      <c r="I3133" t="s">
        <v>19</v>
      </c>
      <c r="J3133" t="s">
        <v>46</v>
      </c>
      <c r="L3133" t="s">
        <v>727</v>
      </c>
      <c r="M3133" t="s">
        <v>880</v>
      </c>
      <c r="N3133" t="s">
        <v>881</v>
      </c>
      <c r="O3133" t="s">
        <v>73</v>
      </c>
      <c r="P3133" t="s">
        <v>81</v>
      </c>
      <c r="Q3133" t="s">
        <v>733</v>
      </c>
      <c r="R3133" t="s">
        <v>734</v>
      </c>
    </row>
    <row r="3134" spans="1:18" x14ac:dyDescent="0.25">
      <c r="A3134" t="s">
        <v>19663</v>
      </c>
      <c r="B3134" t="s">
        <v>895</v>
      </c>
      <c r="C3134" t="str">
        <f>HYPERLINK("https://nematode.unl.edu/doryv3.jpg")</f>
        <v>https://nematode.unl.edu/doryv3.jpg</v>
      </c>
      <c r="D3134" t="s">
        <v>77</v>
      </c>
      <c r="G3134" t="s">
        <v>87</v>
      </c>
      <c r="I3134" t="s">
        <v>19</v>
      </c>
      <c r="J3134" t="s">
        <v>46</v>
      </c>
      <c r="L3134" t="s">
        <v>727</v>
      </c>
      <c r="M3134" t="s">
        <v>880</v>
      </c>
      <c r="N3134" t="s">
        <v>881</v>
      </c>
      <c r="O3134" t="s">
        <v>73</v>
      </c>
      <c r="P3134" t="s">
        <v>81</v>
      </c>
      <c r="Q3134" t="s">
        <v>733</v>
      </c>
      <c r="R3134" t="s">
        <v>734</v>
      </c>
    </row>
    <row r="3135" spans="1:18" x14ac:dyDescent="0.25">
      <c r="A3135" t="s">
        <v>19664</v>
      </c>
      <c r="B3135" t="s">
        <v>896</v>
      </c>
      <c r="C3135" t="str">
        <f>HYPERLINK("https://nematode.unl.edu/doryv4.jpg")</f>
        <v>https://nematode.unl.edu/doryv4.jpg</v>
      </c>
      <c r="D3135" t="s">
        <v>77</v>
      </c>
      <c r="G3135" t="s">
        <v>87</v>
      </c>
      <c r="I3135" t="s">
        <v>19</v>
      </c>
      <c r="J3135" t="s">
        <v>46</v>
      </c>
      <c r="L3135" t="s">
        <v>727</v>
      </c>
      <c r="M3135" t="s">
        <v>880</v>
      </c>
      <c r="N3135" t="s">
        <v>881</v>
      </c>
      <c r="O3135" t="s">
        <v>73</v>
      </c>
      <c r="P3135" t="s">
        <v>81</v>
      </c>
      <c r="Q3135" t="s">
        <v>733</v>
      </c>
      <c r="R3135" t="s">
        <v>734</v>
      </c>
    </row>
    <row r="3136" spans="1:18" x14ac:dyDescent="0.25">
      <c r="A3136" t="s">
        <v>19652</v>
      </c>
      <c r="B3136" t="s">
        <v>897</v>
      </c>
      <c r="C3136" t="str">
        <f>HYPERLINK("https://nematode.unl.edu/doryv6.jpg")</f>
        <v>https://nematode.unl.edu/doryv6.jpg</v>
      </c>
      <c r="D3136" t="s">
        <v>16</v>
      </c>
      <c r="G3136" t="s">
        <v>257</v>
      </c>
      <c r="H3136" t="s">
        <v>18</v>
      </c>
      <c r="I3136" t="s">
        <v>41</v>
      </c>
      <c r="J3136" t="s">
        <v>46</v>
      </c>
      <c r="L3136" t="s">
        <v>727</v>
      </c>
      <c r="M3136" t="s">
        <v>880</v>
      </c>
      <c r="N3136" t="s">
        <v>881</v>
      </c>
      <c r="O3136" t="s">
        <v>73</v>
      </c>
      <c r="P3136" t="s">
        <v>81</v>
      </c>
      <c r="Q3136" t="s">
        <v>733</v>
      </c>
      <c r="R3136" t="s">
        <v>734</v>
      </c>
    </row>
    <row r="3137" spans="1:18" x14ac:dyDescent="0.25">
      <c r="A3137" t="s">
        <v>19645</v>
      </c>
      <c r="B3137" t="s">
        <v>898</v>
      </c>
      <c r="C3137" t="str">
        <f>HYPERLINK("https://nematode.unl.edu/doryv7.jpg")</f>
        <v>https://nematode.unl.edu/doryv7.jpg</v>
      </c>
      <c r="D3137" t="s">
        <v>77</v>
      </c>
      <c r="G3137" t="s">
        <v>34</v>
      </c>
      <c r="H3137" t="s">
        <v>18</v>
      </c>
      <c r="I3137" t="s">
        <v>19</v>
      </c>
      <c r="J3137" t="s">
        <v>46</v>
      </c>
      <c r="L3137" t="s">
        <v>727</v>
      </c>
      <c r="M3137" t="s">
        <v>880</v>
      </c>
      <c r="N3137" t="s">
        <v>881</v>
      </c>
      <c r="O3137" t="s">
        <v>73</v>
      </c>
      <c r="P3137" t="s">
        <v>81</v>
      </c>
      <c r="Q3137" t="s">
        <v>733</v>
      </c>
      <c r="R3137" t="s">
        <v>734</v>
      </c>
    </row>
    <row r="3138" spans="1:18" x14ac:dyDescent="0.25">
      <c r="A3138" t="s">
        <v>19673</v>
      </c>
      <c r="B3138" t="s">
        <v>899</v>
      </c>
      <c r="C3138" t="str">
        <f>HYPERLINK("https://nematode.unl.edu/doryv8.jpg")</f>
        <v>https://nematode.unl.edu/doryv8.jpg</v>
      </c>
      <c r="D3138" t="s">
        <v>43</v>
      </c>
      <c r="G3138" t="s">
        <v>28</v>
      </c>
      <c r="I3138" t="s">
        <v>19</v>
      </c>
      <c r="J3138" t="s">
        <v>46</v>
      </c>
      <c r="L3138" t="s">
        <v>727</v>
      </c>
      <c r="M3138" t="s">
        <v>880</v>
      </c>
      <c r="N3138" t="s">
        <v>881</v>
      </c>
      <c r="O3138" t="s">
        <v>73</v>
      </c>
      <c r="P3138" t="s">
        <v>81</v>
      </c>
      <c r="Q3138" t="s">
        <v>733</v>
      </c>
      <c r="R3138" t="s">
        <v>734</v>
      </c>
    </row>
    <row r="3139" spans="1:18" x14ac:dyDescent="0.25">
      <c r="A3139" t="s">
        <v>19669</v>
      </c>
      <c r="B3139" t="s">
        <v>900</v>
      </c>
      <c r="C3139" t="str">
        <f>HYPERLINK("https://nematode.unl.edu/doryv9.jpg")</f>
        <v>https://nematode.unl.edu/doryv9.jpg</v>
      </c>
      <c r="D3139" t="s">
        <v>77</v>
      </c>
      <c r="G3139" t="s">
        <v>112</v>
      </c>
      <c r="I3139" t="s">
        <v>19</v>
      </c>
      <c r="J3139" t="s">
        <v>46</v>
      </c>
      <c r="L3139" t="s">
        <v>727</v>
      </c>
      <c r="M3139" t="s">
        <v>880</v>
      </c>
      <c r="N3139" t="s">
        <v>881</v>
      </c>
      <c r="O3139" t="s">
        <v>73</v>
      </c>
      <c r="P3139" t="s">
        <v>81</v>
      </c>
      <c r="Q3139" t="s">
        <v>733</v>
      </c>
      <c r="R3139" t="s">
        <v>734</v>
      </c>
    </row>
    <row r="3140" spans="1:18" x14ac:dyDescent="0.25">
      <c r="A3140" t="s">
        <v>19618</v>
      </c>
      <c r="B3140" t="s">
        <v>871</v>
      </c>
      <c r="C3140" t="str">
        <f>HYPERLINK("https://nematode.unl.edu/dotenu1.jpg")</f>
        <v>https://nematode.unl.edu/dotenu1.jpg</v>
      </c>
      <c r="D3140" t="s">
        <v>43</v>
      </c>
      <c r="G3140" t="s">
        <v>34</v>
      </c>
      <c r="H3140" t="s">
        <v>18</v>
      </c>
      <c r="I3140" t="s">
        <v>19</v>
      </c>
      <c r="J3140" t="s">
        <v>127</v>
      </c>
      <c r="L3140" t="s">
        <v>162</v>
      </c>
      <c r="M3140" t="s">
        <v>849</v>
      </c>
      <c r="N3140" t="s">
        <v>850</v>
      </c>
      <c r="O3140" t="s">
        <v>73</v>
      </c>
      <c r="P3140" t="s">
        <v>81</v>
      </c>
      <c r="Q3140" t="s">
        <v>733</v>
      </c>
      <c r="R3140" t="s">
        <v>734</v>
      </c>
    </row>
    <row r="3141" spans="1:18" x14ac:dyDescent="0.25">
      <c r="A3141" t="s">
        <v>19635</v>
      </c>
      <c r="B3141" t="s">
        <v>872</v>
      </c>
      <c r="C3141" t="str">
        <f>HYPERLINK("https://nematode.unl.edu/dotenu2.jpg")</f>
        <v>https://nematode.unl.edu/dotenu2.jpg</v>
      </c>
      <c r="D3141" t="s">
        <v>43</v>
      </c>
      <c r="G3141" t="s">
        <v>51</v>
      </c>
      <c r="I3141" t="s">
        <v>19</v>
      </c>
      <c r="J3141" t="s">
        <v>127</v>
      </c>
      <c r="L3141" t="s">
        <v>162</v>
      </c>
      <c r="M3141" t="s">
        <v>849</v>
      </c>
      <c r="N3141" t="s">
        <v>850</v>
      </c>
      <c r="O3141" t="s">
        <v>73</v>
      </c>
      <c r="P3141" t="s">
        <v>81</v>
      </c>
      <c r="Q3141" t="s">
        <v>733</v>
      </c>
      <c r="R3141" t="s">
        <v>734</v>
      </c>
    </row>
    <row r="3142" spans="1:18" x14ac:dyDescent="0.25">
      <c r="A3142" t="s">
        <v>19631</v>
      </c>
      <c r="B3142" t="s">
        <v>873</v>
      </c>
      <c r="C3142" t="str">
        <f>HYPERLINK("https://nematode.unl.edu/dotenu3.jpg")</f>
        <v>https://nematode.unl.edu/dotenu3.jpg</v>
      </c>
      <c r="D3142" t="s">
        <v>43</v>
      </c>
      <c r="G3142" t="s">
        <v>28</v>
      </c>
      <c r="J3142" t="s">
        <v>127</v>
      </c>
      <c r="L3142" t="s">
        <v>162</v>
      </c>
      <c r="M3142" t="s">
        <v>849</v>
      </c>
      <c r="N3142" t="s">
        <v>850</v>
      </c>
      <c r="O3142" t="s">
        <v>73</v>
      </c>
      <c r="P3142" t="s">
        <v>81</v>
      </c>
      <c r="Q3142" t="s">
        <v>733</v>
      </c>
      <c r="R3142" t="s">
        <v>734</v>
      </c>
    </row>
    <row r="3143" spans="1:18" x14ac:dyDescent="0.25">
      <c r="A3143" t="s">
        <v>19619</v>
      </c>
      <c r="B3143" t="s">
        <v>874</v>
      </c>
      <c r="C3143" t="str">
        <f>HYPERLINK("https://nematode.unl.edu/dotenu4.jpg")</f>
        <v>https://nematode.unl.edu/dotenu4.jpg</v>
      </c>
      <c r="D3143" t="s">
        <v>43</v>
      </c>
      <c r="G3143" t="s">
        <v>34</v>
      </c>
      <c r="H3143" t="s">
        <v>18</v>
      </c>
      <c r="I3143" t="s">
        <v>19</v>
      </c>
      <c r="J3143" t="s">
        <v>127</v>
      </c>
      <c r="L3143" t="s">
        <v>162</v>
      </c>
      <c r="M3143" t="s">
        <v>849</v>
      </c>
      <c r="N3143" t="s">
        <v>850</v>
      </c>
      <c r="O3143" t="s">
        <v>73</v>
      </c>
      <c r="P3143" t="s">
        <v>81</v>
      </c>
      <c r="Q3143" t="s">
        <v>733</v>
      </c>
      <c r="R3143" t="s">
        <v>734</v>
      </c>
    </row>
    <row r="3144" spans="1:18" x14ac:dyDescent="0.25">
      <c r="A3144" t="s">
        <v>19623</v>
      </c>
      <c r="B3144" t="s">
        <v>875</v>
      </c>
      <c r="C3144" t="str">
        <f>HYPERLINK("https://nematode.unl.edu/dotenu5.jpg")</f>
        <v>https://nematode.unl.edu/dotenu5.jpg</v>
      </c>
      <c r="D3144" t="s">
        <v>43</v>
      </c>
      <c r="G3144" t="s">
        <v>87</v>
      </c>
      <c r="I3144" t="s">
        <v>19</v>
      </c>
      <c r="J3144" t="s">
        <v>127</v>
      </c>
      <c r="L3144" t="s">
        <v>128</v>
      </c>
      <c r="M3144" t="s">
        <v>849</v>
      </c>
      <c r="N3144" t="s">
        <v>850</v>
      </c>
      <c r="O3144" t="s">
        <v>73</v>
      </c>
      <c r="P3144" t="s">
        <v>81</v>
      </c>
      <c r="Q3144" t="s">
        <v>733</v>
      </c>
      <c r="R3144" t="s">
        <v>734</v>
      </c>
    </row>
    <row r="3145" spans="1:18" x14ac:dyDescent="0.25">
      <c r="A3145" t="s">
        <v>19636</v>
      </c>
      <c r="B3145" t="s">
        <v>876</v>
      </c>
      <c r="C3145" t="str">
        <f>HYPERLINK("https://nematode.unl.edu/dotenu6.jpg")</f>
        <v>https://nematode.unl.edu/dotenu6.jpg</v>
      </c>
      <c r="D3145" t="s">
        <v>43</v>
      </c>
      <c r="G3145" t="s">
        <v>51</v>
      </c>
      <c r="I3145" t="s">
        <v>19</v>
      </c>
      <c r="J3145" t="s">
        <v>127</v>
      </c>
      <c r="L3145" t="s">
        <v>128</v>
      </c>
      <c r="M3145" t="s">
        <v>849</v>
      </c>
      <c r="N3145" t="s">
        <v>850</v>
      </c>
      <c r="O3145" t="s">
        <v>73</v>
      </c>
      <c r="P3145" t="s">
        <v>81</v>
      </c>
      <c r="Q3145" t="s">
        <v>733</v>
      </c>
      <c r="R3145" t="s">
        <v>734</v>
      </c>
    </row>
    <row r="3146" spans="1:18" x14ac:dyDescent="0.25">
      <c r="A3146" t="s">
        <v>19632</v>
      </c>
      <c r="B3146" t="s">
        <v>877</v>
      </c>
      <c r="C3146" t="str">
        <f>HYPERLINK("https://nematode.unl.edu/dotenu7.jpg")</f>
        <v>https://nematode.unl.edu/dotenu7.jpg</v>
      </c>
      <c r="D3146" t="s">
        <v>43</v>
      </c>
      <c r="G3146" t="s">
        <v>28</v>
      </c>
      <c r="I3146" t="s">
        <v>19</v>
      </c>
      <c r="J3146" t="s">
        <v>127</v>
      </c>
      <c r="L3146" t="s">
        <v>128</v>
      </c>
      <c r="M3146" t="s">
        <v>849</v>
      </c>
      <c r="N3146" t="s">
        <v>850</v>
      </c>
      <c r="O3146" t="s">
        <v>73</v>
      </c>
      <c r="P3146" t="s">
        <v>81</v>
      </c>
      <c r="Q3146" t="s">
        <v>733</v>
      </c>
      <c r="R3146" t="s">
        <v>734</v>
      </c>
    </row>
    <row r="3147" spans="1:18" x14ac:dyDescent="0.25">
      <c r="A3147" t="s">
        <v>19620</v>
      </c>
      <c r="B3147" t="s">
        <v>878</v>
      </c>
      <c r="C3147" t="str">
        <f>HYPERLINK("https://nematode.unl.edu/dotenu8.jpg")</f>
        <v>https://nematode.unl.edu/dotenu8.jpg</v>
      </c>
      <c r="D3147" t="s">
        <v>43</v>
      </c>
      <c r="G3147" t="s">
        <v>34</v>
      </c>
      <c r="H3147" t="s">
        <v>18</v>
      </c>
      <c r="I3147" t="s">
        <v>41</v>
      </c>
      <c r="J3147" t="s">
        <v>127</v>
      </c>
      <c r="L3147" t="s">
        <v>128</v>
      </c>
      <c r="M3147" t="s">
        <v>849</v>
      </c>
      <c r="N3147" t="s">
        <v>850</v>
      </c>
      <c r="O3147" t="s">
        <v>73</v>
      </c>
      <c r="P3147" t="s">
        <v>81</v>
      </c>
      <c r="Q3147" t="s">
        <v>733</v>
      </c>
      <c r="R3147" t="s">
        <v>734</v>
      </c>
    </row>
    <row r="3148" spans="1:18" x14ac:dyDescent="0.25">
      <c r="A3148" t="s">
        <v>19840</v>
      </c>
      <c r="B3148" t="s">
        <v>4730</v>
      </c>
      <c r="C3148" t="str">
        <f>HYPERLINK("https://nematode.unl.edu/drefle1.jpg")</f>
        <v>https://nematode.unl.edu/drefle1.jpg</v>
      </c>
      <c r="D3148" t="s">
        <v>43</v>
      </c>
      <c r="G3148" t="s">
        <v>34</v>
      </c>
      <c r="H3148" t="s">
        <v>18</v>
      </c>
      <c r="I3148" t="s">
        <v>19</v>
      </c>
      <c r="J3148" t="s">
        <v>20</v>
      </c>
      <c r="L3148" t="s">
        <v>78</v>
      </c>
      <c r="M3148" t="s">
        <v>4731</v>
      </c>
      <c r="N3148" t="s">
        <v>4731</v>
      </c>
      <c r="O3148" t="s">
        <v>73</v>
      </c>
      <c r="P3148" t="s">
        <v>81</v>
      </c>
      <c r="Q3148" t="s">
        <v>489</v>
      </c>
      <c r="R3148" t="s">
        <v>4732</v>
      </c>
    </row>
    <row r="3149" spans="1:18" x14ac:dyDescent="0.25">
      <c r="A3149" t="s">
        <v>19864</v>
      </c>
      <c r="B3149" t="s">
        <v>4733</v>
      </c>
      <c r="C3149" t="str">
        <f>HYPERLINK("https://nematode.unl.edu/drefle10.jpg")</f>
        <v>https://nematode.unl.edu/drefle10.jpg</v>
      </c>
      <c r="D3149" t="s">
        <v>43</v>
      </c>
      <c r="G3149" t="s">
        <v>28</v>
      </c>
      <c r="I3149" t="s">
        <v>137</v>
      </c>
      <c r="J3149" t="s">
        <v>20</v>
      </c>
      <c r="L3149" t="s">
        <v>193</v>
      </c>
      <c r="M3149" t="s">
        <v>4731</v>
      </c>
      <c r="N3149" t="s">
        <v>4731</v>
      </c>
      <c r="O3149" t="s">
        <v>73</v>
      </c>
      <c r="P3149" t="s">
        <v>81</v>
      </c>
      <c r="Q3149" t="s">
        <v>489</v>
      </c>
      <c r="R3149" t="s">
        <v>4732</v>
      </c>
    </row>
    <row r="3150" spans="1:18" x14ac:dyDescent="0.25">
      <c r="A3150" t="s">
        <v>19841</v>
      </c>
      <c r="B3150" t="s">
        <v>4734</v>
      </c>
      <c r="C3150" t="str">
        <f>HYPERLINK("https://nematode.unl.edu/drefle11.jpg")</f>
        <v>https://nematode.unl.edu/drefle11.jpg</v>
      </c>
      <c r="D3150" t="s">
        <v>43</v>
      </c>
      <c r="G3150" t="s">
        <v>34</v>
      </c>
      <c r="H3150" t="s">
        <v>18</v>
      </c>
      <c r="I3150" t="s">
        <v>19</v>
      </c>
      <c r="J3150" t="s">
        <v>20</v>
      </c>
      <c r="L3150" t="s">
        <v>193</v>
      </c>
      <c r="M3150" t="s">
        <v>4731</v>
      </c>
      <c r="N3150" t="s">
        <v>4731</v>
      </c>
      <c r="O3150" t="s">
        <v>73</v>
      </c>
      <c r="P3150" t="s">
        <v>81</v>
      </c>
      <c r="Q3150" t="s">
        <v>489</v>
      </c>
      <c r="R3150" t="s">
        <v>4732</v>
      </c>
    </row>
    <row r="3151" spans="1:18" x14ac:dyDescent="0.25">
      <c r="A3151" t="s">
        <v>19842</v>
      </c>
      <c r="B3151" t="s">
        <v>4735</v>
      </c>
      <c r="C3151" t="str">
        <f>HYPERLINK("https://nematode.unl.edu/drefle12.jpg")</f>
        <v>https://nematode.unl.edu/drefle12.jpg</v>
      </c>
      <c r="D3151" t="s">
        <v>43</v>
      </c>
      <c r="G3151" t="s">
        <v>34</v>
      </c>
      <c r="H3151" t="s">
        <v>18</v>
      </c>
      <c r="I3151" t="s">
        <v>137</v>
      </c>
      <c r="J3151" t="s">
        <v>20</v>
      </c>
      <c r="L3151" t="s">
        <v>193</v>
      </c>
      <c r="M3151" t="s">
        <v>4731</v>
      </c>
      <c r="N3151" t="s">
        <v>4731</v>
      </c>
      <c r="O3151" t="s">
        <v>73</v>
      </c>
      <c r="P3151" t="s">
        <v>81</v>
      </c>
      <c r="Q3151" t="s">
        <v>489</v>
      </c>
      <c r="R3151" t="s">
        <v>4732</v>
      </c>
    </row>
    <row r="3152" spans="1:18" x14ac:dyDescent="0.25">
      <c r="A3152" t="s">
        <v>19875</v>
      </c>
      <c r="B3152" t="s">
        <v>4736</v>
      </c>
      <c r="C3152" t="str">
        <f>HYPERLINK("https://nematode.unl.edu/drefle13.jpg")</f>
        <v>https://nematode.unl.edu/drefle13.jpg</v>
      </c>
      <c r="D3152" t="s">
        <v>43</v>
      </c>
      <c r="G3152" t="s">
        <v>51</v>
      </c>
      <c r="I3152" t="s">
        <v>137</v>
      </c>
      <c r="J3152" t="s">
        <v>20</v>
      </c>
      <c r="L3152" t="s">
        <v>193</v>
      </c>
      <c r="M3152" t="s">
        <v>4731</v>
      </c>
      <c r="N3152" t="s">
        <v>4731</v>
      </c>
      <c r="O3152" t="s">
        <v>73</v>
      </c>
      <c r="P3152" t="s">
        <v>81</v>
      </c>
      <c r="Q3152" t="s">
        <v>489</v>
      </c>
      <c r="R3152" t="s">
        <v>4732</v>
      </c>
    </row>
    <row r="3153" spans="1:18" x14ac:dyDescent="0.25">
      <c r="A3153" t="s">
        <v>19843</v>
      </c>
      <c r="B3153" t="s">
        <v>4737</v>
      </c>
      <c r="C3153" t="str">
        <f>HYPERLINK("https://nematode.unl.edu/drefle14.jpg")</f>
        <v>https://nematode.unl.edu/drefle14.jpg</v>
      </c>
      <c r="D3153" t="s">
        <v>43</v>
      </c>
      <c r="G3153" t="s">
        <v>34</v>
      </c>
      <c r="H3153" t="s">
        <v>18</v>
      </c>
      <c r="I3153" t="s">
        <v>41</v>
      </c>
      <c r="J3153" t="s">
        <v>20</v>
      </c>
      <c r="L3153" t="s">
        <v>407</v>
      </c>
      <c r="M3153" t="s">
        <v>4731</v>
      </c>
      <c r="N3153" t="s">
        <v>4731</v>
      </c>
      <c r="O3153" t="s">
        <v>73</v>
      </c>
      <c r="P3153" t="s">
        <v>81</v>
      </c>
      <c r="Q3153" t="s">
        <v>489</v>
      </c>
      <c r="R3153" t="s">
        <v>4732</v>
      </c>
    </row>
    <row r="3154" spans="1:18" x14ac:dyDescent="0.25">
      <c r="A3154" t="s">
        <v>19865</v>
      </c>
      <c r="B3154" t="s">
        <v>4738</v>
      </c>
      <c r="C3154" t="str">
        <f>HYPERLINK("https://nematode.unl.edu/drefle15.jpg")</f>
        <v>https://nematode.unl.edu/drefle15.jpg</v>
      </c>
      <c r="D3154" t="s">
        <v>43</v>
      </c>
      <c r="G3154" t="s">
        <v>28</v>
      </c>
      <c r="I3154" t="s">
        <v>45</v>
      </c>
      <c r="J3154" t="s">
        <v>20</v>
      </c>
      <c r="L3154" t="s">
        <v>29</v>
      </c>
      <c r="M3154" t="s">
        <v>4731</v>
      </c>
      <c r="N3154" t="s">
        <v>4731</v>
      </c>
      <c r="O3154" t="s">
        <v>73</v>
      </c>
      <c r="P3154" t="s">
        <v>81</v>
      </c>
      <c r="Q3154" t="s">
        <v>489</v>
      </c>
      <c r="R3154" t="s">
        <v>4732</v>
      </c>
    </row>
    <row r="3155" spans="1:18" x14ac:dyDescent="0.25">
      <c r="A3155" t="s">
        <v>19844</v>
      </c>
      <c r="B3155" t="s">
        <v>4739</v>
      </c>
      <c r="C3155" t="str">
        <f>HYPERLINK("https://nematode.unl.edu/drefle16.jpg")</f>
        <v>https://nematode.unl.edu/drefle16.jpg</v>
      </c>
      <c r="D3155" t="s">
        <v>43</v>
      </c>
      <c r="G3155" t="s">
        <v>34</v>
      </c>
      <c r="H3155" t="s">
        <v>18</v>
      </c>
      <c r="I3155" t="s">
        <v>19</v>
      </c>
      <c r="J3155" t="s">
        <v>20</v>
      </c>
      <c r="L3155" t="s">
        <v>29</v>
      </c>
      <c r="M3155" t="s">
        <v>4731</v>
      </c>
      <c r="N3155" t="s">
        <v>4731</v>
      </c>
      <c r="O3155" t="s">
        <v>73</v>
      </c>
      <c r="P3155" t="s">
        <v>81</v>
      </c>
      <c r="Q3155" t="s">
        <v>489</v>
      </c>
      <c r="R3155" t="s">
        <v>4732</v>
      </c>
    </row>
    <row r="3156" spans="1:18" x14ac:dyDescent="0.25">
      <c r="A3156" t="s">
        <v>19838</v>
      </c>
      <c r="B3156" t="s">
        <v>4740</v>
      </c>
      <c r="C3156" t="str">
        <f>HYPERLINK("https://nematode.unl.edu/drefle17.jpg")</f>
        <v>https://nematode.unl.edu/drefle17.jpg</v>
      </c>
      <c r="D3156" t="s">
        <v>43</v>
      </c>
      <c r="G3156" t="s">
        <v>96</v>
      </c>
      <c r="H3156" t="s">
        <v>18</v>
      </c>
      <c r="I3156" t="s">
        <v>45</v>
      </c>
      <c r="J3156" t="s">
        <v>20</v>
      </c>
      <c r="L3156" t="s">
        <v>29</v>
      </c>
      <c r="M3156" t="s">
        <v>4731</v>
      </c>
      <c r="N3156" t="s">
        <v>4731</v>
      </c>
      <c r="O3156" t="s">
        <v>73</v>
      </c>
      <c r="P3156" t="s">
        <v>81</v>
      </c>
      <c r="Q3156" t="s">
        <v>489</v>
      </c>
      <c r="R3156" t="s">
        <v>4732</v>
      </c>
    </row>
    <row r="3157" spans="1:18" x14ac:dyDescent="0.25">
      <c r="A3157" t="s">
        <v>19854</v>
      </c>
      <c r="B3157" t="s">
        <v>4741</v>
      </c>
      <c r="C3157" t="str">
        <f>HYPERLINK("https://nematode.unl.edu/drefle18.jpg")</f>
        <v>https://nematode.unl.edu/drefle18.jpg</v>
      </c>
      <c r="D3157" t="s">
        <v>43</v>
      </c>
      <c r="G3157" t="s">
        <v>87</v>
      </c>
      <c r="I3157" t="s">
        <v>19</v>
      </c>
      <c r="J3157" t="s">
        <v>20</v>
      </c>
      <c r="L3157" t="s">
        <v>220</v>
      </c>
      <c r="M3157" t="s">
        <v>4731</v>
      </c>
      <c r="N3157" t="s">
        <v>4731</v>
      </c>
      <c r="O3157" t="s">
        <v>73</v>
      </c>
      <c r="P3157" t="s">
        <v>81</v>
      </c>
      <c r="Q3157" t="s">
        <v>489</v>
      </c>
      <c r="R3157" t="s">
        <v>4732</v>
      </c>
    </row>
    <row r="3158" spans="1:18" x14ac:dyDescent="0.25">
      <c r="A3158" t="s">
        <v>19857</v>
      </c>
      <c r="B3158" t="s">
        <v>4742</v>
      </c>
      <c r="C3158" t="str">
        <f>HYPERLINK("https://nematode.unl.edu/drefle19.jpg")</f>
        <v>https://nematode.unl.edu/drefle19.jpg</v>
      </c>
      <c r="D3158" t="s">
        <v>43</v>
      </c>
      <c r="G3158" t="s">
        <v>44</v>
      </c>
      <c r="I3158" t="s">
        <v>1008</v>
      </c>
      <c r="J3158" t="s">
        <v>20</v>
      </c>
      <c r="L3158" t="s">
        <v>64</v>
      </c>
      <c r="M3158" t="s">
        <v>4731</v>
      </c>
      <c r="N3158" t="s">
        <v>4731</v>
      </c>
      <c r="O3158" t="s">
        <v>73</v>
      </c>
      <c r="P3158" t="s">
        <v>81</v>
      </c>
      <c r="Q3158" t="s">
        <v>489</v>
      </c>
      <c r="R3158" t="s">
        <v>4732</v>
      </c>
    </row>
    <row r="3159" spans="1:18" x14ac:dyDescent="0.25">
      <c r="A3159" t="s">
        <v>19876</v>
      </c>
      <c r="B3159" t="s">
        <v>4743</v>
      </c>
      <c r="C3159" t="str">
        <f>HYPERLINK("https://nematode.unl.edu/drefle2.jpg")</f>
        <v>https://nematode.unl.edu/drefle2.jpg</v>
      </c>
      <c r="D3159" t="s">
        <v>43</v>
      </c>
      <c r="G3159" t="s">
        <v>51</v>
      </c>
      <c r="I3159" t="s">
        <v>19</v>
      </c>
      <c r="J3159" t="s">
        <v>20</v>
      </c>
      <c r="L3159" t="s">
        <v>35</v>
      </c>
      <c r="M3159" t="s">
        <v>4731</v>
      </c>
      <c r="N3159" t="s">
        <v>4731</v>
      </c>
      <c r="O3159" t="s">
        <v>73</v>
      </c>
      <c r="P3159" t="s">
        <v>81</v>
      </c>
      <c r="Q3159" t="s">
        <v>489</v>
      </c>
      <c r="R3159" t="s">
        <v>4732</v>
      </c>
    </row>
    <row r="3160" spans="1:18" x14ac:dyDescent="0.25">
      <c r="A3160" t="s">
        <v>19866</v>
      </c>
      <c r="B3160" t="s">
        <v>4744</v>
      </c>
      <c r="C3160" t="str">
        <f>HYPERLINK("https://nematode.unl.edu/drefle20.jpg")</f>
        <v>https://nematode.unl.edu/drefle20.jpg</v>
      </c>
      <c r="D3160" t="s">
        <v>43</v>
      </c>
      <c r="G3160" t="s">
        <v>28</v>
      </c>
      <c r="J3160" t="s">
        <v>20</v>
      </c>
      <c r="L3160" t="s">
        <v>64</v>
      </c>
      <c r="M3160" t="s">
        <v>4731</v>
      </c>
      <c r="N3160" t="s">
        <v>4731</v>
      </c>
      <c r="O3160" t="s">
        <v>73</v>
      </c>
      <c r="P3160" t="s">
        <v>81</v>
      </c>
      <c r="Q3160" t="s">
        <v>489</v>
      </c>
      <c r="R3160" t="s">
        <v>4732</v>
      </c>
    </row>
    <row r="3161" spans="1:18" x14ac:dyDescent="0.25">
      <c r="A3161" t="s">
        <v>19845</v>
      </c>
      <c r="B3161" t="s">
        <v>4745</v>
      </c>
      <c r="C3161" t="str">
        <f>HYPERLINK("https://nematode.unl.edu/drefle21.jpg")</f>
        <v>https://nematode.unl.edu/drefle21.jpg</v>
      </c>
      <c r="D3161" t="s">
        <v>43</v>
      </c>
      <c r="G3161" t="s">
        <v>34</v>
      </c>
      <c r="H3161" t="s">
        <v>18</v>
      </c>
      <c r="J3161" t="s">
        <v>20</v>
      </c>
      <c r="L3161" t="s">
        <v>64</v>
      </c>
      <c r="M3161" t="s">
        <v>4731</v>
      </c>
      <c r="N3161" t="s">
        <v>4731</v>
      </c>
      <c r="O3161" t="s">
        <v>73</v>
      </c>
      <c r="P3161" t="s">
        <v>81</v>
      </c>
      <c r="Q3161" t="s">
        <v>489</v>
      </c>
      <c r="R3161" t="s">
        <v>4732</v>
      </c>
    </row>
    <row r="3162" spans="1:18" x14ac:dyDescent="0.25">
      <c r="A3162" t="s">
        <v>19846</v>
      </c>
      <c r="B3162" t="s">
        <v>4746</v>
      </c>
      <c r="C3162" t="str">
        <f>HYPERLINK("https://nematode.unl.edu/drefle22.jpg")</f>
        <v>https://nematode.unl.edu/drefle22.jpg</v>
      </c>
      <c r="D3162" t="s">
        <v>43</v>
      </c>
      <c r="G3162" t="s">
        <v>34</v>
      </c>
      <c r="H3162" t="s">
        <v>18</v>
      </c>
      <c r="J3162" t="s">
        <v>20</v>
      </c>
      <c r="L3162" t="s">
        <v>64</v>
      </c>
      <c r="M3162" t="s">
        <v>4731</v>
      </c>
      <c r="N3162" t="s">
        <v>4731</v>
      </c>
      <c r="O3162" t="s">
        <v>73</v>
      </c>
      <c r="P3162" t="s">
        <v>81</v>
      </c>
      <c r="Q3162" t="s">
        <v>489</v>
      </c>
      <c r="R3162" t="s">
        <v>4732</v>
      </c>
    </row>
    <row r="3163" spans="1:18" x14ac:dyDescent="0.25">
      <c r="A3163" t="s">
        <v>19863</v>
      </c>
      <c r="B3163" t="s">
        <v>4747</v>
      </c>
      <c r="C3163" t="str">
        <f>HYPERLINK("https://nematode.unl.edu/drefle23.jpg")</f>
        <v>https://nematode.unl.edu/drefle23.jpg</v>
      </c>
      <c r="D3163" t="s">
        <v>43</v>
      </c>
      <c r="G3163" t="s">
        <v>856</v>
      </c>
      <c r="I3163" t="s">
        <v>19</v>
      </c>
      <c r="J3163" t="s">
        <v>20</v>
      </c>
      <c r="L3163" t="s">
        <v>29</v>
      </c>
      <c r="M3163" t="s">
        <v>4731</v>
      </c>
      <c r="N3163" t="s">
        <v>4731</v>
      </c>
      <c r="O3163" t="s">
        <v>73</v>
      </c>
      <c r="P3163" t="s">
        <v>81</v>
      </c>
      <c r="Q3163" t="s">
        <v>489</v>
      </c>
      <c r="R3163" t="s">
        <v>4732</v>
      </c>
    </row>
    <row r="3164" spans="1:18" x14ac:dyDescent="0.25">
      <c r="A3164" t="s">
        <v>19867</v>
      </c>
      <c r="B3164" t="s">
        <v>4748</v>
      </c>
      <c r="C3164" t="str">
        <f>HYPERLINK("https://nematode.unl.edu/drefle24.jpg")</f>
        <v>https://nematode.unl.edu/drefle24.jpg</v>
      </c>
      <c r="D3164" t="s">
        <v>43</v>
      </c>
      <c r="G3164" t="s">
        <v>28</v>
      </c>
      <c r="I3164" t="s">
        <v>19</v>
      </c>
      <c r="J3164" t="s">
        <v>20</v>
      </c>
      <c r="M3164" t="s">
        <v>4731</v>
      </c>
      <c r="N3164" t="s">
        <v>4731</v>
      </c>
      <c r="O3164" t="s">
        <v>73</v>
      </c>
      <c r="P3164" t="s">
        <v>81</v>
      </c>
      <c r="Q3164" t="s">
        <v>489</v>
      </c>
      <c r="R3164" t="s">
        <v>4732</v>
      </c>
    </row>
    <row r="3165" spans="1:18" x14ac:dyDescent="0.25">
      <c r="A3165" t="s">
        <v>19868</v>
      </c>
      <c r="B3165" t="s">
        <v>4749</v>
      </c>
      <c r="C3165" t="str">
        <f>HYPERLINK("https://nematode.unl.edu/drefle25.jpg")</f>
        <v>https://nematode.unl.edu/drefle25.jpg</v>
      </c>
      <c r="D3165" t="s">
        <v>43</v>
      </c>
      <c r="G3165" t="s">
        <v>28</v>
      </c>
      <c r="I3165" t="s">
        <v>19</v>
      </c>
      <c r="J3165" t="s">
        <v>20</v>
      </c>
      <c r="L3165" t="s">
        <v>29</v>
      </c>
      <c r="M3165" t="s">
        <v>4731</v>
      </c>
      <c r="N3165" t="s">
        <v>4731</v>
      </c>
      <c r="O3165" t="s">
        <v>73</v>
      </c>
      <c r="P3165" t="s">
        <v>81</v>
      </c>
      <c r="Q3165" t="s">
        <v>489</v>
      </c>
      <c r="R3165" t="s">
        <v>4732</v>
      </c>
    </row>
    <row r="3166" spans="1:18" x14ac:dyDescent="0.25">
      <c r="A3166" t="s">
        <v>19877</v>
      </c>
      <c r="B3166" t="s">
        <v>4750</v>
      </c>
      <c r="C3166" t="str">
        <f>HYPERLINK("https://nematode.unl.edu/drefle26.jpg")</f>
        <v>https://nematode.unl.edu/drefle26.jpg</v>
      </c>
      <c r="D3166" t="s">
        <v>43</v>
      </c>
      <c r="G3166" t="s">
        <v>51</v>
      </c>
      <c r="J3166" t="s">
        <v>20</v>
      </c>
      <c r="M3166" t="s">
        <v>4731</v>
      </c>
      <c r="N3166" t="s">
        <v>4731</v>
      </c>
      <c r="O3166" t="s">
        <v>73</v>
      </c>
      <c r="P3166" t="s">
        <v>81</v>
      </c>
      <c r="Q3166" t="s">
        <v>489</v>
      </c>
      <c r="R3166" t="s">
        <v>4732</v>
      </c>
    </row>
    <row r="3167" spans="1:18" x14ac:dyDescent="0.25">
      <c r="A3167" t="s">
        <v>19847</v>
      </c>
      <c r="B3167" t="s">
        <v>4751</v>
      </c>
      <c r="C3167" t="str">
        <f>HYPERLINK("https://nematode.unl.edu/drefle27.jpg")</f>
        <v>https://nematode.unl.edu/drefle27.jpg</v>
      </c>
      <c r="D3167" t="s">
        <v>43</v>
      </c>
      <c r="G3167" t="s">
        <v>34</v>
      </c>
      <c r="H3167" t="s">
        <v>18</v>
      </c>
      <c r="J3167" t="s">
        <v>20</v>
      </c>
      <c r="M3167" t="s">
        <v>4731</v>
      </c>
      <c r="N3167" t="s">
        <v>4731</v>
      </c>
      <c r="O3167" t="s">
        <v>73</v>
      </c>
      <c r="P3167" t="s">
        <v>81</v>
      </c>
      <c r="Q3167" t="s">
        <v>489</v>
      </c>
      <c r="R3167" t="s">
        <v>4732</v>
      </c>
    </row>
    <row r="3168" spans="1:18" x14ac:dyDescent="0.25">
      <c r="A3168" t="s">
        <v>19848</v>
      </c>
      <c r="B3168" t="s">
        <v>4752</v>
      </c>
      <c r="C3168" t="str">
        <f>HYPERLINK("https://nematode.unl.edu/drefle28.jpg")</f>
        <v>https://nematode.unl.edu/drefle28.jpg</v>
      </c>
      <c r="D3168" t="s">
        <v>43</v>
      </c>
      <c r="G3168" t="s">
        <v>34</v>
      </c>
      <c r="H3168" t="s">
        <v>18</v>
      </c>
      <c r="J3168" t="s">
        <v>20</v>
      </c>
      <c r="M3168" t="s">
        <v>4731</v>
      </c>
      <c r="N3168" t="s">
        <v>4731</v>
      </c>
      <c r="O3168" t="s">
        <v>73</v>
      </c>
      <c r="P3168" t="s">
        <v>81</v>
      </c>
      <c r="Q3168" t="s">
        <v>489</v>
      </c>
      <c r="R3168" t="s">
        <v>4732</v>
      </c>
    </row>
    <row r="3169" spans="1:18" x14ac:dyDescent="0.25">
      <c r="A3169" t="s">
        <v>19878</v>
      </c>
      <c r="B3169" t="s">
        <v>4753</v>
      </c>
      <c r="C3169" t="str">
        <f>HYPERLINK("https://nematode.unl.edu/drefle29.jpg")</f>
        <v>https://nematode.unl.edu/drefle29.jpg</v>
      </c>
      <c r="D3169" t="s">
        <v>43</v>
      </c>
      <c r="G3169" t="s">
        <v>51</v>
      </c>
      <c r="M3169" t="s">
        <v>4731</v>
      </c>
      <c r="N3169" t="s">
        <v>4731</v>
      </c>
      <c r="O3169" t="s">
        <v>73</v>
      </c>
      <c r="P3169" t="s">
        <v>81</v>
      </c>
      <c r="Q3169" t="s">
        <v>489</v>
      </c>
      <c r="R3169" t="s">
        <v>4732</v>
      </c>
    </row>
    <row r="3170" spans="1:18" x14ac:dyDescent="0.25">
      <c r="A3170" t="s">
        <v>19849</v>
      </c>
      <c r="B3170" t="s">
        <v>4754</v>
      </c>
      <c r="C3170" t="str">
        <f>HYPERLINK("https://nematode.unl.edu/drefle3.jpg")</f>
        <v>https://nematode.unl.edu/drefle3.jpg</v>
      </c>
      <c r="D3170" t="s">
        <v>43</v>
      </c>
      <c r="G3170" t="s">
        <v>34</v>
      </c>
      <c r="H3170" t="s">
        <v>18</v>
      </c>
      <c r="I3170" t="s">
        <v>19</v>
      </c>
      <c r="J3170" t="s">
        <v>20</v>
      </c>
      <c r="L3170" t="s">
        <v>85</v>
      </c>
      <c r="M3170" t="s">
        <v>4731</v>
      </c>
      <c r="N3170" t="s">
        <v>4731</v>
      </c>
      <c r="O3170" t="s">
        <v>73</v>
      </c>
      <c r="P3170" t="s">
        <v>81</v>
      </c>
      <c r="Q3170" t="s">
        <v>489</v>
      </c>
      <c r="R3170" t="s">
        <v>4732</v>
      </c>
    </row>
    <row r="3171" spans="1:18" x14ac:dyDescent="0.25">
      <c r="A3171" t="s">
        <v>19862</v>
      </c>
      <c r="B3171" t="s">
        <v>4755</v>
      </c>
      <c r="C3171" t="str">
        <f>HYPERLINK("https://nematode.unl.edu/drefle30.jpg")</f>
        <v>https://nematode.unl.edu/drefle30.jpg</v>
      </c>
      <c r="D3171" t="s">
        <v>43</v>
      </c>
      <c r="G3171" t="s">
        <v>181</v>
      </c>
      <c r="I3171" t="s">
        <v>45</v>
      </c>
      <c r="J3171" t="s">
        <v>20</v>
      </c>
      <c r="M3171" t="s">
        <v>4731</v>
      </c>
      <c r="N3171" t="s">
        <v>4731</v>
      </c>
      <c r="O3171" t="s">
        <v>73</v>
      </c>
      <c r="P3171" t="s">
        <v>81</v>
      </c>
      <c r="Q3171" t="s">
        <v>489</v>
      </c>
      <c r="R3171" t="s">
        <v>4732</v>
      </c>
    </row>
    <row r="3172" spans="1:18" x14ac:dyDescent="0.25">
      <c r="A3172" t="s">
        <v>19855</v>
      </c>
      <c r="B3172" t="s">
        <v>4756</v>
      </c>
      <c r="C3172" t="str">
        <f>HYPERLINK("https://nematode.unl.edu/drefle31.jpg")</f>
        <v>https://nematode.unl.edu/drefle31.jpg</v>
      </c>
      <c r="D3172" t="s">
        <v>43</v>
      </c>
      <c r="G3172" t="s">
        <v>87</v>
      </c>
      <c r="M3172" t="s">
        <v>4731</v>
      </c>
      <c r="N3172" t="s">
        <v>4731</v>
      </c>
      <c r="O3172" t="s">
        <v>73</v>
      </c>
      <c r="P3172" t="s">
        <v>81</v>
      </c>
      <c r="Q3172" t="s">
        <v>489</v>
      </c>
      <c r="R3172" t="s">
        <v>4732</v>
      </c>
    </row>
    <row r="3173" spans="1:18" x14ac:dyDescent="0.25">
      <c r="A3173" t="s">
        <v>19856</v>
      </c>
      <c r="B3173" t="s">
        <v>4757</v>
      </c>
      <c r="C3173" t="str">
        <f>HYPERLINK("https://nematode.unl.edu/drefle32.jpg")</f>
        <v>https://nematode.unl.edu/drefle32.jpg</v>
      </c>
      <c r="D3173" t="s">
        <v>43</v>
      </c>
      <c r="G3173" t="s">
        <v>87</v>
      </c>
      <c r="J3173" t="s">
        <v>20</v>
      </c>
      <c r="M3173" t="s">
        <v>4731</v>
      </c>
      <c r="N3173" t="s">
        <v>4731</v>
      </c>
      <c r="O3173" t="s">
        <v>73</v>
      </c>
      <c r="P3173" t="s">
        <v>81</v>
      </c>
      <c r="Q3173" t="s">
        <v>489</v>
      </c>
      <c r="R3173" t="s">
        <v>4732</v>
      </c>
    </row>
    <row r="3174" spans="1:18" x14ac:dyDescent="0.25">
      <c r="A3174" t="s">
        <v>19879</v>
      </c>
      <c r="B3174" t="s">
        <v>4758</v>
      </c>
      <c r="C3174" t="str">
        <f>HYPERLINK("https://nematode.unl.edu/drefle33.jpg")</f>
        <v>https://nematode.unl.edu/drefle33.jpg</v>
      </c>
      <c r="D3174" t="s">
        <v>43</v>
      </c>
      <c r="G3174" t="s">
        <v>51</v>
      </c>
      <c r="J3174" t="s">
        <v>20</v>
      </c>
      <c r="M3174" t="s">
        <v>4731</v>
      </c>
      <c r="N3174" t="s">
        <v>4731</v>
      </c>
      <c r="O3174" t="s">
        <v>73</v>
      </c>
      <c r="P3174" t="s">
        <v>81</v>
      </c>
      <c r="Q3174" t="s">
        <v>489</v>
      </c>
      <c r="R3174" t="s">
        <v>4732</v>
      </c>
    </row>
    <row r="3175" spans="1:18" x14ac:dyDescent="0.25">
      <c r="A3175" t="s">
        <v>19869</v>
      </c>
      <c r="B3175" t="s">
        <v>4759</v>
      </c>
      <c r="C3175" t="str">
        <f>HYPERLINK("https://nematode.unl.edu/drefle34.jpg")</f>
        <v>https://nematode.unl.edu/drefle34.jpg</v>
      </c>
      <c r="D3175" t="s">
        <v>77</v>
      </c>
      <c r="G3175" t="s">
        <v>28</v>
      </c>
      <c r="I3175" t="s">
        <v>19</v>
      </c>
      <c r="M3175" t="s">
        <v>4731</v>
      </c>
      <c r="N3175" t="s">
        <v>4731</v>
      </c>
      <c r="O3175" t="s">
        <v>73</v>
      </c>
      <c r="P3175" t="s">
        <v>81</v>
      </c>
      <c r="Q3175" t="s">
        <v>489</v>
      </c>
      <c r="R3175" t="s">
        <v>4732</v>
      </c>
    </row>
    <row r="3176" spans="1:18" x14ac:dyDescent="0.25">
      <c r="A3176" t="s">
        <v>19850</v>
      </c>
      <c r="B3176" t="s">
        <v>4760</v>
      </c>
      <c r="C3176" t="str">
        <f>HYPERLINK("https://nematode.unl.edu/drefle35.jpg")</f>
        <v>https://nematode.unl.edu/drefle35.jpg</v>
      </c>
      <c r="D3176" t="s">
        <v>43</v>
      </c>
      <c r="G3176" t="s">
        <v>34</v>
      </c>
      <c r="H3176" t="s">
        <v>18</v>
      </c>
      <c r="I3176" t="s">
        <v>516</v>
      </c>
      <c r="J3176" t="s">
        <v>20</v>
      </c>
      <c r="L3176" t="s">
        <v>29</v>
      </c>
      <c r="M3176" t="s">
        <v>4731</v>
      </c>
      <c r="N3176" t="s">
        <v>4731</v>
      </c>
      <c r="O3176" t="s">
        <v>73</v>
      </c>
      <c r="P3176" t="s">
        <v>81</v>
      </c>
      <c r="Q3176" t="s">
        <v>489</v>
      </c>
      <c r="R3176" t="s">
        <v>4732</v>
      </c>
    </row>
    <row r="3177" spans="1:18" x14ac:dyDescent="0.25">
      <c r="A3177" t="s">
        <v>19861</v>
      </c>
      <c r="B3177" t="s">
        <v>4761</v>
      </c>
      <c r="C3177" t="str">
        <f>HYPERLINK("https://nematode.unl.edu/drefle36.jpg")</f>
        <v>https://nematode.unl.edu/drefle36.jpg</v>
      </c>
      <c r="D3177" t="s">
        <v>43</v>
      </c>
      <c r="G3177" t="s">
        <v>243</v>
      </c>
      <c r="I3177" t="s">
        <v>19</v>
      </c>
      <c r="L3177" t="s">
        <v>352</v>
      </c>
      <c r="M3177" t="s">
        <v>4731</v>
      </c>
      <c r="N3177" t="s">
        <v>4731</v>
      </c>
      <c r="O3177" t="s">
        <v>73</v>
      </c>
      <c r="P3177" t="s">
        <v>81</v>
      </c>
      <c r="Q3177" t="s">
        <v>489</v>
      </c>
      <c r="R3177" t="s">
        <v>4732</v>
      </c>
    </row>
    <row r="3178" spans="1:18" x14ac:dyDescent="0.25">
      <c r="A3178" t="s">
        <v>19870</v>
      </c>
      <c r="B3178" t="s">
        <v>4762</v>
      </c>
      <c r="C3178" t="str">
        <f>HYPERLINK("https://nematode.unl.edu/drefle37.jpg")</f>
        <v>https://nematode.unl.edu/drefle37.jpg</v>
      </c>
      <c r="D3178" t="s">
        <v>43</v>
      </c>
      <c r="G3178" t="s">
        <v>28</v>
      </c>
      <c r="J3178" t="s">
        <v>20</v>
      </c>
      <c r="L3178" t="s">
        <v>141</v>
      </c>
      <c r="M3178" t="s">
        <v>4731</v>
      </c>
      <c r="N3178" t="s">
        <v>4731</v>
      </c>
      <c r="O3178" t="s">
        <v>73</v>
      </c>
      <c r="P3178" t="s">
        <v>81</v>
      </c>
      <c r="Q3178" t="s">
        <v>489</v>
      </c>
      <c r="R3178" t="s">
        <v>4732</v>
      </c>
    </row>
    <row r="3179" spans="1:18" x14ac:dyDescent="0.25">
      <c r="A3179" t="s">
        <v>19880</v>
      </c>
      <c r="B3179" t="s">
        <v>4763</v>
      </c>
      <c r="C3179" t="str">
        <f>HYPERLINK("https://nematode.unl.edu/drefle4.jpg")</f>
        <v>https://nematode.unl.edu/drefle4.jpg</v>
      </c>
      <c r="D3179" t="s">
        <v>43</v>
      </c>
      <c r="G3179" t="s">
        <v>51</v>
      </c>
      <c r="I3179" t="s">
        <v>19</v>
      </c>
      <c r="J3179" t="s">
        <v>20</v>
      </c>
      <c r="L3179" t="s">
        <v>35</v>
      </c>
      <c r="M3179" t="s">
        <v>4731</v>
      </c>
      <c r="N3179" t="s">
        <v>4731</v>
      </c>
      <c r="O3179" t="s">
        <v>73</v>
      </c>
      <c r="P3179" t="s">
        <v>81</v>
      </c>
      <c r="Q3179" t="s">
        <v>489</v>
      </c>
      <c r="R3179" t="s">
        <v>4732</v>
      </c>
    </row>
    <row r="3180" spans="1:18" x14ac:dyDescent="0.25">
      <c r="A3180" t="s">
        <v>19853</v>
      </c>
      <c r="B3180" t="s">
        <v>4764</v>
      </c>
      <c r="C3180" t="str">
        <f>HYPERLINK("https://nematode.unl.edu/drefle5.jpg")</f>
        <v>https://nematode.unl.edu/drefle5.jpg</v>
      </c>
      <c r="D3180" t="s">
        <v>43</v>
      </c>
      <c r="G3180" t="s">
        <v>905</v>
      </c>
      <c r="I3180" t="s">
        <v>19</v>
      </c>
      <c r="J3180" t="s">
        <v>20</v>
      </c>
      <c r="L3180" t="s">
        <v>35</v>
      </c>
      <c r="M3180" t="s">
        <v>4731</v>
      </c>
      <c r="N3180" t="s">
        <v>4731</v>
      </c>
      <c r="O3180" t="s">
        <v>73</v>
      </c>
      <c r="P3180" t="s">
        <v>81</v>
      </c>
      <c r="Q3180" t="s">
        <v>489</v>
      </c>
      <c r="R3180" t="s">
        <v>4732</v>
      </c>
    </row>
    <row r="3181" spans="1:18" x14ac:dyDescent="0.25">
      <c r="A3181" t="s">
        <v>19858</v>
      </c>
      <c r="B3181" t="s">
        <v>4765</v>
      </c>
      <c r="C3181" t="str">
        <f>HYPERLINK("https://nematode.unl.edu/drefle6.jpg")</f>
        <v>https://nematode.unl.edu/drefle6.jpg</v>
      </c>
      <c r="D3181" t="s">
        <v>43</v>
      </c>
      <c r="G3181" t="s">
        <v>44</v>
      </c>
      <c r="I3181" t="s">
        <v>45</v>
      </c>
      <c r="J3181" t="s">
        <v>20</v>
      </c>
      <c r="L3181" t="s">
        <v>64</v>
      </c>
      <c r="M3181" t="s">
        <v>4731</v>
      </c>
      <c r="N3181" t="s">
        <v>4731</v>
      </c>
      <c r="O3181" t="s">
        <v>73</v>
      </c>
      <c r="P3181" t="s">
        <v>81</v>
      </c>
      <c r="Q3181" t="s">
        <v>489</v>
      </c>
      <c r="R3181" t="s">
        <v>4732</v>
      </c>
    </row>
    <row r="3182" spans="1:18" x14ac:dyDescent="0.25">
      <c r="A3182" t="s">
        <v>19871</v>
      </c>
      <c r="B3182" t="s">
        <v>4766</v>
      </c>
      <c r="C3182" t="str">
        <f>HYPERLINK("https://nematode.unl.edu/drefle7.jpg")</f>
        <v>https://nematode.unl.edu/drefle7.jpg</v>
      </c>
      <c r="D3182" t="s">
        <v>43</v>
      </c>
      <c r="G3182" t="s">
        <v>28</v>
      </c>
      <c r="I3182" t="s">
        <v>19</v>
      </c>
      <c r="J3182" t="s">
        <v>20</v>
      </c>
      <c r="L3182" t="s">
        <v>64</v>
      </c>
      <c r="M3182" t="s">
        <v>4731</v>
      </c>
      <c r="N3182" t="s">
        <v>4731</v>
      </c>
      <c r="O3182" t="s">
        <v>73</v>
      </c>
      <c r="P3182" t="s">
        <v>81</v>
      </c>
      <c r="Q3182" t="s">
        <v>489</v>
      </c>
      <c r="R3182" t="s">
        <v>4732</v>
      </c>
    </row>
    <row r="3183" spans="1:18" x14ac:dyDescent="0.25">
      <c r="A3183" t="s">
        <v>19851</v>
      </c>
      <c r="B3183" t="s">
        <v>4767</v>
      </c>
      <c r="C3183" t="str">
        <f>HYPERLINK("https://nematode.unl.edu/drefle8.jpg")</f>
        <v>https://nematode.unl.edu/drefle8.jpg</v>
      </c>
      <c r="D3183" t="s">
        <v>43</v>
      </c>
      <c r="G3183" t="s">
        <v>34</v>
      </c>
      <c r="H3183" t="s">
        <v>18</v>
      </c>
      <c r="I3183" t="s">
        <v>45</v>
      </c>
      <c r="J3183" t="s">
        <v>20</v>
      </c>
      <c r="L3183" t="s">
        <v>64</v>
      </c>
      <c r="M3183" t="s">
        <v>4731</v>
      </c>
      <c r="N3183" t="s">
        <v>4731</v>
      </c>
      <c r="O3183" t="s">
        <v>73</v>
      </c>
      <c r="P3183" t="s">
        <v>81</v>
      </c>
      <c r="Q3183" t="s">
        <v>489</v>
      </c>
      <c r="R3183" t="s">
        <v>4732</v>
      </c>
    </row>
    <row r="3184" spans="1:18" x14ac:dyDescent="0.25">
      <c r="A3184" t="s">
        <v>19852</v>
      </c>
      <c r="B3184" t="s">
        <v>4768</v>
      </c>
      <c r="C3184" t="str">
        <f>HYPERLINK("https://nematode.unl.edu/drefle9.jpg")</f>
        <v>https://nematode.unl.edu/drefle9.jpg</v>
      </c>
      <c r="D3184" t="s">
        <v>43</v>
      </c>
      <c r="G3184" t="s">
        <v>34</v>
      </c>
      <c r="H3184" t="s">
        <v>18</v>
      </c>
      <c r="J3184" t="s">
        <v>20</v>
      </c>
      <c r="L3184" t="s">
        <v>64</v>
      </c>
      <c r="M3184" t="s">
        <v>4731</v>
      </c>
      <c r="N3184" t="s">
        <v>4731</v>
      </c>
      <c r="O3184" t="s">
        <v>73</v>
      </c>
      <c r="P3184" t="s">
        <v>81</v>
      </c>
      <c r="Q3184" t="s">
        <v>489</v>
      </c>
      <c r="R3184" t="s">
        <v>4732</v>
      </c>
    </row>
    <row r="3185" spans="1:18" x14ac:dyDescent="0.25">
      <c r="A3185" t="s">
        <v>19872</v>
      </c>
      <c r="B3185" t="s">
        <v>4769</v>
      </c>
      <c r="C3185" t="str">
        <f>HYPERLINK("https://nematode.unl.edu/dreflecmp.jpg")</f>
        <v>https://nematode.unl.edu/dreflecmp.jpg</v>
      </c>
      <c r="D3185" t="s">
        <v>43</v>
      </c>
      <c r="G3185" t="s">
        <v>28</v>
      </c>
      <c r="M3185" t="s">
        <v>4731</v>
      </c>
      <c r="N3185" t="s">
        <v>4731</v>
      </c>
      <c r="O3185" t="s">
        <v>73</v>
      </c>
      <c r="P3185" t="s">
        <v>81</v>
      </c>
      <c r="Q3185" t="s">
        <v>489</v>
      </c>
      <c r="R3185" t="s">
        <v>4732</v>
      </c>
    </row>
    <row r="3186" spans="1:18" x14ac:dyDescent="0.25">
      <c r="A3186" t="s">
        <v>19873</v>
      </c>
      <c r="B3186" t="s">
        <v>4770</v>
      </c>
      <c r="C3186" t="str">
        <f>HYPERLINK("https://nematode.unl.edu/dreflex1.jpg")</f>
        <v>https://nematode.unl.edu/dreflex1.jpg</v>
      </c>
      <c r="D3186" t="s">
        <v>43</v>
      </c>
      <c r="G3186" t="s">
        <v>28</v>
      </c>
      <c r="I3186" t="s">
        <v>19</v>
      </c>
      <c r="J3186" t="s">
        <v>3662</v>
      </c>
      <c r="M3186" t="s">
        <v>4731</v>
      </c>
      <c r="N3186" t="s">
        <v>4731</v>
      </c>
      <c r="O3186" t="s">
        <v>73</v>
      </c>
      <c r="P3186" t="s">
        <v>81</v>
      </c>
      <c r="Q3186" t="s">
        <v>489</v>
      </c>
      <c r="R3186" t="s">
        <v>4732</v>
      </c>
    </row>
    <row r="3187" spans="1:18" x14ac:dyDescent="0.25">
      <c r="A3187" t="s">
        <v>19881</v>
      </c>
      <c r="B3187" t="s">
        <v>4771</v>
      </c>
      <c r="C3187" t="str">
        <f>HYPERLINK("https://nematode.unl.edu/dreflex2.jpg")</f>
        <v>https://nematode.unl.edu/dreflex2.jpg</v>
      </c>
      <c r="D3187" t="s">
        <v>43</v>
      </c>
      <c r="G3187" t="s">
        <v>51</v>
      </c>
      <c r="I3187" t="s">
        <v>19</v>
      </c>
      <c r="J3187" t="s">
        <v>3662</v>
      </c>
      <c r="M3187" t="s">
        <v>4731</v>
      </c>
      <c r="N3187" t="s">
        <v>4731</v>
      </c>
      <c r="O3187" t="s">
        <v>73</v>
      </c>
      <c r="P3187" t="s">
        <v>81</v>
      </c>
      <c r="Q3187" t="s">
        <v>489</v>
      </c>
      <c r="R3187" t="s">
        <v>4732</v>
      </c>
    </row>
    <row r="3188" spans="1:18" x14ac:dyDescent="0.25">
      <c r="A3188" t="s">
        <v>19839</v>
      </c>
      <c r="B3188" t="s">
        <v>4772</v>
      </c>
      <c r="C3188" t="str">
        <f>HYPERLINK("https://nematode.unl.edu/dreflex3.jpg")</f>
        <v>https://nematode.unl.edu/dreflex3.jpg</v>
      </c>
      <c r="D3188" t="s">
        <v>77</v>
      </c>
      <c r="G3188" t="s">
        <v>96</v>
      </c>
      <c r="H3188" t="s">
        <v>18</v>
      </c>
      <c r="I3188" t="s">
        <v>45</v>
      </c>
      <c r="J3188" t="s">
        <v>3662</v>
      </c>
      <c r="M3188" t="s">
        <v>4731</v>
      </c>
      <c r="N3188" t="s">
        <v>4731</v>
      </c>
      <c r="O3188" t="s">
        <v>73</v>
      </c>
      <c r="P3188" t="s">
        <v>81</v>
      </c>
      <c r="Q3188" t="s">
        <v>489</v>
      </c>
      <c r="R3188" t="s">
        <v>4732</v>
      </c>
    </row>
    <row r="3189" spans="1:18" x14ac:dyDescent="0.25">
      <c r="A3189" t="s">
        <v>19859</v>
      </c>
      <c r="B3189" t="s">
        <v>4773</v>
      </c>
      <c r="C3189" t="str">
        <f>HYPERLINK("https://nematode.unl.edu/dreflex4.jpg")</f>
        <v>https://nematode.unl.edu/dreflex4.jpg</v>
      </c>
      <c r="D3189" t="s">
        <v>43</v>
      </c>
      <c r="G3189" t="s">
        <v>44</v>
      </c>
      <c r="I3189" t="s">
        <v>45</v>
      </c>
      <c r="J3189" t="s">
        <v>3662</v>
      </c>
      <c r="M3189" t="s">
        <v>4731</v>
      </c>
      <c r="N3189" t="s">
        <v>4731</v>
      </c>
      <c r="O3189" t="s">
        <v>73</v>
      </c>
      <c r="P3189" t="s">
        <v>81</v>
      </c>
      <c r="Q3189" t="s">
        <v>489</v>
      </c>
      <c r="R3189" t="s">
        <v>4732</v>
      </c>
    </row>
    <row r="3190" spans="1:18" x14ac:dyDescent="0.25">
      <c r="A3190" t="s">
        <v>19874</v>
      </c>
      <c r="B3190" t="s">
        <v>4774</v>
      </c>
      <c r="C3190" t="str">
        <f>HYPERLINK("https://nematode.unl.edu/dreflex5.jpg")</f>
        <v>https://nematode.unl.edu/dreflex5.jpg</v>
      </c>
      <c r="D3190" t="s">
        <v>43</v>
      </c>
      <c r="G3190" t="s">
        <v>28</v>
      </c>
      <c r="I3190" t="s">
        <v>45</v>
      </c>
      <c r="J3190" t="s">
        <v>3662</v>
      </c>
      <c r="M3190" t="s">
        <v>4731</v>
      </c>
      <c r="N3190" t="s">
        <v>4731</v>
      </c>
      <c r="O3190" t="s">
        <v>73</v>
      </c>
      <c r="P3190" t="s">
        <v>81</v>
      </c>
      <c r="Q3190" t="s">
        <v>489</v>
      </c>
      <c r="R3190" t="s">
        <v>4732</v>
      </c>
    </row>
    <row r="3191" spans="1:18" x14ac:dyDescent="0.25">
      <c r="A3191" t="s">
        <v>19674</v>
      </c>
      <c r="B3191" t="s">
        <v>901</v>
      </c>
      <c r="C3191" t="str">
        <f>HYPERLINK("https://nematode.unl.edu/dvircmp.jpg")</f>
        <v>https://nematode.unl.edu/dvircmp.jpg</v>
      </c>
      <c r="D3191" t="s">
        <v>77</v>
      </c>
      <c r="G3191" t="s">
        <v>28</v>
      </c>
      <c r="M3191" t="s">
        <v>880</v>
      </c>
      <c r="N3191" t="s">
        <v>881</v>
      </c>
      <c r="O3191" t="s">
        <v>73</v>
      </c>
      <c r="P3191" t="s">
        <v>81</v>
      </c>
      <c r="Q3191" t="s">
        <v>733</v>
      </c>
      <c r="R3191" t="s">
        <v>734</v>
      </c>
    </row>
    <row r="3192" spans="1:18" x14ac:dyDescent="0.25">
      <c r="A3192" t="s">
        <v>19667</v>
      </c>
      <c r="B3192" t="s">
        <v>902</v>
      </c>
      <c r="C3192" t="str">
        <f>HYPERLINK("https://nematode.unl.edu/dvirgin1.jpg")</f>
        <v>https://nematode.unl.edu/dvirgin1.jpg</v>
      </c>
      <c r="D3192" t="s">
        <v>77</v>
      </c>
      <c r="G3192" t="s">
        <v>44</v>
      </c>
      <c r="I3192" t="s">
        <v>91</v>
      </c>
      <c r="J3192" t="s">
        <v>20</v>
      </c>
      <c r="L3192" t="s">
        <v>64</v>
      </c>
      <c r="M3192" t="s">
        <v>880</v>
      </c>
      <c r="N3192" t="s">
        <v>881</v>
      </c>
      <c r="O3192" t="s">
        <v>73</v>
      </c>
      <c r="P3192" t="s">
        <v>81</v>
      </c>
      <c r="Q3192" t="s">
        <v>733</v>
      </c>
      <c r="R3192" t="s">
        <v>734</v>
      </c>
    </row>
    <row r="3193" spans="1:18" x14ac:dyDescent="0.25">
      <c r="A3193" t="s">
        <v>19675</v>
      </c>
      <c r="B3193" t="s">
        <v>903</v>
      </c>
      <c r="C3193" t="str">
        <f>HYPERLINK("https://nematode.unl.edu/dvirgin10.jpg")</f>
        <v>https://nematode.unl.edu/dvirgin10.jpg</v>
      </c>
      <c r="D3193" t="s">
        <v>77</v>
      </c>
      <c r="G3193" t="s">
        <v>28</v>
      </c>
      <c r="I3193" t="s">
        <v>19</v>
      </c>
      <c r="J3193" t="s">
        <v>20</v>
      </c>
      <c r="L3193" t="s">
        <v>85</v>
      </c>
      <c r="M3193" t="s">
        <v>880</v>
      </c>
      <c r="N3193" t="s">
        <v>881</v>
      </c>
      <c r="O3193" t="s">
        <v>73</v>
      </c>
      <c r="P3193" t="s">
        <v>81</v>
      </c>
      <c r="Q3193" t="s">
        <v>733</v>
      </c>
      <c r="R3193" t="s">
        <v>734</v>
      </c>
    </row>
    <row r="3194" spans="1:18" x14ac:dyDescent="0.25">
      <c r="A3194" t="s">
        <v>19653</v>
      </c>
      <c r="B3194" t="s">
        <v>904</v>
      </c>
      <c r="C3194" t="str">
        <f>HYPERLINK("https://nematode.unl.edu/dvirgin11.jpg")</f>
        <v>https://nematode.unl.edu/dvirgin11.jpg</v>
      </c>
      <c r="D3194" t="s">
        <v>43</v>
      </c>
      <c r="G3194" t="s">
        <v>905</v>
      </c>
      <c r="J3194" t="s">
        <v>20</v>
      </c>
      <c r="L3194" t="s">
        <v>85</v>
      </c>
      <c r="M3194" t="s">
        <v>880</v>
      </c>
      <c r="N3194" t="s">
        <v>881</v>
      </c>
      <c r="O3194" t="s">
        <v>73</v>
      </c>
      <c r="P3194" t="s">
        <v>81</v>
      </c>
      <c r="Q3194" t="s">
        <v>733</v>
      </c>
      <c r="R3194" t="s">
        <v>734</v>
      </c>
    </row>
    <row r="3195" spans="1:18" x14ac:dyDescent="0.25">
      <c r="A3195" t="s">
        <v>19646</v>
      </c>
      <c r="B3195" t="s">
        <v>906</v>
      </c>
      <c r="C3195" t="str">
        <f>HYPERLINK("https://nematode.unl.edu/dvirgin12.jpg")</f>
        <v>https://nematode.unl.edu/dvirgin12.jpg</v>
      </c>
      <c r="D3195" t="s">
        <v>77</v>
      </c>
      <c r="G3195" t="s">
        <v>34</v>
      </c>
      <c r="H3195" t="s">
        <v>18</v>
      </c>
      <c r="I3195" t="s">
        <v>19</v>
      </c>
      <c r="J3195" t="s">
        <v>20</v>
      </c>
      <c r="L3195" t="s">
        <v>35</v>
      </c>
      <c r="M3195" t="s">
        <v>880</v>
      </c>
      <c r="N3195" t="s">
        <v>881</v>
      </c>
      <c r="O3195" t="s">
        <v>73</v>
      </c>
      <c r="P3195" t="s">
        <v>81</v>
      </c>
      <c r="Q3195" t="s">
        <v>733</v>
      </c>
      <c r="R3195" t="s">
        <v>734</v>
      </c>
    </row>
    <row r="3196" spans="1:18" x14ac:dyDescent="0.25">
      <c r="A3196" t="s">
        <v>19637</v>
      </c>
      <c r="B3196" t="s">
        <v>907</v>
      </c>
      <c r="C3196" t="str">
        <f>HYPERLINK("https://nematode.unl.edu/dvirgin13.jpg")</f>
        <v>https://nematode.unl.edu/dvirgin13.jpg</v>
      </c>
      <c r="D3196" t="s">
        <v>43</v>
      </c>
      <c r="G3196" t="s">
        <v>96</v>
      </c>
      <c r="H3196" t="s">
        <v>18</v>
      </c>
      <c r="I3196" t="s">
        <v>19</v>
      </c>
      <c r="J3196" t="s">
        <v>20</v>
      </c>
      <c r="L3196" t="s">
        <v>85</v>
      </c>
      <c r="M3196" t="s">
        <v>880</v>
      </c>
      <c r="N3196" t="s">
        <v>881</v>
      </c>
      <c r="O3196" t="s">
        <v>73</v>
      </c>
      <c r="P3196" t="s">
        <v>81</v>
      </c>
      <c r="Q3196" t="s">
        <v>733</v>
      </c>
      <c r="R3196" t="s">
        <v>734</v>
      </c>
    </row>
    <row r="3197" spans="1:18" x14ac:dyDescent="0.25">
      <c r="A3197" t="s">
        <v>19676</v>
      </c>
      <c r="B3197" t="s">
        <v>908</v>
      </c>
      <c r="C3197" t="str">
        <f>HYPERLINK("https://nematode.unl.edu/dvirgin14.jpg")</f>
        <v>https://nematode.unl.edu/dvirgin14.jpg</v>
      </c>
      <c r="D3197" t="s">
        <v>43</v>
      </c>
      <c r="G3197" t="s">
        <v>28</v>
      </c>
      <c r="I3197" t="s">
        <v>19</v>
      </c>
      <c r="J3197" t="s">
        <v>20</v>
      </c>
      <c r="L3197" t="s">
        <v>35</v>
      </c>
      <c r="M3197" t="s">
        <v>880</v>
      </c>
      <c r="N3197" t="s">
        <v>881</v>
      </c>
      <c r="O3197" t="s">
        <v>73</v>
      </c>
      <c r="P3197" t="s">
        <v>81</v>
      </c>
      <c r="Q3197" t="s">
        <v>733</v>
      </c>
      <c r="R3197" t="s">
        <v>734</v>
      </c>
    </row>
    <row r="3198" spans="1:18" x14ac:dyDescent="0.25">
      <c r="A3198" t="s">
        <v>19647</v>
      </c>
      <c r="B3198" t="s">
        <v>909</v>
      </c>
      <c r="C3198" t="str">
        <f>HYPERLINK("https://nematode.unl.edu/dvirgin15.jpg")</f>
        <v>https://nematode.unl.edu/dvirgin15.jpg</v>
      </c>
      <c r="D3198" t="s">
        <v>16</v>
      </c>
      <c r="G3198" t="s">
        <v>34</v>
      </c>
      <c r="H3198" t="s">
        <v>18</v>
      </c>
      <c r="I3198" t="s">
        <v>41</v>
      </c>
      <c r="J3198" t="s">
        <v>20</v>
      </c>
      <c r="L3198" t="s">
        <v>752</v>
      </c>
      <c r="M3198" t="s">
        <v>880</v>
      </c>
      <c r="N3198" t="s">
        <v>881</v>
      </c>
      <c r="O3198" t="s">
        <v>73</v>
      </c>
      <c r="P3198" t="s">
        <v>81</v>
      </c>
      <c r="Q3198" t="s">
        <v>733</v>
      </c>
      <c r="R3198" t="s">
        <v>734</v>
      </c>
    </row>
    <row r="3199" spans="1:18" x14ac:dyDescent="0.25">
      <c r="A3199" t="s">
        <v>19654</v>
      </c>
      <c r="B3199" t="s">
        <v>910</v>
      </c>
      <c r="C3199" t="str">
        <f>HYPERLINK("https://nematode.unl.edu/dvirgin16.jpg")</f>
        <v>https://nematode.unl.edu/dvirgin16.jpg</v>
      </c>
      <c r="D3199" t="s">
        <v>43</v>
      </c>
      <c r="G3199" t="s">
        <v>905</v>
      </c>
      <c r="I3199" t="s">
        <v>19</v>
      </c>
      <c r="J3199" t="s">
        <v>20</v>
      </c>
      <c r="L3199" t="s">
        <v>85</v>
      </c>
      <c r="M3199" t="s">
        <v>880</v>
      </c>
      <c r="N3199" t="s">
        <v>881</v>
      </c>
      <c r="O3199" t="s">
        <v>73</v>
      </c>
      <c r="P3199" t="s">
        <v>81</v>
      </c>
      <c r="Q3199" t="s">
        <v>733</v>
      </c>
      <c r="R3199" t="s">
        <v>734</v>
      </c>
    </row>
    <row r="3200" spans="1:18" x14ac:dyDescent="0.25">
      <c r="A3200" t="s">
        <v>19685</v>
      </c>
      <c r="B3200" t="s">
        <v>911</v>
      </c>
      <c r="C3200" t="str">
        <f>HYPERLINK("https://nematode.unl.edu/dvirgin17.jpg")</f>
        <v>https://nematode.unl.edu/dvirgin17.jpg</v>
      </c>
      <c r="D3200" t="s">
        <v>43</v>
      </c>
      <c r="G3200" t="s">
        <v>51</v>
      </c>
      <c r="J3200" t="s">
        <v>20</v>
      </c>
      <c r="M3200" t="s">
        <v>880</v>
      </c>
      <c r="N3200" t="s">
        <v>881</v>
      </c>
      <c r="O3200" t="s">
        <v>73</v>
      </c>
      <c r="P3200" t="s">
        <v>81</v>
      </c>
      <c r="Q3200" t="s">
        <v>733</v>
      </c>
      <c r="R3200" t="s">
        <v>734</v>
      </c>
    </row>
    <row r="3201" spans="1:18" x14ac:dyDescent="0.25">
      <c r="A3201" t="s">
        <v>19655</v>
      </c>
      <c r="B3201" t="s">
        <v>912</v>
      </c>
      <c r="C3201" t="str">
        <f>HYPERLINK("https://nematode.unl.edu/dvirgin18.jpg")</f>
        <v>https://nematode.unl.edu/dvirgin18.jpg</v>
      </c>
      <c r="D3201" t="s">
        <v>43</v>
      </c>
      <c r="G3201" t="s">
        <v>905</v>
      </c>
      <c r="J3201" t="s">
        <v>20</v>
      </c>
      <c r="L3201" t="s">
        <v>141</v>
      </c>
      <c r="M3201" t="s">
        <v>880</v>
      </c>
      <c r="N3201" t="s">
        <v>881</v>
      </c>
      <c r="O3201" t="s">
        <v>73</v>
      </c>
      <c r="P3201" t="s">
        <v>81</v>
      </c>
      <c r="Q3201" t="s">
        <v>733</v>
      </c>
      <c r="R3201" t="s">
        <v>734</v>
      </c>
    </row>
    <row r="3202" spans="1:18" x14ac:dyDescent="0.25">
      <c r="A3202" t="s">
        <v>19656</v>
      </c>
      <c r="B3202" t="s">
        <v>913</v>
      </c>
      <c r="C3202" t="str">
        <f>HYPERLINK("https://nematode.unl.edu/dvirgin19.jpg")</f>
        <v>https://nematode.unl.edu/dvirgin19.jpg</v>
      </c>
      <c r="D3202" t="s">
        <v>43</v>
      </c>
      <c r="G3202" t="s">
        <v>905</v>
      </c>
      <c r="I3202" t="s">
        <v>19</v>
      </c>
      <c r="J3202" t="s">
        <v>20</v>
      </c>
      <c r="L3202" t="s">
        <v>141</v>
      </c>
      <c r="M3202" t="s">
        <v>880</v>
      </c>
      <c r="N3202" t="s">
        <v>881</v>
      </c>
      <c r="O3202" t="s">
        <v>73</v>
      </c>
      <c r="P3202" t="s">
        <v>81</v>
      </c>
      <c r="Q3202" t="s">
        <v>733</v>
      </c>
      <c r="R3202" t="s">
        <v>734</v>
      </c>
    </row>
    <row r="3203" spans="1:18" x14ac:dyDescent="0.25">
      <c r="A3203" t="s">
        <v>19638</v>
      </c>
      <c r="B3203" t="s">
        <v>914</v>
      </c>
      <c r="C3203" t="str">
        <f>HYPERLINK("https://nematode.unl.edu/dvirgin2.jpg")</f>
        <v>https://nematode.unl.edu/dvirgin2.jpg</v>
      </c>
      <c r="D3203" t="s">
        <v>77</v>
      </c>
      <c r="G3203" t="s">
        <v>96</v>
      </c>
      <c r="H3203" t="s">
        <v>18</v>
      </c>
      <c r="I3203" t="s">
        <v>45</v>
      </c>
      <c r="J3203" t="s">
        <v>20</v>
      </c>
      <c r="L3203" t="s">
        <v>64</v>
      </c>
      <c r="M3203" t="s">
        <v>880</v>
      </c>
      <c r="N3203" t="s">
        <v>881</v>
      </c>
      <c r="O3203" t="s">
        <v>73</v>
      </c>
      <c r="P3203" t="s">
        <v>81</v>
      </c>
      <c r="Q3203" t="s">
        <v>733</v>
      </c>
      <c r="R3203" t="s">
        <v>734</v>
      </c>
    </row>
    <row r="3204" spans="1:18" x14ac:dyDescent="0.25">
      <c r="A3204" t="s">
        <v>19641</v>
      </c>
      <c r="B3204" t="s">
        <v>915</v>
      </c>
      <c r="C3204" t="str">
        <f>HYPERLINK("https://nematode.unl.edu/dvirgin20.jpg")</f>
        <v>https://nematode.unl.edu/dvirgin20.jpg</v>
      </c>
      <c r="D3204" t="s">
        <v>43</v>
      </c>
      <c r="G3204" t="s">
        <v>17</v>
      </c>
      <c r="H3204" t="s">
        <v>18</v>
      </c>
      <c r="L3204" t="s">
        <v>220</v>
      </c>
      <c r="M3204" t="s">
        <v>880</v>
      </c>
      <c r="N3204" t="s">
        <v>881</v>
      </c>
      <c r="O3204" t="s">
        <v>73</v>
      </c>
      <c r="P3204" t="s">
        <v>81</v>
      </c>
      <c r="Q3204" t="s">
        <v>733</v>
      </c>
      <c r="R3204" t="s">
        <v>734</v>
      </c>
    </row>
    <row r="3205" spans="1:18" x14ac:dyDescent="0.25">
      <c r="A3205" t="s">
        <v>19639</v>
      </c>
      <c r="B3205" t="s">
        <v>916</v>
      </c>
      <c r="C3205" t="str">
        <f>HYPERLINK("https://nematode.unl.edu/dvirgin21.jpg")</f>
        <v>https://nematode.unl.edu/dvirgin21.jpg</v>
      </c>
      <c r="D3205" t="s">
        <v>16</v>
      </c>
      <c r="G3205" t="s">
        <v>96</v>
      </c>
      <c r="H3205" t="s">
        <v>18</v>
      </c>
      <c r="I3205" t="s">
        <v>19</v>
      </c>
      <c r="J3205" t="s">
        <v>20</v>
      </c>
      <c r="L3205" t="s">
        <v>64</v>
      </c>
      <c r="M3205" t="s">
        <v>880</v>
      </c>
      <c r="N3205" t="s">
        <v>881</v>
      </c>
      <c r="O3205" t="s">
        <v>73</v>
      </c>
      <c r="P3205" t="s">
        <v>81</v>
      </c>
      <c r="Q3205" t="s">
        <v>733</v>
      </c>
      <c r="R3205" t="s">
        <v>734</v>
      </c>
    </row>
    <row r="3206" spans="1:18" x14ac:dyDescent="0.25">
      <c r="A3206" t="s">
        <v>19677</v>
      </c>
      <c r="B3206" t="s">
        <v>917</v>
      </c>
      <c r="C3206" t="str">
        <f>HYPERLINK("https://nematode.unl.edu/dvirgin22.jpg")</f>
        <v>https://nematode.unl.edu/dvirgin22.jpg</v>
      </c>
      <c r="D3206" t="s">
        <v>16</v>
      </c>
      <c r="G3206" t="s">
        <v>28</v>
      </c>
      <c r="J3206" t="s">
        <v>20</v>
      </c>
      <c r="L3206" t="s">
        <v>64</v>
      </c>
      <c r="M3206" t="s">
        <v>880</v>
      </c>
      <c r="N3206" t="s">
        <v>881</v>
      </c>
      <c r="O3206" t="s">
        <v>73</v>
      </c>
      <c r="P3206" t="s">
        <v>81</v>
      </c>
      <c r="Q3206" t="s">
        <v>733</v>
      </c>
      <c r="R3206" t="s">
        <v>734</v>
      </c>
    </row>
    <row r="3207" spans="1:18" x14ac:dyDescent="0.25">
      <c r="A3207" t="s">
        <v>19648</v>
      </c>
      <c r="B3207" t="s">
        <v>918</v>
      </c>
      <c r="C3207" t="str">
        <f>HYPERLINK("https://nematode.unl.edu/dvirgin23.jpg")</f>
        <v>https://nematode.unl.edu/dvirgin23.jpg</v>
      </c>
      <c r="D3207" t="s">
        <v>16</v>
      </c>
      <c r="G3207" t="s">
        <v>34</v>
      </c>
      <c r="H3207" t="s">
        <v>18</v>
      </c>
      <c r="I3207" t="s">
        <v>19</v>
      </c>
      <c r="J3207" t="s">
        <v>20</v>
      </c>
      <c r="M3207" t="s">
        <v>880</v>
      </c>
      <c r="N3207" t="s">
        <v>881</v>
      </c>
      <c r="O3207" t="s">
        <v>73</v>
      </c>
      <c r="P3207" t="s">
        <v>81</v>
      </c>
      <c r="Q3207" t="s">
        <v>733</v>
      </c>
      <c r="R3207" t="s">
        <v>734</v>
      </c>
    </row>
    <row r="3208" spans="1:18" x14ac:dyDescent="0.25">
      <c r="A3208" t="s">
        <v>19640</v>
      </c>
      <c r="B3208" t="s">
        <v>919</v>
      </c>
      <c r="C3208" t="str">
        <f>HYPERLINK("https://nematode.unl.edu/dvirgin24.jpg")</f>
        <v>https://nematode.unl.edu/dvirgin24.jpg</v>
      </c>
      <c r="D3208" t="s">
        <v>16</v>
      </c>
      <c r="G3208" t="s">
        <v>96</v>
      </c>
      <c r="H3208" t="s">
        <v>18</v>
      </c>
      <c r="I3208" t="s">
        <v>19</v>
      </c>
      <c r="J3208" t="s">
        <v>20</v>
      </c>
      <c r="M3208" t="s">
        <v>880</v>
      </c>
      <c r="N3208" t="s">
        <v>881</v>
      </c>
      <c r="O3208" t="s">
        <v>73</v>
      </c>
      <c r="P3208" t="s">
        <v>81</v>
      </c>
      <c r="Q3208" t="s">
        <v>733</v>
      </c>
      <c r="R3208" t="s">
        <v>734</v>
      </c>
    </row>
    <row r="3209" spans="1:18" x14ac:dyDescent="0.25">
      <c r="A3209" t="s">
        <v>19678</v>
      </c>
      <c r="B3209" t="s">
        <v>920</v>
      </c>
      <c r="C3209" t="str">
        <f>HYPERLINK("https://nematode.unl.edu/dvirgin25.jpg")</f>
        <v>https://nematode.unl.edu/dvirgin25.jpg</v>
      </c>
      <c r="D3209" t="s">
        <v>16</v>
      </c>
      <c r="G3209" t="s">
        <v>28</v>
      </c>
      <c r="I3209" t="s">
        <v>19</v>
      </c>
      <c r="J3209" t="s">
        <v>20</v>
      </c>
      <c r="L3209" t="s">
        <v>921</v>
      </c>
      <c r="M3209" t="s">
        <v>880</v>
      </c>
      <c r="N3209" t="s">
        <v>881</v>
      </c>
      <c r="O3209" t="s">
        <v>73</v>
      </c>
      <c r="P3209" t="s">
        <v>81</v>
      </c>
      <c r="Q3209" t="s">
        <v>733</v>
      </c>
      <c r="R3209" t="s">
        <v>734</v>
      </c>
    </row>
    <row r="3210" spans="1:18" x14ac:dyDescent="0.25">
      <c r="A3210" t="s">
        <v>19657</v>
      </c>
      <c r="B3210" t="s">
        <v>922</v>
      </c>
      <c r="C3210" t="str">
        <f>HYPERLINK("https://nematode.unl.edu/dvirgin26.jpg")</f>
        <v>https://nematode.unl.edu/dvirgin26.jpg</v>
      </c>
      <c r="D3210" t="s">
        <v>77</v>
      </c>
      <c r="G3210" t="s">
        <v>905</v>
      </c>
      <c r="J3210" t="s">
        <v>20</v>
      </c>
      <c r="L3210" t="s">
        <v>64</v>
      </c>
      <c r="M3210" t="s">
        <v>880</v>
      </c>
      <c r="N3210" t="s">
        <v>881</v>
      </c>
      <c r="O3210" t="s">
        <v>73</v>
      </c>
      <c r="P3210" t="s">
        <v>81</v>
      </c>
      <c r="Q3210" t="s">
        <v>733</v>
      </c>
      <c r="R3210" t="s">
        <v>734</v>
      </c>
    </row>
    <row r="3211" spans="1:18" x14ac:dyDescent="0.25">
      <c r="A3211" t="s">
        <v>19658</v>
      </c>
      <c r="B3211" t="s">
        <v>923</v>
      </c>
      <c r="C3211" t="str">
        <f>HYPERLINK("https://nematode.unl.edu/dvirgin27.jpg")</f>
        <v>https://nematode.unl.edu/dvirgin27.jpg</v>
      </c>
      <c r="D3211" t="s">
        <v>43</v>
      </c>
      <c r="G3211" t="s">
        <v>905</v>
      </c>
      <c r="I3211" t="s">
        <v>19</v>
      </c>
      <c r="J3211" t="s">
        <v>20</v>
      </c>
      <c r="L3211" t="s">
        <v>64</v>
      </c>
      <c r="M3211" t="s">
        <v>880</v>
      </c>
      <c r="N3211" t="s">
        <v>881</v>
      </c>
      <c r="O3211" t="s">
        <v>73</v>
      </c>
      <c r="P3211" t="s">
        <v>81</v>
      </c>
      <c r="Q3211" t="s">
        <v>733</v>
      </c>
      <c r="R3211" t="s">
        <v>734</v>
      </c>
    </row>
    <row r="3212" spans="1:18" x14ac:dyDescent="0.25">
      <c r="A3212" t="s">
        <v>19679</v>
      </c>
      <c r="B3212" t="s">
        <v>924</v>
      </c>
      <c r="C3212" t="str">
        <f>HYPERLINK("https://nematode.unl.edu/dvirgin28.jpg")</f>
        <v>https://nematode.unl.edu/dvirgin28.jpg</v>
      </c>
      <c r="D3212" t="s">
        <v>43</v>
      </c>
      <c r="G3212" t="s">
        <v>28</v>
      </c>
      <c r="I3212" t="s">
        <v>516</v>
      </c>
      <c r="J3212" t="s">
        <v>20</v>
      </c>
      <c r="L3212" t="s">
        <v>64</v>
      </c>
      <c r="M3212" t="s">
        <v>880</v>
      </c>
      <c r="N3212" t="s">
        <v>881</v>
      </c>
      <c r="O3212" t="s">
        <v>73</v>
      </c>
      <c r="P3212" t="s">
        <v>81</v>
      </c>
      <c r="Q3212" t="s">
        <v>733</v>
      </c>
      <c r="R3212" t="s">
        <v>734</v>
      </c>
    </row>
    <row r="3213" spans="1:18" x14ac:dyDescent="0.25">
      <c r="A3213" t="s">
        <v>19680</v>
      </c>
      <c r="B3213" t="s">
        <v>925</v>
      </c>
      <c r="C3213" t="str">
        <f>HYPERLINK("https://nematode.unl.edu/dvirgin3.jpg")</f>
        <v>https://nematode.unl.edu/dvirgin3.jpg</v>
      </c>
      <c r="D3213" t="s">
        <v>77</v>
      </c>
      <c r="G3213" t="s">
        <v>28</v>
      </c>
      <c r="I3213" t="s">
        <v>45</v>
      </c>
      <c r="J3213" t="s">
        <v>20</v>
      </c>
      <c r="L3213" t="s">
        <v>64</v>
      </c>
      <c r="M3213" t="s">
        <v>880</v>
      </c>
      <c r="N3213" t="s">
        <v>881</v>
      </c>
      <c r="O3213" t="s">
        <v>73</v>
      </c>
      <c r="P3213" t="s">
        <v>81</v>
      </c>
      <c r="Q3213" t="s">
        <v>733</v>
      </c>
      <c r="R3213" t="s">
        <v>734</v>
      </c>
    </row>
    <row r="3214" spans="1:18" x14ac:dyDescent="0.25">
      <c r="A3214" t="s">
        <v>19681</v>
      </c>
      <c r="B3214" t="s">
        <v>926</v>
      </c>
      <c r="C3214" t="str">
        <f>HYPERLINK("https://nematode.unl.edu/dvirgin4.jpg")</f>
        <v>https://nematode.unl.edu/dvirgin4.jpg</v>
      </c>
      <c r="D3214" t="s">
        <v>77</v>
      </c>
      <c r="G3214" t="s">
        <v>28</v>
      </c>
      <c r="J3214" t="s">
        <v>20</v>
      </c>
      <c r="L3214" t="s">
        <v>64</v>
      </c>
      <c r="M3214" t="s">
        <v>880</v>
      </c>
      <c r="N3214" t="s">
        <v>881</v>
      </c>
      <c r="O3214" t="s">
        <v>73</v>
      </c>
      <c r="P3214" t="s">
        <v>81</v>
      </c>
      <c r="Q3214" t="s">
        <v>733</v>
      </c>
      <c r="R3214" t="s">
        <v>734</v>
      </c>
    </row>
    <row r="3215" spans="1:18" x14ac:dyDescent="0.25">
      <c r="A3215" t="s">
        <v>19649</v>
      </c>
      <c r="B3215" t="s">
        <v>927</v>
      </c>
      <c r="C3215" t="str">
        <f>HYPERLINK("https://nematode.unl.edu/dvirgin5.jpg")</f>
        <v>https://nematode.unl.edu/dvirgin5.jpg</v>
      </c>
      <c r="D3215" t="s">
        <v>77</v>
      </c>
      <c r="G3215" t="s">
        <v>34</v>
      </c>
      <c r="H3215" t="s">
        <v>18</v>
      </c>
      <c r="I3215" t="s">
        <v>19</v>
      </c>
      <c r="J3215" t="s">
        <v>20</v>
      </c>
      <c r="L3215" t="s">
        <v>64</v>
      </c>
      <c r="M3215" t="s">
        <v>880</v>
      </c>
      <c r="N3215" t="s">
        <v>881</v>
      </c>
      <c r="O3215" t="s">
        <v>73</v>
      </c>
      <c r="P3215" t="s">
        <v>81</v>
      </c>
      <c r="Q3215" t="s">
        <v>733</v>
      </c>
      <c r="R3215" t="s">
        <v>734</v>
      </c>
    </row>
    <row r="3216" spans="1:18" x14ac:dyDescent="0.25">
      <c r="A3216" t="s">
        <v>19659</v>
      </c>
      <c r="B3216" t="s">
        <v>928</v>
      </c>
      <c r="C3216" t="str">
        <f>HYPERLINK("https://nematode.unl.edu/dvirgin6.jpg")</f>
        <v>https://nematode.unl.edu/dvirgin6.jpg</v>
      </c>
      <c r="D3216" t="s">
        <v>77</v>
      </c>
      <c r="G3216" t="s">
        <v>905</v>
      </c>
      <c r="J3216" t="s">
        <v>20</v>
      </c>
      <c r="L3216" t="s">
        <v>64</v>
      </c>
      <c r="M3216" t="s">
        <v>880</v>
      </c>
      <c r="N3216" t="s">
        <v>881</v>
      </c>
      <c r="O3216" t="s">
        <v>73</v>
      </c>
      <c r="P3216" t="s">
        <v>81</v>
      </c>
      <c r="Q3216" t="s">
        <v>733</v>
      </c>
      <c r="R3216" t="s">
        <v>734</v>
      </c>
    </row>
    <row r="3217" spans="1:18" x14ac:dyDescent="0.25">
      <c r="A3217" t="s">
        <v>19650</v>
      </c>
      <c r="B3217" t="s">
        <v>929</v>
      </c>
      <c r="C3217" t="str">
        <f>HYPERLINK("https://nematode.unl.edu/dvirgin7.jpg")</f>
        <v>https://nematode.unl.edu/dvirgin7.jpg</v>
      </c>
      <c r="D3217" t="s">
        <v>77</v>
      </c>
      <c r="G3217" t="s">
        <v>34</v>
      </c>
      <c r="H3217" t="s">
        <v>18</v>
      </c>
      <c r="J3217" t="s">
        <v>20</v>
      </c>
      <c r="L3217" t="s">
        <v>64</v>
      </c>
      <c r="M3217" t="s">
        <v>880</v>
      </c>
      <c r="N3217" t="s">
        <v>881</v>
      </c>
      <c r="O3217" t="s">
        <v>73</v>
      </c>
      <c r="P3217" t="s">
        <v>81</v>
      </c>
      <c r="Q3217" t="s">
        <v>733</v>
      </c>
      <c r="R3217" t="s">
        <v>734</v>
      </c>
    </row>
    <row r="3218" spans="1:18" x14ac:dyDescent="0.25">
      <c r="A3218" t="s">
        <v>19682</v>
      </c>
      <c r="B3218" t="s">
        <v>930</v>
      </c>
      <c r="C3218" t="str">
        <f>HYPERLINK("https://nematode.unl.edu/dvirgin8.jpg")</f>
        <v>https://nematode.unl.edu/dvirgin8.jpg</v>
      </c>
      <c r="D3218" t="s">
        <v>77</v>
      </c>
      <c r="G3218" t="s">
        <v>28</v>
      </c>
      <c r="I3218" t="s">
        <v>19</v>
      </c>
      <c r="L3218" t="s">
        <v>85</v>
      </c>
      <c r="M3218" t="s">
        <v>880</v>
      </c>
      <c r="N3218" t="s">
        <v>881</v>
      </c>
      <c r="O3218" t="s">
        <v>73</v>
      </c>
      <c r="P3218" t="s">
        <v>81</v>
      </c>
      <c r="Q3218" t="s">
        <v>733</v>
      </c>
      <c r="R3218" t="s">
        <v>734</v>
      </c>
    </row>
    <row r="3219" spans="1:18" x14ac:dyDescent="0.25">
      <c r="A3219" t="s">
        <v>19651</v>
      </c>
      <c r="B3219" t="s">
        <v>931</v>
      </c>
      <c r="C3219" t="str">
        <f>HYPERLINK("https://nematode.unl.edu/dvirgin9.jpg")</f>
        <v>https://nematode.unl.edu/dvirgin9.jpg</v>
      </c>
      <c r="D3219" t="s">
        <v>77</v>
      </c>
      <c r="G3219" t="s">
        <v>34</v>
      </c>
      <c r="H3219" t="s">
        <v>18</v>
      </c>
      <c r="I3219" t="s">
        <v>19</v>
      </c>
      <c r="J3219" t="s">
        <v>20</v>
      </c>
      <c r="L3219" t="s">
        <v>64</v>
      </c>
      <c r="M3219" t="s">
        <v>880</v>
      </c>
      <c r="N3219" t="s">
        <v>881</v>
      </c>
      <c r="O3219" t="s">
        <v>73</v>
      </c>
      <c r="P3219" t="s">
        <v>81</v>
      </c>
      <c r="Q3219" t="s">
        <v>733</v>
      </c>
      <c r="R3219" t="s">
        <v>734</v>
      </c>
    </row>
    <row r="3220" spans="1:18" x14ac:dyDescent="0.25">
      <c r="A3220" t="s">
        <v>21150</v>
      </c>
      <c r="B3220" t="s">
        <v>5024</v>
      </c>
      <c r="C3220" t="str">
        <f>HYPERLINK("https://nematode.unl.edu/eacutid1.jpg")</f>
        <v>https://nematode.unl.edu/eacutid1.jpg</v>
      </c>
      <c r="D3220" t="s">
        <v>77</v>
      </c>
      <c r="G3220" t="s">
        <v>44</v>
      </c>
      <c r="I3220" t="s">
        <v>91</v>
      </c>
      <c r="J3220" t="s">
        <v>116</v>
      </c>
      <c r="L3220" t="s">
        <v>5025</v>
      </c>
      <c r="M3220" t="s">
        <v>5026</v>
      </c>
      <c r="N3220" t="s">
        <v>5026</v>
      </c>
      <c r="O3220" t="s">
        <v>73</v>
      </c>
      <c r="P3220" t="s">
        <v>81</v>
      </c>
      <c r="Q3220" t="s">
        <v>82</v>
      </c>
      <c r="R3220" t="s">
        <v>1016</v>
      </c>
    </row>
    <row r="3221" spans="1:18" x14ac:dyDescent="0.25">
      <c r="A3221" t="s">
        <v>21147</v>
      </c>
      <c r="B3221" t="s">
        <v>5027</v>
      </c>
      <c r="C3221" t="str">
        <f>HYPERLINK("https://nematode.unl.edu/eacutid2.jpg")</f>
        <v>https://nematode.unl.edu/eacutid2.jpg</v>
      </c>
      <c r="D3221" t="s">
        <v>43</v>
      </c>
      <c r="G3221" t="s">
        <v>34</v>
      </c>
      <c r="H3221" t="s">
        <v>18</v>
      </c>
      <c r="J3221" t="s">
        <v>116</v>
      </c>
      <c r="M3221" t="s">
        <v>5026</v>
      </c>
      <c r="N3221" t="s">
        <v>5026</v>
      </c>
      <c r="O3221" t="s">
        <v>73</v>
      </c>
      <c r="P3221" t="s">
        <v>81</v>
      </c>
      <c r="Q3221" t="s">
        <v>82</v>
      </c>
      <c r="R3221" t="s">
        <v>1016</v>
      </c>
    </row>
    <row r="3222" spans="1:18" x14ac:dyDescent="0.25">
      <c r="A3222" t="s">
        <v>21153</v>
      </c>
      <c r="B3222" t="s">
        <v>5028</v>
      </c>
      <c r="C3222" t="str">
        <f>HYPERLINK("https://nematode.unl.edu/eacutid3.jpg")</f>
        <v>https://nematode.unl.edu/eacutid3.jpg</v>
      </c>
      <c r="D3222" t="s">
        <v>43</v>
      </c>
      <c r="G3222" t="s">
        <v>51</v>
      </c>
      <c r="M3222" t="s">
        <v>5026</v>
      </c>
      <c r="N3222" t="s">
        <v>5026</v>
      </c>
      <c r="O3222" t="s">
        <v>73</v>
      </c>
      <c r="P3222" t="s">
        <v>81</v>
      </c>
      <c r="Q3222" t="s">
        <v>82</v>
      </c>
      <c r="R3222" t="s">
        <v>1016</v>
      </c>
    </row>
    <row r="3223" spans="1:18" x14ac:dyDescent="0.25">
      <c r="A3223" t="s">
        <v>21154</v>
      </c>
      <c r="B3223" t="s">
        <v>5029</v>
      </c>
      <c r="C3223" t="str">
        <f>HYPERLINK("https://nematode.unl.edu/eacutid4.jpg")</f>
        <v>https://nematode.unl.edu/eacutid4.jpg</v>
      </c>
      <c r="D3223" t="s">
        <v>43</v>
      </c>
      <c r="G3223" t="s">
        <v>51</v>
      </c>
      <c r="J3223" t="s">
        <v>116</v>
      </c>
      <c r="M3223" t="s">
        <v>5026</v>
      </c>
      <c r="N3223" t="s">
        <v>5026</v>
      </c>
      <c r="O3223" t="s">
        <v>73</v>
      </c>
      <c r="P3223" t="s">
        <v>81</v>
      </c>
      <c r="Q3223" t="s">
        <v>82</v>
      </c>
      <c r="R3223" t="s">
        <v>1016</v>
      </c>
    </row>
    <row r="3224" spans="1:18" x14ac:dyDescent="0.25">
      <c r="A3224" t="s">
        <v>21155</v>
      </c>
      <c r="B3224" t="s">
        <v>5030</v>
      </c>
      <c r="C3224" t="str">
        <f>HYPERLINK("https://nematode.unl.edu/eacutid5.jpg")</f>
        <v>https://nematode.unl.edu/eacutid5.jpg</v>
      </c>
      <c r="D3224" t="s">
        <v>43</v>
      </c>
      <c r="G3224" t="s">
        <v>51</v>
      </c>
      <c r="J3224" t="s">
        <v>116</v>
      </c>
      <c r="M3224" t="s">
        <v>5026</v>
      </c>
      <c r="N3224" t="s">
        <v>5026</v>
      </c>
      <c r="O3224" t="s">
        <v>73</v>
      </c>
      <c r="P3224" t="s">
        <v>81</v>
      </c>
      <c r="Q3224" t="s">
        <v>82</v>
      </c>
      <c r="R3224" t="s">
        <v>1016</v>
      </c>
    </row>
    <row r="3225" spans="1:18" x14ac:dyDescent="0.25">
      <c r="A3225" t="s">
        <v>21152</v>
      </c>
      <c r="B3225" t="s">
        <v>5031</v>
      </c>
      <c r="C3225" t="str">
        <f>HYPERLINK("https://nematode.unl.edu/eacutid6.jpg")</f>
        <v>https://nematode.unl.edu/eacutid6.jpg</v>
      </c>
      <c r="D3225" t="s">
        <v>43</v>
      </c>
      <c r="G3225" t="s">
        <v>28</v>
      </c>
      <c r="J3225" t="s">
        <v>116</v>
      </c>
      <c r="M3225" t="s">
        <v>5026</v>
      </c>
      <c r="N3225" t="s">
        <v>5026</v>
      </c>
      <c r="O3225" t="s">
        <v>73</v>
      </c>
      <c r="P3225" t="s">
        <v>81</v>
      </c>
      <c r="Q3225" t="s">
        <v>82</v>
      </c>
      <c r="R3225" t="s">
        <v>1016</v>
      </c>
    </row>
    <row r="3226" spans="1:18" x14ac:dyDescent="0.25">
      <c r="A3226" t="s">
        <v>21148</v>
      </c>
      <c r="B3226" t="s">
        <v>5032</v>
      </c>
      <c r="C3226" t="str">
        <f>HYPERLINK("https://nematode.unl.edu/eacutid7.jpg")</f>
        <v>https://nematode.unl.edu/eacutid7.jpg</v>
      </c>
      <c r="D3226" t="s">
        <v>43</v>
      </c>
      <c r="G3226" t="s">
        <v>34</v>
      </c>
      <c r="H3226" t="s">
        <v>18</v>
      </c>
      <c r="I3226" t="s">
        <v>41</v>
      </c>
      <c r="J3226" t="s">
        <v>116</v>
      </c>
      <c r="M3226" t="s">
        <v>5026</v>
      </c>
      <c r="N3226" t="s">
        <v>5026</v>
      </c>
      <c r="O3226" t="s">
        <v>73</v>
      </c>
      <c r="P3226" t="s">
        <v>81</v>
      </c>
      <c r="Q3226" t="s">
        <v>82</v>
      </c>
      <c r="R3226" t="s">
        <v>1016</v>
      </c>
    </row>
    <row r="3227" spans="1:18" x14ac:dyDescent="0.25">
      <c r="A3227" t="s">
        <v>21149</v>
      </c>
      <c r="B3227" t="s">
        <v>5033</v>
      </c>
      <c r="C3227" t="str">
        <f>HYPERLINK("https://nematode.unl.edu/eacutid8.jpg")</f>
        <v>https://nematode.unl.edu/eacutid8.jpg</v>
      </c>
      <c r="D3227" t="s">
        <v>43</v>
      </c>
      <c r="G3227" t="s">
        <v>87</v>
      </c>
      <c r="I3227" t="s">
        <v>41</v>
      </c>
      <c r="J3227" t="s">
        <v>116</v>
      </c>
      <c r="L3227" t="s">
        <v>5025</v>
      </c>
      <c r="M3227" t="s">
        <v>5026</v>
      </c>
      <c r="N3227" t="s">
        <v>5026</v>
      </c>
      <c r="O3227" t="s">
        <v>73</v>
      </c>
      <c r="P3227" t="s">
        <v>81</v>
      </c>
      <c r="Q3227" t="s">
        <v>82</v>
      </c>
      <c r="R3227" t="s">
        <v>1016</v>
      </c>
    </row>
    <row r="3228" spans="1:18" x14ac:dyDescent="0.25">
      <c r="A3228" t="s">
        <v>21156</v>
      </c>
      <c r="B3228" t="s">
        <v>5034</v>
      </c>
      <c r="C3228" t="str">
        <f>HYPERLINK("https://nematode.unl.edu/eacutid9.jpg")</f>
        <v>https://nematode.unl.edu/eacutid9.jpg</v>
      </c>
      <c r="D3228" t="s">
        <v>43</v>
      </c>
      <c r="G3228" t="s">
        <v>51</v>
      </c>
      <c r="I3228" t="s">
        <v>41</v>
      </c>
      <c r="J3228" t="s">
        <v>116</v>
      </c>
      <c r="M3228" t="s">
        <v>5026</v>
      </c>
      <c r="N3228" t="s">
        <v>5026</v>
      </c>
      <c r="O3228" t="s">
        <v>73</v>
      </c>
      <c r="P3228" t="s">
        <v>81</v>
      </c>
      <c r="Q3228" t="s">
        <v>82</v>
      </c>
      <c r="R3228" t="s">
        <v>1016</v>
      </c>
    </row>
    <row r="3229" spans="1:18" x14ac:dyDescent="0.25">
      <c r="A3229" t="s">
        <v>21151</v>
      </c>
      <c r="B3229" t="s">
        <v>5035</v>
      </c>
      <c r="C3229" t="str">
        <f>HYPERLINK("https://nematode.unl.edu/eacutidadraw.jpg")</f>
        <v>https://nematode.unl.edu/eacutidadraw.jpg</v>
      </c>
      <c r="G3229" t="s">
        <v>108</v>
      </c>
      <c r="M3229" t="s">
        <v>5026</v>
      </c>
      <c r="N3229" t="s">
        <v>5026</v>
      </c>
      <c r="O3229" t="s">
        <v>73</v>
      </c>
      <c r="P3229" t="s">
        <v>81</v>
      </c>
      <c r="Q3229" t="s">
        <v>82</v>
      </c>
      <c r="R3229" t="s">
        <v>1016</v>
      </c>
    </row>
    <row r="3230" spans="1:18" x14ac:dyDescent="0.25">
      <c r="A3230" t="s">
        <v>21240</v>
      </c>
      <c r="B3230" t="s">
        <v>5101</v>
      </c>
      <c r="C3230" t="str">
        <f>HYPERLINK("https://nematode.unl.edu/ecart1.jpg")</f>
        <v>https://nematode.unl.edu/ecart1.jpg</v>
      </c>
      <c r="D3230" t="s">
        <v>43</v>
      </c>
      <c r="G3230" t="s">
        <v>44</v>
      </c>
      <c r="I3230" t="s">
        <v>499</v>
      </c>
      <c r="J3230" t="s">
        <v>3662</v>
      </c>
      <c r="L3230" t="s">
        <v>5102</v>
      </c>
      <c r="M3230" t="s">
        <v>5103</v>
      </c>
      <c r="N3230" t="s">
        <v>5103</v>
      </c>
      <c r="O3230" t="s">
        <v>73</v>
      </c>
      <c r="P3230" t="s">
        <v>81</v>
      </c>
      <c r="Q3230" t="s">
        <v>82</v>
      </c>
      <c r="R3230" t="s">
        <v>1016</v>
      </c>
    </row>
    <row r="3231" spans="1:18" x14ac:dyDescent="0.25">
      <c r="A3231" t="s">
        <v>21223</v>
      </c>
      <c r="B3231" t="s">
        <v>5104</v>
      </c>
      <c r="C3231" t="str">
        <f>HYPERLINK("https://nematode.unl.edu/ecart2.jpg")</f>
        <v>https://nematode.unl.edu/ecart2.jpg</v>
      </c>
      <c r="D3231" t="s">
        <v>43</v>
      </c>
      <c r="G3231" t="s">
        <v>34</v>
      </c>
      <c r="H3231" t="s">
        <v>18</v>
      </c>
      <c r="I3231" t="s">
        <v>516</v>
      </c>
      <c r="J3231" t="s">
        <v>3662</v>
      </c>
      <c r="L3231" t="s">
        <v>5102</v>
      </c>
      <c r="M3231" t="s">
        <v>5103</v>
      </c>
      <c r="N3231" t="s">
        <v>5103</v>
      </c>
      <c r="O3231" t="s">
        <v>73</v>
      </c>
      <c r="P3231" t="s">
        <v>81</v>
      </c>
      <c r="Q3231" t="s">
        <v>82</v>
      </c>
      <c r="R3231" t="s">
        <v>1016</v>
      </c>
    </row>
    <row r="3232" spans="1:18" x14ac:dyDescent="0.25">
      <c r="A3232" t="s">
        <v>21219</v>
      </c>
      <c r="B3232" t="s">
        <v>5105</v>
      </c>
      <c r="C3232" t="str">
        <f>HYPERLINK("https://nematode.unl.edu/ecart3.jpg")</f>
        <v>https://nematode.unl.edu/ecart3.jpg</v>
      </c>
      <c r="D3232" t="s">
        <v>43</v>
      </c>
      <c r="G3232" t="s">
        <v>17</v>
      </c>
      <c r="H3232" t="s">
        <v>18</v>
      </c>
      <c r="I3232" t="s">
        <v>19</v>
      </c>
      <c r="J3232" t="s">
        <v>3662</v>
      </c>
      <c r="M3232" t="s">
        <v>5103</v>
      </c>
      <c r="N3232" t="s">
        <v>5103</v>
      </c>
      <c r="O3232" t="s">
        <v>73</v>
      </c>
      <c r="P3232" t="s">
        <v>81</v>
      </c>
      <c r="Q3232" t="s">
        <v>82</v>
      </c>
      <c r="R3232" t="s">
        <v>1016</v>
      </c>
    </row>
    <row r="3233" spans="1:18" x14ac:dyDescent="0.25">
      <c r="A3233" t="s">
        <v>21260</v>
      </c>
      <c r="B3233" t="s">
        <v>5106</v>
      </c>
      <c r="C3233" t="str">
        <f>HYPERLINK("https://nematode.unl.edu/ecart4.jpg")</f>
        <v>https://nematode.unl.edu/ecart4.jpg</v>
      </c>
      <c r="D3233" t="s">
        <v>43</v>
      </c>
      <c r="G3233" t="s">
        <v>51</v>
      </c>
      <c r="I3233" t="s">
        <v>19</v>
      </c>
      <c r="J3233" t="s">
        <v>3662</v>
      </c>
      <c r="M3233" t="s">
        <v>5103</v>
      </c>
      <c r="N3233" t="s">
        <v>5103</v>
      </c>
      <c r="O3233" t="s">
        <v>73</v>
      </c>
      <c r="P3233" t="s">
        <v>81</v>
      </c>
      <c r="Q3233" t="s">
        <v>82</v>
      </c>
      <c r="R3233" t="s">
        <v>1016</v>
      </c>
    </row>
    <row r="3234" spans="1:18" x14ac:dyDescent="0.25">
      <c r="A3234" t="s">
        <v>21224</v>
      </c>
      <c r="B3234" t="s">
        <v>5107</v>
      </c>
      <c r="C3234" t="str">
        <f>HYPERLINK("https://nematode.unl.edu/ecart5.jpg")</f>
        <v>https://nematode.unl.edu/ecart5.jpg</v>
      </c>
      <c r="D3234" t="s">
        <v>43</v>
      </c>
      <c r="G3234" t="s">
        <v>34</v>
      </c>
      <c r="H3234" t="s">
        <v>18</v>
      </c>
      <c r="I3234" t="s">
        <v>19</v>
      </c>
      <c r="J3234" t="s">
        <v>3662</v>
      </c>
      <c r="M3234" t="s">
        <v>5103</v>
      </c>
      <c r="N3234" t="s">
        <v>5103</v>
      </c>
      <c r="O3234" t="s">
        <v>73</v>
      </c>
      <c r="P3234" t="s">
        <v>81</v>
      </c>
      <c r="Q3234" t="s">
        <v>82</v>
      </c>
      <c r="R3234" t="s">
        <v>1016</v>
      </c>
    </row>
    <row r="3235" spans="1:18" x14ac:dyDescent="0.25">
      <c r="A3235" t="s">
        <v>21220</v>
      </c>
      <c r="B3235" t="s">
        <v>5108</v>
      </c>
      <c r="C3235" t="str">
        <f>HYPERLINK("https://nematode.unl.edu/ecart6.jpg")</f>
        <v>https://nematode.unl.edu/ecart6.jpg</v>
      </c>
      <c r="D3235" t="s">
        <v>43</v>
      </c>
      <c r="G3235" t="s">
        <v>17</v>
      </c>
      <c r="H3235" t="s">
        <v>18</v>
      </c>
      <c r="J3235" t="s">
        <v>3662</v>
      </c>
      <c r="M3235" t="s">
        <v>5103</v>
      </c>
      <c r="N3235" t="s">
        <v>5103</v>
      </c>
      <c r="O3235" t="s">
        <v>73</v>
      </c>
      <c r="P3235" t="s">
        <v>81</v>
      </c>
      <c r="Q3235" t="s">
        <v>82</v>
      </c>
      <c r="R3235" t="s">
        <v>1016</v>
      </c>
    </row>
    <row r="3236" spans="1:18" x14ac:dyDescent="0.25">
      <c r="A3236" t="s">
        <v>21261</v>
      </c>
      <c r="B3236" t="s">
        <v>5109</v>
      </c>
      <c r="C3236" t="str">
        <f>HYPERLINK("https://nematode.unl.edu/ecart7.jpg")</f>
        <v>https://nematode.unl.edu/ecart7.jpg</v>
      </c>
      <c r="D3236" t="s">
        <v>43</v>
      </c>
      <c r="G3236" t="s">
        <v>51</v>
      </c>
      <c r="I3236" t="s">
        <v>19</v>
      </c>
      <c r="M3236" t="s">
        <v>5103</v>
      </c>
      <c r="N3236" t="s">
        <v>5103</v>
      </c>
      <c r="O3236" t="s">
        <v>73</v>
      </c>
      <c r="P3236" t="s">
        <v>81</v>
      </c>
      <c r="Q3236" t="s">
        <v>82</v>
      </c>
      <c r="R3236" t="s">
        <v>1016</v>
      </c>
    </row>
    <row r="3237" spans="1:18" x14ac:dyDescent="0.25">
      <c r="A3237" t="s">
        <v>21248</v>
      </c>
      <c r="B3237" t="s">
        <v>5110</v>
      </c>
      <c r="C3237" t="str">
        <f>HYPERLINK("https://nematode.unl.edu/ecart8.jpg")</f>
        <v>https://nematode.unl.edu/ecart8.jpg</v>
      </c>
      <c r="D3237" t="s">
        <v>43</v>
      </c>
      <c r="G3237" t="s">
        <v>28</v>
      </c>
      <c r="J3237" t="s">
        <v>3662</v>
      </c>
      <c r="M3237" t="s">
        <v>5103</v>
      </c>
      <c r="N3237" t="s">
        <v>5103</v>
      </c>
      <c r="O3237" t="s">
        <v>73</v>
      </c>
      <c r="P3237" t="s">
        <v>81</v>
      </c>
      <c r="Q3237" t="s">
        <v>82</v>
      </c>
      <c r="R3237" t="s">
        <v>1016</v>
      </c>
    </row>
    <row r="3238" spans="1:18" x14ac:dyDescent="0.25">
      <c r="A3238" t="s">
        <v>21098</v>
      </c>
      <c r="B3238" t="s">
        <v>4868</v>
      </c>
      <c r="C3238" t="str">
        <f>HYPERLINK("https://nematode.unl.edu/ecepha20.jpg")</f>
        <v>https://nematode.unl.edu/ecepha20.jpg</v>
      </c>
      <c r="D3238" t="s">
        <v>43</v>
      </c>
      <c r="G3238" t="s">
        <v>53</v>
      </c>
      <c r="I3238" t="s">
        <v>41</v>
      </c>
      <c r="J3238" t="s">
        <v>267</v>
      </c>
      <c r="M3238" t="s">
        <v>4860</v>
      </c>
      <c r="N3238" t="s">
        <v>4860</v>
      </c>
      <c r="O3238" t="s">
        <v>73</v>
      </c>
      <c r="P3238" t="s">
        <v>81</v>
      </c>
      <c r="Q3238" t="s">
        <v>82</v>
      </c>
      <c r="R3238" t="s">
        <v>4853</v>
      </c>
    </row>
    <row r="3239" spans="1:18" x14ac:dyDescent="0.25">
      <c r="A3239" t="s">
        <v>21099</v>
      </c>
      <c r="B3239" t="s">
        <v>4869</v>
      </c>
      <c r="C3239" t="str">
        <f>HYPERLINK("https://nematode.unl.edu/ecepha21.jpg")</f>
        <v>https://nematode.unl.edu/ecepha21.jpg</v>
      </c>
      <c r="D3239" t="s">
        <v>43</v>
      </c>
      <c r="G3239" t="s">
        <v>53</v>
      </c>
      <c r="I3239" t="s">
        <v>41</v>
      </c>
      <c r="J3239" t="s">
        <v>267</v>
      </c>
      <c r="M3239" t="s">
        <v>4860</v>
      </c>
      <c r="N3239" t="s">
        <v>4860</v>
      </c>
      <c r="O3239" t="s">
        <v>73</v>
      </c>
      <c r="P3239" t="s">
        <v>81</v>
      </c>
      <c r="Q3239" t="s">
        <v>82</v>
      </c>
      <c r="R3239" t="s">
        <v>4853</v>
      </c>
    </row>
    <row r="3240" spans="1:18" x14ac:dyDescent="0.25">
      <c r="A3240" t="s">
        <v>21102</v>
      </c>
      <c r="B3240" t="s">
        <v>4870</v>
      </c>
      <c r="C3240" t="str">
        <f>HYPERLINK("https://nematode.unl.edu/ecepha22.jpg")</f>
        <v>https://nematode.unl.edu/ecepha22.jpg</v>
      </c>
      <c r="D3240" t="s">
        <v>43</v>
      </c>
      <c r="G3240" t="s">
        <v>2029</v>
      </c>
      <c r="I3240" t="s">
        <v>41</v>
      </c>
      <c r="M3240" t="s">
        <v>4860</v>
      </c>
      <c r="N3240" t="s">
        <v>4860</v>
      </c>
      <c r="O3240" t="s">
        <v>73</v>
      </c>
      <c r="P3240" t="s">
        <v>81</v>
      </c>
      <c r="Q3240" t="s">
        <v>82</v>
      </c>
      <c r="R3240" t="s">
        <v>4853</v>
      </c>
    </row>
    <row r="3241" spans="1:18" x14ac:dyDescent="0.25">
      <c r="A3241" t="s">
        <v>21092</v>
      </c>
      <c r="B3241" t="s">
        <v>4871</v>
      </c>
      <c r="C3241" t="str">
        <f>HYPERLINK("https://nematode.unl.edu/ecepha23.jpg")</f>
        <v>https://nematode.unl.edu/ecepha23.jpg</v>
      </c>
      <c r="D3241" t="s">
        <v>77</v>
      </c>
      <c r="G3241" t="s">
        <v>44</v>
      </c>
      <c r="I3241" t="s">
        <v>45</v>
      </c>
      <c r="J3241" t="s">
        <v>267</v>
      </c>
      <c r="M3241" t="s">
        <v>4860</v>
      </c>
      <c r="N3241" t="s">
        <v>4860</v>
      </c>
      <c r="O3241" t="s">
        <v>73</v>
      </c>
      <c r="P3241" t="s">
        <v>81</v>
      </c>
      <c r="Q3241" t="s">
        <v>82</v>
      </c>
      <c r="R3241" t="s">
        <v>4853</v>
      </c>
    </row>
    <row r="3242" spans="1:18" x14ac:dyDescent="0.25">
      <c r="A3242" t="s">
        <v>21073</v>
      </c>
      <c r="B3242" t="s">
        <v>4872</v>
      </c>
      <c r="C3242" t="str">
        <f>HYPERLINK("https://nematode.unl.edu/ecepha24.jpg")</f>
        <v>https://nematode.unl.edu/ecepha24.jpg</v>
      </c>
      <c r="D3242" t="s">
        <v>77</v>
      </c>
      <c r="G3242" t="s">
        <v>96</v>
      </c>
      <c r="H3242" t="s">
        <v>18</v>
      </c>
      <c r="I3242" t="s">
        <v>19</v>
      </c>
      <c r="J3242" t="s">
        <v>267</v>
      </c>
      <c r="M3242" t="s">
        <v>4860</v>
      </c>
      <c r="N3242" t="s">
        <v>4860</v>
      </c>
      <c r="O3242" t="s">
        <v>73</v>
      </c>
      <c r="P3242" t="s">
        <v>81</v>
      </c>
      <c r="Q3242" t="s">
        <v>82</v>
      </c>
      <c r="R3242" t="s">
        <v>4853</v>
      </c>
    </row>
    <row r="3243" spans="1:18" x14ac:dyDescent="0.25">
      <c r="A3243" t="s">
        <v>21105</v>
      </c>
      <c r="B3243" t="s">
        <v>4873</v>
      </c>
      <c r="C3243" t="str">
        <f>HYPERLINK("https://nematode.unl.edu/ecepha25.jpg")</f>
        <v>https://nematode.unl.edu/ecepha25.jpg</v>
      </c>
      <c r="D3243" t="s">
        <v>77</v>
      </c>
      <c r="G3243" t="s">
        <v>28</v>
      </c>
      <c r="M3243" t="s">
        <v>4860</v>
      </c>
      <c r="N3243" t="s">
        <v>4860</v>
      </c>
      <c r="O3243" t="s">
        <v>73</v>
      </c>
      <c r="P3243" t="s">
        <v>81</v>
      </c>
      <c r="Q3243" t="s">
        <v>82</v>
      </c>
      <c r="R3243" t="s">
        <v>4853</v>
      </c>
    </row>
    <row r="3244" spans="1:18" x14ac:dyDescent="0.25">
      <c r="A3244" t="s">
        <v>21079</v>
      </c>
      <c r="B3244" t="s">
        <v>4874</v>
      </c>
      <c r="C3244" t="str">
        <f>HYPERLINK("https://nematode.unl.edu/ecepha26.jpg")</f>
        <v>https://nematode.unl.edu/ecepha26.jpg</v>
      </c>
      <c r="D3244" t="s">
        <v>77</v>
      </c>
      <c r="G3244" t="s">
        <v>34</v>
      </c>
      <c r="H3244" t="s">
        <v>18</v>
      </c>
      <c r="I3244" t="s">
        <v>41</v>
      </c>
      <c r="M3244" t="s">
        <v>4860</v>
      </c>
      <c r="N3244" t="s">
        <v>4860</v>
      </c>
      <c r="O3244" t="s">
        <v>73</v>
      </c>
      <c r="P3244" t="s">
        <v>81</v>
      </c>
      <c r="Q3244" t="s">
        <v>82</v>
      </c>
      <c r="R3244" t="s">
        <v>4853</v>
      </c>
    </row>
    <row r="3245" spans="1:18" x14ac:dyDescent="0.25">
      <c r="A3245" t="s">
        <v>21080</v>
      </c>
      <c r="B3245" t="s">
        <v>4875</v>
      </c>
      <c r="C3245" t="str">
        <f>HYPERLINK("https://nematode.unl.edu/ecepha28.jpg")</f>
        <v>https://nematode.unl.edu/ecepha28.jpg</v>
      </c>
      <c r="D3245" t="s">
        <v>43</v>
      </c>
      <c r="G3245" t="s">
        <v>34</v>
      </c>
      <c r="H3245" t="s">
        <v>18</v>
      </c>
      <c r="I3245" t="s">
        <v>516</v>
      </c>
      <c r="J3245" t="s">
        <v>267</v>
      </c>
      <c r="M3245" t="s">
        <v>4860</v>
      </c>
      <c r="N3245" t="s">
        <v>4860</v>
      </c>
      <c r="O3245" t="s">
        <v>73</v>
      </c>
      <c r="P3245" t="s">
        <v>81</v>
      </c>
      <c r="Q3245" t="s">
        <v>82</v>
      </c>
      <c r="R3245" t="s">
        <v>4853</v>
      </c>
    </row>
    <row r="3246" spans="1:18" x14ac:dyDescent="0.25">
      <c r="A3246" t="s">
        <v>21117</v>
      </c>
      <c r="B3246" t="s">
        <v>4876</v>
      </c>
      <c r="C3246" t="str">
        <f>HYPERLINK("https://nematode.unl.edu/ecepha29.jpg")</f>
        <v>https://nematode.unl.edu/ecepha29.jpg</v>
      </c>
      <c r="D3246" t="s">
        <v>43</v>
      </c>
      <c r="G3246" t="s">
        <v>51</v>
      </c>
      <c r="M3246" t="s">
        <v>4860</v>
      </c>
      <c r="N3246" t="s">
        <v>4860</v>
      </c>
      <c r="O3246" t="s">
        <v>73</v>
      </c>
      <c r="P3246" t="s">
        <v>81</v>
      </c>
      <c r="Q3246" t="s">
        <v>82</v>
      </c>
      <c r="R3246" t="s">
        <v>4853</v>
      </c>
    </row>
    <row r="3247" spans="1:18" x14ac:dyDescent="0.25">
      <c r="A3247" t="s">
        <v>21106</v>
      </c>
      <c r="B3247" t="s">
        <v>4877</v>
      </c>
      <c r="C3247" t="str">
        <f>HYPERLINK("https://nematode.unl.edu/ecepha30.jpg")</f>
        <v>https://nematode.unl.edu/ecepha30.jpg</v>
      </c>
      <c r="D3247" t="s">
        <v>43</v>
      </c>
      <c r="G3247" t="s">
        <v>28</v>
      </c>
      <c r="I3247" t="s">
        <v>516</v>
      </c>
      <c r="J3247" t="s">
        <v>267</v>
      </c>
      <c r="M3247" t="s">
        <v>4860</v>
      </c>
      <c r="N3247" t="s">
        <v>4860</v>
      </c>
      <c r="O3247" t="s">
        <v>73</v>
      </c>
      <c r="P3247" t="s">
        <v>81</v>
      </c>
      <c r="Q3247" t="s">
        <v>82</v>
      </c>
      <c r="R3247" t="s">
        <v>4853</v>
      </c>
    </row>
    <row r="3248" spans="1:18" x14ac:dyDescent="0.25">
      <c r="A3248" t="s">
        <v>21100</v>
      </c>
      <c r="B3248" t="s">
        <v>4878</v>
      </c>
      <c r="C3248" t="str">
        <f>HYPERLINK("https://nematode.unl.edu/ecepha31.jpg")</f>
        <v>https://nematode.unl.edu/ecepha31.jpg</v>
      </c>
      <c r="D3248" t="s">
        <v>43</v>
      </c>
      <c r="G3248" t="s">
        <v>53</v>
      </c>
      <c r="I3248" t="s">
        <v>19</v>
      </c>
      <c r="M3248" t="s">
        <v>4860</v>
      </c>
      <c r="N3248" t="s">
        <v>4860</v>
      </c>
      <c r="O3248" t="s">
        <v>73</v>
      </c>
      <c r="P3248" t="s">
        <v>81</v>
      </c>
      <c r="Q3248" t="s">
        <v>82</v>
      </c>
      <c r="R3248" t="s">
        <v>4853</v>
      </c>
    </row>
    <row r="3249" spans="1:18" x14ac:dyDescent="0.25">
      <c r="A3249" t="s">
        <v>21093</v>
      </c>
      <c r="B3249" t="s">
        <v>4879</v>
      </c>
      <c r="C3249" t="str">
        <f>HYPERLINK("https://nematode.unl.edu/ecepha32.jpg")</f>
        <v>https://nematode.unl.edu/ecepha32.jpg</v>
      </c>
      <c r="D3249" t="s">
        <v>43</v>
      </c>
      <c r="G3249" t="s">
        <v>44</v>
      </c>
      <c r="I3249" t="s">
        <v>45</v>
      </c>
      <c r="J3249" t="s">
        <v>267</v>
      </c>
      <c r="M3249" t="s">
        <v>4860</v>
      </c>
      <c r="N3249" t="s">
        <v>4860</v>
      </c>
      <c r="O3249" t="s">
        <v>73</v>
      </c>
      <c r="P3249" t="s">
        <v>81</v>
      </c>
      <c r="Q3249" t="s">
        <v>82</v>
      </c>
      <c r="R3249" t="s">
        <v>4853</v>
      </c>
    </row>
    <row r="3250" spans="1:18" x14ac:dyDescent="0.25">
      <c r="A3250" t="s">
        <v>21081</v>
      </c>
      <c r="B3250" t="s">
        <v>4880</v>
      </c>
      <c r="C3250" t="str">
        <f>HYPERLINK("https://nematode.unl.edu/ecepha33.jpg")</f>
        <v>https://nematode.unl.edu/ecepha33.jpg</v>
      </c>
      <c r="D3250" t="s">
        <v>43</v>
      </c>
      <c r="G3250" t="s">
        <v>34</v>
      </c>
      <c r="H3250" t="s">
        <v>18</v>
      </c>
      <c r="I3250" t="s">
        <v>516</v>
      </c>
      <c r="J3250" t="s">
        <v>267</v>
      </c>
      <c r="M3250" t="s">
        <v>4860</v>
      </c>
      <c r="N3250" t="s">
        <v>4860</v>
      </c>
      <c r="O3250" t="s">
        <v>73</v>
      </c>
      <c r="P3250" t="s">
        <v>81</v>
      </c>
      <c r="Q3250" t="s">
        <v>82</v>
      </c>
      <c r="R3250" t="s">
        <v>4853</v>
      </c>
    </row>
    <row r="3251" spans="1:18" x14ac:dyDescent="0.25">
      <c r="A3251" t="s">
        <v>21082</v>
      </c>
      <c r="B3251" t="s">
        <v>4881</v>
      </c>
      <c r="C3251" t="str">
        <f>HYPERLINK("https://nematode.unl.edu/ecepha34.jpg")</f>
        <v>https://nematode.unl.edu/ecepha34.jpg</v>
      </c>
      <c r="D3251" t="s">
        <v>77</v>
      </c>
      <c r="G3251" t="s">
        <v>34</v>
      </c>
      <c r="H3251" t="s">
        <v>18</v>
      </c>
      <c r="M3251" t="s">
        <v>4860</v>
      </c>
      <c r="N3251" t="s">
        <v>4860</v>
      </c>
      <c r="O3251" t="s">
        <v>73</v>
      </c>
      <c r="P3251" t="s">
        <v>81</v>
      </c>
      <c r="Q3251" t="s">
        <v>82</v>
      </c>
      <c r="R3251" t="s">
        <v>4853</v>
      </c>
    </row>
    <row r="3252" spans="1:18" x14ac:dyDescent="0.25">
      <c r="A3252" t="s">
        <v>21101</v>
      </c>
      <c r="B3252" t="s">
        <v>4882</v>
      </c>
      <c r="C3252" t="str">
        <f>HYPERLINK("https://nematode.unl.edu/ecepha35.jpg")</f>
        <v>https://nematode.unl.edu/ecepha35.jpg</v>
      </c>
      <c r="D3252" t="s">
        <v>77</v>
      </c>
      <c r="G3252" t="s">
        <v>53</v>
      </c>
      <c r="I3252" t="s">
        <v>19</v>
      </c>
      <c r="J3252" t="s">
        <v>267</v>
      </c>
      <c r="M3252" t="s">
        <v>4860</v>
      </c>
      <c r="N3252" t="s">
        <v>4860</v>
      </c>
      <c r="O3252" t="s">
        <v>73</v>
      </c>
      <c r="P3252" t="s">
        <v>81</v>
      </c>
      <c r="Q3252" t="s">
        <v>82</v>
      </c>
      <c r="R3252" t="s">
        <v>4853</v>
      </c>
    </row>
    <row r="3253" spans="1:18" x14ac:dyDescent="0.25">
      <c r="A3253" t="s">
        <v>21107</v>
      </c>
      <c r="B3253" t="s">
        <v>4883</v>
      </c>
      <c r="C3253" t="str">
        <f>HYPERLINK("https://nematode.unl.edu/ecepha36.jpg")</f>
        <v>https://nematode.unl.edu/ecepha36.jpg</v>
      </c>
      <c r="D3253" t="s">
        <v>77</v>
      </c>
      <c r="G3253" t="s">
        <v>28</v>
      </c>
      <c r="M3253" t="s">
        <v>4860</v>
      </c>
      <c r="N3253" t="s">
        <v>4860</v>
      </c>
      <c r="O3253" t="s">
        <v>73</v>
      </c>
      <c r="P3253" t="s">
        <v>81</v>
      </c>
      <c r="Q3253" t="s">
        <v>82</v>
      </c>
      <c r="R3253" t="s">
        <v>4853</v>
      </c>
    </row>
    <row r="3254" spans="1:18" x14ac:dyDescent="0.25">
      <c r="A3254" t="s">
        <v>19860</v>
      </c>
      <c r="B3254" t="s">
        <v>4775</v>
      </c>
      <c r="C3254" t="str">
        <f>HYPERLINK("https://nematode.unl.edu/ecum1.jpg")</f>
        <v>https://nematode.unl.edu/ecum1.jpg</v>
      </c>
      <c r="D3254" t="s">
        <v>43</v>
      </c>
      <c r="G3254" t="s">
        <v>44</v>
      </c>
      <c r="I3254" t="s">
        <v>45</v>
      </c>
      <c r="J3254" t="s">
        <v>282</v>
      </c>
      <c r="M3254" t="s">
        <v>4731</v>
      </c>
      <c r="N3254" t="s">
        <v>4731</v>
      </c>
      <c r="O3254" t="s">
        <v>73</v>
      </c>
      <c r="P3254" t="s">
        <v>81</v>
      </c>
      <c r="Q3254" t="s">
        <v>489</v>
      </c>
      <c r="R3254" t="s">
        <v>4732</v>
      </c>
    </row>
    <row r="3255" spans="1:18" x14ac:dyDescent="0.25">
      <c r="A3255" t="s">
        <v>21041</v>
      </c>
      <c r="B3255" t="s">
        <v>975</v>
      </c>
      <c r="C3255" t="str">
        <f>HYPERLINK("https://nematode.unl.edu/ecumdraw.jpg")</f>
        <v>https://nematode.unl.edu/ecumdraw.jpg</v>
      </c>
      <c r="G3255" t="s">
        <v>108</v>
      </c>
      <c r="M3255" t="s">
        <v>976</v>
      </c>
      <c r="N3255" t="s">
        <v>977</v>
      </c>
      <c r="O3255" t="s">
        <v>73</v>
      </c>
      <c r="P3255" t="s">
        <v>81</v>
      </c>
      <c r="Q3255" t="s">
        <v>82</v>
      </c>
      <c r="R3255" t="s">
        <v>978</v>
      </c>
    </row>
    <row r="3256" spans="1:18" x14ac:dyDescent="0.25">
      <c r="A3256" t="s">
        <v>21038</v>
      </c>
      <c r="B3256" t="s">
        <v>979</v>
      </c>
      <c r="C3256" t="str">
        <f>HYPERLINK("https://nematode.unl.edu/ecumo1.jpg")</f>
        <v>https://nematode.unl.edu/ecumo1.jpg</v>
      </c>
      <c r="D3256" t="s">
        <v>43</v>
      </c>
      <c r="G3256" t="s">
        <v>44</v>
      </c>
      <c r="I3256" t="s">
        <v>45</v>
      </c>
      <c r="J3256" t="s">
        <v>20</v>
      </c>
      <c r="L3256" t="s">
        <v>173</v>
      </c>
      <c r="M3256" t="s">
        <v>976</v>
      </c>
      <c r="N3256" t="s">
        <v>977</v>
      </c>
      <c r="O3256" t="s">
        <v>73</v>
      </c>
      <c r="P3256" t="s">
        <v>81</v>
      </c>
      <c r="Q3256" t="s">
        <v>82</v>
      </c>
      <c r="R3256" t="s">
        <v>978</v>
      </c>
    </row>
    <row r="3257" spans="1:18" x14ac:dyDescent="0.25">
      <c r="A3257" t="s">
        <v>21050</v>
      </c>
      <c r="B3257" t="s">
        <v>980</v>
      </c>
      <c r="C3257" t="str">
        <f>HYPERLINK("https://nematode.unl.edu/ecumo10.jpg")</f>
        <v>https://nematode.unl.edu/ecumo10.jpg</v>
      </c>
      <c r="D3257" t="s">
        <v>43</v>
      </c>
      <c r="G3257" t="s">
        <v>51</v>
      </c>
      <c r="I3257" t="s">
        <v>19</v>
      </c>
      <c r="M3257" t="s">
        <v>976</v>
      </c>
      <c r="N3257" t="s">
        <v>977</v>
      </c>
      <c r="O3257" t="s">
        <v>73</v>
      </c>
      <c r="P3257" t="s">
        <v>81</v>
      </c>
      <c r="Q3257" t="s">
        <v>82</v>
      </c>
      <c r="R3257" t="s">
        <v>978</v>
      </c>
    </row>
    <row r="3258" spans="1:18" x14ac:dyDescent="0.25">
      <c r="A3258" t="s">
        <v>21034</v>
      </c>
      <c r="B3258" t="s">
        <v>981</v>
      </c>
      <c r="C3258" t="str">
        <f>HYPERLINK("https://nematode.unl.edu/ecumo11.jpg")</f>
        <v>https://nematode.unl.edu/ecumo11.jpg</v>
      </c>
      <c r="D3258" t="s">
        <v>43</v>
      </c>
      <c r="G3258" t="s">
        <v>87</v>
      </c>
      <c r="M3258" t="s">
        <v>976</v>
      </c>
      <c r="N3258" t="s">
        <v>977</v>
      </c>
      <c r="O3258" t="s">
        <v>73</v>
      </c>
      <c r="P3258" t="s">
        <v>81</v>
      </c>
      <c r="Q3258" t="s">
        <v>82</v>
      </c>
      <c r="R3258" t="s">
        <v>978</v>
      </c>
    </row>
    <row r="3259" spans="1:18" x14ac:dyDescent="0.25">
      <c r="A3259" t="s">
        <v>21026</v>
      </c>
      <c r="B3259" t="s">
        <v>982</v>
      </c>
      <c r="C3259" t="str">
        <f>HYPERLINK("https://nematode.unl.edu/ecumo12.jpg")</f>
        <v>https://nematode.unl.edu/ecumo12.jpg</v>
      </c>
      <c r="D3259" t="s">
        <v>43</v>
      </c>
      <c r="G3259" t="s">
        <v>34</v>
      </c>
      <c r="H3259" t="s">
        <v>18</v>
      </c>
      <c r="J3259" t="s">
        <v>20</v>
      </c>
      <c r="M3259" t="s">
        <v>976</v>
      </c>
      <c r="N3259" t="s">
        <v>977</v>
      </c>
      <c r="O3259" t="s">
        <v>73</v>
      </c>
      <c r="P3259" t="s">
        <v>81</v>
      </c>
      <c r="Q3259" t="s">
        <v>82</v>
      </c>
      <c r="R3259" t="s">
        <v>978</v>
      </c>
    </row>
    <row r="3260" spans="1:18" x14ac:dyDescent="0.25">
      <c r="A3260" t="s">
        <v>21035</v>
      </c>
      <c r="B3260" t="s">
        <v>983</v>
      </c>
      <c r="C3260" t="str">
        <f>HYPERLINK("https://nematode.unl.edu/ecumo13.jpg")</f>
        <v>https://nematode.unl.edu/ecumo13.jpg</v>
      </c>
      <c r="D3260" t="s">
        <v>43</v>
      </c>
      <c r="G3260" t="s">
        <v>87</v>
      </c>
      <c r="J3260" t="s">
        <v>20</v>
      </c>
      <c r="L3260" t="s">
        <v>85</v>
      </c>
      <c r="M3260" t="s">
        <v>976</v>
      </c>
      <c r="N3260" t="s">
        <v>977</v>
      </c>
      <c r="O3260" t="s">
        <v>73</v>
      </c>
      <c r="P3260" t="s">
        <v>81</v>
      </c>
      <c r="Q3260" t="s">
        <v>82</v>
      </c>
      <c r="R3260" t="s">
        <v>978</v>
      </c>
    </row>
    <row r="3261" spans="1:18" x14ac:dyDescent="0.25">
      <c r="A3261" t="s">
        <v>21044</v>
      </c>
      <c r="B3261" t="s">
        <v>984</v>
      </c>
      <c r="C3261" t="str">
        <f>HYPERLINK("https://nematode.unl.edu/ecumo14.jpg")</f>
        <v>https://nematode.unl.edu/ecumo14.jpg</v>
      </c>
      <c r="D3261" t="s">
        <v>43</v>
      </c>
      <c r="G3261" t="s">
        <v>28</v>
      </c>
      <c r="J3261" t="s">
        <v>20</v>
      </c>
      <c r="M3261" t="s">
        <v>976</v>
      </c>
      <c r="N3261" t="s">
        <v>977</v>
      </c>
      <c r="O3261" t="s">
        <v>73</v>
      </c>
      <c r="P3261" t="s">
        <v>81</v>
      </c>
      <c r="Q3261" t="s">
        <v>82</v>
      </c>
      <c r="R3261" t="s">
        <v>978</v>
      </c>
    </row>
    <row r="3262" spans="1:18" x14ac:dyDescent="0.25">
      <c r="A3262" t="s">
        <v>21027</v>
      </c>
      <c r="B3262" t="s">
        <v>985</v>
      </c>
      <c r="C3262" t="str">
        <f>HYPERLINK("https://nematode.unl.edu/ecumo15.jpg")</f>
        <v>https://nematode.unl.edu/ecumo15.jpg</v>
      </c>
      <c r="D3262" t="s">
        <v>43</v>
      </c>
      <c r="G3262" t="s">
        <v>34</v>
      </c>
      <c r="H3262" t="s">
        <v>18</v>
      </c>
      <c r="J3262" t="s">
        <v>20</v>
      </c>
      <c r="M3262" t="s">
        <v>976</v>
      </c>
      <c r="N3262" t="s">
        <v>977</v>
      </c>
      <c r="O3262" t="s">
        <v>73</v>
      </c>
      <c r="P3262" t="s">
        <v>81</v>
      </c>
      <c r="Q3262" t="s">
        <v>82</v>
      </c>
      <c r="R3262" t="s">
        <v>978</v>
      </c>
    </row>
    <row r="3263" spans="1:18" x14ac:dyDescent="0.25">
      <c r="A3263" t="s">
        <v>21028</v>
      </c>
      <c r="B3263" t="s">
        <v>986</v>
      </c>
      <c r="C3263" t="str">
        <f>HYPERLINK("https://nematode.unl.edu/ecumo16.jpg")</f>
        <v>https://nematode.unl.edu/ecumo16.jpg</v>
      </c>
      <c r="D3263" t="s">
        <v>43</v>
      </c>
      <c r="G3263" t="s">
        <v>34</v>
      </c>
      <c r="H3263" t="s">
        <v>18</v>
      </c>
      <c r="I3263" t="s">
        <v>41</v>
      </c>
      <c r="J3263" t="s">
        <v>20</v>
      </c>
      <c r="M3263" t="s">
        <v>976</v>
      </c>
      <c r="N3263" t="s">
        <v>977</v>
      </c>
      <c r="O3263" t="s">
        <v>73</v>
      </c>
      <c r="P3263" t="s">
        <v>81</v>
      </c>
      <c r="Q3263" t="s">
        <v>82</v>
      </c>
      <c r="R3263" t="s">
        <v>978</v>
      </c>
    </row>
    <row r="3264" spans="1:18" x14ac:dyDescent="0.25">
      <c r="A3264" t="s">
        <v>21039</v>
      </c>
      <c r="B3264" t="s">
        <v>987</v>
      </c>
      <c r="C3264" t="str">
        <f>HYPERLINK("https://nematode.unl.edu/ecumo17.jpg")</f>
        <v>https://nematode.unl.edu/ecumo17.jpg</v>
      </c>
      <c r="D3264" t="s">
        <v>43</v>
      </c>
      <c r="G3264" t="s">
        <v>44</v>
      </c>
      <c r="I3264" t="s">
        <v>45</v>
      </c>
      <c r="J3264" t="s">
        <v>20</v>
      </c>
      <c r="L3264" t="s">
        <v>206</v>
      </c>
      <c r="M3264" t="s">
        <v>976</v>
      </c>
      <c r="N3264" t="s">
        <v>977</v>
      </c>
      <c r="O3264" t="s">
        <v>73</v>
      </c>
      <c r="P3264" t="s">
        <v>81</v>
      </c>
      <c r="Q3264" t="s">
        <v>82</v>
      </c>
      <c r="R3264" t="s">
        <v>978</v>
      </c>
    </row>
    <row r="3265" spans="1:18" x14ac:dyDescent="0.25">
      <c r="A3265" t="s">
        <v>21051</v>
      </c>
      <c r="B3265" t="s">
        <v>988</v>
      </c>
      <c r="C3265" t="str">
        <f>HYPERLINK("https://nematode.unl.edu/ecumo18.jpg")</f>
        <v>https://nematode.unl.edu/ecumo18.jpg</v>
      </c>
      <c r="D3265" t="s">
        <v>43</v>
      </c>
      <c r="G3265" t="s">
        <v>51</v>
      </c>
      <c r="I3265" t="s">
        <v>19</v>
      </c>
      <c r="J3265" t="s">
        <v>20</v>
      </c>
      <c r="L3265" t="s">
        <v>206</v>
      </c>
      <c r="M3265" t="s">
        <v>976</v>
      </c>
      <c r="N3265" t="s">
        <v>977</v>
      </c>
      <c r="O3265" t="s">
        <v>73</v>
      </c>
      <c r="P3265" t="s">
        <v>81</v>
      </c>
      <c r="Q3265" t="s">
        <v>82</v>
      </c>
      <c r="R3265" t="s">
        <v>978</v>
      </c>
    </row>
    <row r="3266" spans="1:18" x14ac:dyDescent="0.25">
      <c r="A3266" t="s">
        <v>21036</v>
      </c>
      <c r="B3266" t="s">
        <v>989</v>
      </c>
      <c r="C3266" t="str">
        <f>HYPERLINK("https://nematode.unl.edu/ecumo2.jpg")</f>
        <v>https://nematode.unl.edu/ecumo2.jpg</v>
      </c>
      <c r="D3266" t="s">
        <v>43</v>
      </c>
      <c r="G3266" t="s">
        <v>87</v>
      </c>
      <c r="M3266" t="s">
        <v>976</v>
      </c>
      <c r="N3266" t="s">
        <v>977</v>
      </c>
      <c r="O3266" t="s">
        <v>73</v>
      </c>
      <c r="P3266" t="s">
        <v>81</v>
      </c>
      <c r="Q3266" t="s">
        <v>82</v>
      </c>
      <c r="R3266" t="s">
        <v>978</v>
      </c>
    </row>
    <row r="3267" spans="1:18" x14ac:dyDescent="0.25">
      <c r="A3267" t="s">
        <v>21045</v>
      </c>
      <c r="B3267" t="s">
        <v>990</v>
      </c>
      <c r="C3267" t="str">
        <f>HYPERLINK("https://nematode.unl.edu/ecumo20.jpg")</f>
        <v>https://nematode.unl.edu/ecumo20.jpg</v>
      </c>
      <c r="D3267" t="s">
        <v>43</v>
      </c>
      <c r="G3267" t="s">
        <v>28</v>
      </c>
      <c r="J3267" t="s">
        <v>20</v>
      </c>
      <c r="M3267" t="s">
        <v>976</v>
      </c>
      <c r="N3267" t="s">
        <v>977</v>
      </c>
      <c r="O3267" t="s">
        <v>73</v>
      </c>
      <c r="P3267" t="s">
        <v>81</v>
      </c>
      <c r="Q3267" t="s">
        <v>82</v>
      </c>
      <c r="R3267" t="s">
        <v>978</v>
      </c>
    </row>
    <row r="3268" spans="1:18" x14ac:dyDescent="0.25">
      <c r="A3268" t="s">
        <v>21024</v>
      </c>
      <c r="B3268" t="s">
        <v>991</v>
      </c>
      <c r="C3268" t="str">
        <f>HYPERLINK("https://nematode.unl.edu/ecumo21.jpg")</f>
        <v>https://nematode.unl.edu/ecumo21.jpg</v>
      </c>
      <c r="D3268" t="s">
        <v>43</v>
      </c>
      <c r="G3268" t="s">
        <v>96</v>
      </c>
      <c r="H3268" t="s">
        <v>18</v>
      </c>
      <c r="I3268" t="s">
        <v>19</v>
      </c>
      <c r="J3268" t="s">
        <v>20</v>
      </c>
      <c r="M3268" t="s">
        <v>976</v>
      </c>
      <c r="N3268" t="s">
        <v>977</v>
      </c>
      <c r="O3268" t="s">
        <v>73</v>
      </c>
      <c r="P3268" t="s">
        <v>81</v>
      </c>
      <c r="Q3268" t="s">
        <v>82</v>
      </c>
      <c r="R3268" t="s">
        <v>978</v>
      </c>
    </row>
    <row r="3269" spans="1:18" x14ac:dyDescent="0.25">
      <c r="A3269" t="s">
        <v>21052</v>
      </c>
      <c r="B3269" t="s">
        <v>992</v>
      </c>
      <c r="C3269" t="str">
        <f>HYPERLINK("https://nematode.unl.edu/ecumo22.jpg")</f>
        <v>https://nematode.unl.edu/ecumo22.jpg</v>
      </c>
      <c r="D3269" t="s">
        <v>43</v>
      </c>
      <c r="G3269" t="s">
        <v>51</v>
      </c>
      <c r="J3269" t="s">
        <v>20</v>
      </c>
      <c r="M3269" t="s">
        <v>976</v>
      </c>
      <c r="N3269" t="s">
        <v>977</v>
      </c>
      <c r="O3269" t="s">
        <v>73</v>
      </c>
      <c r="P3269" t="s">
        <v>81</v>
      </c>
      <c r="Q3269" t="s">
        <v>82</v>
      </c>
      <c r="R3269" t="s">
        <v>978</v>
      </c>
    </row>
    <row r="3270" spans="1:18" x14ac:dyDescent="0.25">
      <c r="A3270" t="s">
        <v>21046</v>
      </c>
      <c r="B3270" t="s">
        <v>993</v>
      </c>
      <c r="C3270" t="str">
        <f>HYPERLINK("https://nematode.unl.edu/ecumo23.jpg")</f>
        <v>https://nematode.unl.edu/ecumo23.jpg</v>
      </c>
      <c r="D3270" t="s">
        <v>43</v>
      </c>
      <c r="G3270" t="s">
        <v>28</v>
      </c>
      <c r="J3270" t="s">
        <v>20</v>
      </c>
      <c r="M3270" t="s">
        <v>976</v>
      </c>
      <c r="N3270" t="s">
        <v>977</v>
      </c>
      <c r="O3270" t="s">
        <v>73</v>
      </c>
      <c r="P3270" t="s">
        <v>81</v>
      </c>
      <c r="Q3270" t="s">
        <v>82</v>
      </c>
      <c r="R3270" t="s">
        <v>978</v>
      </c>
    </row>
    <row r="3271" spans="1:18" x14ac:dyDescent="0.25">
      <c r="A3271" t="s">
        <v>21029</v>
      </c>
      <c r="B3271" t="s">
        <v>994</v>
      </c>
      <c r="C3271" t="str">
        <f>HYPERLINK("https://nematode.unl.edu/ecumo24.jpg")</f>
        <v>https://nematode.unl.edu/ecumo24.jpg</v>
      </c>
      <c r="D3271" t="s">
        <v>43</v>
      </c>
      <c r="G3271" t="s">
        <v>34</v>
      </c>
      <c r="H3271" t="s">
        <v>18</v>
      </c>
      <c r="J3271" t="s">
        <v>20</v>
      </c>
      <c r="L3271" t="s">
        <v>206</v>
      </c>
      <c r="M3271" t="s">
        <v>976</v>
      </c>
      <c r="N3271" t="s">
        <v>977</v>
      </c>
      <c r="O3271" t="s">
        <v>73</v>
      </c>
      <c r="P3271" t="s">
        <v>81</v>
      </c>
      <c r="Q3271" t="s">
        <v>82</v>
      </c>
      <c r="R3271" t="s">
        <v>978</v>
      </c>
    </row>
    <row r="3272" spans="1:18" x14ac:dyDescent="0.25">
      <c r="A3272" t="s">
        <v>21037</v>
      </c>
      <c r="B3272" t="s">
        <v>995</v>
      </c>
      <c r="C3272" t="str">
        <f>HYPERLINK("https://nematode.unl.edu/ecumo25.jpg")</f>
        <v>https://nematode.unl.edu/ecumo25.jpg</v>
      </c>
      <c r="D3272" t="s">
        <v>43</v>
      </c>
      <c r="G3272" t="s">
        <v>87</v>
      </c>
      <c r="I3272" t="s">
        <v>19</v>
      </c>
      <c r="J3272" t="s">
        <v>20</v>
      </c>
      <c r="L3272" t="s">
        <v>206</v>
      </c>
      <c r="M3272" t="s">
        <v>976</v>
      </c>
      <c r="N3272" t="s">
        <v>977</v>
      </c>
      <c r="O3272" t="s">
        <v>73</v>
      </c>
      <c r="P3272" t="s">
        <v>81</v>
      </c>
      <c r="Q3272" t="s">
        <v>82</v>
      </c>
      <c r="R3272" t="s">
        <v>978</v>
      </c>
    </row>
    <row r="3273" spans="1:18" x14ac:dyDescent="0.25">
      <c r="A3273" t="s">
        <v>21053</v>
      </c>
      <c r="B3273" t="s">
        <v>996</v>
      </c>
      <c r="C3273" t="str">
        <f>HYPERLINK("https://nematode.unl.edu/ecumo26.jpg")</f>
        <v>https://nematode.unl.edu/ecumo26.jpg</v>
      </c>
      <c r="D3273" t="s">
        <v>43</v>
      </c>
      <c r="G3273" t="s">
        <v>51</v>
      </c>
      <c r="J3273" t="s">
        <v>20</v>
      </c>
      <c r="L3273" t="s">
        <v>206</v>
      </c>
      <c r="M3273" t="s">
        <v>976</v>
      </c>
      <c r="N3273" t="s">
        <v>977</v>
      </c>
      <c r="O3273" t="s">
        <v>73</v>
      </c>
      <c r="P3273" t="s">
        <v>81</v>
      </c>
      <c r="Q3273" t="s">
        <v>82</v>
      </c>
      <c r="R3273" t="s">
        <v>978</v>
      </c>
    </row>
    <row r="3274" spans="1:18" x14ac:dyDescent="0.25">
      <c r="A3274" t="s">
        <v>21047</v>
      </c>
      <c r="B3274" t="s">
        <v>997</v>
      </c>
      <c r="C3274" t="str">
        <f>HYPERLINK("https://nematode.unl.edu/ecumo27.jpg")</f>
        <v>https://nematode.unl.edu/ecumo27.jpg</v>
      </c>
      <c r="D3274" t="s">
        <v>43</v>
      </c>
      <c r="G3274" t="s">
        <v>28</v>
      </c>
      <c r="J3274" t="s">
        <v>20</v>
      </c>
      <c r="L3274" t="s">
        <v>206</v>
      </c>
      <c r="M3274" t="s">
        <v>976</v>
      </c>
      <c r="N3274" t="s">
        <v>977</v>
      </c>
      <c r="O3274" t="s">
        <v>73</v>
      </c>
      <c r="P3274" t="s">
        <v>81</v>
      </c>
      <c r="Q3274" t="s">
        <v>82</v>
      </c>
      <c r="R3274" t="s">
        <v>978</v>
      </c>
    </row>
    <row r="3275" spans="1:18" x14ac:dyDescent="0.25">
      <c r="A3275" t="s">
        <v>21054</v>
      </c>
      <c r="B3275" t="s">
        <v>998</v>
      </c>
      <c r="C3275" t="str">
        <f>HYPERLINK("https://nematode.unl.edu/ecumo3.jpg")</f>
        <v>https://nematode.unl.edu/ecumo3.jpg</v>
      </c>
      <c r="D3275" t="s">
        <v>43</v>
      </c>
      <c r="G3275" t="s">
        <v>51</v>
      </c>
      <c r="I3275" t="s">
        <v>19</v>
      </c>
      <c r="J3275" t="s">
        <v>20</v>
      </c>
      <c r="L3275" t="s">
        <v>85</v>
      </c>
      <c r="M3275" t="s">
        <v>976</v>
      </c>
      <c r="N3275" t="s">
        <v>977</v>
      </c>
      <c r="O3275" t="s">
        <v>73</v>
      </c>
      <c r="P3275" t="s">
        <v>81</v>
      </c>
      <c r="Q3275" t="s">
        <v>82</v>
      </c>
      <c r="R3275" t="s">
        <v>978</v>
      </c>
    </row>
    <row r="3276" spans="1:18" x14ac:dyDescent="0.25">
      <c r="A3276" t="s">
        <v>21043</v>
      </c>
      <c r="B3276" t="s">
        <v>999</v>
      </c>
      <c r="C3276" t="str">
        <f>HYPERLINK("https://nematode.unl.edu/ecumo4.jpg")</f>
        <v>https://nematode.unl.edu/ecumo4.jpg</v>
      </c>
      <c r="D3276" t="s">
        <v>43</v>
      </c>
      <c r="G3276" t="s">
        <v>1000</v>
      </c>
      <c r="I3276" t="s">
        <v>516</v>
      </c>
      <c r="J3276" t="s">
        <v>20</v>
      </c>
      <c r="L3276" t="s">
        <v>173</v>
      </c>
      <c r="M3276" t="s">
        <v>976</v>
      </c>
      <c r="N3276" t="s">
        <v>977</v>
      </c>
      <c r="O3276" t="s">
        <v>73</v>
      </c>
      <c r="P3276" t="s">
        <v>81</v>
      </c>
      <c r="Q3276" t="s">
        <v>82</v>
      </c>
      <c r="R3276" t="s">
        <v>978</v>
      </c>
    </row>
    <row r="3277" spans="1:18" x14ac:dyDescent="0.25">
      <c r="A3277" t="s">
        <v>21048</v>
      </c>
      <c r="B3277" t="s">
        <v>1001</v>
      </c>
      <c r="C3277" t="str">
        <f>HYPERLINK("https://nematode.unl.edu/ecumo5.jpg")</f>
        <v>https://nematode.unl.edu/ecumo5.jpg</v>
      </c>
      <c r="D3277" t="s">
        <v>43</v>
      </c>
      <c r="G3277" t="s">
        <v>28</v>
      </c>
      <c r="L3277" t="s">
        <v>141</v>
      </c>
      <c r="M3277" t="s">
        <v>976</v>
      </c>
      <c r="N3277" t="s">
        <v>977</v>
      </c>
      <c r="O3277" t="s">
        <v>73</v>
      </c>
      <c r="P3277" t="s">
        <v>81</v>
      </c>
      <c r="Q3277" t="s">
        <v>82</v>
      </c>
      <c r="R3277" t="s">
        <v>978</v>
      </c>
    </row>
    <row r="3278" spans="1:18" x14ac:dyDescent="0.25">
      <c r="A3278" t="s">
        <v>21030</v>
      </c>
      <c r="B3278" t="s">
        <v>1002</v>
      </c>
      <c r="C3278" t="str">
        <f>HYPERLINK("https://nematode.unl.edu/ecumo6.jpg")</f>
        <v>https://nematode.unl.edu/ecumo6.jpg</v>
      </c>
      <c r="D3278" t="s">
        <v>43</v>
      </c>
      <c r="G3278" t="s">
        <v>34</v>
      </c>
      <c r="H3278" t="s">
        <v>18</v>
      </c>
      <c r="J3278" t="s">
        <v>20</v>
      </c>
      <c r="M3278" t="s">
        <v>976</v>
      </c>
      <c r="N3278" t="s">
        <v>977</v>
      </c>
      <c r="O3278" t="s">
        <v>73</v>
      </c>
      <c r="P3278" t="s">
        <v>81</v>
      </c>
      <c r="Q3278" t="s">
        <v>82</v>
      </c>
      <c r="R3278" t="s">
        <v>978</v>
      </c>
    </row>
    <row r="3279" spans="1:18" x14ac:dyDescent="0.25">
      <c r="A3279" t="s">
        <v>21031</v>
      </c>
      <c r="B3279" t="s">
        <v>1003</v>
      </c>
      <c r="C3279" t="str">
        <f>HYPERLINK("https://nematode.unl.edu/ecumo7.jpg")</f>
        <v>https://nematode.unl.edu/ecumo7.jpg</v>
      </c>
      <c r="D3279" t="s">
        <v>43</v>
      </c>
      <c r="G3279" t="s">
        <v>34</v>
      </c>
      <c r="H3279" t="s">
        <v>18</v>
      </c>
      <c r="I3279" t="s">
        <v>41</v>
      </c>
      <c r="J3279" t="s">
        <v>20</v>
      </c>
      <c r="L3279" t="s">
        <v>206</v>
      </c>
      <c r="M3279" t="s">
        <v>976</v>
      </c>
      <c r="N3279" t="s">
        <v>977</v>
      </c>
      <c r="O3279" t="s">
        <v>73</v>
      </c>
      <c r="P3279" t="s">
        <v>81</v>
      </c>
      <c r="Q3279" t="s">
        <v>82</v>
      </c>
      <c r="R3279" t="s">
        <v>978</v>
      </c>
    </row>
    <row r="3280" spans="1:18" x14ac:dyDescent="0.25">
      <c r="A3280" t="s">
        <v>21055</v>
      </c>
      <c r="B3280" t="s">
        <v>1004</v>
      </c>
      <c r="C3280" t="str">
        <f>HYPERLINK("https://nematode.unl.edu/ecumo8.jpg")</f>
        <v>https://nematode.unl.edu/ecumo8.jpg</v>
      </c>
      <c r="D3280" t="s">
        <v>43</v>
      </c>
      <c r="G3280" t="s">
        <v>51</v>
      </c>
      <c r="I3280" t="s">
        <v>41</v>
      </c>
      <c r="J3280" t="s">
        <v>20</v>
      </c>
      <c r="M3280" t="s">
        <v>976</v>
      </c>
      <c r="N3280" t="s">
        <v>977</v>
      </c>
      <c r="O3280" t="s">
        <v>73</v>
      </c>
      <c r="P3280" t="s">
        <v>81</v>
      </c>
      <c r="Q3280" t="s">
        <v>82</v>
      </c>
      <c r="R3280" t="s">
        <v>978</v>
      </c>
    </row>
    <row r="3281" spans="1:18" x14ac:dyDescent="0.25">
      <c r="A3281" t="s">
        <v>21032</v>
      </c>
      <c r="B3281" t="s">
        <v>1005</v>
      </c>
      <c r="C3281" t="str">
        <f>HYPERLINK("https://nematode.unl.edu/ecumo9.jpg")</f>
        <v>https://nematode.unl.edu/ecumo9.jpg</v>
      </c>
      <c r="D3281" t="s">
        <v>43</v>
      </c>
      <c r="G3281" t="s">
        <v>34</v>
      </c>
      <c r="H3281" t="s">
        <v>18</v>
      </c>
      <c r="M3281" t="s">
        <v>976</v>
      </c>
      <c r="N3281" t="s">
        <v>977</v>
      </c>
      <c r="O3281" t="s">
        <v>73</v>
      </c>
      <c r="P3281" t="s">
        <v>81</v>
      </c>
      <c r="Q3281" t="s">
        <v>82</v>
      </c>
      <c r="R3281" t="s">
        <v>978</v>
      </c>
    </row>
    <row r="3282" spans="1:18" x14ac:dyDescent="0.25">
      <c r="A3282" t="s">
        <v>21042</v>
      </c>
      <c r="B3282" t="s">
        <v>1006</v>
      </c>
      <c r="C3282" t="str">
        <f>HYPERLINK("https://nematode.unl.edu/ecumocmp.jpg")</f>
        <v>https://nematode.unl.edu/ecumocmp.jpg</v>
      </c>
      <c r="G3282" t="s">
        <v>108</v>
      </c>
      <c r="M3282" t="s">
        <v>976</v>
      </c>
      <c r="N3282" t="s">
        <v>977</v>
      </c>
      <c r="O3282" t="s">
        <v>73</v>
      </c>
      <c r="P3282" t="s">
        <v>81</v>
      </c>
      <c r="Q3282" t="s">
        <v>82</v>
      </c>
      <c r="R3282" t="s">
        <v>978</v>
      </c>
    </row>
    <row r="3283" spans="1:18" x14ac:dyDescent="0.25">
      <c r="A3283" t="s">
        <v>21040</v>
      </c>
      <c r="B3283" t="s">
        <v>1007</v>
      </c>
      <c r="C3283" t="str">
        <f>HYPERLINK("https://nematode.unl.edu/ecumon1.jpg")</f>
        <v>https://nematode.unl.edu/ecumon1.jpg</v>
      </c>
      <c r="D3283" t="s">
        <v>43</v>
      </c>
      <c r="G3283" t="s">
        <v>44</v>
      </c>
      <c r="I3283" t="s">
        <v>1008</v>
      </c>
      <c r="J3283" t="s">
        <v>116</v>
      </c>
      <c r="L3283" t="s">
        <v>85</v>
      </c>
      <c r="M3283" t="s">
        <v>976</v>
      </c>
      <c r="N3283" t="s">
        <v>977</v>
      </c>
      <c r="O3283" t="s">
        <v>73</v>
      </c>
      <c r="P3283" t="s">
        <v>81</v>
      </c>
      <c r="Q3283" t="s">
        <v>82</v>
      </c>
      <c r="R3283" t="s">
        <v>978</v>
      </c>
    </row>
    <row r="3284" spans="1:18" x14ac:dyDescent="0.25">
      <c r="A3284" t="s">
        <v>21033</v>
      </c>
      <c r="B3284" t="s">
        <v>1009</v>
      </c>
      <c r="C3284" t="str">
        <f>HYPERLINK("https://nematode.unl.edu/ecumon2.jpg")</f>
        <v>https://nematode.unl.edu/ecumon2.jpg</v>
      </c>
      <c r="D3284" t="s">
        <v>43</v>
      </c>
      <c r="G3284" t="s">
        <v>34</v>
      </c>
      <c r="H3284" t="s">
        <v>18</v>
      </c>
      <c r="I3284" t="s">
        <v>19</v>
      </c>
      <c r="L3284" t="s">
        <v>85</v>
      </c>
      <c r="M3284" t="s">
        <v>976</v>
      </c>
      <c r="N3284" t="s">
        <v>977</v>
      </c>
      <c r="O3284" t="s">
        <v>73</v>
      </c>
      <c r="P3284" t="s">
        <v>81</v>
      </c>
      <c r="Q3284" t="s">
        <v>82</v>
      </c>
      <c r="R3284" t="s">
        <v>978</v>
      </c>
    </row>
    <row r="3285" spans="1:18" x14ac:dyDescent="0.25">
      <c r="A3285" t="s">
        <v>21025</v>
      </c>
      <c r="B3285" t="s">
        <v>1010</v>
      </c>
      <c r="C3285" t="str">
        <f>HYPERLINK("https://nematode.unl.edu/ecumon3.jpg")</f>
        <v>https://nematode.unl.edu/ecumon3.jpg</v>
      </c>
      <c r="D3285" t="s">
        <v>43</v>
      </c>
      <c r="G3285" t="s">
        <v>17</v>
      </c>
      <c r="H3285" t="s">
        <v>18</v>
      </c>
      <c r="I3285" t="s">
        <v>19</v>
      </c>
      <c r="L3285" t="s">
        <v>85</v>
      </c>
      <c r="M3285" t="s">
        <v>976</v>
      </c>
      <c r="N3285" t="s">
        <v>977</v>
      </c>
      <c r="O3285" t="s">
        <v>73</v>
      </c>
      <c r="P3285" t="s">
        <v>81</v>
      </c>
      <c r="Q3285" t="s">
        <v>82</v>
      </c>
      <c r="R3285" t="s">
        <v>978</v>
      </c>
    </row>
    <row r="3286" spans="1:18" x14ac:dyDescent="0.25">
      <c r="A3286" t="s">
        <v>21056</v>
      </c>
      <c r="B3286" t="s">
        <v>1011</v>
      </c>
      <c r="C3286" t="str">
        <f>HYPERLINK("https://nematode.unl.edu/ecumon4.jpg")</f>
        <v>https://nematode.unl.edu/ecumon4.jpg</v>
      </c>
      <c r="D3286" t="s">
        <v>43</v>
      </c>
      <c r="G3286" t="s">
        <v>51</v>
      </c>
      <c r="I3286" t="s">
        <v>19</v>
      </c>
      <c r="L3286" t="s">
        <v>85</v>
      </c>
      <c r="M3286" t="s">
        <v>976</v>
      </c>
      <c r="N3286" t="s">
        <v>977</v>
      </c>
      <c r="O3286" t="s">
        <v>73</v>
      </c>
      <c r="P3286" t="s">
        <v>81</v>
      </c>
      <c r="Q3286" t="s">
        <v>82</v>
      </c>
      <c r="R3286" t="s">
        <v>978</v>
      </c>
    </row>
    <row r="3287" spans="1:18" x14ac:dyDescent="0.25">
      <c r="A3287" t="s">
        <v>21049</v>
      </c>
      <c r="B3287" t="s">
        <v>1012</v>
      </c>
      <c r="C3287" t="str">
        <f>HYPERLINK("https://nematode.unl.edu/ecumon5.jpg")</f>
        <v>https://nematode.unl.edu/ecumon5.jpg</v>
      </c>
      <c r="D3287" t="s">
        <v>43</v>
      </c>
      <c r="G3287" t="s">
        <v>28</v>
      </c>
      <c r="I3287" t="s">
        <v>19</v>
      </c>
      <c r="L3287" t="s">
        <v>85</v>
      </c>
      <c r="M3287" t="s">
        <v>976</v>
      </c>
      <c r="N3287" t="s">
        <v>977</v>
      </c>
      <c r="O3287" t="s">
        <v>73</v>
      </c>
      <c r="P3287" t="s">
        <v>81</v>
      </c>
      <c r="Q3287" t="s">
        <v>82</v>
      </c>
      <c r="R3287" t="s">
        <v>978</v>
      </c>
    </row>
    <row r="3288" spans="1:18" x14ac:dyDescent="0.25">
      <c r="A3288" t="s">
        <v>20326</v>
      </c>
      <c r="B3288" t="s">
        <v>4834</v>
      </c>
      <c r="C3288" t="str">
        <f>HYPERLINK("https://nematode.unl.edu/ehope1.jpg")</f>
        <v>https://nematode.unl.edu/ehope1.jpg</v>
      </c>
      <c r="D3288" t="s">
        <v>43</v>
      </c>
      <c r="G3288" t="s">
        <v>34</v>
      </c>
      <c r="H3288" t="s">
        <v>18</v>
      </c>
      <c r="I3288" t="s">
        <v>19</v>
      </c>
      <c r="J3288" t="s">
        <v>267</v>
      </c>
      <c r="M3288" t="s">
        <v>4802</v>
      </c>
      <c r="N3288" t="s">
        <v>4802</v>
      </c>
      <c r="O3288" t="s">
        <v>73</v>
      </c>
      <c r="P3288" t="s">
        <v>81</v>
      </c>
      <c r="Q3288" t="s">
        <v>1101</v>
      </c>
      <c r="R3288" t="s">
        <v>4785</v>
      </c>
    </row>
    <row r="3289" spans="1:18" x14ac:dyDescent="0.25">
      <c r="A3289" t="s">
        <v>20332</v>
      </c>
      <c r="B3289" t="s">
        <v>4835</v>
      </c>
      <c r="C3289" t="str">
        <f>HYPERLINK("https://nematode.unl.edu/ehope2.jpg")</f>
        <v>https://nematode.unl.edu/ehope2.jpg</v>
      </c>
      <c r="D3289" t="s">
        <v>43</v>
      </c>
      <c r="G3289" t="s">
        <v>87</v>
      </c>
      <c r="I3289" t="s">
        <v>516</v>
      </c>
      <c r="J3289" t="s">
        <v>267</v>
      </c>
      <c r="M3289" t="s">
        <v>4802</v>
      </c>
      <c r="N3289" t="s">
        <v>4802</v>
      </c>
      <c r="O3289" t="s">
        <v>73</v>
      </c>
      <c r="P3289" t="s">
        <v>81</v>
      </c>
      <c r="Q3289" t="s">
        <v>1101</v>
      </c>
      <c r="R3289" t="s">
        <v>4785</v>
      </c>
    </row>
    <row r="3290" spans="1:18" x14ac:dyDescent="0.25">
      <c r="A3290" t="s">
        <v>20355</v>
      </c>
      <c r="B3290" t="s">
        <v>4836</v>
      </c>
      <c r="C3290" t="str">
        <f>HYPERLINK("https://nematode.unl.edu/ehope3.jpg")</f>
        <v>https://nematode.unl.edu/ehope3.jpg</v>
      </c>
      <c r="D3290" t="s">
        <v>43</v>
      </c>
      <c r="G3290" t="s">
        <v>51</v>
      </c>
      <c r="I3290" t="s">
        <v>19</v>
      </c>
      <c r="J3290" t="s">
        <v>267</v>
      </c>
      <c r="M3290" t="s">
        <v>4802</v>
      </c>
      <c r="N3290" t="s">
        <v>4802</v>
      </c>
      <c r="O3290" t="s">
        <v>73</v>
      </c>
      <c r="P3290" t="s">
        <v>81</v>
      </c>
      <c r="Q3290" t="s">
        <v>1101</v>
      </c>
      <c r="R3290" t="s">
        <v>4785</v>
      </c>
    </row>
    <row r="3291" spans="1:18" x14ac:dyDescent="0.25">
      <c r="A3291" t="s">
        <v>20347</v>
      </c>
      <c r="B3291" t="s">
        <v>4837</v>
      </c>
      <c r="C3291" t="str">
        <f>HYPERLINK("https://nematode.unl.edu/ehope4.jpg")</f>
        <v>https://nematode.unl.edu/ehope4.jpg</v>
      </c>
      <c r="D3291" t="s">
        <v>43</v>
      </c>
      <c r="G3291" t="s">
        <v>28</v>
      </c>
      <c r="J3291" t="s">
        <v>267</v>
      </c>
      <c r="M3291" t="s">
        <v>4802</v>
      </c>
      <c r="N3291" t="s">
        <v>4802</v>
      </c>
      <c r="O3291" t="s">
        <v>73</v>
      </c>
      <c r="P3291" t="s">
        <v>81</v>
      </c>
      <c r="Q3291" t="s">
        <v>1101</v>
      </c>
      <c r="R3291" t="s">
        <v>4785</v>
      </c>
    </row>
    <row r="3292" spans="1:18" x14ac:dyDescent="0.25">
      <c r="A3292" t="s">
        <v>20327</v>
      </c>
      <c r="B3292" t="s">
        <v>4838</v>
      </c>
      <c r="C3292" t="str">
        <f>HYPERLINK("https://nematode.unl.edu/ehope5.jpg")</f>
        <v>https://nematode.unl.edu/ehope5.jpg</v>
      </c>
      <c r="D3292" t="s">
        <v>43</v>
      </c>
      <c r="G3292" t="s">
        <v>34</v>
      </c>
      <c r="H3292" t="s">
        <v>18</v>
      </c>
      <c r="J3292" t="s">
        <v>267</v>
      </c>
      <c r="M3292" t="s">
        <v>4802</v>
      </c>
      <c r="N3292" t="s">
        <v>4802</v>
      </c>
      <c r="O3292" t="s">
        <v>73</v>
      </c>
      <c r="P3292" t="s">
        <v>81</v>
      </c>
      <c r="Q3292" t="s">
        <v>1101</v>
      </c>
      <c r="R3292" t="s">
        <v>4785</v>
      </c>
    </row>
    <row r="3293" spans="1:18" x14ac:dyDescent="0.25">
      <c r="A3293" t="s">
        <v>20356</v>
      </c>
      <c r="B3293" t="s">
        <v>4839</v>
      </c>
      <c r="C3293" t="str">
        <f>HYPERLINK("https://nematode.unl.edu/ehope6.jpg")</f>
        <v>https://nematode.unl.edu/ehope6.jpg</v>
      </c>
      <c r="D3293" t="s">
        <v>43</v>
      </c>
      <c r="G3293" t="s">
        <v>51</v>
      </c>
      <c r="J3293" t="s">
        <v>267</v>
      </c>
      <c r="M3293" t="s">
        <v>4802</v>
      </c>
      <c r="N3293" t="s">
        <v>4802</v>
      </c>
      <c r="O3293" t="s">
        <v>73</v>
      </c>
      <c r="P3293" t="s">
        <v>81</v>
      </c>
      <c r="Q3293" t="s">
        <v>1101</v>
      </c>
      <c r="R3293" t="s">
        <v>4785</v>
      </c>
    </row>
    <row r="3294" spans="1:18" x14ac:dyDescent="0.25">
      <c r="A3294" t="s">
        <v>20348</v>
      </c>
      <c r="B3294" t="s">
        <v>4840</v>
      </c>
      <c r="C3294" t="str">
        <f>HYPERLINK("https://nematode.unl.edu/ehope7.jpg")</f>
        <v>https://nematode.unl.edu/ehope7.jpg</v>
      </c>
      <c r="D3294" t="s">
        <v>43</v>
      </c>
      <c r="G3294" t="s">
        <v>28</v>
      </c>
      <c r="J3294" t="s">
        <v>267</v>
      </c>
      <c r="M3294" t="s">
        <v>4802</v>
      </c>
      <c r="N3294" t="s">
        <v>4802</v>
      </c>
      <c r="O3294" t="s">
        <v>73</v>
      </c>
      <c r="P3294" t="s">
        <v>81</v>
      </c>
      <c r="Q3294" t="s">
        <v>1101</v>
      </c>
      <c r="R3294" t="s">
        <v>4785</v>
      </c>
    </row>
    <row r="3295" spans="1:18" x14ac:dyDescent="0.25">
      <c r="A3295" t="s">
        <v>20328</v>
      </c>
      <c r="B3295" t="s">
        <v>4841</v>
      </c>
      <c r="C3295" t="str">
        <f>HYPERLINK("https://nematode.unl.edu/elong1.jpg")</f>
        <v>https://nematode.unl.edu/elong1.jpg</v>
      </c>
      <c r="D3295" t="s">
        <v>43</v>
      </c>
      <c r="G3295" t="s">
        <v>34</v>
      </c>
      <c r="H3295" t="s">
        <v>18</v>
      </c>
      <c r="M3295" t="s">
        <v>4802</v>
      </c>
      <c r="N3295" t="s">
        <v>4802</v>
      </c>
      <c r="O3295" t="s">
        <v>73</v>
      </c>
      <c r="P3295" t="s">
        <v>81</v>
      </c>
      <c r="Q3295" t="s">
        <v>1101</v>
      </c>
      <c r="R3295" t="s">
        <v>4785</v>
      </c>
    </row>
    <row r="3296" spans="1:18" x14ac:dyDescent="0.25">
      <c r="A3296" t="s">
        <v>20319</v>
      </c>
      <c r="B3296" t="s">
        <v>4842</v>
      </c>
      <c r="C3296" t="str">
        <f>HYPERLINK("https://nematode.unl.edu/elong10.jpg")</f>
        <v>https://nematode.unl.edu/elong10.jpg</v>
      </c>
      <c r="D3296" t="s">
        <v>16</v>
      </c>
      <c r="G3296" t="s">
        <v>17</v>
      </c>
      <c r="H3296" t="s">
        <v>18</v>
      </c>
      <c r="I3296" t="s">
        <v>19</v>
      </c>
      <c r="J3296" t="s">
        <v>267</v>
      </c>
      <c r="M3296" t="s">
        <v>4802</v>
      </c>
      <c r="N3296" t="s">
        <v>4802</v>
      </c>
      <c r="O3296" t="s">
        <v>73</v>
      </c>
      <c r="P3296" t="s">
        <v>81</v>
      </c>
      <c r="Q3296" t="s">
        <v>1101</v>
      </c>
      <c r="R3296" t="s">
        <v>4785</v>
      </c>
    </row>
    <row r="3297" spans="1:18" x14ac:dyDescent="0.25">
      <c r="A3297" t="s">
        <v>20349</v>
      </c>
      <c r="B3297" t="s">
        <v>4843</v>
      </c>
      <c r="C3297" t="str">
        <f>HYPERLINK("https://nematode.unl.edu/elong11.jpg")</f>
        <v>https://nematode.unl.edu/elong11.jpg</v>
      </c>
      <c r="D3297" t="s">
        <v>16</v>
      </c>
      <c r="G3297" t="s">
        <v>28</v>
      </c>
      <c r="I3297" t="s">
        <v>19</v>
      </c>
      <c r="J3297" t="s">
        <v>267</v>
      </c>
      <c r="M3297" t="s">
        <v>4802</v>
      </c>
      <c r="N3297" t="s">
        <v>4802</v>
      </c>
      <c r="O3297" t="s">
        <v>73</v>
      </c>
      <c r="P3297" t="s">
        <v>81</v>
      </c>
      <c r="Q3297" t="s">
        <v>1101</v>
      </c>
      <c r="R3297" t="s">
        <v>4785</v>
      </c>
    </row>
    <row r="3298" spans="1:18" x14ac:dyDescent="0.25">
      <c r="A3298" t="s">
        <v>21331</v>
      </c>
      <c r="B3298" t="s">
        <v>5225</v>
      </c>
      <c r="C3298" t="str">
        <f>HYPERLINK("https://nematode.unl.edu/elong2.jpg")</f>
        <v>https://nematode.unl.edu/elong2.jpg</v>
      </c>
      <c r="D3298" t="s">
        <v>43</v>
      </c>
      <c r="G3298" t="s">
        <v>87</v>
      </c>
      <c r="I3298" t="s">
        <v>516</v>
      </c>
      <c r="J3298" t="s">
        <v>267</v>
      </c>
      <c r="M3298" t="s">
        <v>5226</v>
      </c>
      <c r="N3298" t="s">
        <v>5226</v>
      </c>
      <c r="O3298" t="s">
        <v>73</v>
      </c>
      <c r="P3298" t="s">
        <v>81</v>
      </c>
      <c r="Q3298" t="s">
        <v>82</v>
      </c>
      <c r="R3298" t="s">
        <v>1016</v>
      </c>
    </row>
    <row r="3299" spans="1:18" x14ac:dyDescent="0.25">
      <c r="A3299" t="s">
        <v>20357</v>
      </c>
      <c r="B3299" t="s">
        <v>4844</v>
      </c>
      <c r="C3299" t="str">
        <f>HYPERLINK("https://nematode.unl.edu/elong3.jpg")</f>
        <v>https://nematode.unl.edu/elong3.jpg</v>
      </c>
      <c r="D3299" t="s">
        <v>43</v>
      </c>
      <c r="G3299" t="s">
        <v>51</v>
      </c>
      <c r="J3299" t="s">
        <v>267</v>
      </c>
      <c r="M3299" t="s">
        <v>4802</v>
      </c>
      <c r="N3299" t="s">
        <v>4802</v>
      </c>
      <c r="O3299" t="s">
        <v>73</v>
      </c>
      <c r="P3299" t="s">
        <v>81</v>
      </c>
      <c r="Q3299" t="s">
        <v>1101</v>
      </c>
      <c r="R3299" t="s">
        <v>4785</v>
      </c>
    </row>
    <row r="3300" spans="1:18" x14ac:dyDescent="0.25">
      <c r="A3300" t="s">
        <v>20350</v>
      </c>
      <c r="B3300" t="s">
        <v>4845</v>
      </c>
      <c r="C3300" t="str">
        <f>HYPERLINK("https://nematode.unl.edu/elong4.jpg")</f>
        <v>https://nematode.unl.edu/elong4.jpg</v>
      </c>
      <c r="D3300" t="s">
        <v>43</v>
      </c>
      <c r="G3300" t="s">
        <v>28</v>
      </c>
      <c r="J3300" t="s">
        <v>267</v>
      </c>
      <c r="M3300" t="s">
        <v>4802</v>
      </c>
      <c r="N3300" t="s">
        <v>4802</v>
      </c>
      <c r="O3300" t="s">
        <v>73</v>
      </c>
      <c r="P3300" t="s">
        <v>81</v>
      </c>
      <c r="Q3300" t="s">
        <v>1101</v>
      </c>
      <c r="R3300" t="s">
        <v>4785</v>
      </c>
    </row>
    <row r="3301" spans="1:18" x14ac:dyDescent="0.25">
      <c r="A3301" t="s">
        <v>20329</v>
      </c>
      <c r="B3301" t="s">
        <v>4846</v>
      </c>
      <c r="C3301" t="str">
        <f>HYPERLINK("https://nematode.unl.edu/elong5.jpg")</f>
        <v>https://nematode.unl.edu/elong5.jpg</v>
      </c>
      <c r="D3301" t="s">
        <v>43</v>
      </c>
      <c r="G3301" t="s">
        <v>34</v>
      </c>
      <c r="H3301" t="s">
        <v>18</v>
      </c>
      <c r="I3301" t="s">
        <v>41</v>
      </c>
      <c r="J3301" t="s">
        <v>267</v>
      </c>
      <c r="M3301" t="s">
        <v>4802</v>
      </c>
      <c r="N3301" t="s">
        <v>4802</v>
      </c>
      <c r="O3301" t="s">
        <v>73</v>
      </c>
      <c r="P3301" t="s">
        <v>81</v>
      </c>
      <c r="Q3301" t="s">
        <v>1101</v>
      </c>
      <c r="R3301" t="s">
        <v>4785</v>
      </c>
    </row>
    <row r="3302" spans="1:18" x14ac:dyDescent="0.25">
      <c r="A3302" t="s">
        <v>20333</v>
      </c>
      <c r="B3302" t="s">
        <v>4847</v>
      </c>
      <c r="C3302" t="str">
        <f>HYPERLINK("https://nematode.unl.edu/elong6.jpg")</f>
        <v>https://nematode.unl.edu/elong6.jpg</v>
      </c>
      <c r="D3302" t="s">
        <v>43</v>
      </c>
      <c r="G3302" t="s">
        <v>87</v>
      </c>
      <c r="I3302" t="s">
        <v>529</v>
      </c>
      <c r="J3302" t="s">
        <v>267</v>
      </c>
      <c r="M3302" t="s">
        <v>4802</v>
      </c>
      <c r="N3302" t="s">
        <v>4802</v>
      </c>
      <c r="O3302" t="s">
        <v>73</v>
      </c>
      <c r="P3302" t="s">
        <v>81</v>
      </c>
      <c r="Q3302" t="s">
        <v>1101</v>
      </c>
      <c r="R3302" t="s">
        <v>4785</v>
      </c>
    </row>
    <row r="3303" spans="1:18" x14ac:dyDescent="0.25">
      <c r="A3303" t="s">
        <v>20339</v>
      </c>
      <c r="B3303" t="s">
        <v>4848</v>
      </c>
      <c r="C3303" t="str">
        <f>HYPERLINK("https://nematode.unl.edu/elong7.jpg")</f>
        <v>https://nematode.unl.edu/elong7.jpg</v>
      </c>
      <c r="D3303" t="s">
        <v>43</v>
      </c>
      <c r="G3303" t="s">
        <v>1000</v>
      </c>
      <c r="I3303" t="s">
        <v>516</v>
      </c>
      <c r="J3303" t="s">
        <v>267</v>
      </c>
      <c r="L3303" t="s">
        <v>4849</v>
      </c>
      <c r="M3303" t="s">
        <v>4802</v>
      </c>
      <c r="N3303" t="s">
        <v>4802</v>
      </c>
      <c r="O3303" t="s">
        <v>73</v>
      </c>
      <c r="P3303" t="s">
        <v>81</v>
      </c>
      <c r="Q3303" t="s">
        <v>1101</v>
      </c>
      <c r="R3303" t="s">
        <v>4785</v>
      </c>
    </row>
    <row r="3304" spans="1:18" x14ac:dyDescent="0.25">
      <c r="A3304" t="s">
        <v>20358</v>
      </c>
      <c r="B3304" t="s">
        <v>4850</v>
      </c>
      <c r="C3304" t="str">
        <f>HYPERLINK("https://nematode.unl.edu/elong8.jpg")</f>
        <v>https://nematode.unl.edu/elong8.jpg</v>
      </c>
      <c r="D3304" t="s">
        <v>43</v>
      </c>
      <c r="G3304" t="s">
        <v>51</v>
      </c>
      <c r="M3304" t="s">
        <v>4802</v>
      </c>
      <c r="N3304" t="s">
        <v>4802</v>
      </c>
      <c r="O3304" t="s">
        <v>73</v>
      </c>
      <c r="P3304" t="s">
        <v>81</v>
      </c>
      <c r="Q3304" t="s">
        <v>1101</v>
      </c>
      <c r="R3304" t="s">
        <v>4785</v>
      </c>
    </row>
    <row r="3305" spans="1:18" x14ac:dyDescent="0.25">
      <c r="A3305" t="s">
        <v>20330</v>
      </c>
      <c r="B3305" t="s">
        <v>4851</v>
      </c>
      <c r="C3305" t="str">
        <f>HYPERLINK("https://nematode.unl.edu/elong9.jpg")</f>
        <v>https://nematode.unl.edu/elong9.jpg</v>
      </c>
      <c r="D3305" t="s">
        <v>16</v>
      </c>
      <c r="G3305" t="s">
        <v>34</v>
      </c>
      <c r="H3305" t="s">
        <v>18</v>
      </c>
      <c r="I3305" t="s">
        <v>516</v>
      </c>
      <c r="J3305" t="s">
        <v>267</v>
      </c>
      <c r="M3305" t="s">
        <v>4802</v>
      </c>
      <c r="N3305" t="s">
        <v>4802</v>
      </c>
      <c r="O3305" t="s">
        <v>73</v>
      </c>
      <c r="P3305" t="s">
        <v>81</v>
      </c>
      <c r="Q3305" t="s">
        <v>1101</v>
      </c>
      <c r="R3305" t="s">
        <v>4785</v>
      </c>
    </row>
    <row r="3306" spans="1:18" x14ac:dyDescent="0.25">
      <c r="A3306" t="s">
        <v>21058</v>
      </c>
      <c r="B3306" t="s">
        <v>4780</v>
      </c>
      <c r="C3306" t="str">
        <f>HYPERLINK("https://nematode.unl.edu/emono1.jpg")</f>
        <v>https://nematode.unl.edu/emono1.jpg</v>
      </c>
      <c r="D3306" t="s">
        <v>43</v>
      </c>
      <c r="G3306" t="s">
        <v>34</v>
      </c>
      <c r="H3306" t="s">
        <v>18</v>
      </c>
      <c r="J3306" t="s">
        <v>127</v>
      </c>
      <c r="L3306" t="s">
        <v>131</v>
      </c>
      <c r="M3306" t="s">
        <v>977</v>
      </c>
      <c r="N3306" t="s">
        <v>977</v>
      </c>
      <c r="O3306" t="s">
        <v>73</v>
      </c>
      <c r="P3306" t="s">
        <v>81</v>
      </c>
      <c r="Q3306" t="s">
        <v>82</v>
      </c>
      <c r="R3306" t="s">
        <v>978</v>
      </c>
    </row>
    <row r="3307" spans="1:18" x14ac:dyDescent="0.25">
      <c r="A3307" t="s">
        <v>21060</v>
      </c>
      <c r="B3307" t="s">
        <v>4781</v>
      </c>
      <c r="C3307" t="str">
        <f>HYPERLINK("https://nematode.unl.edu/emono2.jpg")</f>
        <v>https://nematode.unl.edu/emono2.jpg</v>
      </c>
      <c r="D3307" t="s">
        <v>43</v>
      </c>
      <c r="G3307" t="s">
        <v>87</v>
      </c>
      <c r="J3307" t="s">
        <v>127</v>
      </c>
      <c r="L3307" t="s">
        <v>162</v>
      </c>
      <c r="M3307" t="s">
        <v>977</v>
      </c>
      <c r="N3307" t="s">
        <v>977</v>
      </c>
      <c r="O3307" t="s">
        <v>73</v>
      </c>
      <c r="P3307" t="s">
        <v>81</v>
      </c>
      <c r="Q3307" t="s">
        <v>82</v>
      </c>
      <c r="R3307" t="s">
        <v>978</v>
      </c>
    </row>
    <row r="3308" spans="1:18" x14ac:dyDescent="0.25">
      <c r="A3308" t="s">
        <v>21064</v>
      </c>
      <c r="B3308" t="s">
        <v>4782</v>
      </c>
      <c r="C3308" t="str">
        <f>HYPERLINK("https://nematode.unl.edu/emono3.jpg")</f>
        <v>https://nematode.unl.edu/emono3.jpg</v>
      </c>
      <c r="D3308" t="s">
        <v>43</v>
      </c>
      <c r="G3308" t="s">
        <v>51</v>
      </c>
      <c r="M3308" t="s">
        <v>977</v>
      </c>
      <c r="N3308" t="s">
        <v>977</v>
      </c>
      <c r="O3308" t="s">
        <v>73</v>
      </c>
      <c r="P3308" t="s">
        <v>81</v>
      </c>
      <c r="Q3308" t="s">
        <v>82</v>
      </c>
      <c r="R3308" t="s">
        <v>978</v>
      </c>
    </row>
    <row r="3309" spans="1:18" x14ac:dyDescent="0.25">
      <c r="A3309" t="s">
        <v>21062</v>
      </c>
      <c r="B3309" t="s">
        <v>4783</v>
      </c>
      <c r="C3309" t="str">
        <f>HYPERLINK("https://nematode.unl.edu/emono4.jpg")</f>
        <v>https://nematode.unl.edu/emono4.jpg</v>
      </c>
      <c r="D3309" t="s">
        <v>43</v>
      </c>
      <c r="G3309" t="s">
        <v>28</v>
      </c>
      <c r="J3309" t="s">
        <v>127</v>
      </c>
      <c r="L3309" t="s">
        <v>131</v>
      </c>
      <c r="M3309" t="s">
        <v>977</v>
      </c>
      <c r="N3309" t="s">
        <v>977</v>
      </c>
      <c r="O3309" t="s">
        <v>73</v>
      </c>
      <c r="P3309" t="s">
        <v>81</v>
      </c>
      <c r="Q3309" t="s">
        <v>82</v>
      </c>
      <c r="R3309" t="s">
        <v>978</v>
      </c>
    </row>
    <row r="3310" spans="1:18" x14ac:dyDescent="0.25">
      <c r="A3310" t="s">
        <v>21057</v>
      </c>
      <c r="B3310" t="s">
        <v>4776</v>
      </c>
      <c r="C3310" t="str">
        <f>HYPERLINK("https://nematode.unl.edu/encarc1.jpg")</f>
        <v>https://nematode.unl.edu/encarc1.jpg</v>
      </c>
      <c r="D3310" t="s">
        <v>43</v>
      </c>
      <c r="G3310" t="s">
        <v>34</v>
      </c>
      <c r="H3310" t="s">
        <v>18</v>
      </c>
      <c r="I3310" t="s">
        <v>516</v>
      </c>
      <c r="J3310" t="s">
        <v>267</v>
      </c>
      <c r="M3310" t="s">
        <v>977</v>
      </c>
      <c r="N3310" t="s">
        <v>977</v>
      </c>
      <c r="O3310" t="s">
        <v>73</v>
      </c>
      <c r="P3310" t="s">
        <v>81</v>
      </c>
      <c r="Q3310" t="s">
        <v>82</v>
      </c>
      <c r="R3310" t="s">
        <v>978</v>
      </c>
    </row>
    <row r="3311" spans="1:18" x14ac:dyDescent="0.25">
      <c r="A3311" t="s">
        <v>21059</v>
      </c>
      <c r="B3311" t="s">
        <v>4777</v>
      </c>
      <c r="C3311" t="str">
        <f>HYPERLINK("https://nematode.unl.edu/encarc2.jpg")</f>
        <v>https://nematode.unl.edu/encarc2.jpg</v>
      </c>
      <c r="D3311" t="s">
        <v>43</v>
      </c>
      <c r="G3311" t="s">
        <v>87</v>
      </c>
      <c r="M3311" t="s">
        <v>977</v>
      </c>
      <c r="N3311" t="s">
        <v>977</v>
      </c>
      <c r="O3311" t="s">
        <v>73</v>
      </c>
      <c r="P3311" t="s">
        <v>81</v>
      </c>
      <c r="Q3311" t="s">
        <v>82</v>
      </c>
      <c r="R3311" t="s">
        <v>978</v>
      </c>
    </row>
    <row r="3312" spans="1:18" x14ac:dyDescent="0.25">
      <c r="A3312" t="s">
        <v>21063</v>
      </c>
      <c r="B3312" t="s">
        <v>4778</v>
      </c>
      <c r="C3312" t="str">
        <f>HYPERLINK("https://nematode.unl.edu/encarc3.jpg")</f>
        <v>https://nematode.unl.edu/encarc3.jpg</v>
      </c>
      <c r="D3312" t="s">
        <v>43</v>
      </c>
      <c r="G3312" t="s">
        <v>51</v>
      </c>
      <c r="M3312" t="s">
        <v>977</v>
      </c>
      <c r="N3312" t="s">
        <v>977</v>
      </c>
      <c r="O3312" t="s">
        <v>73</v>
      </c>
      <c r="P3312" t="s">
        <v>81</v>
      </c>
      <c r="Q3312" t="s">
        <v>82</v>
      </c>
      <c r="R3312" t="s">
        <v>978</v>
      </c>
    </row>
    <row r="3313" spans="1:18" x14ac:dyDescent="0.25">
      <c r="A3313" t="s">
        <v>21061</v>
      </c>
      <c r="B3313" t="s">
        <v>4779</v>
      </c>
      <c r="C3313" t="str">
        <f>HYPERLINK("https://nematode.unl.edu/encarc4.jpg")</f>
        <v>https://nematode.unl.edu/encarc4.jpg</v>
      </c>
      <c r="D3313" t="s">
        <v>43</v>
      </c>
      <c r="G3313" t="s">
        <v>28</v>
      </c>
      <c r="M3313" t="s">
        <v>977</v>
      </c>
      <c r="N3313" t="s">
        <v>977</v>
      </c>
      <c r="O3313" t="s">
        <v>73</v>
      </c>
      <c r="P3313" t="s">
        <v>81</v>
      </c>
      <c r="Q3313" t="s">
        <v>82</v>
      </c>
      <c r="R3313" t="s">
        <v>978</v>
      </c>
    </row>
    <row r="3314" spans="1:18" x14ac:dyDescent="0.25">
      <c r="A3314" t="s">
        <v>20413</v>
      </c>
      <c r="B3314" t="s">
        <v>1136</v>
      </c>
      <c r="C3314" t="str">
        <f>HYPERLINK("https://nematode.unl.edu/encb1.jpg")</f>
        <v>https://nematode.unl.edu/encb1.jpg</v>
      </c>
      <c r="D3314" t="s">
        <v>43</v>
      </c>
      <c r="G3314" t="s">
        <v>44</v>
      </c>
      <c r="I3314" t="s">
        <v>45</v>
      </c>
      <c r="J3314" t="s">
        <v>20</v>
      </c>
      <c r="L3314" t="s">
        <v>64</v>
      </c>
      <c r="M3314" t="s">
        <v>1137</v>
      </c>
      <c r="N3314" t="s">
        <v>1138</v>
      </c>
      <c r="O3314" t="s">
        <v>73</v>
      </c>
      <c r="P3314" t="s">
        <v>81</v>
      </c>
      <c r="Q3314" t="s">
        <v>1101</v>
      </c>
      <c r="R3314" t="s">
        <v>1102</v>
      </c>
    </row>
    <row r="3315" spans="1:18" x14ac:dyDescent="0.25">
      <c r="A3315" t="s">
        <v>20416</v>
      </c>
      <c r="B3315" t="s">
        <v>1139</v>
      </c>
      <c r="C3315" t="str">
        <f>HYPERLINK("https://nematode.unl.edu/encb2.jpg")</f>
        <v>https://nematode.unl.edu/encb2.jpg</v>
      </c>
      <c r="D3315" t="s">
        <v>43</v>
      </c>
      <c r="G3315" t="s">
        <v>28</v>
      </c>
      <c r="I3315" t="s">
        <v>19</v>
      </c>
      <c r="J3315" t="s">
        <v>20</v>
      </c>
      <c r="L3315" t="s">
        <v>64</v>
      </c>
      <c r="M3315" t="s">
        <v>1137</v>
      </c>
      <c r="N3315" t="s">
        <v>1138</v>
      </c>
      <c r="O3315" t="s">
        <v>73</v>
      </c>
      <c r="P3315" t="s">
        <v>81</v>
      </c>
      <c r="Q3315" t="s">
        <v>1101</v>
      </c>
      <c r="R3315" t="s">
        <v>1102</v>
      </c>
    </row>
    <row r="3316" spans="1:18" x14ac:dyDescent="0.25">
      <c r="A3316" t="s">
        <v>20425</v>
      </c>
      <c r="B3316" t="s">
        <v>1140</v>
      </c>
      <c r="C3316" t="str">
        <f>HYPERLINK("https://nematode.unl.edu/encb3.jpg")</f>
        <v>https://nematode.unl.edu/encb3.jpg</v>
      </c>
      <c r="D3316" t="s">
        <v>43</v>
      </c>
      <c r="G3316" t="s">
        <v>51</v>
      </c>
      <c r="I3316" t="s">
        <v>19</v>
      </c>
      <c r="J3316" t="s">
        <v>20</v>
      </c>
      <c r="L3316" t="s">
        <v>64</v>
      </c>
      <c r="M3316" t="s">
        <v>1137</v>
      </c>
      <c r="N3316" t="s">
        <v>1138</v>
      </c>
      <c r="O3316" t="s">
        <v>73</v>
      </c>
      <c r="P3316" t="s">
        <v>81</v>
      </c>
      <c r="Q3316" t="s">
        <v>1101</v>
      </c>
      <c r="R3316" t="s">
        <v>1102</v>
      </c>
    </row>
    <row r="3317" spans="1:18" x14ac:dyDescent="0.25">
      <c r="A3317" t="s">
        <v>20407</v>
      </c>
      <c r="B3317" t="s">
        <v>1141</v>
      </c>
      <c r="C3317" t="str">
        <f>HYPERLINK("https://nematode.unl.edu/encb4.jpg")</f>
        <v>https://nematode.unl.edu/encb4.jpg</v>
      </c>
      <c r="D3317" t="s">
        <v>43</v>
      </c>
      <c r="G3317" t="s">
        <v>87</v>
      </c>
      <c r="J3317" t="s">
        <v>20</v>
      </c>
      <c r="L3317" t="s">
        <v>64</v>
      </c>
      <c r="M3317" t="s">
        <v>1137</v>
      </c>
      <c r="N3317" t="s">
        <v>1138</v>
      </c>
      <c r="O3317" t="s">
        <v>73</v>
      </c>
      <c r="P3317" t="s">
        <v>81</v>
      </c>
      <c r="Q3317" t="s">
        <v>1101</v>
      </c>
      <c r="R3317" t="s">
        <v>1102</v>
      </c>
    </row>
    <row r="3318" spans="1:18" x14ac:dyDescent="0.25">
      <c r="A3318" t="s">
        <v>20394</v>
      </c>
      <c r="B3318" t="s">
        <v>1142</v>
      </c>
      <c r="C3318" t="str">
        <f>HYPERLINK("https://nematode.unl.edu/encb5.jpg")</f>
        <v>https://nematode.unl.edu/encb5.jpg</v>
      </c>
      <c r="D3318" t="s">
        <v>43</v>
      </c>
      <c r="G3318" t="s">
        <v>34</v>
      </c>
      <c r="H3318" t="s">
        <v>18</v>
      </c>
      <c r="J3318" t="s">
        <v>20</v>
      </c>
      <c r="L3318" t="s">
        <v>64</v>
      </c>
      <c r="M3318" t="s">
        <v>1137</v>
      </c>
      <c r="N3318" t="s">
        <v>1138</v>
      </c>
      <c r="O3318" t="s">
        <v>73</v>
      </c>
      <c r="P3318" t="s">
        <v>81</v>
      </c>
      <c r="Q3318" t="s">
        <v>1101</v>
      </c>
      <c r="R3318" t="s">
        <v>1102</v>
      </c>
    </row>
    <row r="3319" spans="1:18" x14ac:dyDescent="0.25">
      <c r="A3319" t="s">
        <v>20395</v>
      </c>
      <c r="B3319" t="s">
        <v>1143</v>
      </c>
      <c r="C3319" t="str">
        <f>HYPERLINK("https://nematode.unl.edu/encb6.jpg")</f>
        <v>https://nematode.unl.edu/encb6.jpg</v>
      </c>
      <c r="D3319" t="s">
        <v>43</v>
      </c>
      <c r="G3319" t="s">
        <v>34</v>
      </c>
      <c r="H3319" t="s">
        <v>18</v>
      </c>
      <c r="J3319" t="s">
        <v>20</v>
      </c>
      <c r="L3319" t="s">
        <v>64</v>
      </c>
      <c r="M3319" t="s">
        <v>1137</v>
      </c>
      <c r="N3319" t="s">
        <v>1138</v>
      </c>
      <c r="O3319" t="s">
        <v>73</v>
      </c>
      <c r="P3319" t="s">
        <v>81</v>
      </c>
      <c r="Q3319" t="s">
        <v>1101</v>
      </c>
      <c r="R3319" t="s">
        <v>1102</v>
      </c>
    </row>
    <row r="3320" spans="1:18" x14ac:dyDescent="0.25">
      <c r="A3320" t="s">
        <v>20426</v>
      </c>
      <c r="B3320" t="s">
        <v>1144</v>
      </c>
      <c r="C3320" t="str">
        <f>HYPERLINK("https://nematode.unl.edu/encb7.jpg")</f>
        <v>https://nematode.unl.edu/encb7.jpg</v>
      </c>
      <c r="D3320" t="s">
        <v>43</v>
      </c>
      <c r="G3320" t="s">
        <v>51</v>
      </c>
      <c r="I3320" t="s">
        <v>19</v>
      </c>
      <c r="J3320" t="s">
        <v>20</v>
      </c>
      <c r="L3320" t="s">
        <v>64</v>
      </c>
      <c r="M3320" t="s">
        <v>1137</v>
      </c>
      <c r="N3320" t="s">
        <v>1138</v>
      </c>
      <c r="O3320" t="s">
        <v>73</v>
      </c>
      <c r="P3320" t="s">
        <v>81</v>
      </c>
      <c r="Q3320" t="s">
        <v>1101</v>
      </c>
      <c r="R3320" t="s">
        <v>1102</v>
      </c>
    </row>
    <row r="3321" spans="1:18" x14ac:dyDescent="0.25">
      <c r="A3321" t="s">
        <v>20396</v>
      </c>
      <c r="B3321" t="s">
        <v>1145</v>
      </c>
      <c r="C3321" t="str">
        <f>HYPERLINK("https://nematode.unl.edu/encbre1.jpg")</f>
        <v>https://nematode.unl.edu/encbre1.jpg</v>
      </c>
      <c r="D3321" t="s">
        <v>16</v>
      </c>
      <c r="G3321" t="s">
        <v>34</v>
      </c>
      <c r="H3321" t="s">
        <v>18</v>
      </c>
      <c r="I3321" t="s">
        <v>19</v>
      </c>
      <c r="J3321" t="s">
        <v>440</v>
      </c>
      <c r="M3321" t="s">
        <v>1137</v>
      </c>
      <c r="N3321" t="s">
        <v>1138</v>
      </c>
      <c r="O3321" t="s">
        <v>73</v>
      </c>
      <c r="P3321" t="s">
        <v>81</v>
      </c>
      <c r="Q3321" t="s">
        <v>1101</v>
      </c>
      <c r="R3321" t="s">
        <v>1102</v>
      </c>
    </row>
    <row r="3322" spans="1:18" x14ac:dyDescent="0.25">
      <c r="A3322" t="s">
        <v>20417</v>
      </c>
      <c r="B3322" t="s">
        <v>1146</v>
      </c>
      <c r="C3322" t="str">
        <f>HYPERLINK("https://nematode.unl.edu/encbre2.jpg")</f>
        <v>https://nematode.unl.edu/encbre2.jpg</v>
      </c>
      <c r="D3322" t="s">
        <v>16</v>
      </c>
      <c r="G3322" t="s">
        <v>28</v>
      </c>
      <c r="I3322" t="s">
        <v>19</v>
      </c>
      <c r="J3322" t="s">
        <v>482</v>
      </c>
      <c r="L3322" t="s">
        <v>1147</v>
      </c>
      <c r="M3322" t="s">
        <v>1137</v>
      </c>
      <c r="N3322" t="s">
        <v>1138</v>
      </c>
      <c r="O3322" t="s">
        <v>73</v>
      </c>
      <c r="P3322" t="s">
        <v>81</v>
      </c>
      <c r="Q3322" t="s">
        <v>1101</v>
      </c>
      <c r="R3322" t="s">
        <v>1102</v>
      </c>
    </row>
    <row r="3323" spans="1:18" x14ac:dyDescent="0.25">
      <c r="A3323" t="s">
        <v>20397</v>
      </c>
      <c r="B3323" t="s">
        <v>1148</v>
      </c>
      <c r="C3323" t="str">
        <f>HYPERLINK("https://nematode.unl.edu/encbre3.jpg")</f>
        <v>https://nematode.unl.edu/encbre3.jpg</v>
      </c>
      <c r="D3323" t="s">
        <v>16</v>
      </c>
      <c r="G3323" t="s">
        <v>34</v>
      </c>
      <c r="H3323" t="s">
        <v>18</v>
      </c>
      <c r="I3323" t="s">
        <v>41</v>
      </c>
      <c r="J3323" t="s">
        <v>440</v>
      </c>
      <c r="M3323" t="s">
        <v>1137</v>
      </c>
      <c r="N3323" t="s">
        <v>1138</v>
      </c>
      <c r="O3323" t="s">
        <v>73</v>
      </c>
      <c r="P3323" t="s">
        <v>81</v>
      </c>
      <c r="Q3323" t="s">
        <v>1101</v>
      </c>
      <c r="R3323" t="s">
        <v>1102</v>
      </c>
    </row>
    <row r="3324" spans="1:18" x14ac:dyDescent="0.25">
      <c r="A3324" t="s">
        <v>20408</v>
      </c>
      <c r="B3324" t="s">
        <v>1149</v>
      </c>
      <c r="C3324" t="str">
        <f>HYPERLINK("https://nematode.unl.edu/encbre4.jpg")</f>
        <v>https://nematode.unl.edu/encbre4.jpg</v>
      </c>
      <c r="D3324" t="s">
        <v>16</v>
      </c>
      <c r="G3324" t="s">
        <v>87</v>
      </c>
      <c r="I3324" t="s">
        <v>41</v>
      </c>
      <c r="J3324" t="s">
        <v>440</v>
      </c>
      <c r="M3324" t="s">
        <v>1137</v>
      </c>
      <c r="N3324" t="s">
        <v>1138</v>
      </c>
      <c r="O3324" t="s">
        <v>73</v>
      </c>
      <c r="P3324" t="s">
        <v>81</v>
      </c>
      <c r="Q3324" t="s">
        <v>1101</v>
      </c>
      <c r="R3324" t="s">
        <v>1102</v>
      </c>
    </row>
    <row r="3325" spans="1:18" x14ac:dyDescent="0.25">
      <c r="A3325" t="s">
        <v>20398</v>
      </c>
      <c r="B3325" t="s">
        <v>1150</v>
      </c>
      <c r="C3325" t="str">
        <f>HYPERLINK("https://nematode.unl.edu/encbre5.jpg")</f>
        <v>https://nematode.unl.edu/encbre5.jpg</v>
      </c>
      <c r="D3325" t="s">
        <v>16</v>
      </c>
      <c r="G3325" t="s">
        <v>34</v>
      </c>
      <c r="H3325" t="s">
        <v>18</v>
      </c>
      <c r="I3325" t="s">
        <v>19</v>
      </c>
      <c r="J3325" t="s">
        <v>440</v>
      </c>
      <c r="M3325" t="s">
        <v>1137</v>
      </c>
      <c r="N3325" t="s">
        <v>1138</v>
      </c>
      <c r="O3325" t="s">
        <v>73</v>
      </c>
      <c r="P3325" t="s">
        <v>81</v>
      </c>
      <c r="Q3325" t="s">
        <v>1101</v>
      </c>
      <c r="R3325" t="s">
        <v>1102</v>
      </c>
    </row>
    <row r="3326" spans="1:18" x14ac:dyDescent="0.25">
      <c r="A3326" t="s">
        <v>20409</v>
      </c>
      <c r="B3326" t="s">
        <v>1151</v>
      </c>
      <c r="C3326" t="str">
        <f>HYPERLINK("https://nematode.unl.edu/encbre6.jpg")</f>
        <v>https://nematode.unl.edu/encbre6.jpg</v>
      </c>
      <c r="D3326" t="s">
        <v>16</v>
      </c>
      <c r="G3326" t="s">
        <v>87</v>
      </c>
      <c r="I3326" t="s">
        <v>41</v>
      </c>
      <c r="J3326" t="s">
        <v>440</v>
      </c>
      <c r="M3326" t="s">
        <v>1137</v>
      </c>
      <c r="N3326" t="s">
        <v>1138</v>
      </c>
      <c r="O3326" t="s">
        <v>73</v>
      </c>
      <c r="P3326" t="s">
        <v>81</v>
      </c>
      <c r="Q3326" t="s">
        <v>1101</v>
      </c>
      <c r="R3326" t="s">
        <v>1102</v>
      </c>
    </row>
    <row r="3327" spans="1:18" x14ac:dyDescent="0.25">
      <c r="A3327" t="s">
        <v>20418</v>
      </c>
      <c r="B3327" t="s">
        <v>1152</v>
      </c>
      <c r="C3327" t="str">
        <f>HYPERLINK("https://nematode.unl.edu/encbre7.jpg")</f>
        <v>https://nematode.unl.edu/encbre7.jpg</v>
      </c>
      <c r="D3327" t="s">
        <v>16</v>
      </c>
      <c r="G3327" t="s">
        <v>28</v>
      </c>
      <c r="I3327" t="s">
        <v>19</v>
      </c>
      <c r="J3327" t="s">
        <v>440</v>
      </c>
      <c r="M3327" t="s">
        <v>1137</v>
      </c>
      <c r="N3327" t="s">
        <v>1138</v>
      </c>
      <c r="O3327" t="s">
        <v>73</v>
      </c>
      <c r="P3327" t="s">
        <v>81</v>
      </c>
      <c r="Q3327" t="s">
        <v>1101</v>
      </c>
      <c r="R3327" t="s">
        <v>1102</v>
      </c>
    </row>
    <row r="3328" spans="1:18" x14ac:dyDescent="0.25">
      <c r="A3328" t="s">
        <v>20399</v>
      </c>
      <c r="B3328" t="s">
        <v>1153</v>
      </c>
      <c r="C3328" t="str">
        <f>HYPERLINK("https://nematode.unl.edu/encbre8.jpg")</f>
        <v>https://nematode.unl.edu/encbre8.jpg</v>
      </c>
      <c r="D3328" t="s">
        <v>16</v>
      </c>
      <c r="G3328" t="s">
        <v>34</v>
      </c>
      <c r="H3328" t="s">
        <v>18</v>
      </c>
      <c r="I3328" t="s">
        <v>41</v>
      </c>
      <c r="M3328" t="s">
        <v>1137</v>
      </c>
      <c r="N3328" t="s">
        <v>1138</v>
      </c>
      <c r="O3328" t="s">
        <v>73</v>
      </c>
      <c r="P3328" t="s">
        <v>81</v>
      </c>
      <c r="Q3328" t="s">
        <v>1101</v>
      </c>
      <c r="R3328" t="s">
        <v>1102</v>
      </c>
    </row>
    <row r="3329" spans="1:18" x14ac:dyDescent="0.25">
      <c r="A3329" t="s">
        <v>20375</v>
      </c>
      <c r="B3329" t="s">
        <v>1098</v>
      </c>
      <c r="C3329" t="str">
        <f>HYPERLINK("https://nematode.unl.edu/encha1.jpg")</f>
        <v>https://nematode.unl.edu/encha1.jpg</v>
      </c>
      <c r="D3329" t="s">
        <v>43</v>
      </c>
      <c r="G3329" t="s">
        <v>44</v>
      </c>
      <c r="I3329" t="s">
        <v>1008</v>
      </c>
      <c r="J3329" t="s">
        <v>20</v>
      </c>
      <c r="L3329" t="s">
        <v>193</v>
      </c>
      <c r="M3329" t="s">
        <v>1099</v>
      </c>
      <c r="N3329" t="s">
        <v>1100</v>
      </c>
      <c r="O3329" t="s">
        <v>73</v>
      </c>
      <c r="P3329" t="s">
        <v>81</v>
      </c>
      <c r="Q3329" t="s">
        <v>1101</v>
      </c>
      <c r="R3329" t="s">
        <v>1102</v>
      </c>
    </row>
    <row r="3330" spans="1:18" x14ac:dyDescent="0.25">
      <c r="A3330" t="s">
        <v>20386</v>
      </c>
      <c r="B3330" t="s">
        <v>1103</v>
      </c>
      <c r="C3330" t="str">
        <f>HYPERLINK("https://nematode.unl.edu/encha10.jpg")</f>
        <v>https://nematode.unl.edu/encha10.jpg</v>
      </c>
      <c r="D3330" t="s">
        <v>43</v>
      </c>
      <c r="G3330" t="s">
        <v>51</v>
      </c>
      <c r="I3330" t="s">
        <v>41</v>
      </c>
      <c r="L3330" t="s">
        <v>220</v>
      </c>
      <c r="M3330" t="s">
        <v>1099</v>
      </c>
      <c r="N3330" t="s">
        <v>1100</v>
      </c>
      <c r="O3330" t="s">
        <v>73</v>
      </c>
      <c r="P3330" t="s">
        <v>81</v>
      </c>
      <c r="Q3330" t="s">
        <v>1101</v>
      </c>
      <c r="R3330" t="s">
        <v>1102</v>
      </c>
    </row>
    <row r="3331" spans="1:18" x14ac:dyDescent="0.25">
      <c r="A3331" t="s">
        <v>20370</v>
      </c>
      <c r="B3331" t="s">
        <v>1104</v>
      </c>
      <c r="C3331" t="str">
        <f>HYPERLINK("https://nematode.unl.edu/encha11.jpg")</f>
        <v>https://nematode.unl.edu/encha11.jpg</v>
      </c>
      <c r="D3331" t="s">
        <v>43</v>
      </c>
      <c r="G3331" t="s">
        <v>259</v>
      </c>
      <c r="H3331" t="s">
        <v>18</v>
      </c>
      <c r="J3331" t="s">
        <v>20</v>
      </c>
      <c r="L3331" t="s">
        <v>173</v>
      </c>
      <c r="M3331" t="s">
        <v>1099</v>
      </c>
      <c r="N3331" t="s">
        <v>1100</v>
      </c>
      <c r="O3331" t="s">
        <v>73</v>
      </c>
      <c r="P3331" t="s">
        <v>81</v>
      </c>
      <c r="Q3331" t="s">
        <v>1101</v>
      </c>
      <c r="R3331" t="s">
        <v>1102</v>
      </c>
    </row>
    <row r="3332" spans="1:18" x14ac:dyDescent="0.25">
      <c r="A3332" t="s">
        <v>20371</v>
      </c>
      <c r="B3332" t="s">
        <v>1105</v>
      </c>
      <c r="C3332" t="str">
        <f>HYPERLINK("https://nematode.unl.edu/encha12.jpg")</f>
        <v>https://nematode.unl.edu/encha12.jpg</v>
      </c>
      <c r="D3332" t="s">
        <v>43</v>
      </c>
      <c r="G3332" t="s">
        <v>87</v>
      </c>
      <c r="I3332" t="s">
        <v>19</v>
      </c>
      <c r="J3332" t="s">
        <v>20</v>
      </c>
      <c r="L3332" t="s">
        <v>138</v>
      </c>
      <c r="M3332" t="s">
        <v>1099</v>
      </c>
      <c r="N3332" t="s">
        <v>1100</v>
      </c>
      <c r="O3332" t="s">
        <v>73</v>
      </c>
      <c r="P3332" t="s">
        <v>81</v>
      </c>
      <c r="Q3332" t="s">
        <v>1101</v>
      </c>
      <c r="R3332" t="s">
        <v>1102</v>
      </c>
    </row>
    <row r="3333" spans="1:18" x14ac:dyDescent="0.25">
      <c r="A3333" t="s">
        <v>20360</v>
      </c>
      <c r="B3333" t="s">
        <v>1106</v>
      </c>
      <c r="C3333" t="str">
        <f>HYPERLINK("https://nematode.unl.edu/encha13.jpg")</f>
        <v>https://nematode.unl.edu/encha13.jpg</v>
      </c>
      <c r="D3333" t="s">
        <v>43</v>
      </c>
      <c r="G3333" t="s">
        <v>34</v>
      </c>
      <c r="H3333" t="s">
        <v>18</v>
      </c>
      <c r="J3333" t="s">
        <v>20</v>
      </c>
      <c r="L3333" t="s">
        <v>138</v>
      </c>
      <c r="M3333" t="s">
        <v>1099</v>
      </c>
      <c r="N3333" t="s">
        <v>1100</v>
      </c>
      <c r="O3333" t="s">
        <v>73</v>
      </c>
      <c r="P3333" t="s">
        <v>81</v>
      </c>
      <c r="Q3333" t="s">
        <v>1101</v>
      </c>
      <c r="R3333" t="s">
        <v>1102</v>
      </c>
    </row>
    <row r="3334" spans="1:18" x14ac:dyDescent="0.25">
      <c r="A3334" t="s">
        <v>20361</v>
      </c>
      <c r="B3334" t="s">
        <v>1107</v>
      </c>
      <c r="C3334" t="str">
        <f>HYPERLINK("https://nematode.unl.edu/encha14.jpg")</f>
        <v>https://nematode.unl.edu/encha14.jpg</v>
      </c>
      <c r="D3334" t="s">
        <v>43</v>
      </c>
      <c r="G3334" t="s">
        <v>34</v>
      </c>
      <c r="H3334" t="s">
        <v>18</v>
      </c>
      <c r="J3334" t="s">
        <v>20</v>
      </c>
      <c r="L3334" t="s">
        <v>138</v>
      </c>
      <c r="M3334" t="s">
        <v>1099</v>
      </c>
      <c r="N3334" t="s">
        <v>1100</v>
      </c>
      <c r="O3334" t="s">
        <v>73</v>
      </c>
      <c r="P3334" t="s">
        <v>81</v>
      </c>
      <c r="Q3334" t="s">
        <v>1101</v>
      </c>
      <c r="R3334" t="s">
        <v>1102</v>
      </c>
    </row>
    <row r="3335" spans="1:18" x14ac:dyDescent="0.25">
      <c r="A3335" t="s">
        <v>20387</v>
      </c>
      <c r="B3335" t="s">
        <v>1108</v>
      </c>
      <c r="C3335" t="str">
        <f>HYPERLINK("https://nematode.unl.edu/encha15.jpg")</f>
        <v>https://nematode.unl.edu/encha15.jpg</v>
      </c>
      <c r="D3335" t="s">
        <v>43</v>
      </c>
      <c r="G3335" t="s">
        <v>51</v>
      </c>
      <c r="M3335" t="s">
        <v>1099</v>
      </c>
      <c r="N3335" t="s">
        <v>1100</v>
      </c>
      <c r="O3335" t="s">
        <v>73</v>
      </c>
      <c r="P3335" t="s">
        <v>81</v>
      </c>
      <c r="Q3335" t="s">
        <v>1101</v>
      </c>
      <c r="R3335" t="s">
        <v>1102</v>
      </c>
    </row>
    <row r="3336" spans="1:18" x14ac:dyDescent="0.25">
      <c r="A3336" t="s">
        <v>20379</v>
      </c>
      <c r="B3336" t="s">
        <v>1109</v>
      </c>
      <c r="C3336" t="str">
        <f>HYPERLINK("https://nematode.unl.edu/encha16.jpg")</f>
        <v>https://nematode.unl.edu/encha16.jpg</v>
      </c>
      <c r="D3336" t="s">
        <v>43</v>
      </c>
      <c r="G3336" t="s">
        <v>28</v>
      </c>
      <c r="I3336" t="s">
        <v>516</v>
      </c>
      <c r="J3336" t="s">
        <v>20</v>
      </c>
      <c r="L3336" t="s">
        <v>138</v>
      </c>
      <c r="M3336" t="s">
        <v>1099</v>
      </c>
      <c r="N3336" t="s">
        <v>1100</v>
      </c>
      <c r="O3336" t="s">
        <v>73</v>
      </c>
      <c r="P3336" t="s">
        <v>81</v>
      </c>
      <c r="Q3336" t="s">
        <v>1101</v>
      </c>
      <c r="R3336" t="s">
        <v>1102</v>
      </c>
    </row>
    <row r="3337" spans="1:18" x14ac:dyDescent="0.25">
      <c r="A3337" t="s">
        <v>20362</v>
      </c>
      <c r="B3337" t="s">
        <v>1110</v>
      </c>
      <c r="C3337" t="str">
        <f>HYPERLINK("https://nematode.unl.edu/encha17.jpg")</f>
        <v>https://nematode.unl.edu/encha17.jpg</v>
      </c>
      <c r="D3337" t="s">
        <v>16</v>
      </c>
      <c r="G3337" t="s">
        <v>34</v>
      </c>
      <c r="H3337" t="s">
        <v>18</v>
      </c>
      <c r="J3337" t="s">
        <v>20</v>
      </c>
      <c r="L3337" t="s">
        <v>173</v>
      </c>
      <c r="M3337" t="s">
        <v>1099</v>
      </c>
      <c r="N3337" t="s">
        <v>1100</v>
      </c>
      <c r="O3337" t="s">
        <v>73</v>
      </c>
      <c r="P3337" t="s">
        <v>81</v>
      </c>
      <c r="Q3337" t="s">
        <v>1101</v>
      </c>
      <c r="R3337" t="s">
        <v>1102</v>
      </c>
    </row>
    <row r="3338" spans="1:18" x14ac:dyDescent="0.25">
      <c r="A3338" t="s">
        <v>20380</v>
      </c>
      <c r="B3338" t="s">
        <v>1111</v>
      </c>
      <c r="C3338" t="str">
        <f>HYPERLINK("https://nematode.unl.edu/encha18.jpg")</f>
        <v>https://nematode.unl.edu/encha18.jpg</v>
      </c>
      <c r="D3338" t="s">
        <v>16</v>
      </c>
      <c r="G3338" t="s">
        <v>28</v>
      </c>
      <c r="M3338" t="s">
        <v>1099</v>
      </c>
      <c r="N3338" t="s">
        <v>1100</v>
      </c>
      <c r="O3338" t="s">
        <v>73</v>
      </c>
      <c r="P3338" t="s">
        <v>81</v>
      </c>
      <c r="Q3338" t="s">
        <v>1101</v>
      </c>
      <c r="R3338" t="s">
        <v>1102</v>
      </c>
    </row>
    <row r="3339" spans="1:18" x14ac:dyDescent="0.25">
      <c r="A3339" t="s">
        <v>20372</v>
      </c>
      <c r="B3339" t="s">
        <v>1112</v>
      </c>
      <c r="C3339" t="str">
        <f>HYPERLINK("https://nematode.unl.edu/encha19.jpg")</f>
        <v>https://nematode.unl.edu/encha19.jpg</v>
      </c>
      <c r="D3339" t="s">
        <v>16</v>
      </c>
      <c r="G3339" t="s">
        <v>87</v>
      </c>
      <c r="J3339" t="s">
        <v>20</v>
      </c>
      <c r="M3339" t="s">
        <v>1099</v>
      </c>
      <c r="N3339" t="s">
        <v>1100</v>
      </c>
      <c r="O3339" t="s">
        <v>73</v>
      </c>
      <c r="P3339" t="s">
        <v>81</v>
      </c>
      <c r="Q3339" t="s">
        <v>1101</v>
      </c>
      <c r="R3339" t="s">
        <v>1102</v>
      </c>
    </row>
    <row r="3340" spans="1:18" x14ac:dyDescent="0.25">
      <c r="A3340" t="s">
        <v>20373</v>
      </c>
      <c r="B3340" t="s">
        <v>1113</v>
      </c>
      <c r="C3340" t="str">
        <f>HYPERLINK("https://nematode.unl.edu/encha2.jpg")</f>
        <v>https://nematode.unl.edu/encha2.jpg</v>
      </c>
      <c r="D3340" t="s">
        <v>43</v>
      </c>
      <c r="G3340" t="s">
        <v>87</v>
      </c>
      <c r="J3340" t="s">
        <v>20</v>
      </c>
      <c r="L3340" t="s">
        <v>193</v>
      </c>
      <c r="M3340" t="s">
        <v>1099</v>
      </c>
      <c r="N3340" t="s">
        <v>1100</v>
      </c>
      <c r="O3340" t="s">
        <v>73</v>
      </c>
      <c r="P3340" t="s">
        <v>81</v>
      </c>
      <c r="Q3340" t="s">
        <v>1101</v>
      </c>
      <c r="R3340" t="s">
        <v>1102</v>
      </c>
    </row>
    <row r="3341" spans="1:18" x14ac:dyDescent="0.25">
      <c r="A3341" t="s">
        <v>20363</v>
      </c>
      <c r="B3341" t="s">
        <v>1114</v>
      </c>
      <c r="C3341" t="str">
        <f>HYPERLINK("https://nematode.unl.edu/encha20.jpg")</f>
        <v>https://nematode.unl.edu/encha20.jpg</v>
      </c>
      <c r="D3341" t="s">
        <v>16</v>
      </c>
      <c r="G3341" t="s">
        <v>34</v>
      </c>
      <c r="H3341" t="s">
        <v>18</v>
      </c>
      <c r="I3341" t="s">
        <v>516</v>
      </c>
      <c r="J3341" t="s">
        <v>20</v>
      </c>
      <c r="L3341" t="s">
        <v>138</v>
      </c>
      <c r="M3341" t="s">
        <v>1099</v>
      </c>
      <c r="N3341" t="s">
        <v>1100</v>
      </c>
      <c r="O3341" t="s">
        <v>73</v>
      </c>
      <c r="P3341" t="s">
        <v>81</v>
      </c>
      <c r="Q3341" t="s">
        <v>1101</v>
      </c>
      <c r="R3341" t="s">
        <v>1102</v>
      </c>
    </row>
    <row r="3342" spans="1:18" x14ac:dyDescent="0.25">
      <c r="A3342" t="s">
        <v>20381</v>
      </c>
      <c r="B3342" t="s">
        <v>1115</v>
      </c>
      <c r="C3342" t="str">
        <f>HYPERLINK("https://nematode.unl.edu/encha21.jpg")</f>
        <v>https://nematode.unl.edu/encha21.jpg</v>
      </c>
      <c r="D3342" t="s">
        <v>16</v>
      </c>
      <c r="G3342" t="s">
        <v>28</v>
      </c>
      <c r="L3342" t="s">
        <v>220</v>
      </c>
      <c r="M3342" t="s">
        <v>1099</v>
      </c>
      <c r="N3342" t="s">
        <v>1100</v>
      </c>
      <c r="O3342" t="s">
        <v>73</v>
      </c>
      <c r="P3342" t="s">
        <v>81</v>
      </c>
      <c r="Q3342" t="s">
        <v>1101</v>
      </c>
      <c r="R3342" t="s">
        <v>1102</v>
      </c>
    </row>
    <row r="3343" spans="1:18" x14ac:dyDescent="0.25">
      <c r="A3343" t="s">
        <v>20376</v>
      </c>
      <c r="B3343" t="s">
        <v>1116</v>
      </c>
      <c r="C3343" t="str">
        <f>HYPERLINK("https://nematode.unl.edu/encha22.jpg")</f>
        <v>https://nematode.unl.edu/encha22.jpg</v>
      </c>
      <c r="D3343" t="s">
        <v>43</v>
      </c>
      <c r="G3343" t="s">
        <v>44</v>
      </c>
      <c r="I3343" t="s">
        <v>499</v>
      </c>
      <c r="J3343" t="s">
        <v>20</v>
      </c>
      <c r="L3343" t="s">
        <v>141</v>
      </c>
      <c r="M3343" t="s">
        <v>1099</v>
      </c>
      <c r="N3343" t="s">
        <v>1100</v>
      </c>
      <c r="O3343" t="s">
        <v>73</v>
      </c>
      <c r="P3343" t="s">
        <v>81</v>
      </c>
      <c r="Q3343" t="s">
        <v>1101</v>
      </c>
      <c r="R3343" t="s">
        <v>1102</v>
      </c>
    </row>
    <row r="3344" spans="1:18" x14ac:dyDescent="0.25">
      <c r="A3344" t="s">
        <v>20364</v>
      </c>
      <c r="B3344" t="s">
        <v>1117</v>
      </c>
      <c r="C3344" t="str">
        <f>HYPERLINK("https://nematode.unl.edu/encha23.jpg")</f>
        <v>https://nematode.unl.edu/encha23.jpg</v>
      </c>
      <c r="D3344" t="s">
        <v>43</v>
      </c>
      <c r="G3344" t="s">
        <v>34</v>
      </c>
      <c r="H3344" t="s">
        <v>18</v>
      </c>
      <c r="J3344" t="s">
        <v>20</v>
      </c>
      <c r="L3344" t="s">
        <v>141</v>
      </c>
      <c r="M3344" t="s">
        <v>1099</v>
      </c>
      <c r="N3344" t="s">
        <v>1100</v>
      </c>
      <c r="O3344" t="s">
        <v>73</v>
      </c>
      <c r="P3344" t="s">
        <v>81</v>
      </c>
      <c r="Q3344" t="s">
        <v>1101</v>
      </c>
      <c r="R3344" t="s">
        <v>1102</v>
      </c>
    </row>
    <row r="3345" spans="1:18" x14ac:dyDescent="0.25">
      <c r="A3345" t="s">
        <v>20388</v>
      </c>
      <c r="B3345" t="s">
        <v>1118</v>
      </c>
      <c r="C3345" t="str">
        <f>HYPERLINK("https://nematode.unl.edu/encha24.jpg")</f>
        <v>https://nematode.unl.edu/encha24.jpg</v>
      </c>
      <c r="D3345" t="s">
        <v>43</v>
      </c>
      <c r="G3345" t="s">
        <v>51</v>
      </c>
      <c r="I3345" t="s">
        <v>516</v>
      </c>
      <c r="J3345" t="s">
        <v>20</v>
      </c>
      <c r="L3345" t="s">
        <v>138</v>
      </c>
      <c r="M3345" t="s">
        <v>1099</v>
      </c>
      <c r="N3345" t="s">
        <v>1100</v>
      </c>
      <c r="O3345" t="s">
        <v>73</v>
      </c>
      <c r="P3345" t="s">
        <v>81</v>
      </c>
      <c r="Q3345" t="s">
        <v>1101</v>
      </c>
      <c r="R3345" t="s">
        <v>1102</v>
      </c>
    </row>
    <row r="3346" spans="1:18" x14ac:dyDescent="0.25">
      <c r="A3346" t="s">
        <v>20382</v>
      </c>
      <c r="B3346" t="s">
        <v>1119</v>
      </c>
      <c r="C3346" t="str">
        <f>HYPERLINK("https://nematode.unl.edu/encha25.jpg")</f>
        <v>https://nematode.unl.edu/encha25.jpg</v>
      </c>
      <c r="D3346" t="s">
        <v>43</v>
      </c>
      <c r="G3346" t="s">
        <v>28</v>
      </c>
      <c r="I3346" t="s">
        <v>137</v>
      </c>
      <c r="J3346" t="s">
        <v>20</v>
      </c>
      <c r="L3346" t="s">
        <v>141</v>
      </c>
      <c r="M3346" t="s">
        <v>1099</v>
      </c>
      <c r="N3346" t="s">
        <v>1100</v>
      </c>
      <c r="O3346" t="s">
        <v>73</v>
      </c>
      <c r="P3346" t="s">
        <v>81</v>
      </c>
      <c r="Q3346" t="s">
        <v>1101</v>
      </c>
      <c r="R3346" t="s">
        <v>1102</v>
      </c>
    </row>
    <row r="3347" spans="1:18" x14ac:dyDescent="0.25">
      <c r="A3347" t="s">
        <v>20377</v>
      </c>
      <c r="B3347" t="s">
        <v>1120</v>
      </c>
      <c r="C3347" t="str">
        <f>HYPERLINK("https://nematode.unl.edu/encha26.jpg")</f>
        <v>https://nematode.unl.edu/encha26.jpg</v>
      </c>
      <c r="D3347" t="s">
        <v>43</v>
      </c>
      <c r="G3347" t="s">
        <v>44</v>
      </c>
      <c r="I3347" t="s">
        <v>1008</v>
      </c>
      <c r="J3347" t="s">
        <v>20</v>
      </c>
      <c r="L3347" t="s">
        <v>141</v>
      </c>
      <c r="M3347" t="s">
        <v>1099</v>
      </c>
      <c r="N3347" t="s">
        <v>1100</v>
      </c>
      <c r="O3347" t="s">
        <v>73</v>
      </c>
      <c r="P3347" t="s">
        <v>81</v>
      </c>
      <c r="Q3347" t="s">
        <v>1101</v>
      </c>
      <c r="R3347" t="s">
        <v>1102</v>
      </c>
    </row>
    <row r="3348" spans="1:18" x14ac:dyDescent="0.25">
      <c r="A3348" t="s">
        <v>20365</v>
      </c>
      <c r="B3348" t="s">
        <v>1121</v>
      </c>
      <c r="C3348" t="str">
        <f>HYPERLINK("https://nematode.unl.edu/encha27.jpg")</f>
        <v>https://nematode.unl.edu/encha27.jpg</v>
      </c>
      <c r="D3348" t="s">
        <v>43</v>
      </c>
      <c r="G3348" t="s">
        <v>34</v>
      </c>
      <c r="H3348" t="s">
        <v>18</v>
      </c>
      <c r="J3348" t="s">
        <v>20</v>
      </c>
      <c r="L3348" t="s">
        <v>141</v>
      </c>
      <c r="M3348" t="s">
        <v>1099</v>
      </c>
      <c r="N3348" t="s">
        <v>1100</v>
      </c>
      <c r="O3348" t="s">
        <v>73</v>
      </c>
      <c r="P3348" t="s">
        <v>81</v>
      </c>
      <c r="Q3348" t="s">
        <v>1101</v>
      </c>
      <c r="R3348" t="s">
        <v>1102</v>
      </c>
    </row>
    <row r="3349" spans="1:18" x14ac:dyDescent="0.25">
      <c r="A3349" t="s">
        <v>20359</v>
      </c>
      <c r="B3349" t="s">
        <v>1122</v>
      </c>
      <c r="C3349" t="str">
        <f>HYPERLINK("https://nematode.unl.edu/encha28.jpg")</f>
        <v>https://nematode.unl.edu/encha28.jpg</v>
      </c>
      <c r="D3349" t="s">
        <v>43</v>
      </c>
      <c r="G3349" t="s">
        <v>386</v>
      </c>
      <c r="H3349" t="s">
        <v>18</v>
      </c>
      <c r="J3349" t="s">
        <v>20</v>
      </c>
      <c r="L3349" t="s">
        <v>141</v>
      </c>
      <c r="M3349" t="s">
        <v>1099</v>
      </c>
      <c r="N3349" t="s">
        <v>1100</v>
      </c>
      <c r="O3349" t="s">
        <v>73</v>
      </c>
      <c r="P3349" t="s">
        <v>81</v>
      </c>
      <c r="Q3349" t="s">
        <v>1101</v>
      </c>
      <c r="R3349" t="s">
        <v>1102</v>
      </c>
    </row>
    <row r="3350" spans="1:18" x14ac:dyDescent="0.25">
      <c r="A3350" t="s">
        <v>20389</v>
      </c>
      <c r="B3350" t="s">
        <v>1123</v>
      </c>
      <c r="C3350" t="str">
        <f>HYPERLINK("https://nematode.unl.edu/encha29.jpg")</f>
        <v>https://nematode.unl.edu/encha29.jpg</v>
      </c>
      <c r="D3350" t="s">
        <v>43</v>
      </c>
      <c r="G3350" t="s">
        <v>51</v>
      </c>
      <c r="I3350" t="s">
        <v>19</v>
      </c>
      <c r="J3350" t="s">
        <v>20</v>
      </c>
      <c r="L3350" t="s">
        <v>220</v>
      </c>
      <c r="M3350" t="s">
        <v>1099</v>
      </c>
      <c r="N3350" t="s">
        <v>1100</v>
      </c>
      <c r="O3350" t="s">
        <v>73</v>
      </c>
      <c r="P3350" t="s">
        <v>81</v>
      </c>
      <c r="Q3350" t="s">
        <v>1101</v>
      </c>
      <c r="R3350" t="s">
        <v>1102</v>
      </c>
    </row>
    <row r="3351" spans="1:18" x14ac:dyDescent="0.25">
      <c r="A3351" t="s">
        <v>20383</v>
      </c>
      <c r="B3351" t="s">
        <v>1124</v>
      </c>
      <c r="C3351" t="str">
        <f>HYPERLINK("https://nematode.unl.edu/encha3.jpg")</f>
        <v>https://nematode.unl.edu/encha3.jpg</v>
      </c>
      <c r="D3351" t="s">
        <v>43</v>
      </c>
      <c r="G3351" t="s">
        <v>28</v>
      </c>
      <c r="I3351" t="s">
        <v>137</v>
      </c>
      <c r="J3351" t="s">
        <v>20</v>
      </c>
      <c r="L3351" t="s">
        <v>193</v>
      </c>
      <c r="M3351" t="s">
        <v>1099</v>
      </c>
      <c r="N3351" t="s">
        <v>1100</v>
      </c>
      <c r="O3351" t="s">
        <v>73</v>
      </c>
      <c r="P3351" t="s">
        <v>81</v>
      </c>
      <c r="Q3351" t="s">
        <v>1101</v>
      </c>
      <c r="R3351" t="s">
        <v>1102</v>
      </c>
    </row>
    <row r="3352" spans="1:18" x14ac:dyDescent="0.25">
      <c r="A3352" t="s">
        <v>20384</v>
      </c>
      <c r="B3352" t="s">
        <v>1125</v>
      </c>
      <c r="C3352" t="str">
        <f>HYPERLINK("https://nematode.unl.edu/encha30.jpg")</f>
        <v>https://nematode.unl.edu/encha30.jpg</v>
      </c>
      <c r="D3352" t="s">
        <v>43</v>
      </c>
      <c r="G3352" t="s">
        <v>28</v>
      </c>
      <c r="J3352" t="s">
        <v>20</v>
      </c>
      <c r="L3352" t="s">
        <v>141</v>
      </c>
      <c r="M3352" t="s">
        <v>1099</v>
      </c>
      <c r="N3352" t="s">
        <v>1100</v>
      </c>
      <c r="O3352" t="s">
        <v>73</v>
      </c>
      <c r="P3352" t="s">
        <v>81</v>
      </c>
      <c r="Q3352" t="s">
        <v>1101</v>
      </c>
      <c r="R3352" t="s">
        <v>1102</v>
      </c>
    </row>
    <row r="3353" spans="1:18" x14ac:dyDescent="0.25">
      <c r="A3353" t="s">
        <v>20366</v>
      </c>
      <c r="B3353" t="s">
        <v>1126</v>
      </c>
      <c r="C3353" t="str">
        <f>HYPERLINK("https://nematode.unl.edu/encha31.jpg")</f>
        <v>https://nematode.unl.edu/encha31.jpg</v>
      </c>
      <c r="D3353" t="s">
        <v>43</v>
      </c>
      <c r="G3353" t="s">
        <v>34</v>
      </c>
      <c r="H3353" t="s">
        <v>18</v>
      </c>
      <c r="I3353" t="s">
        <v>19</v>
      </c>
      <c r="J3353" t="s">
        <v>20</v>
      </c>
      <c r="L3353" t="s">
        <v>64</v>
      </c>
      <c r="M3353" t="s">
        <v>1099</v>
      </c>
      <c r="N3353" t="s">
        <v>1100</v>
      </c>
      <c r="O3353" t="s">
        <v>73</v>
      </c>
      <c r="P3353" t="s">
        <v>81</v>
      </c>
      <c r="Q3353" t="s">
        <v>1101</v>
      </c>
      <c r="R3353" t="s">
        <v>1102</v>
      </c>
    </row>
    <row r="3354" spans="1:18" x14ac:dyDescent="0.25">
      <c r="A3354" t="s">
        <v>20374</v>
      </c>
      <c r="B3354" t="s">
        <v>1127</v>
      </c>
      <c r="C3354" t="str">
        <f>HYPERLINK("https://nematode.unl.edu/encha32.jpg")</f>
        <v>https://nematode.unl.edu/encha32.jpg</v>
      </c>
      <c r="D3354" t="s">
        <v>43</v>
      </c>
      <c r="G3354" t="s">
        <v>87</v>
      </c>
      <c r="J3354" t="s">
        <v>20</v>
      </c>
      <c r="L3354" t="s">
        <v>64</v>
      </c>
      <c r="M3354" t="s">
        <v>1099</v>
      </c>
      <c r="N3354" t="s">
        <v>1100</v>
      </c>
      <c r="O3354" t="s">
        <v>73</v>
      </c>
      <c r="P3354" t="s">
        <v>81</v>
      </c>
      <c r="Q3354" t="s">
        <v>1101</v>
      </c>
      <c r="R3354" t="s">
        <v>1102</v>
      </c>
    </row>
    <row r="3355" spans="1:18" x14ac:dyDescent="0.25">
      <c r="A3355" t="s">
        <v>20390</v>
      </c>
      <c r="B3355" t="s">
        <v>1128</v>
      </c>
      <c r="C3355" t="str">
        <f>HYPERLINK("https://nematode.unl.edu/encha33.jpg")</f>
        <v>https://nematode.unl.edu/encha33.jpg</v>
      </c>
      <c r="D3355" t="s">
        <v>43</v>
      </c>
      <c r="G3355" t="s">
        <v>51</v>
      </c>
      <c r="I3355" t="s">
        <v>19</v>
      </c>
      <c r="M3355" t="s">
        <v>1099</v>
      </c>
      <c r="N3355" t="s">
        <v>1100</v>
      </c>
      <c r="O3355" t="s">
        <v>73</v>
      </c>
      <c r="P3355" t="s">
        <v>81</v>
      </c>
      <c r="Q3355" t="s">
        <v>1101</v>
      </c>
      <c r="R3355" t="s">
        <v>1102</v>
      </c>
    </row>
    <row r="3356" spans="1:18" x14ac:dyDescent="0.25">
      <c r="A3356" t="s">
        <v>20385</v>
      </c>
      <c r="B3356" t="s">
        <v>1129</v>
      </c>
      <c r="C3356" t="str">
        <f>HYPERLINK("https://nematode.unl.edu/encha34.jpg")</f>
        <v>https://nematode.unl.edu/encha34.jpg</v>
      </c>
      <c r="D3356" t="s">
        <v>43</v>
      </c>
      <c r="G3356" t="s">
        <v>28</v>
      </c>
      <c r="I3356" t="s">
        <v>19</v>
      </c>
      <c r="J3356" t="s">
        <v>20</v>
      </c>
      <c r="L3356" t="s">
        <v>64</v>
      </c>
      <c r="M3356" t="s">
        <v>1099</v>
      </c>
      <c r="N3356" t="s">
        <v>1100</v>
      </c>
      <c r="O3356" t="s">
        <v>73</v>
      </c>
      <c r="P3356" t="s">
        <v>81</v>
      </c>
      <c r="Q3356" t="s">
        <v>1101</v>
      </c>
      <c r="R3356" t="s">
        <v>1102</v>
      </c>
    </row>
    <row r="3357" spans="1:18" x14ac:dyDescent="0.25">
      <c r="A3357" t="s">
        <v>20391</v>
      </c>
      <c r="B3357" t="s">
        <v>1130</v>
      </c>
      <c r="C3357" t="str">
        <f>HYPERLINK("https://nematode.unl.edu/encha4.jpg")</f>
        <v>https://nematode.unl.edu/encha4.jpg</v>
      </c>
      <c r="D3357" t="s">
        <v>43</v>
      </c>
      <c r="G3357" t="s">
        <v>51</v>
      </c>
      <c r="I3357" t="s">
        <v>137</v>
      </c>
      <c r="J3357" t="s">
        <v>20</v>
      </c>
      <c r="L3357" t="s">
        <v>193</v>
      </c>
      <c r="M3357" t="s">
        <v>1099</v>
      </c>
      <c r="N3357" t="s">
        <v>1100</v>
      </c>
      <c r="O3357" t="s">
        <v>73</v>
      </c>
      <c r="P3357" t="s">
        <v>81</v>
      </c>
      <c r="Q3357" t="s">
        <v>1101</v>
      </c>
      <c r="R3357" t="s">
        <v>1102</v>
      </c>
    </row>
    <row r="3358" spans="1:18" x14ac:dyDescent="0.25">
      <c r="A3358" t="s">
        <v>20367</v>
      </c>
      <c r="B3358" t="s">
        <v>1131</v>
      </c>
      <c r="C3358" t="str">
        <f>HYPERLINK("https://nematode.unl.edu/encha5.jpg")</f>
        <v>https://nematode.unl.edu/encha5.jpg</v>
      </c>
      <c r="D3358" t="s">
        <v>43</v>
      </c>
      <c r="G3358" t="s">
        <v>34</v>
      </c>
      <c r="H3358" t="s">
        <v>18</v>
      </c>
      <c r="I3358" t="s">
        <v>137</v>
      </c>
      <c r="J3358" t="s">
        <v>20</v>
      </c>
      <c r="L3358" t="s">
        <v>141</v>
      </c>
      <c r="M3358" t="s">
        <v>1099</v>
      </c>
      <c r="N3358" t="s">
        <v>1100</v>
      </c>
      <c r="O3358" t="s">
        <v>73</v>
      </c>
      <c r="P3358" t="s">
        <v>81</v>
      </c>
      <c r="Q3358" t="s">
        <v>1101</v>
      </c>
      <c r="R3358" t="s">
        <v>1102</v>
      </c>
    </row>
    <row r="3359" spans="1:18" x14ac:dyDescent="0.25">
      <c r="A3359" t="s">
        <v>20368</v>
      </c>
      <c r="B3359" t="s">
        <v>1132</v>
      </c>
      <c r="C3359" t="str">
        <f>HYPERLINK("https://nematode.unl.edu/encha6.jpg")</f>
        <v>https://nematode.unl.edu/encha6.jpg</v>
      </c>
      <c r="D3359" t="s">
        <v>43</v>
      </c>
      <c r="G3359" t="s">
        <v>34</v>
      </c>
      <c r="H3359" t="s">
        <v>18</v>
      </c>
      <c r="J3359" t="s">
        <v>20</v>
      </c>
      <c r="L3359" t="s">
        <v>193</v>
      </c>
      <c r="M3359" t="s">
        <v>1099</v>
      </c>
      <c r="N3359" t="s">
        <v>1100</v>
      </c>
      <c r="O3359" t="s">
        <v>73</v>
      </c>
      <c r="P3359" t="s">
        <v>81</v>
      </c>
      <c r="Q3359" t="s">
        <v>1101</v>
      </c>
      <c r="R3359" t="s">
        <v>1102</v>
      </c>
    </row>
    <row r="3360" spans="1:18" x14ac:dyDescent="0.25">
      <c r="A3360" t="s">
        <v>20378</v>
      </c>
      <c r="B3360" t="s">
        <v>1133</v>
      </c>
      <c r="C3360" t="str">
        <f>HYPERLINK("https://nematode.unl.edu/encha7.jpg")</f>
        <v>https://nematode.unl.edu/encha7.jpg</v>
      </c>
      <c r="D3360" t="s">
        <v>43</v>
      </c>
      <c r="G3360" t="s">
        <v>44</v>
      </c>
      <c r="J3360" t="s">
        <v>20</v>
      </c>
      <c r="L3360" t="s">
        <v>220</v>
      </c>
      <c r="M3360" t="s">
        <v>1099</v>
      </c>
      <c r="N3360" t="s">
        <v>1100</v>
      </c>
      <c r="O3360" t="s">
        <v>73</v>
      </c>
      <c r="P3360" t="s">
        <v>81</v>
      </c>
      <c r="Q3360" t="s">
        <v>1101</v>
      </c>
      <c r="R3360" t="s">
        <v>1102</v>
      </c>
    </row>
    <row r="3361" spans="1:18" x14ac:dyDescent="0.25">
      <c r="A3361" t="s">
        <v>20369</v>
      </c>
      <c r="B3361" t="s">
        <v>1134</v>
      </c>
      <c r="C3361" t="str">
        <f>HYPERLINK("https://nematode.unl.edu/encha8.jpg")</f>
        <v>https://nematode.unl.edu/encha8.jpg</v>
      </c>
      <c r="D3361" t="s">
        <v>43</v>
      </c>
      <c r="G3361" t="s">
        <v>34</v>
      </c>
      <c r="H3361" t="s">
        <v>18</v>
      </c>
      <c r="I3361" t="s">
        <v>41</v>
      </c>
      <c r="J3361" t="s">
        <v>20</v>
      </c>
      <c r="L3361" t="s">
        <v>220</v>
      </c>
      <c r="M3361" t="s">
        <v>1099</v>
      </c>
      <c r="N3361" t="s">
        <v>1100</v>
      </c>
      <c r="O3361" t="s">
        <v>73</v>
      </c>
      <c r="P3361" t="s">
        <v>81</v>
      </c>
      <c r="Q3361" t="s">
        <v>1101</v>
      </c>
      <c r="R3361" t="s">
        <v>1102</v>
      </c>
    </row>
    <row r="3362" spans="1:18" x14ac:dyDescent="0.25">
      <c r="A3362" t="s">
        <v>20392</v>
      </c>
      <c r="B3362" t="s">
        <v>1135</v>
      </c>
      <c r="C3362" t="str">
        <f>HYPERLINK("https://nematode.unl.edu/encha9.jpg")</f>
        <v>https://nematode.unl.edu/encha9.jpg</v>
      </c>
      <c r="D3362" t="s">
        <v>43</v>
      </c>
      <c r="G3362" t="s">
        <v>51</v>
      </c>
      <c r="I3362" t="s">
        <v>19</v>
      </c>
      <c r="J3362" t="s">
        <v>20</v>
      </c>
      <c r="L3362" t="s">
        <v>141</v>
      </c>
      <c r="M3362" t="s">
        <v>1099</v>
      </c>
      <c r="N3362" t="s">
        <v>1100</v>
      </c>
      <c r="O3362" t="s">
        <v>73</v>
      </c>
      <c r="P3362" t="s">
        <v>81</v>
      </c>
      <c r="Q3362" t="s">
        <v>1101</v>
      </c>
      <c r="R3362" t="s">
        <v>1102</v>
      </c>
    </row>
    <row r="3363" spans="1:18" x14ac:dyDescent="0.25">
      <c r="A3363" t="s">
        <v>20309</v>
      </c>
      <c r="B3363" t="s">
        <v>4791</v>
      </c>
      <c r="C3363" t="str">
        <f>HYPERLINK("https://nematode.unl.edu/enchana1.jpg")</f>
        <v>https://nematode.unl.edu/enchana1.jpg</v>
      </c>
      <c r="D3363" t="s">
        <v>43</v>
      </c>
      <c r="G3363" t="s">
        <v>44</v>
      </c>
      <c r="I3363" t="s">
        <v>45</v>
      </c>
      <c r="M3363" t="s">
        <v>4792</v>
      </c>
      <c r="N3363" t="s">
        <v>4792</v>
      </c>
      <c r="O3363" t="s">
        <v>73</v>
      </c>
      <c r="P3363" t="s">
        <v>81</v>
      </c>
      <c r="Q3363" t="s">
        <v>1101</v>
      </c>
      <c r="R3363" t="s">
        <v>4785</v>
      </c>
    </row>
    <row r="3364" spans="1:18" x14ac:dyDescent="0.25">
      <c r="A3364" t="s">
        <v>20306</v>
      </c>
      <c r="B3364" t="s">
        <v>4793</v>
      </c>
      <c r="C3364" t="str">
        <f>HYPERLINK("https://nematode.unl.edu/enchana2.jpg")</f>
        <v>https://nematode.unl.edu/enchana2.jpg</v>
      </c>
      <c r="D3364" t="s">
        <v>43</v>
      </c>
      <c r="G3364" t="s">
        <v>34</v>
      </c>
      <c r="H3364" t="s">
        <v>18</v>
      </c>
      <c r="I3364" t="s">
        <v>19</v>
      </c>
      <c r="M3364" t="s">
        <v>4792</v>
      </c>
      <c r="N3364" t="s">
        <v>4792</v>
      </c>
      <c r="O3364" t="s">
        <v>73</v>
      </c>
      <c r="P3364" t="s">
        <v>81</v>
      </c>
      <c r="Q3364" t="s">
        <v>1101</v>
      </c>
      <c r="R3364" t="s">
        <v>4785</v>
      </c>
    </row>
    <row r="3365" spans="1:18" x14ac:dyDescent="0.25">
      <c r="A3365" t="s">
        <v>20307</v>
      </c>
      <c r="B3365" t="s">
        <v>4794</v>
      </c>
      <c r="C3365" t="str">
        <f>HYPERLINK("https://nematode.unl.edu/enchana3.jpg")</f>
        <v>https://nematode.unl.edu/enchana3.jpg</v>
      </c>
      <c r="D3365" t="s">
        <v>43</v>
      </c>
      <c r="G3365" t="s">
        <v>34</v>
      </c>
      <c r="H3365" t="s">
        <v>18</v>
      </c>
      <c r="I3365" t="s">
        <v>41</v>
      </c>
      <c r="M3365" t="s">
        <v>4792</v>
      </c>
      <c r="N3365" t="s">
        <v>4792</v>
      </c>
      <c r="O3365" t="s">
        <v>73</v>
      </c>
      <c r="P3365" t="s">
        <v>81</v>
      </c>
      <c r="Q3365" t="s">
        <v>1101</v>
      </c>
      <c r="R3365" t="s">
        <v>4785</v>
      </c>
    </row>
    <row r="3366" spans="1:18" x14ac:dyDescent="0.25">
      <c r="A3366" t="s">
        <v>20313</v>
      </c>
      <c r="B3366" t="s">
        <v>4795</v>
      </c>
      <c r="C3366" t="str">
        <f>HYPERLINK("https://nematode.unl.edu/enchana4.jpg")</f>
        <v>https://nematode.unl.edu/enchana4.jpg</v>
      </c>
      <c r="D3366" t="s">
        <v>43</v>
      </c>
      <c r="G3366" t="s">
        <v>51</v>
      </c>
      <c r="M3366" t="s">
        <v>4792</v>
      </c>
      <c r="N3366" t="s">
        <v>4792</v>
      </c>
      <c r="O3366" t="s">
        <v>73</v>
      </c>
      <c r="P3366" t="s">
        <v>81</v>
      </c>
      <c r="Q3366" t="s">
        <v>1101</v>
      </c>
      <c r="R3366" t="s">
        <v>4785</v>
      </c>
    </row>
    <row r="3367" spans="1:18" x14ac:dyDescent="0.25">
      <c r="A3367" t="s">
        <v>20311</v>
      </c>
      <c r="B3367" t="s">
        <v>4796</v>
      </c>
      <c r="C3367" t="str">
        <f>HYPERLINK("https://nematode.unl.edu/enchana5.jpg")</f>
        <v>https://nematode.unl.edu/enchana5.jpg</v>
      </c>
      <c r="D3367" t="s">
        <v>43</v>
      </c>
      <c r="G3367" t="s">
        <v>28</v>
      </c>
      <c r="I3367" t="s">
        <v>19</v>
      </c>
      <c r="M3367" t="s">
        <v>4792</v>
      </c>
      <c r="N3367" t="s">
        <v>4792</v>
      </c>
      <c r="O3367" t="s">
        <v>73</v>
      </c>
      <c r="P3367" t="s">
        <v>81</v>
      </c>
      <c r="Q3367" t="s">
        <v>1101</v>
      </c>
      <c r="R3367" t="s">
        <v>4785</v>
      </c>
    </row>
    <row r="3368" spans="1:18" x14ac:dyDescent="0.25">
      <c r="A3368" t="s">
        <v>20310</v>
      </c>
      <c r="B3368" t="s">
        <v>4797</v>
      </c>
      <c r="C3368" t="str">
        <f>HYPERLINK("https://nematode.unl.edu/enchana6.jpg")</f>
        <v>https://nematode.unl.edu/enchana6.jpg</v>
      </c>
      <c r="D3368" t="s">
        <v>77</v>
      </c>
      <c r="G3368" t="s">
        <v>44</v>
      </c>
      <c r="I3368" t="s">
        <v>45</v>
      </c>
      <c r="M3368" t="s">
        <v>4792</v>
      </c>
      <c r="N3368" t="s">
        <v>4792</v>
      </c>
      <c r="O3368" t="s">
        <v>73</v>
      </c>
      <c r="P3368" t="s">
        <v>81</v>
      </c>
      <c r="Q3368" t="s">
        <v>1101</v>
      </c>
      <c r="R3368" t="s">
        <v>4785</v>
      </c>
    </row>
    <row r="3369" spans="1:18" x14ac:dyDescent="0.25">
      <c r="A3369" t="s">
        <v>20308</v>
      </c>
      <c r="B3369" t="s">
        <v>4798</v>
      </c>
      <c r="C3369" t="str">
        <f>HYPERLINK("https://nematode.unl.edu/enchana7.jpg")</f>
        <v>https://nematode.unl.edu/enchana7.jpg</v>
      </c>
      <c r="D3369" t="s">
        <v>77</v>
      </c>
      <c r="G3369" t="s">
        <v>34</v>
      </c>
      <c r="H3369" t="s">
        <v>18</v>
      </c>
      <c r="I3369" t="s">
        <v>41</v>
      </c>
      <c r="M3369" t="s">
        <v>4792</v>
      </c>
      <c r="N3369" t="s">
        <v>4792</v>
      </c>
      <c r="O3369" t="s">
        <v>73</v>
      </c>
      <c r="P3369" t="s">
        <v>81</v>
      </c>
      <c r="Q3369" t="s">
        <v>1101</v>
      </c>
      <c r="R3369" t="s">
        <v>4785</v>
      </c>
    </row>
    <row r="3370" spans="1:18" x14ac:dyDescent="0.25">
      <c r="A3370" t="s">
        <v>20312</v>
      </c>
      <c r="B3370" t="s">
        <v>4799</v>
      </c>
      <c r="C3370" t="str">
        <f>HYPERLINK("https://nematode.unl.edu/enchana8.jpg")</f>
        <v>https://nematode.unl.edu/enchana8.jpg</v>
      </c>
      <c r="D3370" t="s">
        <v>77</v>
      </c>
      <c r="G3370" t="s">
        <v>28</v>
      </c>
      <c r="I3370" t="s">
        <v>19</v>
      </c>
      <c r="M3370" t="s">
        <v>4792</v>
      </c>
      <c r="N3370" t="s">
        <v>4792</v>
      </c>
      <c r="O3370" t="s">
        <v>73</v>
      </c>
      <c r="P3370" t="s">
        <v>81</v>
      </c>
      <c r="Q3370" t="s">
        <v>1101</v>
      </c>
      <c r="R3370" t="s">
        <v>4785</v>
      </c>
    </row>
    <row r="3371" spans="1:18" x14ac:dyDescent="0.25">
      <c r="A3371" t="s">
        <v>20305</v>
      </c>
      <c r="B3371" t="s">
        <v>4800</v>
      </c>
      <c r="C3371" t="str">
        <f>HYPERLINK("https://nematode.unl.edu/enchana9.jpg")</f>
        <v>https://nematode.unl.edu/enchana9.jpg</v>
      </c>
      <c r="D3371" t="s">
        <v>43</v>
      </c>
      <c r="G3371" t="s">
        <v>96</v>
      </c>
      <c r="H3371" t="s">
        <v>18</v>
      </c>
      <c r="M3371" t="s">
        <v>4792</v>
      </c>
      <c r="N3371" t="s">
        <v>4792</v>
      </c>
      <c r="O3371" t="s">
        <v>73</v>
      </c>
      <c r="P3371" t="s">
        <v>81</v>
      </c>
      <c r="Q3371" t="s">
        <v>1101</v>
      </c>
      <c r="R3371" t="s">
        <v>4785</v>
      </c>
    </row>
    <row r="3372" spans="1:18" x14ac:dyDescent="0.25">
      <c r="A3372" t="s">
        <v>20414</v>
      </c>
      <c r="B3372" t="s">
        <v>1154</v>
      </c>
      <c r="C3372" t="str">
        <f>HYPERLINK("https://nematode.unl.edu/enchbr1.jpg")</f>
        <v>https://nematode.unl.edu/enchbr1.jpg</v>
      </c>
      <c r="D3372" t="s">
        <v>16</v>
      </c>
      <c r="G3372" t="s">
        <v>44</v>
      </c>
      <c r="I3372" t="s">
        <v>45</v>
      </c>
      <c r="J3372" t="s">
        <v>267</v>
      </c>
      <c r="M3372" t="s">
        <v>1137</v>
      </c>
      <c r="N3372" t="s">
        <v>1138</v>
      </c>
      <c r="O3372" t="s">
        <v>73</v>
      </c>
      <c r="P3372" t="s">
        <v>81</v>
      </c>
      <c r="Q3372" t="s">
        <v>1101</v>
      </c>
      <c r="R3372" t="s">
        <v>1102</v>
      </c>
    </row>
    <row r="3373" spans="1:18" x14ac:dyDescent="0.25">
      <c r="A3373" t="s">
        <v>20400</v>
      </c>
      <c r="B3373" t="s">
        <v>1155</v>
      </c>
      <c r="C3373" t="str">
        <f>HYPERLINK("https://nematode.unl.edu/enchbr10.jpg")</f>
        <v>https://nematode.unl.edu/enchbr10.jpg</v>
      </c>
      <c r="D3373" t="s">
        <v>16</v>
      </c>
      <c r="G3373" t="s">
        <v>34</v>
      </c>
      <c r="H3373" t="s">
        <v>18</v>
      </c>
      <c r="I3373" t="s">
        <v>41</v>
      </c>
      <c r="M3373" t="s">
        <v>1137</v>
      </c>
      <c r="N3373" t="s">
        <v>1138</v>
      </c>
      <c r="O3373" t="s">
        <v>73</v>
      </c>
      <c r="P3373" t="s">
        <v>81</v>
      </c>
      <c r="Q3373" t="s">
        <v>1101</v>
      </c>
      <c r="R3373" t="s">
        <v>1102</v>
      </c>
    </row>
    <row r="3374" spans="1:18" x14ac:dyDescent="0.25">
      <c r="A3374" t="s">
        <v>20419</v>
      </c>
      <c r="B3374" t="s">
        <v>1156</v>
      </c>
      <c r="C3374" t="str">
        <f>HYPERLINK("https://nematode.unl.edu/enchbr11.jpg")</f>
        <v>https://nematode.unl.edu/enchbr11.jpg</v>
      </c>
      <c r="D3374" t="s">
        <v>16</v>
      </c>
      <c r="G3374" t="s">
        <v>28</v>
      </c>
      <c r="I3374" t="s">
        <v>41</v>
      </c>
      <c r="J3374" t="s">
        <v>267</v>
      </c>
      <c r="M3374" t="s">
        <v>1137</v>
      </c>
      <c r="N3374" t="s">
        <v>1138</v>
      </c>
      <c r="O3374" t="s">
        <v>73</v>
      </c>
      <c r="P3374" t="s">
        <v>81</v>
      </c>
      <c r="Q3374" t="s">
        <v>1101</v>
      </c>
      <c r="R3374" t="s">
        <v>1102</v>
      </c>
    </row>
    <row r="3375" spans="1:18" x14ac:dyDescent="0.25">
      <c r="A3375" t="s">
        <v>20415</v>
      </c>
      <c r="B3375" t="s">
        <v>1157</v>
      </c>
      <c r="C3375" t="str">
        <f>HYPERLINK("https://nematode.unl.edu/enchbr12.jpg")</f>
        <v>https://nematode.unl.edu/enchbr12.jpg</v>
      </c>
      <c r="D3375" t="s">
        <v>43</v>
      </c>
      <c r="G3375" t="s">
        <v>44</v>
      </c>
      <c r="I3375" t="s">
        <v>45</v>
      </c>
      <c r="J3375" t="s">
        <v>267</v>
      </c>
      <c r="M3375" t="s">
        <v>1137</v>
      </c>
      <c r="N3375" t="s">
        <v>1138</v>
      </c>
      <c r="O3375" t="s">
        <v>73</v>
      </c>
      <c r="P3375" t="s">
        <v>81</v>
      </c>
      <c r="Q3375" t="s">
        <v>1101</v>
      </c>
      <c r="R3375" t="s">
        <v>1102</v>
      </c>
    </row>
    <row r="3376" spans="1:18" x14ac:dyDescent="0.25">
      <c r="A3376" t="s">
        <v>20401</v>
      </c>
      <c r="B3376" t="s">
        <v>1158</v>
      </c>
      <c r="C3376" t="str">
        <f>HYPERLINK("https://nematode.unl.edu/enchbr13.jpg")</f>
        <v>https://nematode.unl.edu/enchbr13.jpg</v>
      </c>
      <c r="D3376" t="s">
        <v>43</v>
      </c>
      <c r="G3376" t="s">
        <v>34</v>
      </c>
      <c r="H3376" t="s">
        <v>18</v>
      </c>
      <c r="I3376" t="s">
        <v>19</v>
      </c>
      <c r="J3376" t="s">
        <v>267</v>
      </c>
      <c r="M3376" t="s">
        <v>1137</v>
      </c>
      <c r="N3376" t="s">
        <v>1138</v>
      </c>
      <c r="O3376" t="s">
        <v>73</v>
      </c>
      <c r="P3376" t="s">
        <v>81</v>
      </c>
      <c r="Q3376" t="s">
        <v>1101</v>
      </c>
      <c r="R3376" t="s">
        <v>1102</v>
      </c>
    </row>
    <row r="3377" spans="1:18" x14ac:dyDescent="0.25">
      <c r="A3377" t="s">
        <v>20393</v>
      </c>
      <c r="B3377" t="s">
        <v>1159</v>
      </c>
      <c r="C3377" t="str">
        <f>HYPERLINK("https://nematode.unl.edu/enchbr14.jpg")</f>
        <v>https://nematode.unl.edu/enchbr14.jpg</v>
      </c>
      <c r="D3377" t="s">
        <v>43</v>
      </c>
      <c r="G3377" t="s">
        <v>17</v>
      </c>
      <c r="H3377" t="s">
        <v>18</v>
      </c>
      <c r="I3377" t="s">
        <v>19</v>
      </c>
      <c r="M3377" t="s">
        <v>1137</v>
      </c>
      <c r="N3377" t="s">
        <v>1138</v>
      </c>
      <c r="O3377" t="s">
        <v>73</v>
      </c>
      <c r="P3377" t="s">
        <v>81</v>
      </c>
      <c r="Q3377" t="s">
        <v>1101</v>
      </c>
      <c r="R3377" t="s">
        <v>1102</v>
      </c>
    </row>
    <row r="3378" spans="1:18" x14ac:dyDescent="0.25">
      <c r="A3378" t="s">
        <v>20427</v>
      </c>
      <c r="B3378" t="s">
        <v>1160</v>
      </c>
      <c r="C3378" t="str">
        <f>HYPERLINK("https://nematode.unl.edu/enchbr15.jpg")</f>
        <v>https://nematode.unl.edu/enchbr15.jpg</v>
      </c>
      <c r="D3378" t="s">
        <v>43</v>
      </c>
      <c r="G3378" t="s">
        <v>51</v>
      </c>
      <c r="I3378" t="s">
        <v>19</v>
      </c>
      <c r="J3378" t="s">
        <v>267</v>
      </c>
      <c r="M3378" t="s">
        <v>1137</v>
      </c>
      <c r="N3378" t="s">
        <v>1138</v>
      </c>
      <c r="O3378" t="s">
        <v>73</v>
      </c>
      <c r="P3378" t="s">
        <v>81</v>
      </c>
      <c r="Q3378" t="s">
        <v>1101</v>
      </c>
      <c r="R3378" t="s">
        <v>1102</v>
      </c>
    </row>
    <row r="3379" spans="1:18" x14ac:dyDescent="0.25">
      <c r="A3379" t="s">
        <v>20420</v>
      </c>
      <c r="B3379" t="s">
        <v>1161</v>
      </c>
      <c r="C3379" t="str">
        <f>HYPERLINK("https://nematode.unl.edu/enchbr16.jpg")</f>
        <v>https://nematode.unl.edu/enchbr16.jpg</v>
      </c>
      <c r="D3379" t="s">
        <v>43</v>
      </c>
      <c r="G3379" t="s">
        <v>28</v>
      </c>
      <c r="I3379" t="s">
        <v>19</v>
      </c>
      <c r="J3379" t="s">
        <v>267</v>
      </c>
      <c r="M3379" t="s">
        <v>1137</v>
      </c>
      <c r="N3379" t="s">
        <v>1138</v>
      </c>
      <c r="O3379" t="s">
        <v>73</v>
      </c>
      <c r="P3379" t="s">
        <v>81</v>
      </c>
      <c r="Q3379" t="s">
        <v>1101</v>
      </c>
      <c r="R3379" t="s">
        <v>1102</v>
      </c>
    </row>
    <row r="3380" spans="1:18" x14ac:dyDescent="0.25">
      <c r="A3380" t="s">
        <v>20402</v>
      </c>
      <c r="B3380" t="s">
        <v>1162</v>
      </c>
      <c r="C3380" t="str">
        <f>HYPERLINK("https://nematode.unl.edu/enchbr17.jpg")</f>
        <v>https://nematode.unl.edu/enchbr17.jpg</v>
      </c>
      <c r="D3380" t="s">
        <v>43</v>
      </c>
      <c r="G3380" t="s">
        <v>34</v>
      </c>
      <c r="H3380" t="s">
        <v>18</v>
      </c>
      <c r="I3380" t="s">
        <v>41</v>
      </c>
      <c r="J3380" t="s">
        <v>267</v>
      </c>
      <c r="M3380" t="s">
        <v>1137</v>
      </c>
      <c r="N3380" t="s">
        <v>1138</v>
      </c>
      <c r="O3380" t="s">
        <v>73</v>
      </c>
      <c r="P3380" t="s">
        <v>81</v>
      </c>
      <c r="Q3380" t="s">
        <v>1101</v>
      </c>
      <c r="R3380" t="s">
        <v>1102</v>
      </c>
    </row>
    <row r="3381" spans="1:18" x14ac:dyDescent="0.25">
      <c r="A3381" t="s">
        <v>20403</v>
      </c>
      <c r="B3381" t="s">
        <v>1163</v>
      </c>
      <c r="C3381" t="str">
        <f>HYPERLINK("https://nematode.unl.edu/enchbr18.jpg")</f>
        <v>https://nematode.unl.edu/enchbr18.jpg</v>
      </c>
      <c r="D3381" t="s">
        <v>43</v>
      </c>
      <c r="G3381" t="s">
        <v>34</v>
      </c>
      <c r="H3381" t="s">
        <v>18</v>
      </c>
      <c r="I3381" t="s">
        <v>19</v>
      </c>
      <c r="J3381" t="s">
        <v>267</v>
      </c>
      <c r="M3381" t="s">
        <v>1137</v>
      </c>
      <c r="N3381" t="s">
        <v>1138</v>
      </c>
      <c r="O3381" t="s">
        <v>73</v>
      </c>
      <c r="P3381" t="s">
        <v>81</v>
      </c>
      <c r="Q3381" t="s">
        <v>1101</v>
      </c>
      <c r="R3381" t="s">
        <v>1102</v>
      </c>
    </row>
    <row r="3382" spans="1:18" x14ac:dyDescent="0.25">
      <c r="A3382" t="s">
        <v>20410</v>
      </c>
      <c r="B3382" t="s">
        <v>1164</v>
      </c>
      <c r="C3382" t="str">
        <f>HYPERLINK("https://nematode.unl.edu/enchbr19.jpg")</f>
        <v>https://nematode.unl.edu/enchbr19.jpg</v>
      </c>
      <c r="D3382" t="s">
        <v>77</v>
      </c>
      <c r="G3382" t="s">
        <v>87</v>
      </c>
      <c r="I3382" t="s">
        <v>19</v>
      </c>
      <c r="M3382" t="s">
        <v>1137</v>
      </c>
      <c r="N3382" t="s">
        <v>1138</v>
      </c>
      <c r="O3382" t="s">
        <v>73</v>
      </c>
      <c r="P3382" t="s">
        <v>81</v>
      </c>
      <c r="Q3382" t="s">
        <v>1101</v>
      </c>
      <c r="R3382" t="s">
        <v>1102</v>
      </c>
    </row>
    <row r="3383" spans="1:18" x14ac:dyDescent="0.25">
      <c r="A3383" t="s">
        <v>20404</v>
      </c>
      <c r="B3383" t="s">
        <v>1165</v>
      </c>
      <c r="C3383" t="str">
        <f>HYPERLINK("https://nematode.unl.edu/enchbr2.jpg")</f>
        <v>https://nematode.unl.edu/enchbr2.jpg</v>
      </c>
      <c r="D3383" t="s">
        <v>16</v>
      </c>
      <c r="G3383" t="s">
        <v>34</v>
      </c>
      <c r="H3383" t="s">
        <v>18</v>
      </c>
      <c r="J3383" t="s">
        <v>267</v>
      </c>
      <c r="M3383" t="s">
        <v>1137</v>
      </c>
      <c r="N3383" t="s">
        <v>1138</v>
      </c>
      <c r="O3383" t="s">
        <v>73</v>
      </c>
      <c r="P3383" t="s">
        <v>81</v>
      </c>
      <c r="Q3383" t="s">
        <v>1101</v>
      </c>
      <c r="R3383" t="s">
        <v>1102</v>
      </c>
    </row>
    <row r="3384" spans="1:18" x14ac:dyDescent="0.25">
      <c r="A3384" t="s">
        <v>20428</v>
      </c>
      <c r="B3384" t="s">
        <v>1166</v>
      </c>
      <c r="C3384" t="str">
        <f>HYPERLINK("https://nematode.unl.edu/enchbr20.jpg")</f>
        <v>https://nematode.unl.edu/enchbr20.jpg</v>
      </c>
      <c r="D3384" t="s">
        <v>43</v>
      </c>
      <c r="G3384" t="s">
        <v>51</v>
      </c>
      <c r="I3384" t="s">
        <v>19</v>
      </c>
      <c r="M3384" t="s">
        <v>1137</v>
      </c>
      <c r="N3384" t="s">
        <v>1138</v>
      </c>
      <c r="O3384" t="s">
        <v>73</v>
      </c>
      <c r="P3384" t="s">
        <v>81</v>
      </c>
      <c r="Q3384" t="s">
        <v>1101</v>
      </c>
      <c r="R3384" t="s">
        <v>1102</v>
      </c>
    </row>
    <row r="3385" spans="1:18" x14ac:dyDescent="0.25">
      <c r="A3385" t="s">
        <v>20421</v>
      </c>
      <c r="B3385" t="s">
        <v>1167</v>
      </c>
      <c r="C3385" t="str">
        <f>HYPERLINK("https://nematode.unl.edu/enchbr21.jpg")</f>
        <v>https://nematode.unl.edu/enchbr21.jpg</v>
      </c>
      <c r="D3385" t="s">
        <v>43</v>
      </c>
      <c r="G3385" t="s">
        <v>28</v>
      </c>
      <c r="M3385" t="s">
        <v>1137</v>
      </c>
      <c r="N3385" t="s">
        <v>1138</v>
      </c>
      <c r="O3385" t="s">
        <v>73</v>
      </c>
      <c r="P3385" t="s">
        <v>81</v>
      </c>
      <c r="Q3385" t="s">
        <v>1101</v>
      </c>
      <c r="R3385" t="s">
        <v>1102</v>
      </c>
    </row>
    <row r="3386" spans="1:18" x14ac:dyDescent="0.25">
      <c r="A3386" t="s">
        <v>20411</v>
      </c>
      <c r="B3386" t="s">
        <v>1168</v>
      </c>
      <c r="C3386" t="str">
        <f>HYPERLINK("https://nematode.unl.edu/enchbr3.jpg")</f>
        <v>https://nematode.unl.edu/enchbr3.jpg</v>
      </c>
      <c r="D3386" t="s">
        <v>16</v>
      </c>
      <c r="G3386" t="s">
        <v>87</v>
      </c>
      <c r="I3386" t="s">
        <v>19</v>
      </c>
      <c r="J3386" t="s">
        <v>267</v>
      </c>
      <c r="M3386" t="s">
        <v>1137</v>
      </c>
      <c r="N3386" t="s">
        <v>1138</v>
      </c>
      <c r="O3386" t="s">
        <v>73</v>
      </c>
      <c r="P3386" t="s">
        <v>81</v>
      </c>
      <c r="Q3386" t="s">
        <v>1101</v>
      </c>
      <c r="R3386" t="s">
        <v>1102</v>
      </c>
    </row>
    <row r="3387" spans="1:18" x14ac:dyDescent="0.25">
      <c r="A3387" t="s">
        <v>20422</v>
      </c>
      <c r="B3387" t="s">
        <v>1169</v>
      </c>
      <c r="C3387" t="str">
        <f>HYPERLINK("https://nematode.unl.edu/enchbr4.jpg")</f>
        <v>https://nematode.unl.edu/enchbr4.jpg</v>
      </c>
      <c r="D3387" t="s">
        <v>16</v>
      </c>
      <c r="G3387" t="s">
        <v>28</v>
      </c>
      <c r="I3387" t="s">
        <v>19</v>
      </c>
      <c r="J3387" t="s">
        <v>267</v>
      </c>
      <c r="M3387" t="s">
        <v>1137</v>
      </c>
      <c r="N3387" t="s">
        <v>1138</v>
      </c>
      <c r="O3387" t="s">
        <v>73</v>
      </c>
      <c r="P3387" t="s">
        <v>81</v>
      </c>
      <c r="Q3387" t="s">
        <v>1101</v>
      </c>
      <c r="R3387" t="s">
        <v>1102</v>
      </c>
    </row>
    <row r="3388" spans="1:18" x14ac:dyDescent="0.25">
      <c r="A3388" t="s">
        <v>20405</v>
      </c>
      <c r="B3388" t="s">
        <v>1170</v>
      </c>
      <c r="C3388" t="str">
        <f>HYPERLINK("https://nematode.unl.edu/enchbr5.jpg")</f>
        <v>https://nematode.unl.edu/enchbr5.jpg</v>
      </c>
      <c r="D3388" t="s">
        <v>16</v>
      </c>
      <c r="G3388" t="s">
        <v>34</v>
      </c>
      <c r="H3388" t="s">
        <v>18</v>
      </c>
      <c r="I3388" t="s">
        <v>41</v>
      </c>
      <c r="J3388" t="s">
        <v>267</v>
      </c>
      <c r="M3388" t="s">
        <v>1137</v>
      </c>
      <c r="N3388" t="s">
        <v>1138</v>
      </c>
      <c r="O3388" t="s">
        <v>73</v>
      </c>
      <c r="P3388" t="s">
        <v>81</v>
      </c>
      <c r="Q3388" t="s">
        <v>1101</v>
      </c>
      <c r="R3388" t="s">
        <v>1102</v>
      </c>
    </row>
    <row r="3389" spans="1:18" x14ac:dyDescent="0.25">
      <c r="A3389" t="s">
        <v>20412</v>
      </c>
      <c r="B3389" t="s">
        <v>1171</v>
      </c>
      <c r="C3389" t="str">
        <f>HYPERLINK("https://nematode.unl.edu/enchbr6.jpg")</f>
        <v>https://nematode.unl.edu/enchbr6.jpg</v>
      </c>
      <c r="D3389" t="s">
        <v>16</v>
      </c>
      <c r="G3389" t="s">
        <v>87</v>
      </c>
      <c r="I3389" t="s">
        <v>19</v>
      </c>
      <c r="J3389" t="s">
        <v>267</v>
      </c>
      <c r="M3389" t="s">
        <v>1137</v>
      </c>
      <c r="N3389" t="s">
        <v>1138</v>
      </c>
      <c r="O3389" t="s">
        <v>73</v>
      </c>
      <c r="P3389" t="s">
        <v>81</v>
      </c>
      <c r="Q3389" t="s">
        <v>1101</v>
      </c>
      <c r="R3389" t="s">
        <v>1102</v>
      </c>
    </row>
    <row r="3390" spans="1:18" x14ac:dyDescent="0.25">
      <c r="A3390" t="s">
        <v>20406</v>
      </c>
      <c r="B3390" t="s">
        <v>1172</v>
      </c>
      <c r="C3390" t="str">
        <f>HYPERLINK("https://nematode.unl.edu/enchbr7.jpg")</f>
        <v>https://nematode.unl.edu/enchbr7.jpg</v>
      </c>
      <c r="D3390" t="s">
        <v>16</v>
      </c>
      <c r="G3390" t="s">
        <v>34</v>
      </c>
      <c r="H3390" t="s">
        <v>18</v>
      </c>
      <c r="I3390" t="s">
        <v>19</v>
      </c>
      <c r="J3390" t="s">
        <v>267</v>
      </c>
      <c r="M3390" t="s">
        <v>1137</v>
      </c>
      <c r="N3390" t="s">
        <v>1138</v>
      </c>
      <c r="O3390" t="s">
        <v>73</v>
      </c>
      <c r="P3390" t="s">
        <v>81</v>
      </c>
      <c r="Q3390" t="s">
        <v>1101</v>
      </c>
      <c r="R3390" t="s">
        <v>1102</v>
      </c>
    </row>
    <row r="3391" spans="1:18" x14ac:dyDescent="0.25">
      <c r="A3391" t="s">
        <v>20423</v>
      </c>
      <c r="B3391" t="s">
        <v>1173</v>
      </c>
      <c r="C3391" t="str">
        <f>HYPERLINK("https://nematode.unl.edu/enchbr8.jpg")</f>
        <v>https://nematode.unl.edu/enchbr8.jpg</v>
      </c>
      <c r="D3391" t="s">
        <v>16</v>
      </c>
      <c r="G3391" t="s">
        <v>28</v>
      </c>
      <c r="I3391" t="s">
        <v>19</v>
      </c>
      <c r="J3391" t="s">
        <v>267</v>
      </c>
      <c r="M3391" t="s">
        <v>1137</v>
      </c>
      <c r="N3391" t="s">
        <v>1138</v>
      </c>
      <c r="O3391" t="s">
        <v>73</v>
      </c>
      <c r="P3391" t="s">
        <v>81</v>
      </c>
      <c r="Q3391" t="s">
        <v>1101</v>
      </c>
      <c r="R3391" t="s">
        <v>1102</v>
      </c>
    </row>
    <row r="3392" spans="1:18" x14ac:dyDescent="0.25">
      <c r="A3392" t="s">
        <v>20424</v>
      </c>
      <c r="B3392" t="s">
        <v>1174</v>
      </c>
      <c r="C3392" t="str">
        <f>HYPERLINK("https://nematode.unl.edu/enchbr9.jpg")</f>
        <v>https://nematode.unl.edu/enchbr9.jpg</v>
      </c>
      <c r="D3392" t="s">
        <v>16</v>
      </c>
      <c r="G3392" t="s">
        <v>28</v>
      </c>
      <c r="I3392" t="s">
        <v>19</v>
      </c>
      <c r="J3392" t="s">
        <v>267</v>
      </c>
      <c r="M3392" t="s">
        <v>1137</v>
      </c>
      <c r="N3392" t="s">
        <v>1138</v>
      </c>
      <c r="O3392" t="s">
        <v>73</v>
      </c>
      <c r="P3392" t="s">
        <v>81</v>
      </c>
      <c r="Q3392" t="s">
        <v>1101</v>
      </c>
      <c r="R3392" t="s">
        <v>1102</v>
      </c>
    </row>
    <row r="3393" spans="1:18" x14ac:dyDescent="0.25">
      <c r="A3393" t="s">
        <v>20314</v>
      </c>
      <c r="B3393" t="s">
        <v>4801</v>
      </c>
      <c r="C3393" t="str">
        <f>HYPERLINK("https://nematode.unl.edu/encho1.jpg")</f>
        <v>https://nematode.unl.edu/encho1.jpg</v>
      </c>
      <c r="D3393" t="s">
        <v>43</v>
      </c>
      <c r="G3393" t="s">
        <v>96</v>
      </c>
      <c r="H3393" t="s">
        <v>18</v>
      </c>
      <c r="I3393" t="s">
        <v>45</v>
      </c>
      <c r="J3393" t="s">
        <v>440</v>
      </c>
      <c r="M3393" t="s">
        <v>4802</v>
      </c>
      <c r="N3393" t="s">
        <v>4802</v>
      </c>
      <c r="O3393" t="s">
        <v>73</v>
      </c>
      <c r="P3393" t="s">
        <v>81</v>
      </c>
      <c r="Q3393" t="s">
        <v>1101</v>
      </c>
      <c r="R3393" t="s">
        <v>4785</v>
      </c>
    </row>
    <row r="3394" spans="1:18" x14ac:dyDescent="0.25">
      <c r="A3394" t="s">
        <v>20320</v>
      </c>
      <c r="B3394" t="s">
        <v>4803</v>
      </c>
      <c r="C3394" t="str">
        <f>HYPERLINK("https://nematode.unl.edu/encho10.jpg")</f>
        <v>https://nematode.unl.edu/encho10.jpg</v>
      </c>
      <c r="D3394" t="s">
        <v>43</v>
      </c>
      <c r="G3394" t="s">
        <v>34</v>
      </c>
      <c r="H3394" t="s">
        <v>18</v>
      </c>
      <c r="I3394" t="s">
        <v>41</v>
      </c>
      <c r="J3394" t="s">
        <v>440</v>
      </c>
      <c r="M3394" t="s">
        <v>4802</v>
      </c>
      <c r="N3394" t="s">
        <v>4802</v>
      </c>
      <c r="O3394" t="s">
        <v>73</v>
      </c>
      <c r="P3394" t="s">
        <v>81</v>
      </c>
      <c r="Q3394" t="s">
        <v>1101</v>
      </c>
      <c r="R3394" t="s">
        <v>4785</v>
      </c>
    </row>
    <row r="3395" spans="1:18" x14ac:dyDescent="0.25">
      <c r="A3395" t="s">
        <v>20335</v>
      </c>
      <c r="B3395" t="s">
        <v>4804</v>
      </c>
      <c r="C3395" t="str">
        <f>HYPERLINK("https://nematode.unl.edu/encho11.jpg")</f>
        <v>https://nematode.unl.edu/encho11.jpg</v>
      </c>
      <c r="D3395" t="s">
        <v>43</v>
      </c>
      <c r="G3395" t="s">
        <v>4805</v>
      </c>
      <c r="I3395" t="s">
        <v>529</v>
      </c>
      <c r="J3395" t="s">
        <v>482</v>
      </c>
      <c r="L3395" t="s">
        <v>1147</v>
      </c>
      <c r="M3395" t="s">
        <v>4802</v>
      </c>
      <c r="N3395" t="s">
        <v>4802</v>
      </c>
      <c r="O3395" t="s">
        <v>73</v>
      </c>
      <c r="P3395" t="s">
        <v>81</v>
      </c>
      <c r="Q3395" t="s">
        <v>1101</v>
      </c>
      <c r="R3395" t="s">
        <v>4785</v>
      </c>
    </row>
    <row r="3396" spans="1:18" x14ac:dyDescent="0.25">
      <c r="A3396" t="s">
        <v>20316</v>
      </c>
      <c r="B3396" t="s">
        <v>4806</v>
      </c>
      <c r="C3396" t="str">
        <f>HYPERLINK("https://nematode.unl.edu/encho12.jpg")</f>
        <v>https://nematode.unl.edu/encho12.jpg</v>
      </c>
      <c r="D3396" t="s">
        <v>43</v>
      </c>
      <c r="G3396" t="s">
        <v>17</v>
      </c>
      <c r="H3396" t="s">
        <v>18</v>
      </c>
      <c r="J3396" t="s">
        <v>440</v>
      </c>
      <c r="M3396" t="s">
        <v>4802</v>
      </c>
      <c r="N3396" t="s">
        <v>4802</v>
      </c>
      <c r="O3396" t="s">
        <v>73</v>
      </c>
      <c r="P3396" t="s">
        <v>81</v>
      </c>
      <c r="Q3396" t="s">
        <v>1101</v>
      </c>
      <c r="R3396" t="s">
        <v>4785</v>
      </c>
    </row>
    <row r="3397" spans="1:18" x14ac:dyDescent="0.25">
      <c r="A3397" t="s">
        <v>20341</v>
      </c>
      <c r="B3397" t="s">
        <v>4807</v>
      </c>
      <c r="C3397" t="str">
        <f>HYPERLINK("https://nematode.unl.edu/encho13.jpg")</f>
        <v>https://nematode.unl.edu/encho13.jpg</v>
      </c>
      <c r="D3397" t="s">
        <v>43</v>
      </c>
      <c r="G3397" t="s">
        <v>28</v>
      </c>
      <c r="I3397" t="s">
        <v>137</v>
      </c>
      <c r="M3397" t="s">
        <v>4802</v>
      </c>
      <c r="N3397" t="s">
        <v>4802</v>
      </c>
      <c r="O3397" t="s">
        <v>73</v>
      </c>
      <c r="P3397" t="s">
        <v>81</v>
      </c>
      <c r="Q3397" t="s">
        <v>1101</v>
      </c>
      <c r="R3397" t="s">
        <v>4785</v>
      </c>
    </row>
    <row r="3398" spans="1:18" x14ac:dyDescent="0.25">
      <c r="A3398" t="s">
        <v>20352</v>
      </c>
      <c r="B3398" t="s">
        <v>4808</v>
      </c>
      <c r="C3398" t="str">
        <f>HYPERLINK("https://nematode.unl.edu/encho14.jpg")</f>
        <v>https://nematode.unl.edu/encho14.jpg</v>
      </c>
      <c r="D3398" t="s">
        <v>43</v>
      </c>
      <c r="G3398" t="s">
        <v>51</v>
      </c>
      <c r="M3398" t="s">
        <v>4802</v>
      </c>
      <c r="N3398" t="s">
        <v>4802</v>
      </c>
      <c r="O3398" t="s">
        <v>73</v>
      </c>
      <c r="P3398" t="s">
        <v>81</v>
      </c>
      <c r="Q3398" t="s">
        <v>1101</v>
      </c>
      <c r="R3398" t="s">
        <v>4785</v>
      </c>
    </row>
    <row r="3399" spans="1:18" x14ac:dyDescent="0.25">
      <c r="A3399" t="s">
        <v>20331</v>
      </c>
      <c r="B3399" t="s">
        <v>4809</v>
      </c>
      <c r="C3399" t="str">
        <f>HYPERLINK("https://nematode.unl.edu/encho15.jpg")</f>
        <v>https://nematode.unl.edu/encho15.jpg</v>
      </c>
      <c r="D3399" t="s">
        <v>43</v>
      </c>
      <c r="G3399" t="s">
        <v>87</v>
      </c>
      <c r="I3399" t="s">
        <v>137</v>
      </c>
      <c r="M3399" t="s">
        <v>4802</v>
      </c>
      <c r="N3399" t="s">
        <v>4802</v>
      </c>
      <c r="O3399" t="s">
        <v>73</v>
      </c>
      <c r="P3399" t="s">
        <v>81</v>
      </c>
      <c r="Q3399" t="s">
        <v>1101</v>
      </c>
      <c r="R3399" t="s">
        <v>4785</v>
      </c>
    </row>
    <row r="3400" spans="1:18" x14ac:dyDescent="0.25">
      <c r="A3400" t="s">
        <v>20321</v>
      </c>
      <c r="B3400" t="s">
        <v>4810</v>
      </c>
      <c r="C3400" t="str">
        <f>HYPERLINK("https://nematode.unl.edu/encho16.jpg")</f>
        <v>https://nematode.unl.edu/encho16.jpg</v>
      </c>
      <c r="D3400" t="s">
        <v>43</v>
      </c>
      <c r="G3400" t="s">
        <v>34</v>
      </c>
      <c r="H3400" t="s">
        <v>18</v>
      </c>
      <c r="J3400" t="s">
        <v>440</v>
      </c>
      <c r="M3400" t="s">
        <v>4802</v>
      </c>
      <c r="N3400" t="s">
        <v>4802</v>
      </c>
      <c r="O3400" t="s">
        <v>73</v>
      </c>
      <c r="P3400" t="s">
        <v>81</v>
      </c>
      <c r="Q3400" t="s">
        <v>1101</v>
      </c>
      <c r="R3400" t="s">
        <v>4785</v>
      </c>
    </row>
    <row r="3401" spans="1:18" x14ac:dyDescent="0.25">
      <c r="A3401" t="s">
        <v>20317</v>
      </c>
      <c r="B3401" t="s">
        <v>4811</v>
      </c>
      <c r="C3401" t="str">
        <f>HYPERLINK("https://nematode.unl.edu/encho17.jpg")</f>
        <v>https://nematode.unl.edu/encho17.jpg</v>
      </c>
      <c r="D3401" t="s">
        <v>43</v>
      </c>
      <c r="G3401" t="s">
        <v>17</v>
      </c>
      <c r="H3401" t="s">
        <v>18</v>
      </c>
      <c r="M3401" t="s">
        <v>4802</v>
      </c>
      <c r="N3401" t="s">
        <v>4802</v>
      </c>
      <c r="O3401" t="s">
        <v>73</v>
      </c>
      <c r="P3401" t="s">
        <v>81</v>
      </c>
      <c r="Q3401" t="s">
        <v>1101</v>
      </c>
      <c r="R3401" t="s">
        <v>4785</v>
      </c>
    </row>
    <row r="3402" spans="1:18" x14ac:dyDescent="0.25">
      <c r="A3402" t="s">
        <v>20322</v>
      </c>
      <c r="B3402" t="s">
        <v>4812</v>
      </c>
      <c r="C3402" t="str">
        <f>HYPERLINK("https://nematode.unl.edu/encho18.jpg")</f>
        <v>https://nematode.unl.edu/encho18.jpg</v>
      </c>
      <c r="D3402" t="s">
        <v>16</v>
      </c>
      <c r="G3402" t="s">
        <v>34</v>
      </c>
      <c r="H3402" t="s">
        <v>18</v>
      </c>
      <c r="M3402" t="s">
        <v>4802</v>
      </c>
      <c r="N3402" t="s">
        <v>4802</v>
      </c>
      <c r="O3402" t="s">
        <v>73</v>
      </c>
      <c r="P3402" t="s">
        <v>81</v>
      </c>
      <c r="Q3402" t="s">
        <v>1101</v>
      </c>
      <c r="R3402" t="s">
        <v>4785</v>
      </c>
    </row>
    <row r="3403" spans="1:18" x14ac:dyDescent="0.25">
      <c r="A3403" t="s">
        <v>20323</v>
      </c>
      <c r="B3403" t="s">
        <v>4813</v>
      </c>
      <c r="C3403" t="str">
        <f>HYPERLINK("https://nematode.unl.edu/encho19.jpg")</f>
        <v>https://nematode.unl.edu/encho19.jpg</v>
      </c>
      <c r="D3403" t="s">
        <v>16</v>
      </c>
      <c r="G3403" t="s">
        <v>34</v>
      </c>
      <c r="H3403" t="s">
        <v>18</v>
      </c>
      <c r="J3403" t="s">
        <v>440</v>
      </c>
      <c r="M3403" t="s">
        <v>4802</v>
      </c>
      <c r="N3403" t="s">
        <v>4802</v>
      </c>
      <c r="O3403" t="s">
        <v>73</v>
      </c>
      <c r="P3403" t="s">
        <v>81</v>
      </c>
      <c r="Q3403" t="s">
        <v>1101</v>
      </c>
      <c r="R3403" t="s">
        <v>4785</v>
      </c>
    </row>
    <row r="3404" spans="1:18" x14ac:dyDescent="0.25">
      <c r="A3404" t="s">
        <v>20324</v>
      </c>
      <c r="B3404" t="s">
        <v>4814</v>
      </c>
      <c r="C3404" t="str">
        <f>HYPERLINK("https://nematode.unl.edu/encho2.jpg")</f>
        <v>https://nematode.unl.edu/encho2.jpg</v>
      </c>
      <c r="D3404" t="s">
        <v>43</v>
      </c>
      <c r="G3404" t="s">
        <v>34</v>
      </c>
      <c r="H3404" t="s">
        <v>18</v>
      </c>
      <c r="J3404" t="s">
        <v>440</v>
      </c>
      <c r="M3404" t="s">
        <v>4802</v>
      </c>
      <c r="N3404" t="s">
        <v>4802</v>
      </c>
      <c r="O3404" t="s">
        <v>73</v>
      </c>
      <c r="P3404" t="s">
        <v>81</v>
      </c>
      <c r="Q3404" t="s">
        <v>1101</v>
      </c>
      <c r="R3404" t="s">
        <v>4785</v>
      </c>
    </row>
    <row r="3405" spans="1:18" x14ac:dyDescent="0.25">
      <c r="A3405" t="s">
        <v>20342</v>
      </c>
      <c r="B3405" t="s">
        <v>4815</v>
      </c>
      <c r="C3405" t="str">
        <f>HYPERLINK("https://nematode.unl.edu/encho20.jpg")</f>
        <v>https://nematode.unl.edu/encho20.jpg</v>
      </c>
      <c r="D3405" t="s">
        <v>16</v>
      </c>
      <c r="G3405" t="s">
        <v>28</v>
      </c>
      <c r="J3405" t="s">
        <v>440</v>
      </c>
      <c r="M3405" t="s">
        <v>4802</v>
      </c>
      <c r="N3405" t="s">
        <v>4802</v>
      </c>
      <c r="O3405" t="s">
        <v>73</v>
      </c>
      <c r="P3405" t="s">
        <v>81</v>
      </c>
      <c r="Q3405" t="s">
        <v>1101</v>
      </c>
      <c r="R3405" t="s">
        <v>4785</v>
      </c>
    </row>
    <row r="3406" spans="1:18" x14ac:dyDescent="0.25">
      <c r="A3406" t="s">
        <v>20315</v>
      </c>
      <c r="B3406" t="s">
        <v>4816</v>
      </c>
      <c r="C3406" t="str">
        <f>HYPERLINK("https://nematode.unl.edu/encho21.jpg")</f>
        <v>https://nematode.unl.edu/encho21.jpg</v>
      </c>
      <c r="D3406" t="s">
        <v>43</v>
      </c>
      <c r="G3406" t="s">
        <v>96</v>
      </c>
      <c r="H3406" t="s">
        <v>18</v>
      </c>
      <c r="I3406" t="s">
        <v>45</v>
      </c>
      <c r="J3406" t="s">
        <v>440</v>
      </c>
      <c r="M3406" t="s">
        <v>4802</v>
      </c>
      <c r="N3406" t="s">
        <v>4802</v>
      </c>
      <c r="O3406" t="s">
        <v>73</v>
      </c>
      <c r="P3406" t="s">
        <v>81</v>
      </c>
      <c r="Q3406" t="s">
        <v>1101</v>
      </c>
      <c r="R3406" t="s">
        <v>4785</v>
      </c>
    </row>
    <row r="3407" spans="1:18" x14ac:dyDescent="0.25">
      <c r="A3407" t="s">
        <v>20351</v>
      </c>
      <c r="B3407" t="s">
        <v>4817</v>
      </c>
      <c r="C3407" t="str">
        <f>HYPERLINK("https://nematode.unl.edu/encho22.jpg")</f>
        <v>https://nematode.unl.edu/encho22.jpg</v>
      </c>
      <c r="D3407" t="s">
        <v>43</v>
      </c>
      <c r="G3407" t="s">
        <v>4818</v>
      </c>
      <c r="I3407" t="s">
        <v>19</v>
      </c>
      <c r="J3407" t="s">
        <v>482</v>
      </c>
      <c r="L3407" t="s">
        <v>1147</v>
      </c>
      <c r="M3407" t="s">
        <v>4802</v>
      </c>
      <c r="N3407" t="s">
        <v>4802</v>
      </c>
      <c r="O3407" t="s">
        <v>73</v>
      </c>
      <c r="P3407" t="s">
        <v>81</v>
      </c>
      <c r="Q3407" t="s">
        <v>1101</v>
      </c>
      <c r="R3407" t="s">
        <v>4785</v>
      </c>
    </row>
    <row r="3408" spans="1:18" x14ac:dyDescent="0.25">
      <c r="A3408" t="s">
        <v>20340</v>
      </c>
      <c r="B3408" t="s">
        <v>4819</v>
      </c>
      <c r="C3408" t="str">
        <f>HYPERLINK("https://nematode.unl.edu/encho23.jpg")</f>
        <v>https://nematode.unl.edu/encho23.jpg</v>
      </c>
      <c r="D3408" t="s">
        <v>43</v>
      </c>
      <c r="G3408" t="s">
        <v>4820</v>
      </c>
      <c r="I3408" t="s">
        <v>137</v>
      </c>
      <c r="J3408" t="s">
        <v>482</v>
      </c>
      <c r="L3408" t="s">
        <v>1147</v>
      </c>
      <c r="M3408" t="s">
        <v>4802</v>
      </c>
      <c r="N3408" t="s">
        <v>4802</v>
      </c>
      <c r="O3408" t="s">
        <v>73</v>
      </c>
      <c r="P3408" t="s">
        <v>81</v>
      </c>
      <c r="Q3408" t="s">
        <v>1101</v>
      </c>
      <c r="R3408" t="s">
        <v>4785</v>
      </c>
    </row>
    <row r="3409" spans="1:18" x14ac:dyDescent="0.25">
      <c r="A3409" t="s">
        <v>20343</v>
      </c>
      <c r="B3409" t="s">
        <v>4821</v>
      </c>
      <c r="C3409" t="str">
        <f>HYPERLINK("https://nematode.unl.edu/encho24.jpg")</f>
        <v>https://nematode.unl.edu/encho24.jpg</v>
      </c>
      <c r="D3409" t="s">
        <v>43</v>
      </c>
      <c r="G3409" t="s">
        <v>28</v>
      </c>
      <c r="J3409" t="s">
        <v>440</v>
      </c>
      <c r="M3409" t="s">
        <v>4802</v>
      </c>
      <c r="N3409" t="s">
        <v>4802</v>
      </c>
      <c r="O3409" t="s">
        <v>73</v>
      </c>
      <c r="P3409" t="s">
        <v>81</v>
      </c>
      <c r="Q3409" t="s">
        <v>1101</v>
      </c>
      <c r="R3409" t="s">
        <v>4785</v>
      </c>
    </row>
    <row r="3410" spans="1:18" x14ac:dyDescent="0.25">
      <c r="A3410" t="s">
        <v>20344</v>
      </c>
      <c r="B3410" t="s">
        <v>4822</v>
      </c>
      <c r="C3410" t="str">
        <f>HYPERLINK("https://nematode.unl.edu/encho25.jpg")</f>
        <v>https://nematode.unl.edu/encho25.jpg</v>
      </c>
      <c r="D3410" t="s">
        <v>43</v>
      </c>
      <c r="G3410" t="s">
        <v>28</v>
      </c>
      <c r="I3410" t="s">
        <v>137</v>
      </c>
      <c r="J3410" t="s">
        <v>440</v>
      </c>
      <c r="M3410" t="s">
        <v>4802</v>
      </c>
      <c r="N3410" t="s">
        <v>4802</v>
      </c>
      <c r="O3410" t="s">
        <v>73</v>
      </c>
      <c r="P3410" t="s">
        <v>81</v>
      </c>
      <c r="Q3410" t="s">
        <v>1101</v>
      </c>
      <c r="R3410" t="s">
        <v>4785</v>
      </c>
    </row>
    <row r="3411" spans="1:18" x14ac:dyDescent="0.25">
      <c r="A3411" t="s">
        <v>20325</v>
      </c>
      <c r="B3411" t="s">
        <v>4823</v>
      </c>
      <c r="C3411" t="str">
        <f>HYPERLINK("https://nematode.unl.edu/encho26.jpg")</f>
        <v>https://nematode.unl.edu/encho26.jpg</v>
      </c>
      <c r="D3411" t="s">
        <v>43</v>
      </c>
      <c r="G3411" t="s">
        <v>34</v>
      </c>
      <c r="H3411" t="s">
        <v>18</v>
      </c>
      <c r="I3411" t="s">
        <v>19</v>
      </c>
      <c r="J3411" t="s">
        <v>482</v>
      </c>
      <c r="M3411" t="s">
        <v>4802</v>
      </c>
      <c r="N3411" t="s">
        <v>4802</v>
      </c>
      <c r="O3411" t="s">
        <v>73</v>
      </c>
      <c r="P3411" t="s">
        <v>81</v>
      </c>
      <c r="Q3411" t="s">
        <v>1101</v>
      </c>
      <c r="R3411" t="s">
        <v>4785</v>
      </c>
    </row>
    <row r="3412" spans="1:18" x14ac:dyDescent="0.25">
      <c r="A3412" t="s">
        <v>20353</v>
      </c>
      <c r="B3412" t="s">
        <v>4824</v>
      </c>
      <c r="C3412" t="str">
        <f>HYPERLINK("https://nematode.unl.edu/encho27.jpg")</f>
        <v>https://nematode.unl.edu/encho27.jpg</v>
      </c>
      <c r="D3412" t="s">
        <v>43</v>
      </c>
      <c r="G3412" t="s">
        <v>51</v>
      </c>
      <c r="I3412" t="s">
        <v>19</v>
      </c>
      <c r="M3412" t="s">
        <v>4802</v>
      </c>
      <c r="N3412" t="s">
        <v>4802</v>
      </c>
      <c r="O3412" t="s">
        <v>73</v>
      </c>
      <c r="P3412" t="s">
        <v>81</v>
      </c>
      <c r="Q3412" t="s">
        <v>1101</v>
      </c>
      <c r="R3412" t="s">
        <v>4785</v>
      </c>
    </row>
    <row r="3413" spans="1:18" x14ac:dyDescent="0.25">
      <c r="A3413" t="s">
        <v>20345</v>
      </c>
      <c r="B3413" t="s">
        <v>4825</v>
      </c>
      <c r="C3413" t="str">
        <f>HYPERLINK("https://nematode.unl.edu/encho28.jpg")</f>
        <v>https://nematode.unl.edu/encho28.jpg</v>
      </c>
      <c r="D3413" t="s">
        <v>43</v>
      </c>
      <c r="G3413" t="s">
        <v>28</v>
      </c>
      <c r="J3413" t="s">
        <v>482</v>
      </c>
      <c r="M3413" t="s">
        <v>4802</v>
      </c>
      <c r="N3413" t="s">
        <v>4802</v>
      </c>
      <c r="O3413" t="s">
        <v>73</v>
      </c>
      <c r="P3413" t="s">
        <v>81</v>
      </c>
      <c r="Q3413" t="s">
        <v>1101</v>
      </c>
      <c r="R3413" t="s">
        <v>4785</v>
      </c>
    </row>
    <row r="3414" spans="1:18" x14ac:dyDescent="0.25">
      <c r="A3414" t="s">
        <v>20318</v>
      </c>
      <c r="B3414" t="s">
        <v>4826</v>
      </c>
      <c r="C3414" t="str">
        <f>HYPERLINK("https://nematode.unl.edu/encho3.jpg")</f>
        <v>https://nematode.unl.edu/encho3.jpg</v>
      </c>
      <c r="D3414" t="s">
        <v>43</v>
      </c>
      <c r="G3414" t="s">
        <v>17</v>
      </c>
      <c r="H3414" t="s">
        <v>18</v>
      </c>
      <c r="M3414" t="s">
        <v>4802</v>
      </c>
      <c r="N3414" t="s">
        <v>4802</v>
      </c>
      <c r="O3414" t="s">
        <v>73</v>
      </c>
      <c r="P3414" t="s">
        <v>81</v>
      </c>
      <c r="Q3414" t="s">
        <v>1101</v>
      </c>
      <c r="R3414" t="s">
        <v>4785</v>
      </c>
    </row>
    <row r="3415" spans="1:18" x14ac:dyDescent="0.25">
      <c r="A3415" t="s">
        <v>20354</v>
      </c>
      <c r="B3415" t="s">
        <v>4827</v>
      </c>
      <c r="C3415" t="str">
        <f>HYPERLINK("https://nematode.unl.edu/encho4.jpg")</f>
        <v>https://nematode.unl.edu/encho4.jpg</v>
      </c>
      <c r="D3415" t="s">
        <v>43</v>
      </c>
      <c r="G3415" t="s">
        <v>51</v>
      </c>
      <c r="J3415" t="s">
        <v>440</v>
      </c>
      <c r="M3415" t="s">
        <v>4802</v>
      </c>
      <c r="N3415" t="s">
        <v>4802</v>
      </c>
      <c r="O3415" t="s">
        <v>73</v>
      </c>
      <c r="P3415" t="s">
        <v>81</v>
      </c>
      <c r="Q3415" t="s">
        <v>1101</v>
      </c>
      <c r="R3415" t="s">
        <v>4785</v>
      </c>
    </row>
    <row r="3416" spans="1:18" x14ac:dyDescent="0.25">
      <c r="A3416" t="s">
        <v>20346</v>
      </c>
      <c r="B3416" t="s">
        <v>4828</v>
      </c>
      <c r="C3416" t="str">
        <f>HYPERLINK("https://nematode.unl.edu/encho5.jpg")</f>
        <v>https://nematode.unl.edu/encho5.jpg</v>
      </c>
      <c r="D3416" t="s">
        <v>43</v>
      </c>
      <c r="G3416" t="s">
        <v>28</v>
      </c>
      <c r="J3416" t="s">
        <v>440</v>
      </c>
      <c r="M3416" t="s">
        <v>4802</v>
      </c>
      <c r="N3416" t="s">
        <v>4802</v>
      </c>
      <c r="O3416" t="s">
        <v>73</v>
      </c>
      <c r="P3416" t="s">
        <v>81</v>
      </c>
      <c r="Q3416" t="s">
        <v>1101</v>
      </c>
      <c r="R3416" t="s">
        <v>4785</v>
      </c>
    </row>
    <row r="3417" spans="1:18" x14ac:dyDescent="0.25">
      <c r="A3417" t="s">
        <v>20336</v>
      </c>
      <c r="B3417" t="s">
        <v>4829</v>
      </c>
      <c r="C3417" t="str">
        <f>HYPERLINK("https://nematode.unl.edu/encho6.jpg")</f>
        <v>https://nematode.unl.edu/encho6.jpg</v>
      </c>
      <c r="D3417" t="s">
        <v>43</v>
      </c>
      <c r="G3417" t="s">
        <v>1550</v>
      </c>
      <c r="J3417" t="s">
        <v>440</v>
      </c>
      <c r="M3417" t="s">
        <v>4802</v>
      </c>
      <c r="N3417" t="s">
        <v>4802</v>
      </c>
      <c r="O3417" t="s">
        <v>73</v>
      </c>
      <c r="P3417" t="s">
        <v>81</v>
      </c>
      <c r="Q3417" t="s">
        <v>1101</v>
      </c>
      <c r="R3417" t="s">
        <v>4785</v>
      </c>
    </row>
    <row r="3418" spans="1:18" x14ac:dyDescent="0.25">
      <c r="A3418" t="s">
        <v>20337</v>
      </c>
      <c r="B3418" t="s">
        <v>4830</v>
      </c>
      <c r="C3418" t="str">
        <f>HYPERLINK("https://nematode.unl.edu/encho7.jpg")</f>
        <v>https://nematode.unl.edu/encho7.jpg</v>
      </c>
      <c r="D3418" t="s">
        <v>43</v>
      </c>
      <c r="G3418" t="s">
        <v>2628</v>
      </c>
      <c r="I3418" t="s">
        <v>41</v>
      </c>
      <c r="J3418" t="s">
        <v>440</v>
      </c>
      <c r="M3418" t="s">
        <v>4802</v>
      </c>
      <c r="N3418" t="s">
        <v>4802</v>
      </c>
      <c r="O3418" t="s">
        <v>73</v>
      </c>
      <c r="P3418" t="s">
        <v>81</v>
      </c>
      <c r="Q3418" t="s">
        <v>1101</v>
      </c>
      <c r="R3418" t="s">
        <v>4785</v>
      </c>
    </row>
    <row r="3419" spans="1:18" x14ac:dyDescent="0.25">
      <c r="A3419" t="s">
        <v>20338</v>
      </c>
      <c r="B3419" t="s">
        <v>4831</v>
      </c>
      <c r="C3419" t="str">
        <f>HYPERLINK("https://nematode.unl.edu/encho9.jpg")</f>
        <v>https://nematode.unl.edu/encho9.jpg</v>
      </c>
      <c r="D3419" t="s">
        <v>43</v>
      </c>
      <c r="G3419" t="s">
        <v>4832</v>
      </c>
      <c r="I3419" t="s">
        <v>41</v>
      </c>
      <c r="J3419" t="s">
        <v>482</v>
      </c>
      <c r="L3419" t="s">
        <v>1147</v>
      </c>
      <c r="M3419" t="s">
        <v>4802</v>
      </c>
      <c r="N3419" t="s">
        <v>4802</v>
      </c>
      <c r="O3419" t="s">
        <v>73</v>
      </c>
      <c r="P3419" t="s">
        <v>81</v>
      </c>
      <c r="Q3419" t="s">
        <v>1101</v>
      </c>
      <c r="R3419" t="s">
        <v>4785</v>
      </c>
    </row>
    <row r="3420" spans="1:18" x14ac:dyDescent="0.25">
      <c r="A3420" t="s">
        <v>20334</v>
      </c>
      <c r="B3420" t="s">
        <v>4833</v>
      </c>
      <c r="C3420" t="str">
        <f>HYPERLINK("https://nematode.unl.edu/enchocmp.jpg")</f>
        <v>https://nematode.unl.edu/enchocmp.jpg</v>
      </c>
      <c r="G3420" t="s">
        <v>108</v>
      </c>
      <c r="J3420" t="s">
        <v>482</v>
      </c>
      <c r="M3420" t="s">
        <v>4802</v>
      </c>
      <c r="N3420" t="s">
        <v>4802</v>
      </c>
      <c r="O3420" t="s">
        <v>73</v>
      </c>
      <c r="P3420" t="s">
        <v>81</v>
      </c>
      <c r="Q3420" t="s">
        <v>1101</v>
      </c>
      <c r="R3420" t="s">
        <v>4785</v>
      </c>
    </row>
    <row r="3421" spans="1:18" x14ac:dyDescent="0.25">
      <c r="A3421" t="s">
        <v>20302</v>
      </c>
      <c r="B3421" t="s">
        <v>4784</v>
      </c>
      <c r="C3421" t="str">
        <f>HYPERLINK("https://nematode.unl.edu/enchos1.jpg")</f>
        <v>https://nematode.unl.edu/enchos1.jpg</v>
      </c>
      <c r="D3421" t="s">
        <v>16</v>
      </c>
      <c r="G3421" t="s">
        <v>44</v>
      </c>
      <c r="I3421" t="s">
        <v>45</v>
      </c>
      <c r="J3421" t="s">
        <v>267</v>
      </c>
      <c r="M3421" t="s">
        <v>4785</v>
      </c>
      <c r="N3421" t="s">
        <v>4785</v>
      </c>
      <c r="O3421" t="s">
        <v>73</v>
      </c>
      <c r="P3421" t="s">
        <v>81</v>
      </c>
      <c r="Q3421" t="s">
        <v>1101</v>
      </c>
      <c r="R3421" t="s">
        <v>4785</v>
      </c>
    </row>
    <row r="3422" spans="1:18" x14ac:dyDescent="0.25">
      <c r="A3422" t="s">
        <v>20299</v>
      </c>
      <c r="B3422" t="s">
        <v>4786</v>
      </c>
      <c r="C3422" t="str">
        <f>HYPERLINK("https://nematode.unl.edu/enchos2.jpg")</f>
        <v>https://nematode.unl.edu/enchos2.jpg</v>
      </c>
      <c r="D3422" t="s">
        <v>16</v>
      </c>
      <c r="G3422" t="s">
        <v>96</v>
      </c>
      <c r="H3422" t="s">
        <v>18</v>
      </c>
      <c r="M3422" t="s">
        <v>4785</v>
      </c>
      <c r="N3422" t="s">
        <v>4785</v>
      </c>
      <c r="O3422" t="s">
        <v>73</v>
      </c>
      <c r="P3422" t="s">
        <v>81</v>
      </c>
      <c r="Q3422" t="s">
        <v>1101</v>
      </c>
      <c r="R3422" t="s">
        <v>4785</v>
      </c>
    </row>
    <row r="3423" spans="1:18" x14ac:dyDescent="0.25">
      <c r="A3423" t="s">
        <v>20303</v>
      </c>
      <c r="B3423" t="s">
        <v>4787</v>
      </c>
      <c r="C3423" t="str">
        <f>HYPERLINK("https://nematode.unl.edu/enchos3.jpg")</f>
        <v>https://nematode.unl.edu/enchos3.jpg</v>
      </c>
      <c r="D3423" t="s">
        <v>16</v>
      </c>
      <c r="G3423" t="s">
        <v>28</v>
      </c>
      <c r="M3423" t="s">
        <v>4785</v>
      </c>
      <c r="N3423" t="s">
        <v>4785</v>
      </c>
      <c r="O3423" t="s">
        <v>73</v>
      </c>
      <c r="P3423" t="s">
        <v>81</v>
      </c>
      <c r="Q3423" t="s">
        <v>1101</v>
      </c>
      <c r="R3423" t="s">
        <v>4785</v>
      </c>
    </row>
    <row r="3424" spans="1:18" x14ac:dyDescent="0.25">
      <c r="A3424" t="s">
        <v>20300</v>
      </c>
      <c r="B3424" t="s">
        <v>4788</v>
      </c>
      <c r="C3424" t="str">
        <f>HYPERLINK("https://nematode.unl.edu/enchos4.jpg")</f>
        <v>https://nematode.unl.edu/enchos4.jpg</v>
      </c>
      <c r="D3424" t="s">
        <v>16</v>
      </c>
      <c r="G3424" t="s">
        <v>34</v>
      </c>
      <c r="H3424" t="s">
        <v>18</v>
      </c>
      <c r="M3424" t="s">
        <v>4785</v>
      </c>
      <c r="N3424" t="s">
        <v>4785</v>
      </c>
      <c r="O3424" t="s">
        <v>73</v>
      </c>
      <c r="P3424" t="s">
        <v>81</v>
      </c>
      <c r="Q3424" t="s">
        <v>1101</v>
      </c>
      <c r="R3424" t="s">
        <v>4785</v>
      </c>
    </row>
    <row r="3425" spans="1:18" x14ac:dyDescent="0.25">
      <c r="A3425" t="s">
        <v>20301</v>
      </c>
      <c r="B3425" t="s">
        <v>4789</v>
      </c>
      <c r="C3425" t="str">
        <f>HYPERLINK("https://nematode.unl.edu/enchos5.jpg")</f>
        <v>https://nematode.unl.edu/enchos5.jpg</v>
      </c>
      <c r="D3425" t="s">
        <v>16</v>
      </c>
      <c r="G3425" t="s">
        <v>34</v>
      </c>
      <c r="H3425" t="s">
        <v>18</v>
      </c>
      <c r="I3425" t="s">
        <v>19</v>
      </c>
      <c r="M3425" t="s">
        <v>4785</v>
      </c>
      <c r="N3425" t="s">
        <v>4785</v>
      </c>
      <c r="O3425" t="s">
        <v>73</v>
      </c>
      <c r="P3425" t="s">
        <v>81</v>
      </c>
      <c r="Q3425" t="s">
        <v>1101</v>
      </c>
      <c r="R3425" t="s">
        <v>4785</v>
      </c>
    </row>
    <row r="3426" spans="1:18" x14ac:dyDescent="0.25">
      <c r="A3426" t="s">
        <v>20304</v>
      </c>
      <c r="B3426" t="s">
        <v>4790</v>
      </c>
      <c r="C3426" t="str">
        <f>HYPERLINK("https://nematode.unl.edu/enchos6.jpg")</f>
        <v>https://nematode.unl.edu/enchos6.jpg</v>
      </c>
      <c r="D3426" t="s">
        <v>16</v>
      </c>
      <c r="G3426" t="s">
        <v>28</v>
      </c>
      <c r="I3426" t="s">
        <v>19</v>
      </c>
      <c r="M3426" t="s">
        <v>4785</v>
      </c>
      <c r="N3426" t="s">
        <v>4785</v>
      </c>
      <c r="O3426" t="s">
        <v>73</v>
      </c>
      <c r="P3426" t="s">
        <v>81</v>
      </c>
      <c r="Q3426" t="s">
        <v>1101</v>
      </c>
      <c r="R3426" t="s">
        <v>4785</v>
      </c>
    </row>
    <row r="3427" spans="1:18" x14ac:dyDescent="0.25">
      <c r="A3427" t="s">
        <v>21069</v>
      </c>
      <c r="B3427" t="s">
        <v>4852</v>
      </c>
      <c r="C3427" t="str">
        <f>HYPERLINK("https://nematode.unl.edu/epidosa1.jpg")</f>
        <v>https://nematode.unl.edu/epidosa1.jpg</v>
      </c>
      <c r="D3427" t="s">
        <v>16</v>
      </c>
      <c r="G3427" t="s">
        <v>44</v>
      </c>
      <c r="I3427" t="s">
        <v>499</v>
      </c>
      <c r="J3427" t="s">
        <v>267</v>
      </c>
      <c r="M3427" t="s">
        <v>4853</v>
      </c>
      <c r="N3427" t="s">
        <v>4853</v>
      </c>
      <c r="O3427" t="s">
        <v>73</v>
      </c>
      <c r="P3427" t="s">
        <v>81</v>
      </c>
      <c r="Q3427" t="s">
        <v>82</v>
      </c>
      <c r="R3427" t="s">
        <v>4853</v>
      </c>
    </row>
    <row r="3428" spans="1:18" x14ac:dyDescent="0.25">
      <c r="A3428" t="s">
        <v>21066</v>
      </c>
      <c r="B3428" t="s">
        <v>4854</v>
      </c>
      <c r="C3428" t="str">
        <f>HYPERLINK("https://nematode.unl.edu/epidosa2.jpg")</f>
        <v>https://nematode.unl.edu/epidosa2.jpg</v>
      </c>
      <c r="D3428" t="s">
        <v>16</v>
      </c>
      <c r="G3428" t="s">
        <v>34</v>
      </c>
      <c r="H3428" t="s">
        <v>18</v>
      </c>
      <c r="I3428" t="s">
        <v>19</v>
      </c>
      <c r="M3428" t="s">
        <v>4853</v>
      </c>
      <c r="N3428" t="s">
        <v>4853</v>
      </c>
      <c r="O3428" t="s">
        <v>73</v>
      </c>
      <c r="P3428" t="s">
        <v>81</v>
      </c>
      <c r="Q3428" t="s">
        <v>82</v>
      </c>
      <c r="R3428" t="s">
        <v>4853</v>
      </c>
    </row>
    <row r="3429" spans="1:18" x14ac:dyDescent="0.25">
      <c r="A3429" t="s">
        <v>21068</v>
      </c>
      <c r="B3429" t="s">
        <v>4855</v>
      </c>
      <c r="C3429" t="str">
        <f>HYPERLINK("https://nematode.unl.edu/epidosa3.jpg")</f>
        <v>https://nematode.unl.edu/epidosa3.jpg</v>
      </c>
      <c r="D3429" t="s">
        <v>16</v>
      </c>
      <c r="G3429" t="s">
        <v>87</v>
      </c>
      <c r="I3429" t="s">
        <v>19</v>
      </c>
      <c r="M3429" t="s">
        <v>4853</v>
      </c>
      <c r="N3429" t="s">
        <v>4853</v>
      </c>
      <c r="O3429" t="s">
        <v>73</v>
      </c>
      <c r="P3429" t="s">
        <v>81</v>
      </c>
      <c r="Q3429" t="s">
        <v>82</v>
      </c>
      <c r="R3429" t="s">
        <v>4853</v>
      </c>
    </row>
    <row r="3430" spans="1:18" x14ac:dyDescent="0.25">
      <c r="A3430" t="s">
        <v>21070</v>
      </c>
      <c r="B3430" t="s">
        <v>4856</v>
      </c>
      <c r="C3430" t="str">
        <f>HYPERLINK("https://nematode.unl.edu/epidosa4.jpg")</f>
        <v>https://nematode.unl.edu/epidosa4.jpg</v>
      </c>
      <c r="D3430" t="s">
        <v>16</v>
      </c>
      <c r="G3430" t="s">
        <v>28</v>
      </c>
      <c r="I3430" t="s">
        <v>19</v>
      </c>
      <c r="M3430" t="s">
        <v>4853</v>
      </c>
      <c r="N3430" t="s">
        <v>4853</v>
      </c>
      <c r="O3430" t="s">
        <v>73</v>
      </c>
      <c r="P3430" t="s">
        <v>81</v>
      </c>
      <c r="Q3430" t="s">
        <v>82</v>
      </c>
      <c r="R3430" t="s">
        <v>4853</v>
      </c>
    </row>
    <row r="3431" spans="1:18" x14ac:dyDescent="0.25">
      <c r="A3431" t="s">
        <v>21067</v>
      </c>
      <c r="B3431" t="s">
        <v>4857</v>
      </c>
      <c r="C3431" t="str">
        <f>HYPERLINK("https://nematode.unl.edu/epidosa5.jpg")</f>
        <v>https://nematode.unl.edu/epidosa5.jpg</v>
      </c>
      <c r="D3431" t="s">
        <v>16</v>
      </c>
      <c r="G3431" t="s">
        <v>34</v>
      </c>
      <c r="H3431" t="s">
        <v>18</v>
      </c>
      <c r="I3431" t="s">
        <v>41</v>
      </c>
      <c r="M3431" t="s">
        <v>4853</v>
      </c>
      <c r="N3431" t="s">
        <v>4853</v>
      </c>
      <c r="O3431" t="s">
        <v>73</v>
      </c>
      <c r="P3431" t="s">
        <v>81</v>
      </c>
      <c r="Q3431" t="s">
        <v>82</v>
      </c>
      <c r="R3431" t="s">
        <v>4853</v>
      </c>
    </row>
    <row r="3432" spans="1:18" x14ac:dyDescent="0.25">
      <c r="A3432" t="s">
        <v>21065</v>
      </c>
      <c r="B3432" t="s">
        <v>4858</v>
      </c>
      <c r="C3432" t="str">
        <f>HYPERLINK("https://nematode.unl.edu/epidosa6.jpg")</f>
        <v>https://nematode.unl.edu/epidosa6.jpg</v>
      </c>
      <c r="D3432" t="s">
        <v>16</v>
      </c>
      <c r="G3432" t="s">
        <v>17</v>
      </c>
      <c r="H3432" t="s">
        <v>18</v>
      </c>
      <c r="I3432" t="s">
        <v>41</v>
      </c>
      <c r="M3432" t="s">
        <v>4853</v>
      </c>
      <c r="N3432" t="s">
        <v>4853</v>
      </c>
      <c r="O3432" t="s">
        <v>73</v>
      </c>
      <c r="P3432" t="s">
        <v>81</v>
      </c>
      <c r="Q3432" t="s">
        <v>82</v>
      </c>
      <c r="R3432" t="s">
        <v>4853</v>
      </c>
    </row>
    <row r="3433" spans="1:18" x14ac:dyDescent="0.25">
      <c r="A3433" t="s">
        <v>21094</v>
      </c>
      <c r="B3433" t="s">
        <v>4884</v>
      </c>
      <c r="C3433" t="str">
        <f>HYPERLINK("https://nematode.unl.edu/epilu1.jpg")</f>
        <v>https://nematode.unl.edu/epilu1.jpg</v>
      </c>
      <c r="D3433" t="s">
        <v>43</v>
      </c>
      <c r="G3433" t="s">
        <v>44</v>
      </c>
      <c r="I3433" t="s">
        <v>45</v>
      </c>
      <c r="J3433" t="s">
        <v>20</v>
      </c>
      <c r="L3433" t="s">
        <v>183</v>
      </c>
      <c r="M3433" t="s">
        <v>4860</v>
      </c>
      <c r="N3433" t="s">
        <v>4860</v>
      </c>
      <c r="O3433" t="s">
        <v>73</v>
      </c>
      <c r="P3433" t="s">
        <v>81</v>
      </c>
      <c r="Q3433" t="s">
        <v>82</v>
      </c>
      <c r="R3433" t="s">
        <v>4853</v>
      </c>
    </row>
    <row r="3434" spans="1:18" x14ac:dyDescent="0.25">
      <c r="A3434" t="s">
        <v>21095</v>
      </c>
      <c r="B3434" t="s">
        <v>4885</v>
      </c>
      <c r="C3434" t="str">
        <f>HYPERLINK("https://nematode.unl.edu/epilu10.jpg")</f>
        <v>https://nematode.unl.edu/epilu10.jpg</v>
      </c>
      <c r="D3434" t="s">
        <v>16</v>
      </c>
      <c r="G3434" t="s">
        <v>44</v>
      </c>
      <c r="I3434" t="s">
        <v>45</v>
      </c>
      <c r="J3434" t="s">
        <v>20</v>
      </c>
      <c r="L3434" t="s">
        <v>38</v>
      </c>
      <c r="M3434" t="s">
        <v>4860</v>
      </c>
      <c r="N3434" t="s">
        <v>4860</v>
      </c>
      <c r="O3434" t="s">
        <v>73</v>
      </c>
      <c r="P3434" t="s">
        <v>81</v>
      </c>
      <c r="Q3434" t="s">
        <v>82</v>
      </c>
      <c r="R3434" t="s">
        <v>4853</v>
      </c>
    </row>
    <row r="3435" spans="1:18" x14ac:dyDescent="0.25">
      <c r="A3435" t="s">
        <v>21074</v>
      </c>
      <c r="B3435" t="s">
        <v>4886</v>
      </c>
      <c r="C3435" t="str">
        <f>HYPERLINK("https://nematode.unl.edu/epilu11.jpg")</f>
        <v>https://nematode.unl.edu/epilu11.jpg</v>
      </c>
      <c r="D3435" t="s">
        <v>16</v>
      </c>
      <c r="G3435" t="s">
        <v>96</v>
      </c>
      <c r="H3435" t="s">
        <v>18</v>
      </c>
      <c r="I3435" t="s">
        <v>19</v>
      </c>
      <c r="L3435" t="s">
        <v>38</v>
      </c>
      <c r="M3435" t="s">
        <v>4860</v>
      </c>
      <c r="N3435" t="s">
        <v>4860</v>
      </c>
      <c r="O3435" t="s">
        <v>73</v>
      </c>
      <c r="P3435" t="s">
        <v>81</v>
      </c>
      <c r="Q3435" t="s">
        <v>82</v>
      </c>
      <c r="R3435" t="s">
        <v>4853</v>
      </c>
    </row>
    <row r="3436" spans="1:18" x14ac:dyDescent="0.25">
      <c r="A3436" t="s">
        <v>21108</v>
      </c>
      <c r="B3436" t="s">
        <v>4887</v>
      </c>
      <c r="C3436" t="str">
        <f>HYPERLINK("https://nematode.unl.edu/epilu12.jpg")</f>
        <v>https://nematode.unl.edu/epilu12.jpg</v>
      </c>
      <c r="D3436" t="s">
        <v>16</v>
      </c>
      <c r="G3436" t="s">
        <v>28</v>
      </c>
      <c r="I3436" t="s">
        <v>19</v>
      </c>
      <c r="J3436" t="s">
        <v>20</v>
      </c>
      <c r="L3436" t="s">
        <v>38</v>
      </c>
      <c r="M3436" t="s">
        <v>4860</v>
      </c>
      <c r="N3436" t="s">
        <v>4860</v>
      </c>
      <c r="O3436" t="s">
        <v>73</v>
      </c>
      <c r="P3436" t="s">
        <v>81</v>
      </c>
      <c r="Q3436" t="s">
        <v>82</v>
      </c>
      <c r="R3436" t="s">
        <v>4853</v>
      </c>
    </row>
    <row r="3437" spans="1:18" x14ac:dyDescent="0.25">
      <c r="A3437" t="s">
        <v>21083</v>
      </c>
      <c r="B3437" t="s">
        <v>4888</v>
      </c>
      <c r="C3437" t="str">
        <f>HYPERLINK("https://nematode.unl.edu/epilu13.jpg")</f>
        <v>https://nematode.unl.edu/epilu13.jpg</v>
      </c>
      <c r="D3437" t="s">
        <v>16</v>
      </c>
      <c r="G3437" t="s">
        <v>34</v>
      </c>
      <c r="H3437" t="s">
        <v>18</v>
      </c>
      <c r="I3437" t="s">
        <v>41</v>
      </c>
      <c r="J3437" t="s">
        <v>20</v>
      </c>
      <c r="L3437" t="s">
        <v>38</v>
      </c>
      <c r="M3437" t="s">
        <v>4860</v>
      </c>
      <c r="N3437" t="s">
        <v>4860</v>
      </c>
      <c r="O3437" t="s">
        <v>73</v>
      </c>
      <c r="P3437" t="s">
        <v>81</v>
      </c>
      <c r="Q3437" t="s">
        <v>82</v>
      </c>
      <c r="R3437" t="s">
        <v>4853</v>
      </c>
    </row>
    <row r="3438" spans="1:18" x14ac:dyDescent="0.25">
      <c r="A3438" t="s">
        <v>21084</v>
      </c>
      <c r="B3438" t="s">
        <v>4889</v>
      </c>
      <c r="C3438" t="str">
        <f>HYPERLINK("https://nematode.unl.edu/epilu14.jpg")</f>
        <v>https://nematode.unl.edu/epilu14.jpg</v>
      </c>
      <c r="D3438" t="s">
        <v>16</v>
      </c>
      <c r="G3438" t="s">
        <v>34</v>
      </c>
      <c r="H3438" t="s">
        <v>18</v>
      </c>
      <c r="I3438" t="s">
        <v>19</v>
      </c>
      <c r="J3438" t="s">
        <v>20</v>
      </c>
      <c r="L3438" t="s">
        <v>85</v>
      </c>
      <c r="M3438" t="s">
        <v>4860</v>
      </c>
      <c r="N3438" t="s">
        <v>4860</v>
      </c>
      <c r="O3438" t="s">
        <v>73</v>
      </c>
      <c r="P3438" t="s">
        <v>81</v>
      </c>
      <c r="Q3438" t="s">
        <v>82</v>
      </c>
      <c r="R3438" t="s">
        <v>4853</v>
      </c>
    </row>
    <row r="3439" spans="1:18" x14ac:dyDescent="0.25">
      <c r="A3439" t="s">
        <v>21096</v>
      </c>
      <c r="B3439" t="s">
        <v>4890</v>
      </c>
      <c r="C3439" t="str">
        <f>HYPERLINK("https://nematode.unl.edu/epilu16.jpg")</f>
        <v>https://nematode.unl.edu/epilu16.jpg</v>
      </c>
      <c r="D3439" t="s">
        <v>16</v>
      </c>
      <c r="G3439" t="s">
        <v>44</v>
      </c>
      <c r="I3439" t="s">
        <v>45</v>
      </c>
      <c r="J3439" t="s">
        <v>20</v>
      </c>
      <c r="L3439" t="s">
        <v>35</v>
      </c>
      <c r="M3439" t="s">
        <v>4860</v>
      </c>
      <c r="N3439" t="s">
        <v>4860</v>
      </c>
      <c r="O3439" t="s">
        <v>73</v>
      </c>
      <c r="P3439" t="s">
        <v>81</v>
      </c>
      <c r="Q3439" t="s">
        <v>82</v>
      </c>
      <c r="R3439" t="s">
        <v>4853</v>
      </c>
    </row>
    <row r="3440" spans="1:18" x14ac:dyDescent="0.25">
      <c r="A3440" t="s">
        <v>21085</v>
      </c>
      <c r="B3440" t="s">
        <v>4891</v>
      </c>
      <c r="C3440" t="str">
        <f>HYPERLINK("https://nematode.unl.edu/epilu17.jpg")</f>
        <v>https://nematode.unl.edu/epilu17.jpg</v>
      </c>
      <c r="D3440" t="s">
        <v>16</v>
      </c>
      <c r="G3440" t="s">
        <v>34</v>
      </c>
      <c r="H3440" t="s">
        <v>18</v>
      </c>
      <c r="I3440" t="s">
        <v>19</v>
      </c>
      <c r="J3440" t="s">
        <v>20</v>
      </c>
      <c r="M3440" t="s">
        <v>4860</v>
      </c>
      <c r="N3440" t="s">
        <v>4860</v>
      </c>
      <c r="O3440" t="s">
        <v>73</v>
      </c>
      <c r="P3440" t="s">
        <v>81</v>
      </c>
      <c r="Q3440" t="s">
        <v>82</v>
      </c>
      <c r="R3440" t="s">
        <v>4853</v>
      </c>
    </row>
    <row r="3441" spans="1:18" x14ac:dyDescent="0.25">
      <c r="A3441" t="s">
        <v>21109</v>
      </c>
      <c r="B3441" t="s">
        <v>4892</v>
      </c>
      <c r="C3441" t="str">
        <f>HYPERLINK("https://nematode.unl.edu/epilu18.jpg")</f>
        <v>https://nematode.unl.edu/epilu18.jpg</v>
      </c>
      <c r="D3441" t="s">
        <v>16</v>
      </c>
      <c r="G3441" t="s">
        <v>28</v>
      </c>
      <c r="I3441" t="s">
        <v>19</v>
      </c>
      <c r="J3441" t="s">
        <v>20</v>
      </c>
      <c r="M3441" t="s">
        <v>4860</v>
      </c>
      <c r="N3441" t="s">
        <v>4860</v>
      </c>
      <c r="O3441" t="s">
        <v>73</v>
      </c>
      <c r="P3441" t="s">
        <v>81</v>
      </c>
      <c r="Q3441" t="s">
        <v>82</v>
      </c>
      <c r="R3441" t="s">
        <v>4853</v>
      </c>
    </row>
    <row r="3442" spans="1:18" x14ac:dyDescent="0.25">
      <c r="A3442" t="s">
        <v>21097</v>
      </c>
      <c r="B3442" t="s">
        <v>4893</v>
      </c>
      <c r="C3442" t="str">
        <f>HYPERLINK("https://nematode.unl.edu/epilu19.jpg")</f>
        <v>https://nematode.unl.edu/epilu19.jpg</v>
      </c>
      <c r="D3442" t="s">
        <v>43</v>
      </c>
      <c r="G3442" t="s">
        <v>44</v>
      </c>
      <c r="I3442" t="s">
        <v>1008</v>
      </c>
      <c r="J3442" t="s">
        <v>20</v>
      </c>
      <c r="L3442" t="s">
        <v>78</v>
      </c>
      <c r="M3442" t="s">
        <v>4860</v>
      </c>
      <c r="N3442" t="s">
        <v>4860</v>
      </c>
      <c r="O3442" t="s">
        <v>73</v>
      </c>
      <c r="P3442" t="s">
        <v>81</v>
      </c>
      <c r="Q3442" t="s">
        <v>82</v>
      </c>
      <c r="R3442" t="s">
        <v>4853</v>
      </c>
    </row>
    <row r="3443" spans="1:18" x14ac:dyDescent="0.25">
      <c r="A3443" t="s">
        <v>21110</v>
      </c>
      <c r="B3443" t="s">
        <v>4894</v>
      </c>
      <c r="C3443" t="str">
        <f>HYPERLINK("https://nematode.unl.edu/epilu2.jpg")</f>
        <v>https://nematode.unl.edu/epilu2.jpg</v>
      </c>
      <c r="D3443" t="s">
        <v>43</v>
      </c>
      <c r="G3443" t="s">
        <v>28</v>
      </c>
      <c r="J3443" t="s">
        <v>20</v>
      </c>
      <c r="M3443" t="s">
        <v>4860</v>
      </c>
      <c r="N3443" t="s">
        <v>4860</v>
      </c>
      <c r="O3443" t="s">
        <v>73</v>
      </c>
      <c r="P3443" t="s">
        <v>81</v>
      </c>
      <c r="Q3443" t="s">
        <v>82</v>
      </c>
      <c r="R3443" t="s">
        <v>4853</v>
      </c>
    </row>
    <row r="3444" spans="1:18" x14ac:dyDescent="0.25">
      <c r="A3444" t="s">
        <v>21111</v>
      </c>
      <c r="B3444" t="s">
        <v>4895</v>
      </c>
      <c r="C3444" t="str">
        <f>HYPERLINK("https://nematode.unl.edu/epilu20.jpg")</f>
        <v>https://nematode.unl.edu/epilu20.jpg</v>
      </c>
      <c r="D3444" t="s">
        <v>43</v>
      </c>
      <c r="G3444" t="s">
        <v>28</v>
      </c>
      <c r="L3444" t="s">
        <v>85</v>
      </c>
      <c r="M3444" t="s">
        <v>4860</v>
      </c>
      <c r="N3444" t="s">
        <v>4860</v>
      </c>
      <c r="O3444" t="s">
        <v>73</v>
      </c>
      <c r="P3444" t="s">
        <v>81</v>
      </c>
      <c r="Q3444" t="s">
        <v>82</v>
      </c>
      <c r="R3444" t="s">
        <v>4853</v>
      </c>
    </row>
    <row r="3445" spans="1:18" x14ac:dyDescent="0.25">
      <c r="A3445" t="s">
        <v>21118</v>
      </c>
      <c r="B3445" t="s">
        <v>4896</v>
      </c>
      <c r="C3445" t="str">
        <f>HYPERLINK("https://nematode.unl.edu/epilu21.jpg")</f>
        <v>https://nematode.unl.edu/epilu21.jpg</v>
      </c>
      <c r="D3445" t="s">
        <v>43</v>
      </c>
      <c r="G3445" t="s">
        <v>51</v>
      </c>
      <c r="L3445" t="s">
        <v>35</v>
      </c>
      <c r="M3445" t="s">
        <v>4860</v>
      </c>
      <c r="N3445" t="s">
        <v>4860</v>
      </c>
      <c r="O3445" t="s">
        <v>73</v>
      </c>
      <c r="P3445" t="s">
        <v>81</v>
      </c>
      <c r="Q3445" t="s">
        <v>82</v>
      </c>
      <c r="R3445" t="s">
        <v>4853</v>
      </c>
    </row>
    <row r="3446" spans="1:18" x14ac:dyDescent="0.25">
      <c r="A3446" t="s">
        <v>21112</v>
      </c>
      <c r="B3446" t="s">
        <v>4897</v>
      </c>
      <c r="C3446" t="str">
        <f>HYPERLINK("https://nematode.unl.edu/epilu22.jpg")</f>
        <v>https://nematode.unl.edu/epilu22.jpg</v>
      </c>
      <c r="D3446" t="s">
        <v>77</v>
      </c>
      <c r="G3446" t="s">
        <v>28</v>
      </c>
      <c r="I3446" t="s">
        <v>19</v>
      </c>
      <c r="J3446" t="s">
        <v>20</v>
      </c>
      <c r="M3446" t="s">
        <v>4860</v>
      </c>
      <c r="N3446" t="s">
        <v>4860</v>
      </c>
      <c r="O3446" t="s">
        <v>73</v>
      </c>
      <c r="P3446" t="s">
        <v>81</v>
      </c>
      <c r="Q3446" t="s">
        <v>82</v>
      </c>
      <c r="R3446" t="s">
        <v>4853</v>
      </c>
    </row>
    <row r="3447" spans="1:18" x14ac:dyDescent="0.25">
      <c r="A3447" t="s">
        <v>21119</v>
      </c>
      <c r="B3447" t="s">
        <v>4898</v>
      </c>
      <c r="C3447" t="str">
        <f>HYPERLINK("https://nematode.unl.edu/epilu23.jpg")</f>
        <v>https://nematode.unl.edu/epilu23.jpg</v>
      </c>
      <c r="D3447" t="s">
        <v>43</v>
      </c>
      <c r="G3447" t="s">
        <v>51</v>
      </c>
      <c r="J3447" t="s">
        <v>20</v>
      </c>
      <c r="L3447" t="s">
        <v>64</v>
      </c>
      <c r="M3447" t="s">
        <v>4860</v>
      </c>
      <c r="N3447" t="s">
        <v>4860</v>
      </c>
      <c r="O3447" t="s">
        <v>73</v>
      </c>
      <c r="P3447" t="s">
        <v>81</v>
      </c>
      <c r="Q3447" t="s">
        <v>82</v>
      </c>
      <c r="R3447" t="s">
        <v>4853</v>
      </c>
    </row>
    <row r="3448" spans="1:18" x14ac:dyDescent="0.25">
      <c r="A3448" t="s">
        <v>21090</v>
      </c>
      <c r="B3448" t="s">
        <v>4899</v>
      </c>
      <c r="C3448" t="str">
        <f>HYPERLINK("https://nematode.unl.edu/epilu24.jpg")</f>
        <v>https://nematode.unl.edu/epilu24.jpg</v>
      </c>
      <c r="D3448" t="s">
        <v>43</v>
      </c>
      <c r="G3448" t="s">
        <v>87</v>
      </c>
      <c r="M3448" t="s">
        <v>4860</v>
      </c>
      <c r="N3448" t="s">
        <v>4860</v>
      </c>
      <c r="O3448" t="s">
        <v>73</v>
      </c>
      <c r="P3448" t="s">
        <v>81</v>
      </c>
      <c r="Q3448" t="s">
        <v>82</v>
      </c>
      <c r="R3448" t="s">
        <v>4853</v>
      </c>
    </row>
    <row r="3449" spans="1:18" x14ac:dyDescent="0.25">
      <c r="A3449" t="s">
        <v>21086</v>
      </c>
      <c r="B3449" t="s">
        <v>4900</v>
      </c>
      <c r="C3449" t="str">
        <f>HYPERLINK("https://nematode.unl.edu/epilu25.jpg")</f>
        <v>https://nematode.unl.edu/epilu25.jpg</v>
      </c>
      <c r="D3449" t="s">
        <v>43</v>
      </c>
      <c r="G3449" t="s">
        <v>34</v>
      </c>
      <c r="H3449" t="s">
        <v>18</v>
      </c>
      <c r="I3449" t="s">
        <v>19</v>
      </c>
      <c r="J3449" t="s">
        <v>20</v>
      </c>
      <c r="L3449" t="s">
        <v>456</v>
      </c>
      <c r="M3449" t="s">
        <v>4860</v>
      </c>
      <c r="N3449" t="s">
        <v>4860</v>
      </c>
      <c r="O3449" t="s">
        <v>73</v>
      </c>
      <c r="P3449" t="s">
        <v>81</v>
      </c>
      <c r="Q3449" t="s">
        <v>82</v>
      </c>
      <c r="R3449" t="s">
        <v>4853</v>
      </c>
    </row>
    <row r="3450" spans="1:18" x14ac:dyDescent="0.25">
      <c r="A3450" t="s">
        <v>21075</v>
      </c>
      <c r="B3450" t="s">
        <v>4901</v>
      </c>
      <c r="C3450" t="str">
        <f>HYPERLINK("https://nematode.unl.edu/epilu26.jpg")</f>
        <v>https://nematode.unl.edu/epilu26.jpg</v>
      </c>
      <c r="D3450" t="s">
        <v>16</v>
      </c>
      <c r="G3450" t="s">
        <v>96</v>
      </c>
      <c r="H3450" t="s">
        <v>18</v>
      </c>
      <c r="I3450" t="s">
        <v>19</v>
      </c>
      <c r="J3450" t="s">
        <v>20</v>
      </c>
      <c r="M3450" t="s">
        <v>4860</v>
      </c>
      <c r="N3450" t="s">
        <v>4860</v>
      </c>
      <c r="O3450" t="s">
        <v>73</v>
      </c>
      <c r="P3450" t="s">
        <v>81</v>
      </c>
      <c r="Q3450" t="s">
        <v>82</v>
      </c>
      <c r="R3450" t="s">
        <v>4853</v>
      </c>
    </row>
    <row r="3451" spans="1:18" x14ac:dyDescent="0.25">
      <c r="A3451" t="s">
        <v>21113</v>
      </c>
      <c r="B3451" t="s">
        <v>4902</v>
      </c>
      <c r="C3451" t="str">
        <f>HYPERLINK("https://nematode.unl.edu/epilu27.jpg")</f>
        <v>https://nematode.unl.edu/epilu27.jpg</v>
      </c>
      <c r="D3451" t="s">
        <v>16</v>
      </c>
      <c r="G3451" t="s">
        <v>28</v>
      </c>
      <c r="I3451" t="s">
        <v>19</v>
      </c>
      <c r="J3451" t="s">
        <v>20</v>
      </c>
      <c r="M3451" t="s">
        <v>4860</v>
      </c>
      <c r="N3451" t="s">
        <v>4860</v>
      </c>
      <c r="O3451" t="s">
        <v>73</v>
      </c>
      <c r="P3451" t="s">
        <v>81</v>
      </c>
      <c r="Q3451" t="s">
        <v>82</v>
      </c>
      <c r="R3451" t="s">
        <v>4853</v>
      </c>
    </row>
    <row r="3452" spans="1:18" x14ac:dyDescent="0.25">
      <c r="A3452" t="s">
        <v>21120</v>
      </c>
      <c r="B3452" t="s">
        <v>4903</v>
      </c>
      <c r="C3452" t="str">
        <f>HYPERLINK("https://nematode.unl.edu/epilu3.jpg")</f>
        <v>https://nematode.unl.edu/epilu3.jpg</v>
      </c>
      <c r="D3452" t="s">
        <v>43</v>
      </c>
      <c r="G3452" t="s">
        <v>51</v>
      </c>
      <c r="J3452" t="s">
        <v>20</v>
      </c>
      <c r="M3452" t="s">
        <v>4860</v>
      </c>
      <c r="N3452" t="s">
        <v>4860</v>
      </c>
      <c r="O3452" t="s">
        <v>73</v>
      </c>
      <c r="P3452" t="s">
        <v>81</v>
      </c>
      <c r="Q3452" t="s">
        <v>82</v>
      </c>
      <c r="R3452" t="s">
        <v>4853</v>
      </c>
    </row>
    <row r="3453" spans="1:18" x14ac:dyDescent="0.25">
      <c r="A3453" t="s">
        <v>21077</v>
      </c>
      <c r="B3453" t="s">
        <v>4904</v>
      </c>
      <c r="C3453" t="str">
        <f>HYPERLINK("https://nematode.unl.edu/epilu4.jpg")</f>
        <v>https://nematode.unl.edu/epilu4.jpg</v>
      </c>
      <c r="D3453" t="s">
        <v>43</v>
      </c>
      <c r="G3453" t="s">
        <v>17</v>
      </c>
      <c r="H3453" t="s">
        <v>18</v>
      </c>
      <c r="M3453" t="s">
        <v>4860</v>
      </c>
      <c r="N3453" t="s">
        <v>4860</v>
      </c>
      <c r="O3453" t="s">
        <v>73</v>
      </c>
      <c r="P3453" t="s">
        <v>81</v>
      </c>
      <c r="Q3453" t="s">
        <v>82</v>
      </c>
      <c r="R3453" t="s">
        <v>4853</v>
      </c>
    </row>
    <row r="3454" spans="1:18" x14ac:dyDescent="0.25">
      <c r="A3454" t="s">
        <v>21087</v>
      </c>
      <c r="B3454" t="s">
        <v>4905</v>
      </c>
      <c r="C3454" t="str">
        <f>HYPERLINK("https://nematode.unl.edu/epilu5.jpg")</f>
        <v>https://nematode.unl.edu/epilu5.jpg</v>
      </c>
      <c r="D3454" t="s">
        <v>43</v>
      </c>
      <c r="G3454" t="s">
        <v>34</v>
      </c>
      <c r="H3454" t="s">
        <v>18</v>
      </c>
      <c r="I3454" t="s">
        <v>19</v>
      </c>
      <c r="J3454" t="s">
        <v>20</v>
      </c>
      <c r="L3454" t="s">
        <v>183</v>
      </c>
      <c r="M3454" t="s">
        <v>4860</v>
      </c>
      <c r="N3454" t="s">
        <v>4860</v>
      </c>
      <c r="O3454" t="s">
        <v>73</v>
      </c>
      <c r="P3454" t="s">
        <v>81</v>
      </c>
      <c r="Q3454" t="s">
        <v>82</v>
      </c>
      <c r="R3454" t="s">
        <v>4853</v>
      </c>
    </row>
    <row r="3455" spans="1:18" x14ac:dyDescent="0.25">
      <c r="A3455" t="s">
        <v>21076</v>
      </c>
      <c r="B3455" t="s">
        <v>4906</v>
      </c>
      <c r="C3455" t="str">
        <f>HYPERLINK("https://nematode.unl.edu/epilu6.jpg")</f>
        <v>https://nematode.unl.edu/epilu6.jpg</v>
      </c>
      <c r="D3455" t="s">
        <v>43</v>
      </c>
      <c r="G3455" t="s">
        <v>96</v>
      </c>
      <c r="H3455" t="s">
        <v>18</v>
      </c>
      <c r="J3455" t="s">
        <v>20</v>
      </c>
      <c r="M3455" t="s">
        <v>4860</v>
      </c>
      <c r="N3455" t="s">
        <v>4860</v>
      </c>
      <c r="O3455" t="s">
        <v>73</v>
      </c>
      <c r="P3455" t="s">
        <v>81</v>
      </c>
      <c r="Q3455" t="s">
        <v>82</v>
      </c>
      <c r="R3455" t="s">
        <v>4853</v>
      </c>
    </row>
    <row r="3456" spans="1:18" x14ac:dyDescent="0.25">
      <c r="A3456" t="s">
        <v>21121</v>
      </c>
      <c r="B3456" t="s">
        <v>4907</v>
      </c>
      <c r="C3456" t="str">
        <f>HYPERLINK("https://nematode.unl.edu/epilu7.jpg")</f>
        <v>https://nematode.unl.edu/epilu7.jpg</v>
      </c>
      <c r="D3456" t="s">
        <v>43</v>
      </c>
      <c r="G3456" t="s">
        <v>51</v>
      </c>
      <c r="J3456" t="s">
        <v>20</v>
      </c>
      <c r="M3456" t="s">
        <v>4860</v>
      </c>
      <c r="N3456" t="s">
        <v>4860</v>
      </c>
      <c r="O3456" t="s">
        <v>73</v>
      </c>
      <c r="P3456" t="s">
        <v>81</v>
      </c>
      <c r="Q3456" t="s">
        <v>82</v>
      </c>
      <c r="R3456" t="s">
        <v>4853</v>
      </c>
    </row>
    <row r="3457" spans="1:18" x14ac:dyDescent="0.25">
      <c r="A3457" t="s">
        <v>21114</v>
      </c>
      <c r="B3457" t="s">
        <v>4908</v>
      </c>
      <c r="C3457" t="str">
        <f>HYPERLINK("https://nematode.unl.edu/epilu8.jpg")</f>
        <v>https://nematode.unl.edu/epilu8.jpg</v>
      </c>
      <c r="D3457" t="s">
        <v>43</v>
      </c>
      <c r="G3457" t="s">
        <v>28</v>
      </c>
      <c r="J3457" t="s">
        <v>20</v>
      </c>
      <c r="M3457" t="s">
        <v>4860</v>
      </c>
      <c r="N3457" t="s">
        <v>4860</v>
      </c>
      <c r="O3457" t="s">
        <v>73</v>
      </c>
      <c r="P3457" t="s">
        <v>81</v>
      </c>
      <c r="Q3457" t="s">
        <v>82</v>
      </c>
      <c r="R3457" t="s">
        <v>4853</v>
      </c>
    </row>
    <row r="3458" spans="1:18" x14ac:dyDescent="0.25">
      <c r="A3458" t="s">
        <v>21088</v>
      </c>
      <c r="B3458" t="s">
        <v>4909</v>
      </c>
      <c r="C3458" t="str">
        <f>HYPERLINK("https://nematode.unl.edu/epilu9.jpg")</f>
        <v>https://nematode.unl.edu/epilu9.jpg</v>
      </c>
      <c r="D3458" t="s">
        <v>43</v>
      </c>
      <c r="G3458" t="s">
        <v>34</v>
      </c>
      <c r="H3458" t="s">
        <v>18</v>
      </c>
      <c r="I3458" t="s">
        <v>41</v>
      </c>
      <c r="M3458" t="s">
        <v>4860</v>
      </c>
      <c r="N3458" t="s">
        <v>4860</v>
      </c>
      <c r="O3458" t="s">
        <v>73</v>
      </c>
      <c r="P3458" t="s">
        <v>81</v>
      </c>
      <c r="Q3458" t="s">
        <v>82</v>
      </c>
      <c r="R3458" t="s">
        <v>4853</v>
      </c>
    </row>
    <row r="3459" spans="1:18" x14ac:dyDescent="0.25">
      <c r="A3459" t="s">
        <v>21115</v>
      </c>
      <c r="B3459" t="s">
        <v>4910</v>
      </c>
      <c r="C3459" t="str">
        <f>HYPERLINK("https://nematode.unl.edu/epilucmp.jpg")</f>
        <v>https://nematode.unl.edu/epilucmp.jpg</v>
      </c>
      <c r="D3459" t="s">
        <v>77</v>
      </c>
      <c r="G3459" t="s">
        <v>28</v>
      </c>
      <c r="M3459" t="s">
        <v>4860</v>
      </c>
      <c r="N3459" t="s">
        <v>4860</v>
      </c>
      <c r="O3459" t="s">
        <v>73</v>
      </c>
      <c r="P3459" t="s">
        <v>81</v>
      </c>
      <c r="Q3459" t="s">
        <v>82</v>
      </c>
      <c r="R3459" t="s">
        <v>4853</v>
      </c>
    </row>
    <row r="3460" spans="1:18" x14ac:dyDescent="0.25">
      <c r="A3460" t="s">
        <v>21089</v>
      </c>
      <c r="B3460" t="s">
        <v>4911</v>
      </c>
      <c r="C3460" t="str">
        <f>HYPERLINK("https://nematode.unl.edu/eplug1.jpg")</f>
        <v>https://nematode.unl.edu/eplug1.jpg</v>
      </c>
      <c r="D3460" t="s">
        <v>43</v>
      </c>
      <c r="G3460" t="s">
        <v>34</v>
      </c>
      <c r="H3460" t="s">
        <v>18</v>
      </c>
      <c r="I3460" t="s">
        <v>516</v>
      </c>
      <c r="J3460" t="s">
        <v>46</v>
      </c>
      <c r="L3460" t="s">
        <v>105</v>
      </c>
      <c r="M3460" t="s">
        <v>4860</v>
      </c>
      <c r="N3460" t="s">
        <v>4860</v>
      </c>
      <c r="O3460" t="s">
        <v>73</v>
      </c>
      <c r="P3460" t="s">
        <v>81</v>
      </c>
      <c r="Q3460" t="s">
        <v>82</v>
      </c>
      <c r="R3460" t="s">
        <v>4853</v>
      </c>
    </row>
    <row r="3461" spans="1:18" x14ac:dyDescent="0.25">
      <c r="A3461" t="s">
        <v>21122</v>
      </c>
      <c r="B3461" t="s">
        <v>4912</v>
      </c>
      <c r="C3461" t="str">
        <f>HYPERLINK("https://nematode.unl.edu/eplug2.jpg")</f>
        <v>https://nematode.unl.edu/eplug2.jpg</v>
      </c>
      <c r="D3461" t="s">
        <v>43</v>
      </c>
      <c r="G3461" t="s">
        <v>51</v>
      </c>
      <c r="I3461" t="s">
        <v>19</v>
      </c>
      <c r="J3461" t="s">
        <v>46</v>
      </c>
      <c r="L3461" t="s">
        <v>105</v>
      </c>
      <c r="M3461" t="s">
        <v>4860</v>
      </c>
      <c r="N3461" t="s">
        <v>4860</v>
      </c>
      <c r="O3461" t="s">
        <v>73</v>
      </c>
      <c r="P3461" t="s">
        <v>81</v>
      </c>
      <c r="Q3461" t="s">
        <v>82</v>
      </c>
      <c r="R3461" t="s">
        <v>4853</v>
      </c>
    </row>
    <row r="3462" spans="1:18" x14ac:dyDescent="0.25">
      <c r="A3462" t="s">
        <v>21116</v>
      </c>
      <c r="B3462" t="s">
        <v>4913</v>
      </c>
      <c r="C3462" t="str">
        <f>HYPERLINK("https://nematode.unl.edu/eplug3.jpg")</f>
        <v>https://nematode.unl.edu/eplug3.jpg</v>
      </c>
      <c r="D3462" t="s">
        <v>43</v>
      </c>
      <c r="G3462" t="s">
        <v>28</v>
      </c>
      <c r="I3462" t="s">
        <v>19</v>
      </c>
      <c r="J3462" t="s">
        <v>46</v>
      </c>
      <c r="M3462" t="s">
        <v>4860</v>
      </c>
      <c r="N3462" t="s">
        <v>4860</v>
      </c>
      <c r="O3462" t="s">
        <v>73</v>
      </c>
      <c r="P3462" t="s">
        <v>81</v>
      </c>
      <c r="Q3462" t="s">
        <v>82</v>
      </c>
      <c r="R3462" t="s">
        <v>4853</v>
      </c>
    </row>
    <row r="3463" spans="1:18" x14ac:dyDescent="0.25">
      <c r="A3463" t="s">
        <v>21408</v>
      </c>
      <c r="B3463" t="s">
        <v>5288</v>
      </c>
      <c r="C3463" t="str">
        <f>HYPERLINK("https://nematode.unl.edu/esilva1.jpg")</f>
        <v>https://nematode.unl.edu/esilva1.jpg</v>
      </c>
      <c r="D3463" t="s">
        <v>43</v>
      </c>
      <c r="G3463" t="s">
        <v>44</v>
      </c>
      <c r="I3463" t="s">
        <v>499</v>
      </c>
      <c r="J3463" t="s">
        <v>267</v>
      </c>
      <c r="M3463" t="s">
        <v>5289</v>
      </c>
      <c r="N3463" t="s">
        <v>5289</v>
      </c>
      <c r="O3463" t="s">
        <v>73</v>
      </c>
      <c r="P3463" t="s">
        <v>81</v>
      </c>
      <c r="Q3463" t="s">
        <v>82</v>
      </c>
      <c r="R3463" t="s">
        <v>1016</v>
      </c>
    </row>
    <row r="3464" spans="1:18" x14ac:dyDescent="0.25">
      <c r="A3464" t="s">
        <v>21397</v>
      </c>
      <c r="B3464" t="s">
        <v>5290</v>
      </c>
      <c r="C3464" t="str">
        <f>HYPERLINK("https://nematode.unl.edu/esilva2.jpg")</f>
        <v>https://nematode.unl.edu/esilva2.jpg</v>
      </c>
      <c r="D3464" t="s">
        <v>43</v>
      </c>
      <c r="G3464" t="s">
        <v>34</v>
      </c>
      <c r="H3464" t="s">
        <v>18</v>
      </c>
      <c r="I3464" t="s">
        <v>19</v>
      </c>
      <c r="J3464" t="s">
        <v>267</v>
      </c>
      <c r="M3464" t="s">
        <v>5289</v>
      </c>
      <c r="N3464" t="s">
        <v>5289</v>
      </c>
      <c r="O3464" t="s">
        <v>73</v>
      </c>
      <c r="P3464" t="s">
        <v>81</v>
      </c>
      <c r="Q3464" t="s">
        <v>82</v>
      </c>
      <c r="R3464" t="s">
        <v>1016</v>
      </c>
    </row>
    <row r="3465" spans="1:18" x14ac:dyDescent="0.25">
      <c r="A3465" t="s">
        <v>21394</v>
      </c>
      <c r="B3465" t="s">
        <v>5291</v>
      </c>
      <c r="C3465" t="str">
        <f>HYPERLINK("https://nematode.unl.edu/esilva3.jpg")</f>
        <v>https://nematode.unl.edu/esilva3.jpg</v>
      </c>
      <c r="D3465" t="s">
        <v>43</v>
      </c>
      <c r="G3465" t="s">
        <v>17</v>
      </c>
      <c r="H3465" t="s">
        <v>18</v>
      </c>
      <c r="I3465" t="s">
        <v>19</v>
      </c>
      <c r="M3465" t="s">
        <v>5289</v>
      </c>
      <c r="N3465" t="s">
        <v>5289</v>
      </c>
      <c r="O3465" t="s">
        <v>73</v>
      </c>
      <c r="P3465" t="s">
        <v>81</v>
      </c>
      <c r="Q3465" t="s">
        <v>82</v>
      </c>
      <c r="R3465" t="s">
        <v>1016</v>
      </c>
    </row>
    <row r="3466" spans="1:18" x14ac:dyDescent="0.25">
      <c r="A3466" t="s">
        <v>21425</v>
      </c>
      <c r="B3466" t="s">
        <v>5292</v>
      </c>
      <c r="C3466" t="str">
        <f>HYPERLINK("https://nematode.unl.edu/esilva4.jpg")</f>
        <v>https://nematode.unl.edu/esilva4.jpg</v>
      </c>
      <c r="D3466" t="s">
        <v>43</v>
      </c>
      <c r="G3466" t="s">
        <v>51</v>
      </c>
      <c r="J3466" t="s">
        <v>267</v>
      </c>
      <c r="M3466" t="s">
        <v>5289</v>
      </c>
      <c r="N3466" t="s">
        <v>5289</v>
      </c>
      <c r="O3466" t="s">
        <v>73</v>
      </c>
      <c r="P3466" t="s">
        <v>81</v>
      </c>
      <c r="Q3466" t="s">
        <v>82</v>
      </c>
      <c r="R3466" t="s">
        <v>1016</v>
      </c>
    </row>
    <row r="3467" spans="1:18" x14ac:dyDescent="0.25">
      <c r="A3467" t="s">
        <v>21414</v>
      </c>
      <c r="B3467" t="s">
        <v>5293</v>
      </c>
      <c r="C3467" t="str">
        <f>HYPERLINK("https://nematode.unl.edu/esilva5.jpg")</f>
        <v>https://nematode.unl.edu/esilva5.jpg</v>
      </c>
      <c r="D3467" t="s">
        <v>43</v>
      </c>
      <c r="G3467" t="s">
        <v>28</v>
      </c>
      <c r="I3467" t="s">
        <v>19</v>
      </c>
      <c r="J3467" t="s">
        <v>267</v>
      </c>
      <c r="M3467" t="s">
        <v>5289</v>
      </c>
      <c r="N3467" t="s">
        <v>5289</v>
      </c>
      <c r="O3467" t="s">
        <v>73</v>
      </c>
      <c r="P3467" t="s">
        <v>81</v>
      </c>
      <c r="Q3467" t="s">
        <v>82</v>
      </c>
      <c r="R3467" t="s">
        <v>1016</v>
      </c>
    </row>
    <row r="3468" spans="1:18" x14ac:dyDescent="0.25">
      <c r="A3468" t="s">
        <v>21078</v>
      </c>
      <c r="B3468" t="s">
        <v>4859</v>
      </c>
      <c r="C3468" t="str">
        <f>HYPERLINK("https://nematode.unl.edu/ethmos1.jpg")</f>
        <v>https://nematode.unl.edu/ethmos1.jpg</v>
      </c>
      <c r="D3468" t="s">
        <v>77</v>
      </c>
      <c r="G3468" t="s">
        <v>34</v>
      </c>
      <c r="H3468" t="s">
        <v>18</v>
      </c>
      <c r="M3468" t="s">
        <v>4860</v>
      </c>
      <c r="N3468" t="s">
        <v>4860</v>
      </c>
      <c r="O3468" t="s">
        <v>73</v>
      </c>
      <c r="P3468" t="s">
        <v>81</v>
      </c>
      <c r="Q3468" t="s">
        <v>82</v>
      </c>
      <c r="R3468" t="s">
        <v>4853</v>
      </c>
    </row>
    <row r="3469" spans="1:18" x14ac:dyDescent="0.25">
      <c r="A3469" t="s">
        <v>21071</v>
      </c>
      <c r="B3469" t="s">
        <v>4861</v>
      </c>
      <c r="C3469" t="str">
        <f>HYPERLINK("https://nematode.unl.edu/ethmos2.jpg")</f>
        <v>https://nematode.unl.edu/ethmos2.jpg</v>
      </c>
      <c r="D3469" t="s">
        <v>77</v>
      </c>
      <c r="G3469" t="s">
        <v>96</v>
      </c>
      <c r="H3469" t="s">
        <v>18</v>
      </c>
      <c r="I3469" t="s">
        <v>19</v>
      </c>
      <c r="M3469" t="s">
        <v>4860</v>
      </c>
      <c r="N3469" t="s">
        <v>4860</v>
      </c>
      <c r="O3469" t="s">
        <v>73</v>
      </c>
      <c r="P3469" t="s">
        <v>81</v>
      </c>
      <c r="Q3469" t="s">
        <v>82</v>
      </c>
      <c r="R3469" t="s">
        <v>4853</v>
      </c>
    </row>
    <row r="3470" spans="1:18" x14ac:dyDescent="0.25">
      <c r="A3470" t="s">
        <v>21091</v>
      </c>
      <c r="B3470" t="s">
        <v>4862</v>
      </c>
      <c r="C3470" t="str">
        <f>HYPERLINK("https://nematode.unl.edu/ethmos3.jpg")</f>
        <v>https://nematode.unl.edu/ethmos3.jpg</v>
      </c>
      <c r="D3470" t="s">
        <v>77</v>
      </c>
      <c r="G3470" t="s">
        <v>44</v>
      </c>
      <c r="I3470" t="s">
        <v>45</v>
      </c>
      <c r="J3470" t="s">
        <v>4863</v>
      </c>
      <c r="L3470" t="s">
        <v>4864</v>
      </c>
      <c r="M3470" t="s">
        <v>4860</v>
      </c>
      <c r="N3470" t="s">
        <v>4860</v>
      </c>
      <c r="O3470" t="s">
        <v>73</v>
      </c>
      <c r="P3470" t="s">
        <v>81</v>
      </c>
      <c r="Q3470" t="s">
        <v>82</v>
      </c>
      <c r="R3470" t="s">
        <v>4853</v>
      </c>
    </row>
    <row r="3471" spans="1:18" x14ac:dyDescent="0.25">
      <c r="A3471" t="s">
        <v>21072</v>
      </c>
      <c r="B3471" t="s">
        <v>4865</v>
      </c>
      <c r="C3471" t="str">
        <f>HYPERLINK("https://nematode.unl.edu/ethmos4.jpg")</f>
        <v>https://nematode.unl.edu/ethmos4.jpg</v>
      </c>
      <c r="D3471" t="s">
        <v>77</v>
      </c>
      <c r="G3471" t="s">
        <v>96</v>
      </c>
      <c r="H3471" t="s">
        <v>18</v>
      </c>
      <c r="I3471" t="s">
        <v>137</v>
      </c>
      <c r="M3471" t="s">
        <v>4860</v>
      </c>
      <c r="N3471" t="s">
        <v>4860</v>
      </c>
      <c r="O3471" t="s">
        <v>73</v>
      </c>
      <c r="P3471" t="s">
        <v>81</v>
      </c>
      <c r="Q3471" t="s">
        <v>82</v>
      </c>
      <c r="R3471" t="s">
        <v>4853</v>
      </c>
    </row>
    <row r="3472" spans="1:18" x14ac:dyDescent="0.25">
      <c r="A3472" t="s">
        <v>21103</v>
      </c>
      <c r="B3472" t="s">
        <v>4866</v>
      </c>
      <c r="C3472" t="str">
        <f>HYPERLINK("https://nematode.unl.edu/ethmos5.jpg")</f>
        <v>https://nematode.unl.edu/ethmos5.jpg</v>
      </c>
      <c r="D3472" t="s">
        <v>77</v>
      </c>
      <c r="G3472" t="s">
        <v>28</v>
      </c>
      <c r="M3472" t="s">
        <v>4860</v>
      </c>
      <c r="N3472" t="s">
        <v>4860</v>
      </c>
      <c r="O3472" t="s">
        <v>73</v>
      </c>
      <c r="P3472" t="s">
        <v>81</v>
      </c>
      <c r="Q3472" t="s">
        <v>82</v>
      </c>
      <c r="R3472" t="s">
        <v>4853</v>
      </c>
    </row>
    <row r="3473" spans="1:18" x14ac:dyDescent="0.25">
      <c r="A3473" t="s">
        <v>21104</v>
      </c>
      <c r="B3473" t="s">
        <v>4867</v>
      </c>
      <c r="C3473" t="str">
        <f>HYPERLINK("https://nematode.unl.edu/ethmos6.jpg")</f>
        <v>https://nematode.unl.edu/ethmos6.jpg</v>
      </c>
      <c r="D3473" t="s">
        <v>77</v>
      </c>
      <c r="G3473" t="s">
        <v>28</v>
      </c>
      <c r="M3473" t="s">
        <v>4860</v>
      </c>
      <c r="N3473" t="s">
        <v>4860</v>
      </c>
      <c r="O3473" t="s">
        <v>73</v>
      </c>
      <c r="P3473" t="s">
        <v>81</v>
      </c>
      <c r="Q3473" t="s">
        <v>82</v>
      </c>
      <c r="R3473" t="s">
        <v>4853</v>
      </c>
    </row>
    <row r="3474" spans="1:18" x14ac:dyDescent="0.25">
      <c r="A3474" t="s">
        <v>21549</v>
      </c>
      <c r="B3474" t="s">
        <v>5443</v>
      </c>
      <c r="C3474" t="str">
        <f>HYPERLINK("https://nematode.unl.edu/etrunc1.jpg")</f>
        <v>https://nematode.unl.edu/etrunc1.jpg</v>
      </c>
      <c r="D3474" t="s">
        <v>43</v>
      </c>
      <c r="G3474" t="s">
        <v>44</v>
      </c>
      <c r="I3474" t="s">
        <v>41</v>
      </c>
      <c r="J3474" t="s">
        <v>1517</v>
      </c>
      <c r="L3474" t="s">
        <v>1677</v>
      </c>
      <c r="M3474" t="s">
        <v>5444</v>
      </c>
      <c r="N3474" t="s">
        <v>5444</v>
      </c>
      <c r="O3474" t="s">
        <v>73</v>
      </c>
      <c r="P3474" t="s">
        <v>81</v>
      </c>
      <c r="Q3474" t="s">
        <v>82</v>
      </c>
      <c r="R3474" t="s">
        <v>1016</v>
      </c>
    </row>
    <row r="3475" spans="1:18" x14ac:dyDescent="0.25">
      <c r="A3475" t="s">
        <v>21544</v>
      </c>
      <c r="B3475" t="s">
        <v>5445</v>
      </c>
      <c r="C3475" t="str">
        <f>HYPERLINK("https://nematode.unl.edu/etrunc2.jpg")</f>
        <v>https://nematode.unl.edu/etrunc2.jpg</v>
      </c>
      <c r="D3475" t="s">
        <v>43</v>
      </c>
      <c r="G3475" t="s">
        <v>34</v>
      </c>
      <c r="H3475" t="s">
        <v>18</v>
      </c>
      <c r="I3475" t="s">
        <v>41</v>
      </c>
      <c r="J3475" t="s">
        <v>1525</v>
      </c>
      <c r="L3475" t="s">
        <v>1526</v>
      </c>
      <c r="M3475" t="s">
        <v>5444</v>
      </c>
      <c r="N3475" t="s">
        <v>5444</v>
      </c>
      <c r="O3475" t="s">
        <v>73</v>
      </c>
      <c r="P3475" t="s">
        <v>81</v>
      </c>
      <c r="Q3475" t="s">
        <v>82</v>
      </c>
      <c r="R3475" t="s">
        <v>1016</v>
      </c>
    </row>
    <row r="3476" spans="1:18" x14ac:dyDescent="0.25">
      <c r="A3476" t="s">
        <v>21543</v>
      </c>
      <c r="B3476" t="s">
        <v>5446</v>
      </c>
      <c r="C3476" t="str">
        <f>HYPERLINK("https://nematode.unl.edu/etrunc3.jpg")</f>
        <v>https://nematode.unl.edu/etrunc3.jpg</v>
      </c>
      <c r="D3476" t="s">
        <v>43</v>
      </c>
      <c r="G3476" t="s">
        <v>386</v>
      </c>
      <c r="H3476" t="s">
        <v>18</v>
      </c>
      <c r="I3476" t="s">
        <v>41</v>
      </c>
      <c r="J3476" t="s">
        <v>1525</v>
      </c>
      <c r="L3476" t="s">
        <v>1526</v>
      </c>
      <c r="M3476" t="s">
        <v>5444</v>
      </c>
      <c r="N3476" t="s">
        <v>5444</v>
      </c>
      <c r="O3476" t="s">
        <v>73</v>
      </c>
      <c r="P3476" t="s">
        <v>81</v>
      </c>
      <c r="Q3476" t="s">
        <v>82</v>
      </c>
      <c r="R3476" t="s">
        <v>1016</v>
      </c>
    </row>
    <row r="3477" spans="1:18" x14ac:dyDescent="0.25">
      <c r="A3477" t="s">
        <v>21553</v>
      </c>
      <c r="B3477" t="s">
        <v>5447</v>
      </c>
      <c r="C3477" t="str">
        <f>HYPERLINK("https://nematode.unl.edu/etrunc4.jpg")</f>
        <v>https://nematode.unl.edu/etrunc4.jpg</v>
      </c>
      <c r="D3477" t="s">
        <v>43</v>
      </c>
      <c r="G3477" t="s">
        <v>51</v>
      </c>
      <c r="M3477" t="s">
        <v>5444</v>
      </c>
      <c r="N3477" t="s">
        <v>5444</v>
      </c>
      <c r="O3477" t="s">
        <v>73</v>
      </c>
      <c r="P3477" t="s">
        <v>81</v>
      </c>
      <c r="Q3477" t="s">
        <v>82</v>
      </c>
      <c r="R3477" t="s">
        <v>1016</v>
      </c>
    </row>
    <row r="3478" spans="1:18" x14ac:dyDescent="0.25">
      <c r="A3478" t="s">
        <v>21551</v>
      </c>
      <c r="B3478" t="s">
        <v>5448</v>
      </c>
      <c r="C3478" t="str">
        <f>HYPERLINK("https://nematode.unl.edu/etrunc5.jpg")</f>
        <v>https://nematode.unl.edu/etrunc5.jpg</v>
      </c>
      <c r="D3478" t="s">
        <v>43</v>
      </c>
      <c r="G3478" t="s">
        <v>28</v>
      </c>
      <c r="I3478" t="s">
        <v>41</v>
      </c>
      <c r="J3478" t="s">
        <v>1517</v>
      </c>
      <c r="L3478" t="s">
        <v>1677</v>
      </c>
      <c r="M3478" t="s">
        <v>5444</v>
      </c>
      <c r="N3478" t="s">
        <v>5444</v>
      </c>
      <c r="O3478" t="s">
        <v>73</v>
      </c>
      <c r="P3478" t="s">
        <v>81</v>
      </c>
      <c r="Q3478" t="s">
        <v>82</v>
      </c>
      <c r="R3478" t="s">
        <v>1016</v>
      </c>
    </row>
    <row r="3479" spans="1:18" x14ac:dyDescent="0.25">
      <c r="A3479" t="s">
        <v>21160</v>
      </c>
      <c r="B3479" t="s">
        <v>5036</v>
      </c>
      <c r="C3479" t="str">
        <f>HYPERLINK("https://nematode.unl.edu/euacu1.jpg")</f>
        <v>https://nematode.unl.edu/euacu1.jpg</v>
      </c>
      <c r="D3479" t="s">
        <v>43</v>
      </c>
      <c r="G3479" t="s">
        <v>44</v>
      </c>
      <c r="I3479" t="s">
        <v>91</v>
      </c>
      <c r="J3479" t="s">
        <v>20</v>
      </c>
      <c r="L3479" t="s">
        <v>85</v>
      </c>
      <c r="M3479" t="s">
        <v>5037</v>
      </c>
      <c r="N3479" t="s">
        <v>5037</v>
      </c>
      <c r="O3479" t="s">
        <v>73</v>
      </c>
      <c r="P3479" t="s">
        <v>81</v>
      </c>
      <c r="Q3479" t="s">
        <v>82</v>
      </c>
      <c r="R3479" t="s">
        <v>1016</v>
      </c>
    </row>
    <row r="3480" spans="1:18" x14ac:dyDescent="0.25">
      <c r="A3480" t="s">
        <v>21157</v>
      </c>
      <c r="B3480" t="s">
        <v>5038</v>
      </c>
      <c r="C3480" t="str">
        <f>HYPERLINK("https://nematode.unl.edu/euacu2.jpg")</f>
        <v>https://nematode.unl.edu/euacu2.jpg</v>
      </c>
      <c r="D3480" t="s">
        <v>43</v>
      </c>
      <c r="G3480" t="s">
        <v>34</v>
      </c>
      <c r="H3480" t="s">
        <v>18</v>
      </c>
      <c r="I3480" t="s">
        <v>19</v>
      </c>
      <c r="J3480" t="s">
        <v>20</v>
      </c>
      <c r="M3480" t="s">
        <v>5037</v>
      </c>
      <c r="N3480" t="s">
        <v>5037</v>
      </c>
      <c r="O3480" t="s">
        <v>73</v>
      </c>
      <c r="P3480" t="s">
        <v>81</v>
      </c>
      <c r="Q3480" t="s">
        <v>82</v>
      </c>
      <c r="R3480" t="s">
        <v>1016</v>
      </c>
    </row>
    <row r="3481" spans="1:18" x14ac:dyDescent="0.25">
      <c r="A3481" t="s">
        <v>21159</v>
      </c>
      <c r="B3481" t="s">
        <v>5039</v>
      </c>
      <c r="C3481" t="str">
        <f>HYPERLINK("https://nematode.unl.edu/euacu3.jpg")</f>
        <v>https://nematode.unl.edu/euacu3.jpg</v>
      </c>
      <c r="D3481" t="s">
        <v>43</v>
      </c>
      <c r="G3481" t="s">
        <v>87</v>
      </c>
      <c r="I3481" t="s">
        <v>19</v>
      </c>
      <c r="J3481" t="s">
        <v>20</v>
      </c>
      <c r="L3481" t="s">
        <v>85</v>
      </c>
      <c r="M3481" t="s">
        <v>5037</v>
      </c>
      <c r="N3481" t="s">
        <v>5037</v>
      </c>
      <c r="O3481" t="s">
        <v>73</v>
      </c>
      <c r="P3481" t="s">
        <v>81</v>
      </c>
      <c r="Q3481" t="s">
        <v>82</v>
      </c>
      <c r="R3481" t="s">
        <v>1016</v>
      </c>
    </row>
    <row r="3482" spans="1:18" x14ac:dyDescent="0.25">
      <c r="A3482" t="s">
        <v>21163</v>
      </c>
      <c r="B3482" t="s">
        <v>5040</v>
      </c>
      <c r="C3482" t="str">
        <f>HYPERLINK("https://nematode.unl.edu/euacu4.jpg")</f>
        <v>https://nematode.unl.edu/euacu4.jpg</v>
      </c>
      <c r="D3482" t="s">
        <v>43</v>
      </c>
      <c r="G3482" t="s">
        <v>51</v>
      </c>
      <c r="I3482" t="s">
        <v>19</v>
      </c>
      <c r="M3482" t="s">
        <v>5037</v>
      </c>
      <c r="N3482" t="s">
        <v>5037</v>
      </c>
      <c r="O3482" t="s">
        <v>73</v>
      </c>
      <c r="P3482" t="s">
        <v>81</v>
      </c>
      <c r="Q3482" t="s">
        <v>82</v>
      </c>
      <c r="R3482" t="s">
        <v>1016</v>
      </c>
    </row>
    <row r="3483" spans="1:18" x14ac:dyDescent="0.25">
      <c r="A3483" t="s">
        <v>21162</v>
      </c>
      <c r="B3483" t="s">
        <v>5041</v>
      </c>
      <c r="C3483" t="str">
        <f>HYPERLINK("https://nematode.unl.edu/euacu5.jpg")</f>
        <v>https://nematode.unl.edu/euacu5.jpg</v>
      </c>
      <c r="D3483" t="s">
        <v>43</v>
      </c>
      <c r="G3483" t="s">
        <v>28</v>
      </c>
      <c r="I3483" t="s">
        <v>19</v>
      </c>
      <c r="M3483" t="s">
        <v>5037</v>
      </c>
      <c r="N3483" t="s">
        <v>5037</v>
      </c>
      <c r="O3483" t="s">
        <v>73</v>
      </c>
      <c r="P3483" t="s">
        <v>81</v>
      </c>
      <c r="Q3483" t="s">
        <v>82</v>
      </c>
      <c r="R3483" t="s">
        <v>1016</v>
      </c>
    </row>
    <row r="3484" spans="1:18" x14ac:dyDescent="0.25">
      <c r="A3484" t="s">
        <v>21161</v>
      </c>
      <c r="B3484" t="s">
        <v>5042</v>
      </c>
      <c r="C3484" t="str">
        <f>HYPERLINK("https://nematode.unl.edu/euarc1.jpg")</f>
        <v>https://nematode.unl.edu/euarc1.jpg</v>
      </c>
      <c r="D3484" t="s">
        <v>43</v>
      </c>
      <c r="G3484" t="s">
        <v>44</v>
      </c>
      <c r="I3484" t="s">
        <v>45</v>
      </c>
      <c r="J3484" t="s">
        <v>20</v>
      </c>
      <c r="L3484" t="s">
        <v>183</v>
      </c>
      <c r="M3484" t="s">
        <v>5037</v>
      </c>
      <c r="N3484" t="s">
        <v>5037</v>
      </c>
      <c r="O3484" t="s">
        <v>73</v>
      </c>
      <c r="P3484" t="s">
        <v>81</v>
      </c>
      <c r="Q3484" t="s">
        <v>82</v>
      </c>
      <c r="R3484" t="s">
        <v>1016</v>
      </c>
    </row>
    <row r="3485" spans="1:18" x14ac:dyDescent="0.25">
      <c r="A3485" t="s">
        <v>21164</v>
      </c>
      <c r="B3485" t="s">
        <v>5043</v>
      </c>
      <c r="C3485" t="str">
        <f>HYPERLINK("https://nematode.unl.edu/euarc2.jpg")</f>
        <v>https://nematode.unl.edu/euarc2.jpg</v>
      </c>
      <c r="D3485" t="s">
        <v>43</v>
      </c>
      <c r="G3485" t="s">
        <v>51</v>
      </c>
      <c r="I3485" t="s">
        <v>19</v>
      </c>
      <c r="J3485" t="s">
        <v>20</v>
      </c>
      <c r="L3485" t="s">
        <v>183</v>
      </c>
      <c r="M3485" t="s">
        <v>5037</v>
      </c>
      <c r="N3485" t="s">
        <v>5037</v>
      </c>
      <c r="O3485" t="s">
        <v>73</v>
      </c>
      <c r="P3485" t="s">
        <v>81</v>
      </c>
      <c r="Q3485" t="s">
        <v>82</v>
      </c>
      <c r="R3485" t="s">
        <v>1016</v>
      </c>
    </row>
    <row r="3486" spans="1:18" x14ac:dyDescent="0.25">
      <c r="A3486" t="s">
        <v>21158</v>
      </c>
      <c r="B3486" t="s">
        <v>5044</v>
      </c>
      <c r="C3486" t="str">
        <f>HYPERLINK("https://nematode.unl.edu/euarc3.jpg")</f>
        <v>https://nematode.unl.edu/euarc3.jpg</v>
      </c>
      <c r="D3486" t="s">
        <v>43</v>
      </c>
      <c r="G3486" t="s">
        <v>34</v>
      </c>
      <c r="H3486" t="s">
        <v>18</v>
      </c>
      <c r="I3486" t="s">
        <v>19</v>
      </c>
      <c r="J3486" t="s">
        <v>20</v>
      </c>
      <c r="L3486" t="s">
        <v>29</v>
      </c>
      <c r="M3486" t="s">
        <v>5037</v>
      </c>
      <c r="N3486" t="s">
        <v>5037</v>
      </c>
      <c r="O3486" t="s">
        <v>73</v>
      </c>
      <c r="P3486" t="s">
        <v>81</v>
      </c>
      <c r="Q3486" t="s">
        <v>82</v>
      </c>
      <c r="R3486" t="s">
        <v>1016</v>
      </c>
    </row>
    <row r="3487" spans="1:18" x14ac:dyDescent="0.25">
      <c r="A3487" t="s">
        <v>21203</v>
      </c>
      <c r="B3487" t="s">
        <v>5085</v>
      </c>
      <c r="C3487" t="str">
        <f>HYPERLINK("https://nematode.unl.edu/eubre1.jpg")</f>
        <v>https://nematode.unl.edu/eubre1.jpg</v>
      </c>
      <c r="D3487" t="s">
        <v>43</v>
      </c>
      <c r="G3487" t="s">
        <v>34</v>
      </c>
      <c r="H3487" t="s">
        <v>18</v>
      </c>
      <c r="J3487" t="s">
        <v>20</v>
      </c>
      <c r="L3487" t="s">
        <v>85</v>
      </c>
      <c r="M3487" t="s">
        <v>5086</v>
      </c>
      <c r="N3487" t="s">
        <v>5086</v>
      </c>
      <c r="O3487" t="s">
        <v>73</v>
      </c>
      <c r="P3487" t="s">
        <v>81</v>
      </c>
      <c r="Q3487" t="s">
        <v>82</v>
      </c>
      <c r="R3487" t="s">
        <v>1016</v>
      </c>
    </row>
    <row r="3488" spans="1:18" x14ac:dyDescent="0.25">
      <c r="A3488" t="s">
        <v>21204</v>
      </c>
      <c r="B3488" t="s">
        <v>5087</v>
      </c>
      <c r="C3488" t="str">
        <f>HYPERLINK("https://nematode.unl.edu/eubre10.jpg")</f>
        <v>https://nematode.unl.edu/eubre10.jpg</v>
      </c>
      <c r="D3488" t="s">
        <v>43</v>
      </c>
      <c r="G3488" t="s">
        <v>34</v>
      </c>
      <c r="H3488" t="s">
        <v>18</v>
      </c>
      <c r="J3488" t="s">
        <v>20</v>
      </c>
      <c r="L3488" t="s">
        <v>64</v>
      </c>
      <c r="M3488" t="s">
        <v>5086</v>
      </c>
      <c r="N3488" t="s">
        <v>5086</v>
      </c>
      <c r="O3488" t="s">
        <v>73</v>
      </c>
      <c r="P3488" t="s">
        <v>81</v>
      </c>
      <c r="Q3488" t="s">
        <v>82</v>
      </c>
      <c r="R3488" t="s">
        <v>1016</v>
      </c>
    </row>
    <row r="3489" spans="1:18" x14ac:dyDescent="0.25">
      <c r="A3489" t="s">
        <v>21205</v>
      </c>
      <c r="B3489" t="s">
        <v>5088</v>
      </c>
      <c r="C3489" t="str">
        <f>HYPERLINK("https://nematode.unl.edu/eubre11.jpg")</f>
        <v>https://nematode.unl.edu/eubre11.jpg</v>
      </c>
      <c r="D3489" t="s">
        <v>43</v>
      </c>
      <c r="G3489" t="s">
        <v>34</v>
      </c>
      <c r="H3489" t="s">
        <v>18</v>
      </c>
      <c r="J3489" t="s">
        <v>20</v>
      </c>
      <c r="L3489" t="s">
        <v>141</v>
      </c>
      <c r="M3489" t="s">
        <v>5086</v>
      </c>
      <c r="N3489" t="s">
        <v>5086</v>
      </c>
      <c r="O3489" t="s">
        <v>73</v>
      </c>
      <c r="P3489" t="s">
        <v>81</v>
      </c>
      <c r="Q3489" t="s">
        <v>82</v>
      </c>
      <c r="R3489" t="s">
        <v>1016</v>
      </c>
    </row>
    <row r="3490" spans="1:18" x14ac:dyDescent="0.25">
      <c r="A3490" t="s">
        <v>21211</v>
      </c>
      <c r="B3490" t="s">
        <v>5089</v>
      </c>
      <c r="C3490" t="str">
        <f>HYPERLINK("https://nematode.unl.edu/eubre12.jpg")</f>
        <v>https://nematode.unl.edu/eubre12.jpg</v>
      </c>
      <c r="D3490" t="s">
        <v>43</v>
      </c>
      <c r="G3490" t="s">
        <v>28</v>
      </c>
      <c r="I3490" t="s">
        <v>19</v>
      </c>
      <c r="J3490" t="s">
        <v>20</v>
      </c>
      <c r="L3490" t="s">
        <v>141</v>
      </c>
      <c r="M3490" t="s">
        <v>5086</v>
      </c>
      <c r="N3490" t="s">
        <v>5086</v>
      </c>
      <c r="O3490" t="s">
        <v>73</v>
      </c>
      <c r="P3490" t="s">
        <v>81</v>
      </c>
      <c r="Q3490" t="s">
        <v>82</v>
      </c>
      <c r="R3490" t="s">
        <v>1016</v>
      </c>
    </row>
    <row r="3491" spans="1:18" x14ac:dyDescent="0.25">
      <c r="A3491" t="s">
        <v>21206</v>
      </c>
      <c r="B3491" t="s">
        <v>5090</v>
      </c>
      <c r="C3491" t="str">
        <f>HYPERLINK("https://nematode.unl.edu/eubre13.jpg")</f>
        <v>https://nematode.unl.edu/eubre13.jpg</v>
      </c>
      <c r="D3491" t="s">
        <v>43</v>
      </c>
      <c r="G3491" t="s">
        <v>34</v>
      </c>
      <c r="H3491" t="s">
        <v>18</v>
      </c>
      <c r="I3491" t="s">
        <v>41</v>
      </c>
      <c r="J3491" t="s">
        <v>20</v>
      </c>
      <c r="L3491" t="s">
        <v>141</v>
      </c>
      <c r="M3491" t="s">
        <v>5086</v>
      </c>
      <c r="N3491" t="s">
        <v>5086</v>
      </c>
      <c r="O3491" t="s">
        <v>73</v>
      </c>
      <c r="P3491" t="s">
        <v>81</v>
      </c>
      <c r="Q3491" t="s">
        <v>82</v>
      </c>
      <c r="R3491" t="s">
        <v>1016</v>
      </c>
    </row>
    <row r="3492" spans="1:18" x14ac:dyDescent="0.25">
      <c r="A3492" t="s">
        <v>21210</v>
      </c>
      <c r="B3492" t="s">
        <v>5091</v>
      </c>
      <c r="C3492" t="str">
        <f>HYPERLINK("https://nematode.unl.edu/eubre14.jpg")</f>
        <v>https://nematode.unl.edu/eubre14.jpg</v>
      </c>
      <c r="D3492" t="s">
        <v>43</v>
      </c>
      <c r="G3492" t="s">
        <v>44</v>
      </c>
      <c r="I3492" t="s">
        <v>91</v>
      </c>
      <c r="J3492" t="s">
        <v>20</v>
      </c>
      <c r="L3492" t="s">
        <v>78</v>
      </c>
      <c r="M3492" t="s">
        <v>5086</v>
      </c>
      <c r="N3492" t="s">
        <v>5086</v>
      </c>
      <c r="O3492" t="s">
        <v>73</v>
      </c>
      <c r="P3492" t="s">
        <v>81</v>
      </c>
      <c r="Q3492" t="s">
        <v>82</v>
      </c>
      <c r="R3492" t="s">
        <v>1016</v>
      </c>
    </row>
    <row r="3493" spans="1:18" x14ac:dyDescent="0.25">
      <c r="A3493" t="s">
        <v>21214</v>
      </c>
      <c r="B3493" t="s">
        <v>5092</v>
      </c>
      <c r="C3493" t="str">
        <f>HYPERLINK("https://nematode.unl.edu/eubre15.jpg")</f>
        <v>https://nematode.unl.edu/eubre15.jpg</v>
      </c>
      <c r="D3493" t="s">
        <v>43</v>
      </c>
      <c r="G3493" t="s">
        <v>51</v>
      </c>
      <c r="I3493" t="s">
        <v>19</v>
      </c>
      <c r="J3493" t="s">
        <v>20</v>
      </c>
      <c r="L3493" t="s">
        <v>64</v>
      </c>
      <c r="M3493" t="s">
        <v>5086</v>
      </c>
      <c r="N3493" t="s">
        <v>5086</v>
      </c>
      <c r="O3493" t="s">
        <v>73</v>
      </c>
      <c r="P3493" t="s">
        <v>81</v>
      </c>
      <c r="Q3493" t="s">
        <v>82</v>
      </c>
      <c r="R3493" t="s">
        <v>1016</v>
      </c>
    </row>
    <row r="3494" spans="1:18" x14ac:dyDescent="0.25">
      <c r="A3494" t="s">
        <v>21208</v>
      </c>
      <c r="B3494" t="s">
        <v>5093</v>
      </c>
      <c r="C3494" t="str">
        <f>HYPERLINK("https://nematode.unl.edu/eubre2.jpg")</f>
        <v>https://nematode.unl.edu/eubre2.jpg</v>
      </c>
      <c r="D3494" t="s">
        <v>43</v>
      </c>
      <c r="G3494" t="s">
        <v>87</v>
      </c>
      <c r="M3494" t="s">
        <v>5086</v>
      </c>
      <c r="N3494" t="s">
        <v>5086</v>
      </c>
      <c r="O3494" t="s">
        <v>73</v>
      </c>
      <c r="P3494" t="s">
        <v>81</v>
      </c>
      <c r="Q3494" t="s">
        <v>82</v>
      </c>
      <c r="R3494" t="s">
        <v>1016</v>
      </c>
    </row>
    <row r="3495" spans="1:18" x14ac:dyDescent="0.25">
      <c r="A3495" t="s">
        <v>21215</v>
      </c>
      <c r="B3495" t="s">
        <v>5094</v>
      </c>
      <c r="C3495" t="str">
        <f>HYPERLINK("https://nematode.unl.edu/eubre3.jpg")</f>
        <v>https://nematode.unl.edu/eubre3.jpg</v>
      </c>
      <c r="D3495" t="s">
        <v>43</v>
      </c>
      <c r="G3495" t="s">
        <v>51</v>
      </c>
      <c r="M3495" t="s">
        <v>5086</v>
      </c>
      <c r="N3495" t="s">
        <v>5086</v>
      </c>
      <c r="O3495" t="s">
        <v>73</v>
      </c>
      <c r="P3495" t="s">
        <v>81</v>
      </c>
      <c r="Q3495" t="s">
        <v>82</v>
      </c>
      <c r="R3495" t="s">
        <v>1016</v>
      </c>
    </row>
    <row r="3496" spans="1:18" x14ac:dyDescent="0.25">
      <c r="A3496" t="s">
        <v>21212</v>
      </c>
      <c r="B3496" t="s">
        <v>5095</v>
      </c>
      <c r="C3496" t="str">
        <f>HYPERLINK("https://nematode.unl.edu/eubre4.jpg")</f>
        <v>https://nematode.unl.edu/eubre4.jpg</v>
      </c>
      <c r="D3496" t="s">
        <v>43</v>
      </c>
      <c r="G3496" t="s">
        <v>28</v>
      </c>
      <c r="M3496" t="s">
        <v>5086</v>
      </c>
      <c r="N3496" t="s">
        <v>5086</v>
      </c>
      <c r="O3496" t="s">
        <v>73</v>
      </c>
      <c r="P3496" t="s">
        <v>81</v>
      </c>
      <c r="Q3496" t="s">
        <v>82</v>
      </c>
      <c r="R3496" t="s">
        <v>1016</v>
      </c>
    </row>
    <row r="3497" spans="1:18" x14ac:dyDescent="0.25">
      <c r="A3497" t="s">
        <v>21202</v>
      </c>
      <c r="B3497" t="s">
        <v>5096</v>
      </c>
      <c r="C3497" t="str">
        <f>HYPERLINK("https://nematode.unl.edu/eubre5.jpg")</f>
        <v>https://nematode.unl.edu/eubre5.jpg</v>
      </c>
      <c r="D3497" t="s">
        <v>43</v>
      </c>
      <c r="G3497" t="s">
        <v>386</v>
      </c>
      <c r="H3497" t="s">
        <v>18</v>
      </c>
      <c r="I3497" t="s">
        <v>41</v>
      </c>
      <c r="M3497" t="s">
        <v>5086</v>
      </c>
      <c r="N3497" t="s">
        <v>5086</v>
      </c>
      <c r="O3497" t="s">
        <v>73</v>
      </c>
      <c r="P3497" t="s">
        <v>81</v>
      </c>
      <c r="Q3497" t="s">
        <v>82</v>
      </c>
      <c r="R3497" t="s">
        <v>1016</v>
      </c>
    </row>
    <row r="3498" spans="1:18" x14ac:dyDescent="0.25">
      <c r="A3498" t="s">
        <v>21207</v>
      </c>
      <c r="B3498" t="s">
        <v>5097</v>
      </c>
      <c r="C3498" t="str">
        <f>HYPERLINK("https://nematode.unl.edu/eubre6.jpg")</f>
        <v>https://nematode.unl.edu/eubre6.jpg</v>
      </c>
      <c r="D3498" t="s">
        <v>43</v>
      </c>
      <c r="G3498" t="s">
        <v>34</v>
      </c>
      <c r="H3498" t="s">
        <v>18</v>
      </c>
      <c r="I3498" t="s">
        <v>41</v>
      </c>
      <c r="J3498" t="s">
        <v>20</v>
      </c>
      <c r="M3498" t="s">
        <v>5086</v>
      </c>
      <c r="N3498" t="s">
        <v>5086</v>
      </c>
      <c r="O3498" t="s">
        <v>73</v>
      </c>
      <c r="P3498" t="s">
        <v>81</v>
      </c>
      <c r="Q3498" t="s">
        <v>82</v>
      </c>
      <c r="R3498" t="s">
        <v>1016</v>
      </c>
    </row>
    <row r="3499" spans="1:18" x14ac:dyDescent="0.25">
      <c r="A3499" t="s">
        <v>21213</v>
      </c>
      <c r="B3499" t="s">
        <v>5098</v>
      </c>
      <c r="C3499" t="str">
        <f>HYPERLINK("https://nematode.unl.edu/eubre7.jpg")</f>
        <v>https://nematode.unl.edu/eubre7.jpg</v>
      </c>
      <c r="D3499" t="s">
        <v>43</v>
      </c>
      <c r="G3499" t="s">
        <v>28</v>
      </c>
      <c r="J3499" t="s">
        <v>20</v>
      </c>
      <c r="L3499" t="s">
        <v>35</v>
      </c>
      <c r="M3499" t="s">
        <v>5086</v>
      </c>
      <c r="N3499" t="s">
        <v>5086</v>
      </c>
      <c r="O3499" t="s">
        <v>73</v>
      </c>
      <c r="P3499" t="s">
        <v>81</v>
      </c>
      <c r="Q3499" t="s">
        <v>82</v>
      </c>
      <c r="R3499" t="s">
        <v>1016</v>
      </c>
    </row>
    <row r="3500" spans="1:18" x14ac:dyDescent="0.25">
      <c r="A3500" t="s">
        <v>21216</v>
      </c>
      <c r="B3500" t="s">
        <v>5099</v>
      </c>
      <c r="C3500" t="str">
        <f>HYPERLINK("https://nematode.unl.edu/eubre8.jpg")</f>
        <v>https://nematode.unl.edu/eubre8.jpg</v>
      </c>
      <c r="D3500" t="s">
        <v>43</v>
      </c>
      <c r="G3500" t="s">
        <v>51</v>
      </c>
      <c r="M3500" t="s">
        <v>5086</v>
      </c>
      <c r="N3500" t="s">
        <v>5086</v>
      </c>
      <c r="O3500" t="s">
        <v>73</v>
      </c>
      <c r="P3500" t="s">
        <v>81</v>
      </c>
      <c r="Q3500" t="s">
        <v>82</v>
      </c>
      <c r="R3500" t="s">
        <v>1016</v>
      </c>
    </row>
    <row r="3501" spans="1:18" x14ac:dyDescent="0.25">
      <c r="A3501" t="s">
        <v>21209</v>
      </c>
      <c r="B3501" t="s">
        <v>5100</v>
      </c>
      <c r="C3501" t="str">
        <f>HYPERLINK("https://nematode.unl.edu/eubre9.jpg")</f>
        <v>https://nematode.unl.edu/eubre9.jpg</v>
      </c>
      <c r="D3501" t="s">
        <v>43</v>
      </c>
      <c r="G3501" t="s">
        <v>87</v>
      </c>
      <c r="J3501" t="s">
        <v>20</v>
      </c>
      <c r="L3501" t="s">
        <v>64</v>
      </c>
      <c r="M3501" t="s">
        <v>5086</v>
      </c>
      <c r="N3501" t="s">
        <v>5086</v>
      </c>
      <c r="O3501" t="s">
        <v>73</v>
      </c>
      <c r="P3501" t="s">
        <v>81</v>
      </c>
      <c r="Q3501" t="s">
        <v>82</v>
      </c>
      <c r="R3501" t="s">
        <v>1016</v>
      </c>
    </row>
    <row r="3502" spans="1:18" x14ac:dyDescent="0.25">
      <c r="A3502" t="s">
        <v>21241</v>
      </c>
      <c r="B3502" t="s">
        <v>5111</v>
      </c>
      <c r="C3502" t="str">
        <f>HYPERLINK("https://nematode.unl.edu/eucar1.jpg")</f>
        <v>https://nematode.unl.edu/eucar1.jpg</v>
      </c>
      <c r="D3502" t="s">
        <v>43</v>
      </c>
      <c r="G3502" t="s">
        <v>44</v>
      </c>
      <c r="I3502" t="s">
        <v>45</v>
      </c>
      <c r="J3502" t="s">
        <v>482</v>
      </c>
      <c r="L3502" t="s">
        <v>1147</v>
      </c>
      <c r="M3502" t="s">
        <v>5103</v>
      </c>
      <c r="N3502" t="s">
        <v>5103</v>
      </c>
      <c r="O3502" t="s">
        <v>73</v>
      </c>
      <c r="P3502" t="s">
        <v>81</v>
      </c>
      <c r="Q3502" t="s">
        <v>82</v>
      </c>
      <c r="R3502" t="s">
        <v>1016</v>
      </c>
    </row>
    <row r="3503" spans="1:18" x14ac:dyDescent="0.25">
      <c r="A3503" t="s">
        <v>21245</v>
      </c>
      <c r="B3503" t="s">
        <v>5112</v>
      </c>
      <c r="C3503" t="str">
        <f>HYPERLINK("https://nematode.unl.edu/eucar10.jpg")</f>
        <v>https://nematode.unl.edu/eucar10.jpg</v>
      </c>
      <c r="D3503" t="s">
        <v>77</v>
      </c>
      <c r="G3503" t="s">
        <v>112</v>
      </c>
      <c r="J3503" t="s">
        <v>440</v>
      </c>
      <c r="M3503" t="s">
        <v>5103</v>
      </c>
      <c r="N3503" t="s">
        <v>5103</v>
      </c>
      <c r="O3503" t="s">
        <v>73</v>
      </c>
      <c r="P3503" t="s">
        <v>81</v>
      </c>
      <c r="Q3503" t="s">
        <v>82</v>
      </c>
      <c r="R3503" t="s">
        <v>1016</v>
      </c>
    </row>
    <row r="3504" spans="1:18" x14ac:dyDescent="0.25">
      <c r="A3504" t="s">
        <v>21246</v>
      </c>
      <c r="B3504" t="s">
        <v>5113</v>
      </c>
      <c r="C3504" t="str">
        <f>HYPERLINK("https://nematode.unl.edu/eucar11.jpg")</f>
        <v>https://nematode.unl.edu/eucar11.jpg</v>
      </c>
      <c r="D3504" t="s">
        <v>77</v>
      </c>
      <c r="G3504" t="s">
        <v>112</v>
      </c>
      <c r="I3504" t="s">
        <v>19</v>
      </c>
      <c r="M3504" t="s">
        <v>5103</v>
      </c>
      <c r="N3504" t="s">
        <v>5103</v>
      </c>
      <c r="O3504" t="s">
        <v>73</v>
      </c>
      <c r="P3504" t="s">
        <v>81</v>
      </c>
      <c r="Q3504" t="s">
        <v>82</v>
      </c>
      <c r="R3504" t="s">
        <v>1016</v>
      </c>
    </row>
    <row r="3505" spans="1:18" x14ac:dyDescent="0.25">
      <c r="A3505" t="s">
        <v>21225</v>
      </c>
      <c r="B3505" t="s">
        <v>5114</v>
      </c>
      <c r="C3505" t="str">
        <f>HYPERLINK("https://nematode.unl.edu/eucar12.jpg")</f>
        <v>https://nematode.unl.edu/eucar12.jpg</v>
      </c>
      <c r="D3505" t="s">
        <v>77</v>
      </c>
      <c r="G3505" t="s">
        <v>34</v>
      </c>
      <c r="H3505" t="s">
        <v>18</v>
      </c>
      <c r="I3505" t="s">
        <v>19</v>
      </c>
      <c r="J3505" t="s">
        <v>440</v>
      </c>
      <c r="M3505" t="s">
        <v>5103</v>
      </c>
      <c r="N3505" t="s">
        <v>5103</v>
      </c>
      <c r="O3505" t="s">
        <v>73</v>
      </c>
      <c r="P3505" t="s">
        <v>81</v>
      </c>
      <c r="Q3505" t="s">
        <v>82</v>
      </c>
      <c r="R3505" t="s">
        <v>1016</v>
      </c>
    </row>
    <row r="3506" spans="1:18" x14ac:dyDescent="0.25">
      <c r="A3506" t="s">
        <v>21226</v>
      </c>
      <c r="B3506" t="s">
        <v>5115</v>
      </c>
      <c r="C3506" t="str">
        <f>HYPERLINK("https://nematode.unl.edu/eucar2.jpg")</f>
        <v>https://nematode.unl.edu/eucar2.jpg</v>
      </c>
      <c r="D3506" t="s">
        <v>43</v>
      </c>
      <c r="G3506" t="s">
        <v>34</v>
      </c>
      <c r="H3506" t="s">
        <v>18</v>
      </c>
      <c r="J3506" t="s">
        <v>440</v>
      </c>
      <c r="M3506" t="s">
        <v>5103</v>
      </c>
      <c r="N3506" t="s">
        <v>5103</v>
      </c>
      <c r="O3506" t="s">
        <v>73</v>
      </c>
      <c r="P3506" t="s">
        <v>81</v>
      </c>
      <c r="Q3506" t="s">
        <v>82</v>
      </c>
      <c r="R3506" t="s">
        <v>1016</v>
      </c>
    </row>
    <row r="3507" spans="1:18" x14ac:dyDescent="0.25">
      <c r="A3507" t="s">
        <v>21238</v>
      </c>
      <c r="B3507" t="s">
        <v>5116</v>
      </c>
      <c r="C3507" t="str">
        <f>HYPERLINK("https://nematode.unl.edu/eucar3.jpg")</f>
        <v>https://nematode.unl.edu/eucar3.jpg</v>
      </c>
      <c r="D3507" t="s">
        <v>43</v>
      </c>
      <c r="G3507" t="s">
        <v>87</v>
      </c>
      <c r="I3507" t="s">
        <v>19</v>
      </c>
      <c r="J3507" t="s">
        <v>482</v>
      </c>
      <c r="L3507" t="s">
        <v>1147</v>
      </c>
      <c r="M3507" t="s">
        <v>5103</v>
      </c>
      <c r="N3507" t="s">
        <v>5103</v>
      </c>
      <c r="O3507" t="s">
        <v>73</v>
      </c>
      <c r="P3507" t="s">
        <v>81</v>
      </c>
      <c r="Q3507" t="s">
        <v>82</v>
      </c>
      <c r="R3507" t="s">
        <v>1016</v>
      </c>
    </row>
    <row r="3508" spans="1:18" x14ac:dyDescent="0.25">
      <c r="A3508" t="s">
        <v>21262</v>
      </c>
      <c r="B3508" t="s">
        <v>5117</v>
      </c>
      <c r="C3508" t="str">
        <f>HYPERLINK("https://nematode.unl.edu/eucar4.jpg")</f>
        <v>https://nematode.unl.edu/eucar4.jpg</v>
      </c>
      <c r="D3508" t="s">
        <v>43</v>
      </c>
      <c r="G3508" t="s">
        <v>51</v>
      </c>
      <c r="I3508" t="s">
        <v>19</v>
      </c>
      <c r="M3508" t="s">
        <v>5103</v>
      </c>
      <c r="N3508" t="s">
        <v>5103</v>
      </c>
      <c r="O3508" t="s">
        <v>73</v>
      </c>
      <c r="P3508" t="s">
        <v>81</v>
      </c>
      <c r="Q3508" t="s">
        <v>82</v>
      </c>
      <c r="R3508" t="s">
        <v>1016</v>
      </c>
    </row>
    <row r="3509" spans="1:18" x14ac:dyDescent="0.25">
      <c r="A3509" t="s">
        <v>21249</v>
      </c>
      <c r="B3509" t="s">
        <v>5118</v>
      </c>
      <c r="C3509" t="str">
        <f>HYPERLINK("https://nematode.unl.edu/eucar5.jpg")</f>
        <v>https://nematode.unl.edu/eucar5.jpg</v>
      </c>
      <c r="D3509" t="s">
        <v>43</v>
      </c>
      <c r="G3509" t="s">
        <v>28</v>
      </c>
      <c r="J3509" t="s">
        <v>440</v>
      </c>
      <c r="M3509" t="s">
        <v>5103</v>
      </c>
      <c r="N3509" t="s">
        <v>5103</v>
      </c>
      <c r="O3509" t="s">
        <v>73</v>
      </c>
      <c r="P3509" t="s">
        <v>81</v>
      </c>
      <c r="Q3509" t="s">
        <v>82</v>
      </c>
      <c r="R3509" t="s">
        <v>1016</v>
      </c>
    </row>
    <row r="3510" spans="1:18" x14ac:dyDescent="0.25">
      <c r="A3510" t="s">
        <v>21250</v>
      </c>
      <c r="B3510" t="s">
        <v>5119</v>
      </c>
      <c r="C3510" t="str">
        <f>HYPERLINK("https://nematode.unl.edu/eucar6.jpg")</f>
        <v>https://nematode.unl.edu/eucar6.jpg</v>
      </c>
      <c r="D3510" t="s">
        <v>77</v>
      </c>
      <c r="G3510" t="s">
        <v>28</v>
      </c>
      <c r="I3510" t="s">
        <v>19</v>
      </c>
      <c r="J3510" t="s">
        <v>440</v>
      </c>
      <c r="M3510" t="s">
        <v>5103</v>
      </c>
      <c r="N3510" t="s">
        <v>5103</v>
      </c>
      <c r="O3510" t="s">
        <v>73</v>
      </c>
      <c r="P3510" t="s">
        <v>81</v>
      </c>
      <c r="Q3510" t="s">
        <v>82</v>
      </c>
      <c r="R3510" t="s">
        <v>1016</v>
      </c>
    </row>
    <row r="3511" spans="1:18" x14ac:dyDescent="0.25">
      <c r="A3511" t="s">
        <v>21247</v>
      </c>
      <c r="B3511" t="s">
        <v>5120</v>
      </c>
      <c r="C3511" t="str">
        <f>HYPERLINK("https://nematode.unl.edu/eucar7.jpg")</f>
        <v>https://nematode.unl.edu/eucar7.jpg</v>
      </c>
      <c r="D3511" t="s">
        <v>77</v>
      </c>
      <c r="G3511" t="s">
        <v>230</v>
      </c>
      <c r="I3511" t="s">
        <v>19</v>
      </c>
      <c r="M3511" t="s">
        <v>5103</v>
      </c>
      <c r="N3511" t="s">
        <v>5103</v>
      </c>
      <c r="O3511" t="s">
        <v>73</v>
      </c>
      <c r="P3511" t="s">
        <v>81</v>
      </c>
      <c r="Q3511" t="s">
        <v>82</v>
      </c>
      <c r="R3511" t="s">
        <v>1016</v>
      </c>
    </row>
    <row r="3512" spans="1:18" x14ac:dyDescent="0.25">
      <c r="A3512" t="s">
        <v>21227</v>
      </c>
      <c r="B3512" t="s">
        <v>5121</v>
      </c>
      <c r="C3512" t="str">
        <f>HYPERLINK("https://nematode.unl.edu/eucar8.jpg")</f>
        <v>https://nematode.unl.edu/eucar8.jpg</v>
      </c>
      <c r="D3512" t="s">
        <v>77</v>
      </c>
      <c r="G3512" t="s">
        <v>34</v>
      </c>
      <c r="H3512" t="s">
        <v>18</v>
      </c>
      <c r="M3512" t="s">
        <v>5103</v>
      </c>
      <c r="N3512" t="s">
        <v>5103</v>
      </c>
      <c r="O3512" t="s">
        <v>73</v>
      </c>
      <c r="P3512" t="s">
        <v>81</v>
      </c>
      <c r="Q3512" t="s">
        <v>82</v>
      </c>
      <c r="R3512" t="s">
        <v>1016</v>
      </c>
    </row>
    <row r="3513" spans="1:18" x14ac:dyDescent="0.25">
      <c r="A3513" t="s">
        <v>21251</v>
      </c>
      <c r="B3513" t="s">
        <v>5122</v>
      </c>
      <c r="C3513" t="str">
        <f>HYPERLINK("https://nematode.unl.edu/eucar9.jpg")</f>
        <v>https://nematode.unl.edu/eucar9.jpg</v>
      </c>
      <c r="D3513" t="s">
        <v>77</v>
      </c>
      <c r="G3513" t="s">
        <v>28</v>
      </c>
      <c r="I3513" t="s">
        <v>45</v>
      </c>
      <c r="J3513" t="s">
        <v>440</v>
      </c>
      <c r="M3513" t="s">
        <v>5103</v>
      </c>
      <c r="N3513" t="s">
        <v>5103</v>
      </c>
      <c r="O3513" t="s">
        <v>73</v>
      </c>
      <c r="P3513" t="s">
        <v>81</v>
      </c>
      <c r="Q3513" t="s">
        <v>82</v>
      </c>
      <c r="R3513" t="s">
        <v>1016</v>
      </c>
    </row>
    <row r="3514" spans="1:18" x14ac:dyDescent="0.25">
      <c r="A3514" t="s">
        <v>21252</v>
      </c>
      <c r="B3514" t="s">
        <v>5123</v>
      </c>
      <c r="C3514" t="str">
        <f>HYPERLINK("https://nematode.unl.edu/eucarcmp.jpg")</f>
        <v>https://nematode.unl.edu/eucarcmp.jpg</v>
      </c>
      <c r="D3514" t="s">
        <v>77</v>
      </c>
      <c r="G3514" t="s">
        <v>28</v>
      </c>
      <c r="J3514" t="s">
        <v>482</v>
      </c>
      <c r="M3514" t="s">
        <v>5103</v>
      </c>
      <c r="N3514" t="s">
        <v>5103</v>
      </c>
      <c r="O3514" t="s">
        <v>73</v>
      </c>
      <c r="P3514" t="s">
        <v>81</v>
      </c>
      <c r="Q3514" t="s">
        <v>82</v>
      </c>
      <c r="R3514" t="s">
        <v>1016</v>
      </c>
    </row>
    <row r="3515" spans="1:18" x14ac:dyDescent="0.25">
      <c r="A3515" t="s">
        <v>21228</v>
      </c>
      <c r="B3515" t="s">
        <v>5124</v>
      </c>
      <c r="C3515" t="str">
        <f>HYPERLINK("https://nematode.unl.edu/eucarte1.jpg")</f>
        <v>https://nematode.unl.edu/eucarte1.jpg</v>
      </c>
      <c r="D3515" t="s">
        <v>43</v>
      </c>
      <c r="G3515" t="s">
        <v>34</v>
      </c>
      <c r="H3515" t="s">
        <v>18</v>
      </c>
      <c r="I3515" t="s">
        <v>19</v>
      </c>
      <c r="J3515" t="s">
        <v>20</v>
      </c>
      <c r="L3515" t="s">
        <v>29</v>
      </c>
      <c r="M3515" t="s">
        <v>5103</v>
      </c>
      <c r="N3515" t="s">
        <v>5103</v>
      </c>
      <c r="O3515" t="s">
        <v>73</v>
      </c>
      <c r="P3515" t="s">
        <v>81</v>
      </c>
      <c r="Q3515" t="s">
        <v>82</v>
      </c>
      <c r="R3515" t="s">
        <v>1016</v>
      </c>
    </row>
    <row r="3516" spans="1:18" x14ac:dyDescent="0.25">
      <c r="A3516" t="s">
        <v>21242</v>
      </c>
      <c r="B3516" t="s">
        <v>5125</v>
      </c>
      <c r="C3516" t="str">
        <f>HYPERLINK("https://nematode.unl.edu/eucarte10.jpg")</f>
        <v>https://nematode.unl.edu/eucarte10.jpg</v>
      </c>
      <c r="D3516" t="s">
        <v>43</v>
      </c>
      <c r="G3516" t="s">
        <v>44</v>
      </c>
      <c r="I3516" t="s">
        <v>499</v>
      </c>
      <c r="J3516" t="s">
        <v>20</v>
      </c>
      <c r="L3516" t="s">
        <v>183</v>
      </c>
      <c r="M3516" t="s">
        <v>5103</v>
      </c>
      <c r="N3516" t="s">
        <v>5103</v>
      </c>
      <c r="O3516" t="s">
        <v>73</v>
      </c>
      <c r="P3516" t="s">
        <v>81</v>
      </c>
      <c r="Q3516" t="s">
        <v>82</v>
      </c>
      <c r="R3516" t="s">
        <v>1016</v>
      </c>
    </row>
    <row r="3517" spans="1:18" x14ac:dyDescent="0.25">
      <c r="A3517" t="s">
        <v>21229</v>
      </c>
      <c r="B3517" t="s">
        <v>5126</v>
      </c>
      <c r="C3517" t="str">
        <f>HYPERLINK("https://nematode.unl.edu/eucarte11.jpg")</f>
        <v>https://nematode.unl.edu/eucarte11.jpg</v>
      </c>
      <c r="D3517" t="s">
        <v>43</v>
      </c>
      <c r="G3517" t="s">
        <v>34</v>
      </c>
      <c r="H3517" t="s">
        <v>18</v>
      </c>
      <c r="I3517" t="s">
        <v>19</v>
      </c>
      <c r="J3517" t="s">
        <v>20</v>
      </c>
      <c r="L3517" t="s">
        <v>183</v>
      </c>
      <c r="M3517" t="s">
        <v>5103</v>
      </c>
      <c r="N3517" t="s">
        <v>5103</v>
      </c>
      <c r="O3517" t="s">
        <v>73</v>
      </c>
      <c r="P3517" t="s">
        <v>81</v>
      </c>
      <c r="Q3517" t="s">
        <v>82</v>
      </c>
      <c r="R3517" t="s">
        <v>1016</v>
      </c>
    </row>
    <row r="3518" spans="1:18" x14ac:dyDescent="0.25">
      <c r="A3518" t="s">
        <v>21230</v>
      </c>
      <c r="B3518" t="s">
        <v>5127</v>
      </c>
      <c r="C3518" t="str">
        <f>HYPERLINK("https://nematode.unl.edu/eucarte12.jpg")</f>
        <v>https://nematode.unl.edu/eucarte12.jpg</v>
      </c>
      <c r="D3518" t="s">
        <v>43</v>
      </c>
      <c r="G3518" t="s">
        <v>34</v>
      </c>
      <c r="H3518" t="s">
        <v>18</v>
      </c>
      <c r="I3518" t="s">
        <v>41</v>
      </c>
      <c r="J3518" t="s">
        <v>20</v>
      </c>
      <c r="M3518" t="s">
        <v>5103</v>
      </c>
      <c r="N3518" t="s">
        <v>5103</v>
      </c>
      <c r="O3518" t="s">
        <v>73</v>
      </c>
      <c r="P3518" t="s">
        <v>81</v>
      </c>
      <c r="Q3518" t="s">
        <v>82</v>
      </c>
      <c r="R3518" t="s">
        <v>1016</v>
      </c>
    </row>
    <row r="3519" spans="1:18" x14ac:dyDescent="0.25">
      <c r="A3519" t="s">
        <v>21231</v>
      </c>
      <c r="B3519" t="s">
        <v>5128</v>
      </c>
      <c r="C3519" t="str">
        <f>HYPERLINK("https://nematode.unl.edu/eucarte13.jpg")</f>
        <v>https://nematode.unl.edu/eucarte13.jpg</v>
      </c>
      <c r="D3519" t="s">
        <v>43</v>
      </c>
      <c r="G3519" t="s">
        <v>34</v>
      </c>
      <c r="H3519" t="s">
        <v>18</v>
      </c>
      <c r="I3519" t="s">
        <v>41</v>
      </c>
      <c r="L3519" t="s">
        <v>85</v>
      </c>
      <c r="M3519" t="s">
        <v>5103</v>
      </c>
      <c r="N3519" t="s">
        <v>5103</v>
      </c>
      <c r="O3519" t="s">
        <v>73</v>
      </c>
      <c r="P3519" t="s">
        <v>81</v>
      </c>
      <c r="Q3519" t="s">
        <v>82</v>
      </c>
      <c r="R3519" t="s">
        <v>1016</v>
      </c>
    </row>
    <row r="3520" spans="1:18" x14ac:dyDescent="0.25">
      <c r="A3520" t="s">
        <v>21217</v>
      </c>
      <c r="B3520" t="s">
        <v>5129</v>
      </c>
      <c r="C3520" t="str">
        <f>HYPERLINK("https://nematode.unl.edu/eucarte14.jpg")</f>
        <v>https://nematode.unl.edu/eucarte14.jpg</v>
      </c>
      <c r="D3520" t="s">
        <v>43</v>
      </c>
      <c r="G3520" t="s">
        <v>386</v>
      </c>
      <c r="H3520" t="s">
        <v>18</v>
      </c>
      <c r="I3520" t="s">
        <v>41</v>
      </c>
      <c r="J3520" t="s">
        <v>20</v>
      </c>
      <c r="L3520" t="s">
        <v>85</v>
      </c>
      <c r="M3520" t="s">
        <v>5103</v>
      </c>
      <c r="N3520" t="s">
        <v>5103</v>
      </c>
      <c r="O3520" t="s">
        <v>73</v>
      </c>
      <c r="P3520" t="s">
        <v>81</v>
      </c>
      <c r="Q3520" t="s">
        <v>82</v>
      </c>
      <c r="R3520" t="s">
        <v>1016</v>
      </c>
    </row>
    <row r="3521" spans="1:18" x14ac:dyDescent="0.25">
      <c r="A3521" t="s">
        <v>21218</v>
      </c>
      <c r="B3521" t="s">
        <v>5130</v>
      </c>
      <c r="C3521" t="str">
        <f>HYPERLINK("https://nematode.unl.edu/eucarte15.jpg")</f>
        <v>https://nematode.unl.edu/eucarte15.jpg</v>
      </c>
      <c r="D3521" t="s">
        <v>16</v>
      </c>
      <c r="G3521" t="s">
        <v>96</v>
      </c>
      <c r="H3521" t="s">
        <v>18</v>
      </c>
      <c r="I3521" t="s">
        <v>19</v>
      </c>
      <c r="J3521" t="s">
        <v>20</v>
      </c>
      <c r="L3521" t="s">
        <v>38</v>
      </c>
      <c r="M3521" t="s">
        <v>5103</v>
      </c>
      <c r="N3521" t="s">
        <v>5103</v>
      </c>
      <c r="O3521" t="s">
        <v>73</v>
      </c>
      <c r="P3521" t="s">
        <v>81</v>
      </c>
      <c r="Q3521" t="s">
        <v>82</v>
      </c>
      <c r="R3521" t="s">
        <v>1016</v>
      </c>
    </row>
    <row r="3522" spans="1:18" x14ac:dyDescent="0.25">
      <c r="A3522" t="s">
        <v>21232</v>
      </c>
      <c r="B3522" t="s">
        <v>5131</v>
      </c>
      <c r="C3522" t="str">
        <f>HYPERLINK("https://nematode.unl.edu/eucarte16.jpg")</f>
        <v>https://nematode.unl.edu/eucarte16.jpg</v>
      </c>
      <c r="D3522" t="s">
        <v>16</v>
      </c>
      <c r="G3522" t="s">
        <v>34</v>
      </c>
      <c r="H3522" t="s">
        <v>18</v>
      </c>
      <c r="I3522" t="s">
        <v>19</v>
      </c>
      <c r="J3522" t="s">
        <v>20</v>
      </c>
      <c r="L3522" t="s">
        <v>85</v>
      </c>
      <c r="M3522" t="s">
        <v>5103</v>
      </c>
      <c r="N3522" t="s">
        <v>5103</v>
      </c>
      <c r="O3522" t="s">
        <v>73</v>
      </c>
      <c r="P3522" t="s">
        <v>81</v>
      </c>
      <c r="Q3522" t="s">
        <v>82</v>
      </c>
      <c r="R3522" t="s">
        <v>1016</v>
      </c>
    </row>
    <row r="3523" spans="1:18" x14ac:dyDescent="0.25">
      <c r="A3523" t="s">
        <v>21253</v>
      </c>
      <c r="B3523" t="s">
        <v>5132</v>
      </c>
      <c r="C3523" t="str">
        <f>HYPERLINK("https://nematode.unl.edu/eucarte17.jpg")</f>
        <v>https://nematode.unl.edu/eucarte17.jpg</v>
      </c>
      <c r="D3523" t="s">
        <v>16</v>
      </c>
      <c r="G3523" t="s">
        <v>28</v>
      </c>
      <c r="I3523" t="s">
        <v>19</v>
      </c>
      <c r="M3523" t="s">
        <v>5103</v>
      </c>
      <c r="N3523" t="s">
        <v>5103</v>
      </c>
      <c r="O3523" t="s">
        <v>73</v>
      </c>
      <c r="P3523" t="s">
        <v>81</v>
      </c>
      <c r="Q3523" t="s">
        <v>82</v>
      </c>
      <c r="R3523" t="s">
        <v>1016</v>
      </c>
    </row>
    <row r="3524" spans="1:18" x14ac:dyDescent="0.25">
      <c r="A3524" t="s">
        <v>21233</v>
      </c>
      <c r="B3524" t="s">
        <v>5133</v>
      </c>
      <c r="C3524" t="str">
        <f>HYPERLINK("https://nematode.unl.edu/eucarte18.jpg")</f>
        <v>https://nematode.unl.edu/eucarte18.jpg</v>
      </c>
      <c r="D3524" t="s">
        <v>43</v>
      </c>
      <c r="G3524" t="s">
        <v>34</v>
      </c>
      <c r="H3524" t="s">
        <v>18</v>
      </c>
      <c r="M3524" t="s">
        <v>5103</v>
      </c>
      <c r="N3524" t="s">
        <v>5103</v>
      </c>
      <c r="O3524" t="s">
        <v>73</v>
      </c>
      <c r="P3524" t="s">
        <v>81</v>
      </c>
      <c r="Q3524" t="s">
        <v>82</v>
      </c>
      <c r="R3524" t="s">
        <v>1016</v>
      </c>
    </row>
    <row r="3525" spans="1:18" x14ac:dyDescent="0.25">
      <c r="A3525" t="s">
        <v>21254</v>
      </c>
      <c r="B3525" t="s">
        <v>5134</v>
      </c>
      <c r="C3525" t="str">
        <f>HYPERLINK("https://nematode.unl.edu/eucarte19.jpg")</f>
        <v>https://nematode.unl.edu/eucarte19.jpg</v>
      </c>
      <c r="D3525" t="s">
        <v>43</v>
      </c>
      <c r="G3525" t="s">
        <v>28</v>
      </c>
      <c r="I3525" t="s">
        <v>19</v>
      </c>
      <c r="J3525" t="s">
        <v>20</v>
      </c>
      <c r="L3525" t="s">
        <v>29</v>
      </c>
      <c r="M3525" t="s">
        <v>5103</v>
      </c>
      <c r="N3525" t="s">
        <v>5103</v>
      </c>
      <c r="O3525" t="s">
        <v>73</v>
      </c>
      <c r="P3525" t="s">
        <v>81</v>
      </c>
      <c r="Q3525" t="s">
        <v>82</v>
      </c>
      <c r="R3525" t="s">
        <v>1016</v>
      </c>
    </row>
    <row r="3526" spans="1:18" x14ac:dyDescent="0.25">
      <c r="A3526" t="s">
        <v>21255</v>
      </c>
      <c r="B3526" t="s">
        <v>5135</v>
      </c>
      <c r="C3526" t="str">
        <f>HYPERLINK("https://nematode.unl.edu/eucarte2.jpg")</f>
        <v>https://nematode.unl.edu/eucarte2.jpg</v>
      </c>
      <c r="D3526" t="s">
        <v>43</v>
      </c>
      <c r="G3526" t="s">
        <v>28</v>
      </c>
      <c r="I3526" t="s">
        <v>19</v>
      </c>
      <c r="J3526" t="s">
        <v>20</v>
      </c>
      <c r="L3526" t="s">
        <v>29</v>
      </c>
      <c r="M3526" t="s">
        <v>5103</v>
      </c>
      <c r="N3526" t="s">
        <v>5103</v>
      </c>
      <c r="O3526" t="s">
        <v>73</v>
      </c>
      <c r="P3526" t="s">
        <v>81</v>
      </c>
      <c r="Q3526" t="s">
        <v>82</v>
      </c>
      <c r="R3526" t="s">
        <v>1016</v>
      </c>
    </row>
    <row r="3527" spans="1:18" x14ac:dyDescent="0.25">
      <c r="A3527" t="s">
        <v>21234</v>
      </c>
      <c r="B3527" t="s">
        <v>5136</v>
      </c>
      <c r="C3527" t="str">
        <f>HYPERLINK("https://nematode.unl.edu/eucarte20.jpg")</f>
        <v>https://nematode.unl.edu/eucarte20.jpg</v>
      </c>
      <c r="D3527" t="s">
        <v>16</v>
      </c>
      <c r="G3527" t="s">
        <v>34</v>
      </c>
      <c r="H3527" t="s">
        <v>18</v>
      </c>
      <c r="I3527" t="s">
        <v>137</v>
      </c>
      <c r="J3527" t="s">
        <v>20</v>
      </c>
      <c r="L3527" t="s">
        <v>64</v>
      </c>
      <c r="M3527" t="s">
        <v>5103</v>
      </c>
      <c r="N3527" t="s">
        <v>5103</v>
      </c>
      <c r="O3527" t="s">
        <v>73</v>
      </c>
      <c r="P3527" t="s">
        <v>81</v>
      </c>
      <c r="Q3527" t="s">
        <v>82</v>
      </c>
      <c r="R3527" t="s">
        <v>1016</v>
      </c>
    </row>
    <row r="3528" spans="1:18" x14ac:dyDescent="0.25">
      <c r="A3528" t="s">
        <v>21256</v>
      </c>
      <c r="B3528" t="s">
        <v>5137</v>
      </c>
      <c r="C3528" t="str">
        <f>HYPERLINK("https://nematode.unl.edu/eucarte21.jpg")</f>
        <v>https://nematode.unl.edu/eucarte21.jpg</v>
      </c>
      <c r="D3528" t="s">
        <v>16</v>
      </c>
      <c r="G3528" t="s">
        <v>28</v>
      </c>
      <c r="I3528" t="s">
        <v>137</v>
      </c>
      <c r="J3528" t="s">
        <v>20</v>
      </c>
      <c r="M3528" t="s">
        <v>5103</v>
      </c>
      <c r="N3528" t="s">
        <v>5103</v>
      </c>
      <c r="O3528" t="s">
        <v>73</v>
      </c>
      <c r="P3528" t="s">
        <v>81</v>
      </c>
      <c r="Q3528" t="s">
        <v>82</v>
      </c>
      <c r="R3528" t="s">
        <v>1016</v>
      </c>
    </row>
    <row r="3529" spans="1:18" x14ac:dyDescent="0.25">
      <c r="A3529" t="s">
        <v>21235</v>
      </c>
      <c r="B3529" t="s">
        <v>5138</v>
      </c>
      <c r="C3529" t="str">
        <f>HYPERLINK("https://nematode.unl.edu/eucarte22.jpg")</f>
        <v>https://nematode.unl.edu/eucarte22.jpg</v>
      </c>
      <c r="D3529" t="s">
        <v>16</v>
      </c>
      <c r="G3529" t="s">
        <v>34</v>
      </c>
      <c r="H3529" t="s">
        <v>18</v>
      </c>
      <c r="I3529" t="s">
        <v>19</v>
      </c>
      <c r="J3529" t="s">
        <v>20</v>
      </c>
      <c r="L3529" t="s">
        <v>64</v>
      </c>
      <c r="M3529" t="s">
        <v>5103</v>
      </c>
      <c r="N3529" t="s">
        <v>5103</v>
      </c>
      <c r="O3529" t="s">
        <v>73</v>
      </c>
      <c r="P3529" t="s">
        <v>81</v>
      </c>
      <c r="Q3529" t="s">
        <v>82</v>
      </c>
      <c r="R3529" t="s">
        <v>1016</v>
      </c>
    </row>
    <row r="3530" spans="1:18" x14ac:dyDescent="0.25">
      <c r="A3530" t="s">
        <v>21244</v>
      </c>
      <c r="B3530" t="s">
        <v>5139</v>
      </c>
      <c r="C3530" t="str">
        <f>HYPERLINK("https://nematode.unl.edu/eucarte23.jpg")</f>
        <v>https://nematode.unl.edu/eucarte23.jpg</v>
      </c>
      <c r="D3530" t="s">
        <v>16</v>
      </c>
      <c r="G3530" t="s">
        <v>3022</v>
      </c>
      <c r="I3530" t="s">
        <v>19</v>
      </c>
      <c r="J3530" t="s">
        <v>20</v>
      </c>
      <c r="L3530" t="s">
        <v>64</v>
      </c>
      <c r="M3530" t="s">
        <v>5103</v>
      </c>
      <c r="N3530" t="s">
        <v>5103</v>
      </c>
      <c r="O3530" t="s">
        <v>73</v>
      </c>
      <c r="P3530" t="s">
        <v>81</v>
      </c>
      <c r="Q3530" t="s">
        <v>82</v>
      </c>
      <c r="R3530" t="s">
        <v>1016</v>
      </c>
    </row>
    <row r="3531" spans="1:18" x14ac:dyDescent="0.25">
      <c r="A3531" t="s">
        <v>21236</v>
      </c>
      <c r="B3531" t="s">
        <v>5140</v>
      </c>
      <c r="C3531" t="str">
        <f>HYPERLINK("https://nematode.unl.edu/eucarte24.jpg")</f>
        <v>https://nematode.unl.edu/eucarte24.jpg</v>
      </c>
      <c r="D3531" t="s">
        <v>16</v>
      </c>
      <c r="G3531" t="s">
        <v>34</v>
      </c>
      <c r="H3531" t="s">
        <v>18</v>
      </c>
      <c r="I3531" t="s">
        <v>19</v>
      </c>
      <c r="J3531" t="s">
        <v>20</v>
      </c>
      <c r="L3531" t="s">
        <v>29</v>
      </c>
      <c r="M3531" t="s">
        <v>5103</v>
      </c>
      <c r="N3531" t="s">
        <v>5103</v>
      </c>
      <c r="O3531" t="s">
        <v>73</v>
      </c>
      <c r="P3531" t="s">
        <v>81</v>
      </c>
      <c r="Q3531" t="s">
        <v>82</v>
      </c>
      <c r="R3531" t="s">
        <v>1016</v>
      </c>
    </row>
    <row r="3532" spans="1:18" x14ac:dyDescent="0.25">
      <c r="A3532" t="s">
        <v>21239</v>
      </c>
      <c r="B3532" t="s">
        <v>5141</v>
      </c>
      <c r="C3532" t="str">
        <f>HYPERLINK("https://nematode.unl.edu/eucarte25.jpg")</f>
        <v>https://nematode.unl.edu/eucarte25.jpg</v>
      </c>
      <c r="D3532" t="s">
        <v>16</v>
      </c>
      <c r="G3532" t="s">
        <v>87</v>
      </c>
      <c r="I3532" t="s">
        <v>19</v>
      </c>
      <c r="J3532" t="s">
        <v>20</v>
      </c>
      <c r="L3532" t="s">
        <v>29</v>
      </c>
      <c r="M3532" t="s">
        <v>5103</v>
      </c>
      <c r="N3532" t="s">
        <v>5103</v>
      </c>
      <c r="O3532" t="s">
        <v>73</v>
      </c>
      <c r="P3532" t="s">
        <v>81</v>
      </c>
      <c r="Q3532" t="s">
        <v>82</v>
      </c>
      <c r="R3532" t="s">
        <v>1016</v>
      </c>
    </row>
    <row r="3533" spans="1:18" x14ac:dyDescent="0.25">
      <c r="A3533" t="s">
        <v>21257</v>
      </c>
      <c r="B3533" t="s">
        <v>5142</v>
      </c>
      <c r="C3533" t="str">
        <f>HYPERLINK("https://nematode.unl.edu/eucarte26.jpg")</f>
        <v>https://nematode.unl.edu/eucarte26.jpg</v>
      </c>
      <c r="D3533" t="s">
        <v>16</v>
      </c>
      <c r="G3533" t="s">
        <v>28</v>
      </c>
      <c r="I3533" t="s">
        <v>19</v>
      </c>
      <c r="J3533" t="s">
        <v>20</v>
      </c>
      <c r="M3533" t="s">
        <v>5103</v>
      </c>
      <c r="N3533" t="s">
        <v>5103</v>
      </c>
      <c r="O3533" t="s">
        <v>73</v>
      </c>
      <c r="P3533" t="s">
        <v>81</v>
      </c>
      <c r="Q3533" t="s">
        <v>82</v>
      </c>
      <c r="R3533" t="s">
        <v>1016</v>
      </c>
    </row>
    <row r="3534" spans="1:18" x14ac:dyDescent="0.25">
      <c r="A3534" t="s">
        <v>21237</v>
      </c>
      <c r="B3534" t="s">
        <v>5143</v>
      </c>
      <c r="C3534" t="str">
        <f>HYPERLINK("https://nematode.unl.edu/eucarte3.jpg")</f>
        <v>https://nematode.unl.edu/eucarte3.jpg</v>
      </c>
      <c r="D3534" t="s">
        <v>43</v>
      </c>
      <c r="G3534" t="s">
        <v>34</v>
      </c>
      <c r="H3534" t="s">
        <v>18</v>
      </c>
      <c r="I3534" t="s">
        <v>41</v>
      </c>
      <c r="J3534" t="s">
        <v>20</v>
      </c>
      <c r="L3534" t="s">
        <v>29</v>
      </c>
      <c r="M3534" t="s">
        <v>5103</v>
      </c>
      <c r="N3534" t="s">
        <v>5103</v>
      </c>
      <c r="O3534" t="s">
        <v>73</v>
      </c>
      <c r="P3534" t="s">
        <v>81</v>
      </c>
      <c r="Q3534" t="s">
        <v>82</v>
      </c>
      <c r="R3534" t="s">
        <v>1016</v>
      </c>
    </row>
    <row r="3535" spans="1:18" x14ac:dyDescent="0.25">
      <c r="A3535" t="s">
        <v>21243</v>
      </c>
      <c r="B3535" t="s">
        <v>5144</v>
      </c>
      <c r="C3535" t="str">
        <f>HYPERLINK("https://nematode.unl.edu/eucarte4.jpg")</f>
        <v>https://nematode.unl.edu/eucarte4.jpg</v>
      </c>
      <c r="D3535" t="s">
        <v>43</v>
      </c>
      <c r="G3535" t="s">
        <v>44</v>
      </c>
      <c r="I3535" t="s">
        <v>45</v>
      </c>
      <c r="J3535" t="s">
        <v>20</v>
      </c>
      <c r="L3535" t="s">
        <v>183</v>
      </c>
      <c r="M3535" t="s">
        <v>5103</v>
      </c>
      <c r="N3535" t="s">
        <v>5103</v>
      </c>
      <c r="O3535" t="s">
        <v>73</v>
      </c>
      <c r="P3535" t="s">
        <v>81</v>
      </c>
      <c r="Q3535" t="s">
        <v>82</v>
      </c>
      <c r="R3535" t="s">
        <v>1016</v>
      </c>
    </row>
    <row r="3536" spans="1:18" x14ac:dyDescent="0.25">
      <c r="A3536" t="s">
        <v>21221</v>
      </c>
      <c r="B3536" t="s">
        <v>5145</v>
      </c>
      <c r="C3536" t="str">
        <f>HYPERLINK("https://nematode.unl.edu/eucarte5.jpg")</f>
        <v>https://nematode.unl.edu/eucarte5.jpg</v>
      </c>
      <c r="D3536" t="s">
        <v>43</v>
      </c>
      <c r="G3536" t="s">
        <v>17</v>
      </c>
      <c r="H3536" t="s">
        <v>18</v>
      </c>
      <c r="J3536" t="s">
        <v>20</v>
      </c>
      <c r="M3536" t="s">
        <v>5103</v>
      </c>
      <c r="N3536" t="s">
        <v>5103</v>
      </c>
      <c r="O3536" t="s">
        <v>73</v>
      </c>
      <c r="P3536" t="s">
        <v>81</v>
      </c>
      <c r="Q3536" t="s">
        <v>82</v>
      </c>
      <c r="R3536" t="s">
        <v>1016</v>
      </c>
    </row>
    <row r="3537" spans="1:18" x14ac:dyDescent="0.25">
      <c r="A3537" t="s">
        <v>21263</v>
      </c>
      <c r="B3537" t="s">
        <v>5146</v>
      </c>
      <c r="C3537" t="str">
        <f>HYPERLINK("https://nematode.unl.edu/eucarte6.jpg")</f>
        <v>https://nematode.unl.edu/eucarte6.jpg</v>
      </c>
      <c r="D3537" t="s">
        <v>43</v>
      </c>
      <c r="G3537" t="s">
        <v>51</v>
      </c>
      <c r="M3537" t="s">
        <v>5103</v>
      </c>
      <c r="N3537" t="s">
        <v>5103</v>
      </c>
      <c r="O3537" t="s">
        <v>73</v>
      </c>
      <c r="P3537" t="s">
        <v>81</v>
      </c>
      <c r="Q3537" t="s">
        <v>82</v>
      </c>
      <c r="R3537" t="s">
        <v>1016</v>
      </c>
    </row>
    <row r="3538" spans="1:18" x14ac:dyDescent="0.25">
      <c r="A3538" t="s">
        <v>21258</v>
      </c>
      <c r="B3538" t="s">
        <v>5147</v>
      </c>
      <c r="C3538" t="str">
        <f>HYPERLINK("https://nematode.unl.edu/eucarte7.jpg")</f>
        <v>https://nematode.unl.edu/eucarte7.jpg</v>
      </c>
      <c r="D3538" t="s">
        <v>43</v>
      </c>
      <c r="G3538" t="s">
        <v>28</v>
      </c>
      <c r="J3538" t="s">
        <v>20</v>
      </c>
      <c r="M3538" t="s">
        <v>5103</v>
      </c>
      <c r="N3538" t="s">
        <v>5103</v>
      </c>
      <c r="O3538" t="s">
        <v>73</v>
      </c>
      <c r="P3538" t="s">
        <v>81</v>
      </c>
      <c r="Q3538" t="s">
        <v>82</v>
      </c>
      <c r="R3538" t="s">
        <v>1016</v>
      </c>
    </row>
    <row r="3539" spans="1:18" x14ac:dyDescent="0.25">
      <c r="A3539" t="s">
        <v>21222</v>
      </c>
      <c r="B3539" t="s">
        <v>5148</v>
      </c>
      <c r="C3539" t="str">
        <f>HYPERLINK("https://nematode.unl.edu/eucarte8.jpg")</f>
        <v>https://nematode.unl.edu/eucarte8.jpg</v>
      </c>
      <c r="D3539" t="s">
        <v>43</v>
      </c>
      <c r="G3539" t="s">
        <v>17</v>
      </c>
      <c r="H3539" t="s">
        <v>18</v>
      </c>
      <c r="I3539" t="s">
        <v>19</v>
      </c>
      <c r="M3539" t="s">
        <v>5103</v>
      </c>
      <c r="N3539" t="s">
        <v>5103</v>
      </c>
      <c r="O3539" t="s">
        <v>73</v>
      </c>
      <c r="P3539" t="s">
        <v>81</v>
      </c>
      <c r="Q3539" t="s">
        <v>82</v>
      </c>
      <c r="R3539" t="s">
        <v>1016</v>
      </c>
    </row>
    <row r="3540" spans="1:18" x14ac:dyDescent="0.25">
      <c r="A3540" t="s">
        <v>21259</v>
      </c>
      <c r="B3540" t="s">
        <v>5149</v>
      </c>
      <c r="C3540" t="str">
        <f>HYPERLINK("https://nematode.unl.edu/eucarte9.jpg")</f>
        <v>https://nematode.unl.edu/eucarte9.jpg</v>
      </c>
      <c r="D3540" t="s">
        <v>43</v>
      </c>
      <c r="G3540" t="s">
        <v>28</v>
      </c>
      <c r="I3540" t="s">
        <v>19</v>
      </c>
      <c r="J3540" t="s">
        <v>20</v>
      </c>
      <c r="L3540" t="s">
        <v>64</v>
      </c>
      <c r="M3540" t="s">
        <v>5103</v>
      </c>
      <c r="N3540" t="s">
        <v>5103</v>
      </c>
      <c r="O3540" t="s">
        <v>73</v>
      </c>
      <c r="P3540" t="s">
        <v>81</v>
      </c>
      <c r="Q3540" t="s">
        <v>82</v>
      </c>
      <c r="R3540" t="s">
        <v>1016</v>
      </c>
    </row>
    <row r="3541" spans="1:18" x14ac:dyDescent="0.25">
      <c r="A3541" t="s">
        <v>13513</v>
      </c>
      <c r="B3541" t="s">
        <v>1683</v>
      </c>
      <c r="C3541" t="str">
        <f>HYPERLINK("https://nematode.unl.edu/eucela1.jpg")</f>
        <v>https://nematode.unl.edu/eucela1.jpg</v>
      </c>
      <c r="D3541" t="s">
        <v>77</v>
      </c>
      <c r="G3541" t="s">
        <v>34</v>
      </c>
      <c r="H3541" t="s">
        <v>18</v>
      </c>
      <c r="I3541" t="s">
        <v>19</v>
      </c>
      <c r="J3541" t="s">
        <v>127</v>
      </c>
      <c r="L3541" t="s">
        <v>162</v>
      </c>
      <c r="M3541" t="s">
        <v>1684</v>
      </c>
      <c r="N3541" t="s">
        <v>1685</v>
      </c>
      <c r="O3541" t="s">
        <v>23</v>
      </c>
      <c r="P3541" t="s">
        <v>24</v>
      </c>
      <c r="Q3541" t="s">
        <v>25</v>
      </c>
      <c r="R3541" t="s">
        <v>1679</v>
      </c>
    </row>
    <row r="3542" spans="1:18" x14ac:dyDescent="0.25">
      <c r="A3542" t="s">
        <v>13521</v>
      </c>
      <c r="B3542" t="s">
        <v>1686</v>
      </c>
      <c r="C3542" t="str">
        <f>HYPERLINK("https://nematode.unl.edu/eucela2.jpg")</f>
        <v>https://nematode.unl.edu/eucela2.jpg</v>
      </c>
      <c r="D3542" t="s">
        <v>77</v>
      </c>
      <c r="G3542" t="s">
        <v>28</v>
      </c>
      <c r="J3542" t="s">
        <v>127</v>
      </c>
      <c r="L3542" t="s">
        <v>162</v>
      </c>
      <c r="M3542" t="s">
        <v>1684</v>
      </c>
      <c r="N3542" t="s">
        <v>1685</v>
      </c>
      <c r="O3542" t="s">
        <v>23</v>
      </c>
      <c r="P3542" t="s">
        <v>24</v>
      </c>
      <c r="Q3542" t="s">
        <v>25</v>
      </c>
      <c r="R3542" t="s">
        <v>1679</v>
      </c>
    </row>
    <row r="3543" spans="1:18" x14ac:dyDescent="0.25">
      <c r="A3543" t="s">
        <v>13517</v>
      </c>
      <c r="B3543" t="s">
        <v>1687</v>
      </c>
      <c r="C3543" t="str">
        <f>HYPERLINK("https://nematode.unl.edu/eucep1.jpg")</f>
        <v>https://nematode.unl.edu/eucep1.jpg</v>
      </c>
      <c r="D3543" t="s">
        <v>77</v>
      </c>
      <c r="G3543" t="s">
        <v>44</v>
      </c>
      <c r="I3543" t="s">
        <v>45</v>
      </c>
      <c r="J3543" t="s">
        <v>127</v>
      </c>
      <c r="L3543" t="s">
        <v>162</v>
      </c>
      <c r="M3543" t="s">
        <v>1684</v>
      </c>
      <c r="N3543" t="s">
        <v>1685</v>
      </c>
      <c r="O3543" t="s">
        <v>23</v>
      </c>
      <c r="P3543" t="s">
        <v>24</v>
      </c>
      <c r="Q3543" t="s">
        <v>25</v>
      </c>
      <c r="R3543" t="s">
        <v>1679</v>
      </c>
    </row>
    <row r="3544" spans="1:18" x14ac:dyDescent="0.25">
      <c r="A3544" t="s">
        <v>13514</v>
      </c>
      <c r="B3544" t="s">
        <v>1688</v>
      </c>
      <c r="C3544" t="str">
        <f>HYPERLINK("https://nematode.unl.edu/eucep2.jpg")</f>
        <v>https://nematode.unl.edu/eucep2.jpg</v>
      </c>
      <c r="D3544" t="s">
        <v>77</v>
      </c>
      <c r="G3544" t="s">
        <v>34</v>
      </c>
      <c r="H3544" t="s">
        <v>18</v>
      </c>
      <c r="I3544" t="s">
        <v>19</v>
      </c>
      <c r="J3544" t="s">
        <v>127</v>
      </c>
      <c r="L3544" t="s">
        <v>162</v>
      </c>
      <c r="M3544" t="s">
        <v>1684</v>
      </c>
      <c r="N3544" t="s">
        <v>1685</v>
      </c>
      <c r="O3544" t="s">
        <v>23</v>
      </c>
      <c r="P3544" t="s">
        <v>24</v>
      </c>
      <c r="Q3544" t="s">
        <v>25</v>
      </c>
      <c r="R3544" t="s">
        <v>1679</v>
      </c>
    </row>
    <row r="3545" spans="1:18" x14ac:dyDescent="0.25">
      <c r="A3545" t="s">
        <v>13522</v>
      </c>
      <c r="B3545" t="s">
        <v>1689</v>
      </c>
      <c r="C3545" t="str">
        <f>HYPERLINK("https://nematode.unl.edu/eucep3.jpg")</f>
        <v>https://nematode.unl.edu/eucep3.jpg</v>
      </c>
      <c r="D3545" t="s">
        <v>77</v>
      </c>
      <c r="G3545" t="s">
        <v>28</v>
      </c>
      <c r="L3545" t="s">
        <v>162</v>
      </c>
      <c r="M3545" t="s">
        <v>1684</v>
      </c>
      <c r="N3545" t="s">
        <v>1685</v>
      </c>
      <c r="O3545" t="s">
        <v>23</v>
      </c>
      <c r="P3545" t="s">
        <v>24</v>
      </c>
      <c r="Q3545" t="s">
        <v>25</v>
      </c>
      <c r="R3545" t="s">
        <v>1679</v>
      </c>
    </row>
    <row r="3546" spans="1:18" x14ac:dyDescent="0.25">
      <c r="A3546" t="s">
        <v>13515</v>
      </c>
      <c r="B3546" t="s">
        <v>1690</v>
      </c>
      <c r="C3546" t="str">
        <f>HYPERLINK("https://nematode.unl.edu/eucep4.jpg")</f>
        <v>https://nematode.unl.edu/eucep4.jpg</v>
      </c>
      <c r="D3546" t="s">
        <v>77</v>
      </c>
      <c r="G3546" t="s">
        <v>34</v>
      </c>
      <c r="H3546" t="s">
        <v>18</v>
      </c>
      <c r="I3546" t="s">
        <v>41</v>
      </c>
      <c r="L3546" t="s">
        <v>162</v>
      </c>
      <c r="M3546" t="s">
        <v>1684</v>
      </c>
      <c r="N3546" t="s">
        <v>1685</v>
      </c>
      <c r="O3546" t="s">
        <v>23</v>
      </c>
      <c r="P3546" t="s">
        <v>24</v>
      </c>
      <c r="Q3546" t="s">
        <v>25</v>
      </c>
      <c r="R3546" t="s">
        <v>1679</v>
      </c>
    </row>
    <row r="3547" spans="1:18" x14ac:dyDescent="0.25">
      <c r="A3547" t="s">
        <v>13520</v>
      </c>
      <c r="B3547" t="s">
        <v>1691</v>
      </c>
      <c r="C3547" t="str">
        <f>HYPERLINK("https://nematode.unl.edu/eucep5.jpg")</f>
        <v>https://nematode.unl.edu/eucep5.jpg</v>
      </c>
      <c r="D3547" t="s">
        <v>77</v>
      </c>
      <c r="G3547" t="s">
        <v>112</v>
      </c>
      <c r="I3547" t="s">
        <v>41</v>
      </c>
      <c r="J3547" t="s">
        <v>127</v>
      </c>
      <c r="L3547" t="s">
        <v>162</v>
      </c>
      <c r="M3547" t="s">
        <v>1684</v>
      </c>
      <c r="N3547" t="s">
        <v>1685</v>
      </c>
      <c r="O3547" t="s">
        <v>23</v>
      </c>
      <c r="P3547" t="s">
        <v>24</v>
      </c>
      <c r="Q3547" t="s">
        <v>25</v>
      </c>
      <c r="R3547" t="s">
        <v>1679</v>
      </c>
    </row>
    <row r="3548" spans="1:18" x14ac:dyDescent="0.25">
      <c r="A3548" t="s">
        <v>13516</v>
      </c>
      <c r="B3548" t="s">
        <v>1692</v>
      </c>
      <c r="C3548" t="str">
        <f>HYPERLINK("https://nematode.unl.edu/eucep6.jpg")</f>
        <v>https://nematode.unl.edu/eucep6.jpg</v>
      </c>
      <c r="D3548" t="s">
        <v>77</v>
      </c>
      <c r="G3548" t="s">
        <v>384</v>
      </c>
      <c r="I3548" t="s">
        <v>41</v>
      </c>
      <c r="J3548" t="s">
        <v>127</v>
      </c>
      <c r="L3548" t="s">
        <v>162</v>
      </c>
      <c r="M3548" t="s">
        <v>1684</v>
      </c>
      <c r="N3548" t="s">
        <v>1685</v>
      </c>
      <c r="O3548" t="s">
        <v>23</v>
      </c>
      <c r="P3548" t="s">
        <v>24</v>
      </c>
      <c r="Q3548" t="s">
        <v>25</v>
      </c>
      <c r="R3548" t="s">
        <v>1679</v>
      </c>
    </row>
    <row r="3549" spans="1:18" x14ac:dyDescent="0.25">
      <c r="A3549" t="s">
        <v>13519</v>
      </c>
      <c r="B3549" t="s">
        <v>1693</v>
      </c>
      <c r="C3549" t="str">
        <f>HYPERLINK("https://nematode.unl.edu/eucep7.jpg")</f>
        <v>https://nematode.unl.edu/eucep7.jpg</v>
      </c>
      <c r="D3549" t="s">
        <v>77</v>
      </c>
      <c r="G3549" t="s">
        <v>53</v>
      </c>
      <c r="I3549" t="s">
        <v>41</v>
      </c>
      <c r="J3549" t="s">
        <v>127</v>
      </c>
      <c r="L3549" t="s">
        <v>162</v>
      </c>
      <c r="M3549" t="s">
        <v>1684</v>
      </c>
      <c r="N3549" t="s">
        <v>1685</v>
      </c>
      <c r="O3549" t="s">
        <v>23</v>
      </c>
      <c r="P3549" t="s">
        <v>24</v>
      </c>
      <c r="Q3549" t="s">
        <v>25</v>
      </c>
      <c r="R3549" t="s">
        <v>1679</v>
      </c>
    </row>
    <row r="3550" spans="1:18" x14ac:dyDescent="0.25">
      <c r="A3550" t="s">
        <v>13470</v>
      </c>
      <c r="B3550" t="s">
        <v>4962</v>
      </c>
      <c r="C3550" t="str">
        <f>HYPERLINK("https://nematode.unl.edu/eucest1.jpg")</f>
        <v>https://nematode.unl.edu/eucest1.jpg</v>
      </c>
      <c r="D3550" t="s">
        <v>77</v>
      </c>
      <c r="G3550" t="s">
        <v>34</v>
      </c>
      <c r="H3550" t="s">
        <v>18</v>
      </c>
      <c r="I3550" t="s">
        <v>19</v>
      </c>
      <c r="M3550" t="s">
        <v>4963</v>
      </c>
      <c r="N3550" t="s">
        <v>4963</v>
      </c>
      <c r="O3550" t="s">
        <v>23</v>
      </c>
      <c r="P3550" t="s">
        <v>24</v>
      </c>
      <c r="Q3550" t="s">
        <v>25</v>
      </c>
      <c r="R3550" t="s">
        <v>4917</v>
      </c>
    </row>
    <row r="3551" spans="1:18" x14ac:dyDescent="0.25">
      <c r="A3551" t="s">
        <v>13491</v>
      </c>
      <c r="B3551" t="s">
        <v>4964</v>
      </c>
      <c r="C3551" t="str">
        <f>HYPERLINK("https://nematode.unl.edu/eucest2.jpg")</f>
        <v>https://nematode.unl.edu/eucest2.jpg</v>
      </c>
      <c r="D3551" t="s">
        <v>77</v>
      </c>
      <c r="G3551" t="s">
        <v>28</v>
      </c>
      <c r="I3551" t="s">
        <v>19</v>
      </c>
      <c r="J3551" t="s">
        <v>127</v>
      </c>
      <c r="L3551" t="s">
        <v>131</v>
      </c>
      <c r="M3551" t="s">
        <v>4963</v>
      </c>
      <c r="N3551" t="s">
        <v>4963</v>
      </c>
      <c r="O3551" t="s">
        <v>23</v>
      </c>
      <c r="P3551" t="s">
        <v>24</v>
      </c>
      <c r="Q3551" t="s">
        <v>25</v>
      </c>
      <c r="R3551" t="s">
        <v>4917</v>
      </c>
    </row>
    <row r="3552" spans="1:18" x14ac:dyDescent="0.25">
      <c r="A3552" t="s">
        <v>13471</v>
      </c>
      <c r="B3552" t="s">
        <v>4965</v>
      </c>
      <c r="C3552" t="str">
        <f>HYPERLINK("https://nematode.unl.edu/eucest3.jpg")</f>
        <v>https://nematode.unl.edu/eucest3.jpg</v>
      </c>
      <c r="D3552" t="s">
        <v>77</v>
      </c>
      <c r="G3552" t="s">
        <v>34</v>
      </c>
      <c r="H3552" t="s">
        <v>18</v>
      </c>
      <c r="I3552" t="s">
        <v>41</v>
      </c>
      <c r="J3552" t="s">
        <v>127</v>
      </c>
      <c r="L3552" t="s">
        <v>162</v>
      </c>
      <c r="M3552" t="s">
        <v>4963</v>
      </c>
      <c r="N3552" t="s">
        <v>4963</v>
      </c>
      <c r="O3552" t="s">
        <v>23</v>
      </c>
      <c r="P3552" t="s">
        <v>24</v>
      </c>
      <c r="Q3552" t="s">
        <v>25</v>
      </c>
      <c r="R3552" t="s">
        <v>4917</v>
      </c>
    </row>
    <row r="3553" spans="1:18" x14ac:dyDescent="0.25">
      <c r="A3553" t="s">
        <v>13489</v>
      </c>
      <c r="B3553" t="s">
        <v>4966</v>
      </c>
      <c r="C3553" t="str">
        <f>HYPERLINK("https://nematode.unl.edu/eucest4.jpg")</f>
        <v>https://nematode.unl.edu/eucest4.jpg</v>
      </c>
      <c r="D3553" t="s">
        <v>77</v>
      </c>
      <c r="G3553" t="s">
        <v>112</v>
      </c>
      <c r="I3553" t="s">
        <v>41</v>
      </c>
      <c r="J3553" t="s">
        <v>127</v>
      </c>
      <c r="L3553" t="s">
        <v>162</v>
      </c>
      <c r="M3553" t="s">
        <v>4963</v>
      </c>
      <c r="N3553" t="s">
        <v>4963</v>
      </c>
      <c r="O3553" t="s">
        <v>23</v>
      </c>
      <c r="P3553" t="s">
        <v>24</v>
      </c>
      <c r="Q3553" t="s">
        <v>25</v>
      </c>
      <c r="R3553" t="s">
        <v>4917</v>
      </c>
    </row>
    <row r="3554" spans="1:18" x14ac:dyDescent="0.25">
      <c r="A3554" t="s">
        <v>13486</v>
      </c>
      <c r="B3554" t="s">
        <v>4967</v>
      </c>
      <c r="C3554" t="str">
        <f>HYPERLINK("https://nematode.unl.edu/eucest5.jpg")</f>
        <v>https://nematode.unl.edu/eucest5.jpg</v>
      </c>
      <c r="D3554" t="s">
        <v>77</v>
      </c>
      <c r="G3554" t="s">
        <v>53</v>
      </c>
      <c r="I3554" t="s">
        <v>41</v>
      </c>
      <c r="J3554" t="s">
        <v>127</v>
      </c>
      <c r="L3554" t="s">
        <v>131</v>
      </c>
      <c r="M3554" t="s">
        <v>4963</v>
      </c>
      <c r="N3554" t="s">
        <v>4963</v>
      </c>
      <c r="O3554" t="s">
        <v>23</v>
      </c>
      <c r="P3554" t="s">
        <v>24</v>
      </c>
      <c r="Q3554" t="s">
        <v>25</v>
      </c>
      <c r="R3554" t="s">
        <v>4917</v>
      </c>
    </row>
    <row r="3555" spans="1:18" x14ac:dyDescent="0.25">
      <c r="A3555" t="s">
        <v>13472</v>
      </c>
      <c r="B3555" t="s">
        <v>4968</v>
      </c>
      <c r="C3555" t="str">
        <f>HYPERLINK("https://nematode.unl.edu/eucest6.jpg")</f>
        <v>https://nematode.unl.edu/eucest6.jpg</v>
      </c>
      <c r="D3555" t="s">
        <v>77</v>
      </c>
      <c r="G3555" t="s">
        <v>34</v>
      </c>
      <c r="H3555" t="s">
        <v>18</v>
      </c>
      <c r="I3555" t="s">
        <v>41</v>
      </c>
      <c r="J3555" t="s">
        <v>127</v>
      </c>
      <c r="L3555" t="s">
        <v>128</v>
      </c>
      <c r="M3555" t="s">
        <v>4963</v>
      </c>
      <c r="N3555" t="s">
        <v>4963</v>
      </c>
      <c r="O3555" t="s">
        <v>23</v>
      </c>
      <c r="P3555" t="s">
        <v>24</v>
      </c>
      <c r="Q3555" t="s">
        <v>25</v>
      </c>
      <c r="R3555" t="s">
        <v>4917</v>
      </c>
    </row>
    <row r="3556" spans="1:18" x14ac:dyDescent="0.25">
      <c r="A3556" t="s">
        <v>13492</v>
      </c>
      <c r="B3556" t="s">
        <v>4969</v>
      </c>
      <c r="C3556" t="str">
        <f>HYPERLINK("https://nematode.unl.edu/eucest7.jpg")</f>
        <v>https://nematode.unl.edu/eucest7.jpg</v>
      </c>
      <c r="D3556" t="s">
        <v>77</v>
      </c>
      <c r="G3556" t="s">
        <v>28</v>
      </c>
      <c r="I3556" t="s">
        <v>41</v>
      </c>
      <c r="J3556" t="s">
        <v>127</v>
      </c>
      <c r="L3556" t="s">
        <v>128</v>
      </c>
      <c r="M3556" t="s">
        <v>4963</v>
      </c>
      <c r="N3556" t="s">
        <v>4963</v>
      </c>
      <c r="O3556" t="s">
        <v>23</v>
      </c>
      <c r="P3556" t="s">
        <v>24</v>
      </c>
      <c r="Q3556" t="s">
        <v>25</v>
      </c>
      <c r="R3556" t="s">
        <v>4917</v>
      </c>
    </row>
    <row r="3557" spans="1:18" x14ac:dyDescent="0.25">
      <c r="A3557" t="s">
        <v>13523</v>
      </c>
      <c r="B3557" t="s">
        <v>1695</v>
      </c>
      <c r="C3557" t="str">
        <f>HYPERLINK("https://nematode.unl.edu/eucet1.jpg")</f>
        <v>https://nematode.unl.edu/eucet1.jpg</v>
      </c>
      <c r="D3557" t="s">
        <v>43</v>
      </c>
      <c r="G3557" t="s">
        <v>34</v>
      </c>
      <c r="H3557" t="s">
        <v>18</v>
      </c>
      <c r="I3557" t="s">
        <v>19</v>
      </c>
      <c r="J3557" t="s">
        <v>127</v>
      </c>
      <c r="L3557" t="s">
        <v>131</v>
      </c>
      <c r="M3557" t="s">
        <v>1696</v>
      </c>
      <c r="N3557" t="s">
        <v>1697</v>
      </c>
      <c r="O3557" t="s">
        <v>23</v>
      </c>
      <c r="P3557" t="s">
        <v>24</v>
      </c>
      <c r="Q3557" t="s">
        <v>25</v>
      </c>
      <c r="R3557" t="s">
        <v>1679</v>
      </c>
    </row>
    <row r="3558" spans="1:18" x14ac:dyDescent="0.25">
      <c r="A3558" t="s">
        <v>13564</v>
      </c>
      <c r="B3558" t="s">
        <v>1698</v>
      </c>
      <c r="C3558" t="str">
        <f>HYPERLINK("https://nematode.unl.edu/eucet2.jpg")</f>
        <v>https://nematode.unl.edu/eucet2.jpg</v>
      </c>
      <c r="D3558" t="s">
        <v>43</v>
      </c>
      <c r="G3558" t="s">
        <v>28</v>
      </c>
      <c r="L3558" t="s">
        <v>162</v>
      </c>
      <c r="M3558" t="s">
        <v>1696</v>
      </c>
      <c r="N3558" t="s">
        <v>1697</v>
      </c>
      <c r="O3558" t="s">
        <v>23</v>
      </c>
      <c r="P3558" t="s">
        <v>24</v>
      </c>
      <c r="Q3558" t="s">
        <v>25</v>
      </c>
      <c r="R3558" t="s">
        <v>1679</v>
      </c>
    </row>
    <row r="3559" spans="1:18" x14ac:dyDescent="0.25">
      <c r="A3559" t="s">
        <v>13524</v>
      </c>
      <c r="B3559" t="s">
        <v>1699</v>
      </c>
      <c r="C3559" t="str">
        <f>HYPERLINK("https://nematode.unl.edu/eucet3.jpg")</f>
        <v>https://nematode.unl.edu/eucet3.jpg</v>
      </c>
      <c r="D3559" t="s">
        <v>43</v>
      </c>
      <c r="G3559" t="s">
        <v>34</v>
      </c>
      <c r="H3559" t="s">
        <v>18</v>
      </c>
      <c r="I3559" t="s">
        <v>41</v>
      </c>
      <c r="J3559" t="s">
        <v>127</v>
      </c>
      <c r="L3559" t="s">
        <v>162</v>
      </c>
      <c r="M3559" t="s">
        <v>1696</v>
      </c>
      <c r="N3559" t="s">
        <v>1697</v>
      </c>
      <c r="O3559" t="s">
        <v>23</v>
      </c>
      <c r="P3559" t="s">
        <v>24</v>
      </c>
      <c r="Q3559" t="s">
        <v>25</v>
      </c>
      <c r="R3559" t="s">
        <v>1679</v>
      </c>
    </row>
    <row r="3560" spans="1:18" x14ac:dyDescent="0.25">
      <c r="A3560" t="s">
        <v>13550</v>
      </c>
      <c r="B3560" t="s">
        <v>1700</v>
      </c>
      <c r="C3560" t="str">
        <f>HYPERLINK("https://nematode.unl.edu/eucet4.jpg")</f>
        <v>https://nematode.unl.edu/eucet4.jpg</v>
      </c>
      <c r="D3560" t="s">
        <v>43</v>
      </c>
      <c r="G3560" t="s">
        <v>384</v>
      </c>
      <c r="I3560" t="s">
        <v>41</v>
      </c>
      <c r="J3560" t="s">
        <v>127</v>
      </c>
      <c r="M3560" t="s">
        <v>1696</v>
      </c>
      <c r="N3560" t="s">
        <v>1697</v>
      </c>
      <c r="O3560" t="s">
        <v>23</v>
      </c>
      <c r="P3560" t="s">
        <v>24</v>
      </c>
      <c r="Q3560" t="s">
        <v>25</v>
      </c>
      <c r="R3560" t="s">
        <v>1679</v>
      </c>
    </row>
    <row r="3561" spans="1:18" x14ac:dyDescent="0.25">
      <c r="A3561" t="s">
        <v>21279</v>
      </c>
      <c r="B3561" t="s">
        <v>5150</v>
      </c>
      <c r="C3561" t="str">
        <f>HYPERLINK("https://nematode.unl.edu/eucol1.jpg")</f>
        <v>https://nematode.unl.edu/eucol1.jpg</v>
      </c>
      <c r="D3561" t="s">
        <v>77</v>
      </c>
      <c r="G3561" t="s">
        <v>28</v>
      </c>
      <c r="I3561" t="s">
        <v>137</v>
      </c>
      <c r="J3561" t="s">
        <v>440</v>
      </c>
      <c r="M3561" t="s">
        <v>5151</v>
      </c>
      <c r="N3561" t="s">
        <v>5151</v>
      </c>
      <c r="O3561" t="s">
        <v>73</v>
      </c>
      <c r="P3561" t="s">
        <v>81</v>
      </c>
      <c r="Q3561" t="s">
        <v>82</v>
      </c>
      <c r="R3561" t="s">
        <v>1016</v>
      </c>
    </row>
    <row r="3562" spans="1:18" x14ac:dyDescent="0.25">
      <c r="A3562" t="s">
        <v>21280</v>
      </c>
      <c r="B3562" t="s">
        <v>5152</v>
      </c>
      <c r="C3562" t="str">
        <f>HYPERLINK("https://nematode.unl.edu/eucol10.jpg")</f>
        <v>https://nematode.unl.edu/eucol10.jpg</v>
      </c>
      <c r="D3562" t="s">
        <v>77</v>
      </c>
      <c r="G3562" t="s">
        <v>28</v>
      </c>
      <c r="I3562" t="s">
        <v>137</v>
      </c>
      <c r="J3562" t="s">
        <v>440</v>
      </c>
      <c r="M3562" t="s">
        <v>5151</v>
      </c>
      <c r="N3562" t="s">
        <v>5151</v>
      </c>
      <c r="O3562" t="s">
        <v>73</v>
      </c>
      <c r="P3562" t="s">
        <v>81</v>
      </c>
      <c r="Q3562" t="s">
        <v>82</v>
      </c>
      <c r="R3562" t="s">
        <v>1016</v>
      </c>
    </row>
    <row r="3563" spans="1:18" x14ac:dyDescent="0.25">
      <c r="A3563" t="s">
        <v>21278</v>
      </c>
      <c r="B3563" t="s">
        <v>5153</v>
      </c>
      <c r="C3563" t="str">
        <f>HYPERLINK("https://nematode.unl.edu/eucol11.jpg")</f>
        <v>https://nematode.unl.edu/eucol11.jpg</v>
      </c>
      <c r="D3563" t="s">
        <v>77</v>
      </c>
      <c r="G3563" t="s">
        <v>230</v>
      </c>
      <c r="I3563" t="s">
        <v>19</v>
      </c>
      <c r="M3563" t="s">
        <v>5151</v>
      </c>
      <c r="N3563" t="s">
        <v>5151</v>
      </c>
      <c r="O3563" t="s">
        <v>73</v>
      </c>
      <c r="P3563" t="s">
        <v>81</v>
      </c>
      <c r="Q3563" t="s">
        <v>82</v>
      </c>
      <c r="R3563" t="s">
        <v>1016</v>
      </c>
    </row>
    <row r="3564" spans="1:18" x14ac:dyDescent="0.25">
      <c r="A3564" t="s">
        <v>21281</v>
      </c>
      <c r="B3564" t="s">
        <v>5154</v>
      </c>
      <c r="C3564" t="str">
        <f>HYPERLINK("https://nematode.unl.edu/eucol12.jpg")</f>
        <v>https://nematode.unl.edu/eucol12.jpg</v>
      </c>
      <c r="D3564" t="s">
        <v>77</v>
      </c>
      <c r="G3564" t="s">
        <v>28</v>
      </c>
      <c r="J3564" t="s">
        <v>440</v>
      </c>
      <c r="M3564" t="s">
        <v>5151</v>
      </c>
      <c r="N3564" t="s">
        <v>5151</v>
      </c>
      <c r="O3564" t="s">
        <v>73</v>
      </c>
      <c r="P3564" t="s">
        <v>81</v>
      </c>
      <c r="Q3564" t="s">
        <v>82</v>
      </c>
      <c r="R3564" t="s">
        <v>1016</v>
      </c>
    </row>
    <row r="3565" spans="1:18" x14ac:dyDescent="0.25">
      <c r="A3565" t="s">
        <v>21275</v>
      </c>
      <c r="B3565" t="s">
        <v>5155</v>
      </c>
      <c r="C3565" t="str">
        <f>HYPERLINK("https://nematode.unl.edu/eucol13.jpg")</f>
        <v>https://nematode.unl.edu/eucol13.jpg</v>
      </c>
      <c r="D3565" t="s">
        <v>77</v>
      </c>
      <c r="G3565" t="s">
        <v>5156</v>
      </c>
      <c r="I3565" t="s">
        <v>516</v>
      </c>
      <c r="J3565" t="s">
        <v>482</v>
      </c>
      <c r="L3565" t="s">
        <v>1147</v>
      </c>
      <c r="M3565" t="s">
        <v>5151</v>
      </c>
      <c r="N3565" t="s">
        <v>5151</v>
      </c>
      <c r="O3565" t="s">
        <v>73</v>
      </c>
      <c r="P3565" t="s">
        <v>81</v>
      </c>
      <c r="Q3565" t="s">
        <v>82</v>
      </c>
      <c r="R3565" t="s">
        <v>1016</v>
      </c>
    </row>
    <row r="3566" spans="1:18" x14ac:dyDescent="0.25">
      <c r="A3566" t="s">
        <v>21272</v>
      </c>
      <c r="B3566" t="s">
        <v>5157</v>
      </c>
      <c r="C3566" t="str">
        <f>HYPERLINK("https://nematode.unl.edu/eucol14.jpg")</f>
        <v>https://nematode.unl.edu/eucol14.jpg</v>
      </c>
      <c r="D3566" t="s">
        <v>43</v>
      </c>
      <c r="G3566" t="s">
        <v>44</v>
      </c>
      <c r="I3566" t="s">
        <v>91</v>
      </c>
      <c r="J3566" t="s">
        <v>482</v>
      </c>
      <c r="M3566" t="s">
        <v>5151</v>
      </c>
      <c r="N3566" t="s">
        <v>5151</v>
      </c>
      <c r="O3566" t="s">
        <v>73</v>
      </c>
      <c r="P3566" t="s">
        <v>81</v>
      </c>
      <c r="Q3566" t="s">
        <v>82</v>
      </c>
      <c r="R3566" t="s">
        <v>1016</v>
      </c>
    </row>
    <row r="3567" spans="1:18" x14ac:dyDescent="0.25">
      <c r="A3567" t="s">
        <v>21264</v>
      </c>
      <c r="B3567" t="s">
        <v>5158</v>
      </c>
      <c r="C3567" t="str">
        <f>HYPERLINK("https://nematode.unl.edu/eucol15.jpg")</f>
        <v>https://nematode.unl.edu/eucol15.jpg</v>
      </c>
      <c r="D3567" t="s">
        <v>43</v>
      </c>
      <c r="G3567" t="s">
        <v>34</v>
      </c>
      <c r="H3567" t="s">
        <v>18</v>
      </c>
      <c r="I3567" t="s">
        <v>19</v>
      </c>
      <c r="J3567" t="s">
        <v>482</v>
      </c>
      <c r="M3567" t="s">
        <v>5151</v>
      </c>
      <c r="N3567" t="s">
        <v>5151</v>
      </c>
      <c r="O3567" t="s">
        <v>73</v>
      </c>
      <c r="P3567" t="s">
        <v>81</v>
      </c>
      <c r="Q3567" t="s">
        <v>82</v>
      </c>
      <c r="R3567" t="s">
        <v>1016</v>
      </c>
    </row>
    <row r="3568" spans="1:18" x14ac:dyDescent="0.25">
      <c r="A3568" t="s">
        <v>21286</v>
      </c>
      <c r="B3568" t="s">
        <v>5159</v>
      </c>
      <c r="C3568" t="str">
        <f>HYPERLINK("https://nematode.unl.edu/eucol16.jpg")</f>
        <v>https://nematode.unl.edu/eucol16.jpg</v>
      </c>
      <c r="D3568" t="s">
        <v>43</v>
      </c>
      <c r="G3568" t="s">
        <v>51</v>
      </c>
      <c r="I3568" t="s">
        <v>19</v>
      </c>
      <c r="M3568" t="s">
        <v>5151</v>
      </c>
      <c r="N3568" t="s">
        <v>5151</v>
      </c>
      <c r="O3568" t="s">
        <v>73</v>
      </c>
      <c r="P3568" t="s">
        <v>81</v>
      </c>
      <c r="Q3568" t="s">
        <v>82</v>
      </c>
      <c r="R3568" t="s">
        <v>1016</v>
      </c>
    </row>
    <row r="3569" spans="1:18" x14ac:dyDescent="0.25">
      <c r="A3569" t="s">
        <v>21282</v>
      </c>
      <c r="B3569" t="s">
        <v>5160</v>
      </c>
      <c r="C3569" t="str">
        <f>HYPERLINK("https://nematode.unl.edu/eucol17.jpg")</f>
        <v>https://nematode.unl.edu/eucol17.jpg</v>
      </c>
      <c r="D3569" t="s">
        <v>43</v>
      </c>
      <c r="G3569" t="s">
        <v>28</v>
      </c>
      <c r="I3569" t="s">
        <v>19</v>
      </c>
      <c r="J3569" t="s">
        <v>482</v>
      </c>
      <c r="M3569" t="s">
        <v>5151</v>
      </c>
      <c r="N3569" t="s">
        <v>5151</v>
      </c>
      <c r="O3569" t="s">
        <v>73</v>
      </c>
      <c r="P3569" t="s">
        <v>81</v>
      </c>
      <c r="Q3569" t="s">
        <v>82</v>
      </c>
      <c r="R3569" t="s">
        <v>1016</v>
      </c>
    </row>
    <row r="3570" spans="1:18" x14ac:dyDescent="0.25">
      <c r="A3570" t="s">
        <v>21265</v>
      </c>
      <c r="B3570" t="s">
        <v>5161</v>
      </c>
      <c r="C3570" t="str">
        <f>HYPERLINK("https://nematode.unl.edu/eucol18.jpg")</f>
        <v>https://nematode.unl.edu/eucol18.jpg</v>
      </c>
      <c r="D3570" t="s">
        <v>43</v>
      </c>
      <c r="G3570" t="s">
        <v>34</v>
      </c>
      <c r="H3570" t="s">
        <v>18</v>
      </c>
      <c r="I3570" t="s">
        <v>19</v>
      </c>
      <c r="M3570" t="s">
        <v>5151</v>
      </c>
      <c r="N3570" t="s">
        <v>5151</v>
      </c>
      <c r="O3570" t="s">
        <v>73</v>
      </c>
      <c r="P3570" t="s">
        <v>81</v>
      </c>
      <c r="Q3570" t="s">
        <v>82</v>
      </c>
      <c r="R3570" t="s">
        <v>1016</v>
      </c>
    </row>
    <row r="3571" spans="1:18" x14ac:dyDescent="0.25">
      <c r="A3571" t="s">
        <v>21283</v>
      </c>
      <c r="B3571" t="s">
        <v>5162</v>
      </c>
      <c r="C3571" t="str">
        <f>HYPERLINK("https://nematode.unl.edu/eucol19.jpg")</f>
        <v>https://nematode.unl.edu/eucol19.jpg</v>
      </c>
      <c r="D3571" t="s">
        <v>43</v>
      </c>
      <c r="G3571" t="s">
        <v>28</v>
      </c>
      <c r="M3571" t="s">
        <v>5151</v>
      </c>
      <c r="N3571" t="s">
        <v>5151</v>
      </c>
      <c r="O3571" t="s">
        <v>73</v>
      </c>
      <c r="P3571" t="s">
        <v>81</v>
      </c>
      <c r="Q3571" t="s">
        <v>82</v>
      </c>
      <c r="R3571" t="s">
        <v>1016</v>
      </c>
    </row>
    <row r="3572" spans="1:18" x14ac:dyDescent="0.25">
      <c r="A3572" t="s">
        <v>21266</v>
      </c>
      <c r="B3572" t="s">
        <v>5163</v>
      </c>
      <c r="C3572" t="str">
        <f>HYPERLINK("https://nematode.unl.edu/eucol2.jpg")</f>
        <v>https://nematode.unl.edu/eucol2.jpg</v>
      </c>
      <c r="D3572" t="s">
        <v>77</v>
      </c>
      <c r="G3572" t="s">
        <v>34</v>
      </c>
      <c r="H3572" t="s">
        <v>18</v>
      </c>
      <c r="J3572" t="s">
        <v>440</v>
      </c>
      <c r="M3572" t="s">
        <v>5151</v>
      </c>
      <c r="N3572" t="s">
        <v>5151</v>
      </c>
      <c r="O3572" t="s">
        <v>73</v>
      </c>
      <c r="P3572" t="s">
        <v>81</v>
      </c>
      <c r="Q3572" t="s">
        <v>82</v>
      </c>
      <c r="R3572" t="s">
        <v>1016</v>
      </c>
    </row>
    <row r="3573" spans="1:18" x14ac:dyDescent="0.25">
      <c r="A3573" t="s">
        <v>21274</v>
      </c>
      <c r="B3573" t="s">
        <v>5164</v>
      </c>
      <c r="C3573" t="str">
        <f>HYPERLINK("https://nematode.unl.edu/eucol20.jpg")</f>
        <v>https://nematode.unl.edu/eucol20.jpg</v>
      </c>
      <c r="D3573" t="s">
        <v>43</v>
      </c>
      <c r="G3573" t="s">
        <v>5165</v>
      </c>
      <c r="I3573" t="s">
        <v>19</v>
      </c>
      <c r="J3573" t="s">
        <v>482</v>
      </c>
      <c r="M3573" t="s">
        <v>5151</v>
      </c>
      <c r="N3573" t="s">
        <v>5151</v>
      </c>
      <c r="O3573" t="s">
        <v>73</v>
      </c>
      <c r="P3573" t="s">
        <v>81</v>
      </c>
      <c r="Q3573" t="s">
        <v>82</v>
      </c>
      <c r="R3573" t="s">
        <v>1016</v>
      </c>
    </row>
    <row r="3574" spans="1:18" x14ac:dyDescent="0.25">
      <c r="A3574" t="s">
        <v>21273</v>
      </c>
      <c r="B3574" t="s">
        <v>5166</v>
      </c>
      <c r="C3574" t="str">
        <f>HYPERLINK("https://nematode.unl.edu/eucol21.jpg")</f>
        <v>https://nematode.unl.edu/eucol21.jpg</v>
      </c>
      <c r="D3574" t="s">
        <v>43</v>
      </c>
      <c r="G3574" t="s">
        <v>44</v>
      </c>
      <c r="I3574" t="s">
        <v>91</v>
      </c>
      <c r="J3574" t="s">
        <v>482</v>
      </c>
      <c r="M3574" t="s">
        <v>5151</v>
      </c>
      <c r="N3574" t="s">
        <v>5151</v>
      </c>
      <c r="O3574" t="s">
        <v>73</v>
      </c>
      <c r="P3574" t="s">
        <v>81</v>
      </c>
      <c r="Q3574" t="s">
        <v>82</v>
      </c>
      <c r="R3574" t="s">
        <v>1016</v>
      </c>
    </row>
    <row r="3575" spans="1:18" x14ac:dyDescent="0.25">
      <c r="A3575" t="s">
        <v>21267</v>
      </c>
      <c r="B3575" t="s">
        <v>5167</v>
      </c>
      <c r="C3575" t="str">
        <f>HYPERLINK("https://nematode.unl.edu/eucol22.jpg")</f>
        <v>https://nematode.unl.edu/eucol22.jpg</v>
      </c>
      <c r="D3575" t="s">
        <v>43</v>
      </c>
      <c r="G3575" t="s">
        <v>34</v>
      </c>
      <c r="H3575" t="s">
        <v>18</v>
      </c>
      <c r="I3575" t="s">
        <v>19</v>
      </c>
      <c r="M3575" t="s">
        <v>5151</v>
      </c>
      <c r="N3575" t="s">
        <v>5151</v>
      </c>
      <c r="O3575" t="s">
        <v>73</v>
      </c>
      <c r="P3575" t="s">
        <v>81</v>
      </c>
      <c r="Q3575" t="s">
        <v>82</v>
      </c>
      <c r="R3575" t="s">
        <v>1016</v>
      </c>
    </row>
    <row r="3576" spans="1:18" x14ac:dyDescent="0.25">
      <c r="A3576" t="s">
        <v>21284</v>
      </c>
      <c r="B3576" t="s">
        <v>5168</v>
      </c>
      <c r="C3576" t="str">
        <f>HYPERLINK("https://nematode.unl.edu/eucol23.jpg")</f>
        <v>https://nematode.unl.edu/eucol23.jpg</v>
      </c>
      <c r="D3576" t="s">
        <v>43</v>
      </c>
      <c r="G3576" t="s">
        <v>28</v>
      </c>
      <c r="M3576" t="s">
        <v>5151</v>
      </c>
      <c r="N3576" t="s">
        <v>5151</v>
      </c>
      <c r="O3576" t="s">
        <v>73</v>
      </c>
      <c r="P3576" t="s">
        <v>81</v>
      </c>
      <c r="Q3576" t="s">
        <v>82</v>
      </c>
      <c r="R3576" t="s">
        <v>1016</v>
      </c>
    </row>
    <row r="3577" spans="1:18" x14ac:dyDescent="0.25">
      <c r="A3577" t="s">
        <v>21270</v>
      </c>
      <c r="B3577" t="s">
        <v>5169</v>
      </c>
      <c r="C3577" t="str">
        <f>HYPERLINK("https://nematode.unl.edu/eucol3.jpg")</f>
        <v>https://nematode.unl.edu/eucol3.jpg</v>
      </c>
      <c r="D3577" t="s">
        <v>77</v>
      </c>
      <c r="G3577" t="s">
        <v>87</v>
      </c>
      <c r="M3577" t="s">
        <v>5151</v>
      </c>
      <c r="N3577" t="s">
        <v>5151</v>
      </c>
      <c r="O3577" t="s">
        <v>73</v>
      </c>
      <c r="P3577" t="s">
        <v>81</v>
      </c>
      <c r="Q3577" t="s">
        <v>82</v>
      </c>
      <c r="R3577" t="s">
        <v>1016</v>
      </c>
    </row>
    <row r="3578" spans="1:18" x14ac:dyDescent="0.25">
      <c r="A3578" t="s">
        <v>21285</v>
      </c>
      <c r="B3578" t="s">
        <v>5170</v>
      </c>
      <c r="C3578" t="str">
        <f>HYPERLINK("https://nematode.unl.edu/eucol4.jpg")</f>
        <v>https://nematode.unl.edu/eucol4.jpg</v>
      </c>
      <c r="D3578" t="s">
        <v>77</v>
      </c>
      <c r="G3578" t="s">
        <v>28</v>
      </c>
      <c r="I3578" t="s">
        <v>19</v>
      </c>
      <c r="J3578" t="s">
        <v>440</v>
      </c>
      <c r="M3578" t="s">
        <v>5151</v>
      </c>
      <c r="N3578" t="s">
        <v>5151</v>
      </c>
      <c r="O3578" t="s">
        <v>73</v>
      </c>
      <c r="P3578" t="s">
        <v>81</v>
      </c>
      <c r="Q3578" t="s">
        <v>82</v>
      </c>
      <c r="R3578" t="s">
        <v>1016</v>
      </c>
    </row>
    <row r="3579" spans="1:18" x14ac:dyDescent="0.25">
      <c r="A3579" t="s">
        <v>21276</v>
      </c>
      <c r="B3579" t="s">
        <v>5171</v>
      </c>
      <c r="C3579" t="str">
        <f>HYPERLINK("https://nematode.unl.edu/eucol5.jpg")</f>
        <v>https://nematode.unl.edu/eucol5.jpg</v>
      </c>
      <c r="D3579" t="s">
        <v>77</v>
      </c>
      <c r="G3579" t="s">
        <v>5172</v>
      </c>
      <c r="I3579" t="s">
        <v>19</v>
      </c>
      <c r="J3579" t="s">
        <v>482</v>
      </c>
      <c r="L3579" t="s">
        <v>1147</v>
      </c>
      <c r="M3579" t="s">
        <v>5151</v>
      </c>
      <c r="N3579" t="s">
        <v>5151</v>
      </c>
      <c r="O3579" t="s">
        <v>73</v>
      </c>
      <c r="P3579" t="s">
        <v>81</v>
      </c>
      <c r="Q3579" t="s">
        <v>82</v>
      </c>
      <c r="R3579" t="s">
        <v>1016</v>
      </c>
    </row>
    <row r="3580" spans="1:18" x14ac:dyDescent="0.25">
      <c r="A3580" t="s">
        <v>21277</v>
      </c>
      <c r="B3580" t="s">
        <v>5173</v>
      </c>
      <c r="C3580" t="str">
        <f>HYPERLINK("https://nematode.unl.edu/eucol6.jpg")</f>
        <v>https://nematode.unl.edu/eucol6.jpg</v>
      </c>
      <c r="D3580" t="s">
        <v>77</v>
      </c>
      <c r="G3580" t="s">
        <v>112</v>
      </c>
      <c r="I3580" t="s">
        <v>19</v>
      </c>
      <c r="J3580" t="s">
        <v>440</v>
      </c>
      <c r="M3580" t="s">
        <v>5151</v>
      </c>
      <c r="N3580" t="s">
        <v>5151</v>
      </c>
      <c r="O3580" t="s">
        <v>73</v>
      </c>
      <c r="P3580" t="s">
        <v>81</v>
      </c>
      <c r="Q3580" t="s">
        <v>82</v>
      </c>
      <c r="R3580" t="s">
        <v>1016</v>
      </c>
    </row>
    <row r="3581" spans="1:18" x14ac:dyDescent="0.25">
      <c r="A3581" t="s">
        <v>21268</v>
      </c>
      <c r="B3581" t="s">
        <v>5174</v>
      </c>
      <c r="C3581" t="str">
        <f>HYPERLINK("https://nematode.unl.edu/eucol7.jpg")</f>
        <v>https://nematode.unl.edu/eucol7.jpg</v>
      </c>
      <c r="D3581" t="s">
        <v>77</v>
      </c>
      <c r="G3581" t="s">
        <v>34</v>
      </c>
      <c r="H3581" t="s">
        <v>18</v>
      </c>
      <c r="I3581" t="s">
        <v>19</v>
      </c>
      <c r="J3581" t="s">
        <v>440</v>
      </c>
      <c r="M3581" t="s">
        <v>5151</v>
      </c>
      <c r="N3581" t="s">
        <v>5151</v>
      </c>
      <c r="O3581" t="s">
        <v>73</v>
      </c>
      <c r="P3581" t="s">
        <v>81</v>
      </c>
      <c r="Q3581" t="s">
        <v>82</v>
      </c>
      <c r="R3581" t="s">
        <v>1016</v>
      </c>
    </row>
    <row r="3582" spans="1:18" x14ac:dyDescent="0.25">
      <c r="A3582" t="s">
        <v>21269</v>
      </c>
      <c r="B3582" t="s">
        <v>5175</v>
      </c>
      <c r="C3582" t="str">
        <f>HYPERLINK("https://nematode.unl.edu/eucol8.jpg")</f>
        <v>https://nematode.unl.edu/eucol8.jpg</v>
      </c>
      <c r="D3582" t="s">
        <v>77</v>
      </c>
      <c r="G3582" t="s">
        <v>34</v>
      </c>
      <c r="H3582" t="s">
        <v>18</v>
      </c>
      <c r="I3582" t="s">
        <v>137</v>
      </c>
      <c r="J3582" t="s">
        <v>440</v>
      </c>
      <c r="M3582" t="s">
        <v>5151</v>
      </c>
      <c r="N3582" t="s">
        <v>5151</v>
      </c>
      <c r="O3582" t="s">
        <v>73</v>
      </c>
      <c r="P3582" t="s">
        <v>81</v>
      </c>
      <c r="Q3582" t="s">
        <v>82</v>
      </c>
      <c r="R3582" t="s">
        <v>1016</v>
      </c>
    </row>
    <row r="3583" spans="1:18" x14ac:dyDescent="0.25">
      <c r="A3583" t="s">
        <v>21271</v>
      </c>
      <c r="B3583" t="s">
        <v>5176</v>
      </c>
      <c r="C3583" t="str">
        <f>HYPERLINK("https://nematode.unl.edu/eucol9.jpg")</f>
        <v>https://nematode.unl.edu/eucol9.jpg</v>
      </c>
      <c r="D3583" t="s">
        <v>77</v>
      </c>
      <c r="G3583" t="s">
        <v>87</v>
      </c>
      <c r="I3583" t="s">
        <v>19</v>
      </c>
      <c r="J3583" t="s">
        <v>440</v>
      </c>
      <c r="M3583" t="s">
        <v>5151</v>
      </c>
      <c r="N3583" t="s">
        <v>5151</v>
      </c>
      <c r="O3583" t="s">
        <v>73</v>
      </c>
      <c r="P3583" t="s">
        <v>81</v>
      </c>
      <c r="Q3583" t="s">
        <v>82</v>
      </c>
      <c r="R3583" t="s">
        <v>1016</v>
      </c>
    </row>
    <row r="3584" spans="1:18" x14ac:dyDescent="0.25">
      <c r="A3584" t="s">
        <v>21309</v>
      </c>
      <c r="B3584" t="s">
        <v>5191</v>
      </c>
      <c r="C3584" t="str">
        <f>HYPERLINK("https://nematode.unl.edu/eucon1.jpg")</f>
        <v>https://nematode.unl.edu/eucon1.jpg</v>
      </c>
      <c r="D3584" t="s">
        <v>43</v>
      </c>
      <c r="G3584" t="s">
        <v>44</v>
      </c>
      <c r="I3584" t="s">
        <v>45</v>
      </c>
      <c r="J3584" t="s">
        <v>20</v>
      </c>
      <c r="L3584" t="s">
        <v>64</v>
      </c>
      <c r="M3584" t="s">
        <v>5192</v>
      </c>
      <c r="N3584" t="s">
        <v>5192</v>
      </c>
      <c r="O3584" t="s">
        <v>73</v>
      </c>
      <c r="P3584" t="s">
        <v>81</v>
      </c>
      <c r="Q3584" t="s">
        <v>82</v>
      </c>
      <c r="R3584" t="s">
        <v>1016</v>
      </c>
    </row>
    <row r="3585" spans="1:18" x14ac:dyDescent="0.25">
      <c r="A3585" t="s">
        <v>21312</v>
      </c>
      <c r="B3585" t="s">
        <v>5193</v>
      </c>
      <c r="C3585" t="str">
        <f>HYPERLINK("https://nematode.unl.edu/eucon10.jpg")</f>
        <v>https://nematode.unl.edu/eucon10.jpg</v>
      </c>
      <c r="D3585" t="s">
        <v>16</v>
      </c>
      <c r="G3585" t="s">
        <v>28</v>
      </c>
      <c r="I3585" t="s">
        <v>19</v>
      </c>
      <c r="J3585" t="s">
        <v>20</v>
      </c>
      <c r="L3585" t="s">
        <v>64</v>
      </c>
      <c r="M3585" t="s">
        <v>5192</v>
      </c>
      <c r="N3585" t="s">
        <v>5192</v>
      </c>
      <c r="O3585" t="s">
        <v>73</v>
      </c>
      <c r="P3585" t="s">
        <v>81</v>
      </c>
      <c r="Q3585" t="s">
        <v>82</v>
      </c>
      <c r="R3585" t="s">
        <v>1016</v>
      </c>
    </row>
    <row r="3586" spans="1:18" x14ac:dyDescent="0.25">
      <c r="A3586" t="s">
        <v>21300</v>
      </c>
      <c r="B3586" t="s">
        <v>5194</v>
      </c>
      <c r="C3586" t="str">
        <f>HYPERLINK("https://nematode.unl.edu/eucon11.jpg")</f>
        <v>https://nematode.unl.edu/eucon11.jpg</v>
      </c>
      <c r="D3586" t="s">
        <v>16</v>
      </c>
      <c r="G3586" t="s">
        <v>34</v>
      </c>
      <c r="H3586" t="s">
        <v>18</v>
      </c>
      <c r="I3586" t="s">
        <v>19</v>
      </c>
      <c r="J3586" t="s">
        <v>20</v>
      </c>
      <c r="L3586" t="s">
        <v>193</v>
      </c>
      <c r="M3586" t="s">
        <v>5192</v>
      </c>
      <c r="N3586" t="s">
        <v>5192</v>
      </c>
      <c r="O3586" t="s">
        <v>73</v>
      </c>
      <c r="P3586" t="s">
        <v>81</v>
      </c>
      <c r="Q3586" t="s">
        <v>82</v>
      </c>
      <c r="R3586" t="s">
        <v>1016</v>
      </c>
    </row>
    <row r="3587" spans="1:18" x14ac:dyDescent="0.25">
      <c r="A3587" t="s">
        <v>21313</v>
      </c>
      <c r="B3587" t="s">
        <v>5195</v>
      </c>
      <c r="C3587" t="str">
        <f>HYPERLINK("https://nematode.unl.edu/eucon12.jpg")</f>
        <v>https://nematode.unl.edu/eucon12.jpg</v>
      </c>
      <c r="D3587" t="s">
        <v>16</v>
      </c>
      <c r="G3587" t="s">
        <v>28</v>
      </c>
      <c r="J3587" t="s">
        <v>20</v>
      </c>
      <c r="L3587" t="s">
        <v>141</v>
      </c>
      <c r="M3587" t="s">
        <v>5192</v>
      </c>
      <c r="N3587" t="s">
        <v>5192</v>
      </c>
      <c r="O3587" t="s">
        <v>73</v>
      </c>
      <c r="P3587" t="s">
        <v>81</v>
      </c>
      <c r="Q3587" t="s">
        <v>82</v>
      </c>
      <c r="R3587" t="s">
        <v>1016</v>
      </c>
    </row>
    <row r="3588" spans="1:18" x14ac:dyDescent="0.25">
      <c r="A3588" t="s">
        <v>21301</v>
      </c>
      <c r="B3588" t="s">
        <v>5196</v>
      </c>
      <c r="C3588" t="str">
        <f>HYPERLINK("https://nematode.unl.edu/eucon2.jpg")</f>
        <v>https://nematode.unl.edu/eucon2.jpg</v>
      </c>
      <c r="D3588" t="s">
        <v>77</v>
      </c>
      <c r="G3588" t="s">
        <v>34</v>
      </c>
      <c r="H3588" t="s">
        <v>18</v>
      </c>
      <c r="J3588" t="s">
        <v>20</v>
      </c>
      <c r="L3588" t="s">
        <v>64</v>
      </c>
      <c r="M3588" t="s">
        <v>5192</v>
      </c>
      <c r="N3588" t="s">
        <v>5192</v>
      </c>
      <c r="O3588" t="s">
        <v>73</v>
      </c>
      <c r="P3588" t="s">
        <v>81</v>
      </c>
      <c r="Q3588" t="s">
        <v>82</v>
      </c>
      <c r="R3588" t="s">
        <v>1016</v>
      </c>
    </row>
    <row r="3589" spans="1:18" x14ac:dyDescent="0.25">
      <c r="A3589" t="s">
        <v>21306</v>
      </c>
      <c r="B3589" t="s">
        <v>5197</v>
      </c>
      <c r="C3589" t="str">
        <f>HYPERLINK("https://nematode.unl.edu/eucon3.jpg")</f>
        <v>https://nematode.unl.edu/eucon3.jpg</v>
      </c>
      <c r="D3589" t="s">
        <v>43</v>
      </c>
      <c r="G3589" t="s">
        <v>87</v>
      </c>
      <c r="J3589" t="s">
        <v>20</v>
      </c>
      <c r="L3589" t="s">
        <v>64</v>
      </c>
      <c r="M3589" t="s">
        <v>5192</v>
      </c>
      <c r="N3589" t="s">
        <v>5192</v>
      </c>
      <c r="O3589" t="s">
        <v>73</v>
      </c>
      <c r="P3589" t="s">
        <v>81</v>
      </c>
      <c r="Q3589" t="s">
        <v>82</v>
      </c>
      <c r="R3589" t="s">
        <v>1016</v>
      </c>
    </row>
    <row r="3590" spans="1:18" x14ac:dyDescent="0.25">
      <c r="A3590" t="s">
        <v>21318</v>
      </c>
      <c r="B3590" t="s">
        <v>5198</v>
      </c>
      <c r="C3590" t="str">
        <f>HYPERLINK("https://nematode.unl.edu/eucon4.jpg")</f>
        <v>https://nematode.unl.edu/eucon4.jpg</v>
      </c>
      <c r="D3590" t="s">
        <v>43</v>
      </c>
      <c r="G3590" t="s">
        <v>51</v>
      </c>
      <c r="J3590" t="s">
        <v>20</v>
      </c>
      <c r="L3590" t="s">
        <v>64</v>
      </c>
      <c r="M3590" t="s">
        <v>5192</v>
      </c>
      <c r="N3590" t="s">
        <v>5192</v>
      </c>
      <c r="O3590" t="s">
        <v>73</v>
      </c>
      <c r="P3590" t="s">
        <v>81</v>
      </c>
      <c r="Q3590" t="s">
        <v>82</v>
      </c>
      <c r="R3590" t="s">
        <v>1016</v>
      </c>
    </row>
    <row r="3591" spans="1:18" x14ac:dyDescent="0.25">
      <c r="A3591" t="s">
        <v>21314</v>
      </c>
      <c r="B3591" t="s">
        <v>5199</v>
      </c>
      <c r="C3591" t="str">
        <f>HYPERLINK("https://nematode.unl.edu/eucon5.jpg")</f>
        <v>https://nematode.unl.edu/eucon5.jpg</v>
      </c>
      <c r="D3591" t="s">
        <v>77</v>
      </c>
      <c r="G3591" t="s">
        <v>28</v>
      </c>
      <c r="J3591" t="s">
        <v>20</v>
      </c>
      <c r="L3591" t="s">
        <v>64</v>
      </c>
      <c r="M3591" t="s">
        <v>5192</v>
      </c>
      <c r="N3591" t="s">
        <v>5192</v>
      </c>
      <c r="O3591" t="s">
        <v>73</v>
      </c>
      <c r="P3591" t="s">
        <v>81</v>
      </c>
      <c r="Q3591" t="s">
        <v>82</v>
      </c>
      <c r="R3591" t="s">
        <v>1016</v>
      </c>
    </row>
    <row r="3592" spans="1:18" x14ac:dyDescent="0.25">
      <c r="A3592" t="s">
        <v>21310</v>
      </c>
      <c r="B3592" t="s">
        <v>5200</v>
      </c>
      <c r="C3592" t="str">
        <f>HYPERLINK("https://nematode.unl.edu/eucon6.jpg")</f>
        <v>https://nematode.unl.edu/eucon6.jpg</v>
      </c>
      <c r="D3592" t="s">
        <v>16</v>
      </c>
      <c r="G3592" t="s">
        <v>44</v>
      </c>
      <c r="I3592" t="s">
        <v>45</v>
      </c>
      <c r="J3592" t="s">
        <v>20</v>
      </c>
      <c r="L3592" t="s">
        <v>456</v>
      </c>
      <c r="M3592" t="s">
        <v>5192</v>
      </c>
      <c r="N3592" t="s">
        <v>5192</v>
      </c>
      <c r="O3592" t="s">
        <v>73</v>
      </c>
      <c r="P3592" t="s">
        <v>81</v>
      </c>
      <c r="Q3592" t="s">
        <v>82</v>
      </c>
      <c r="R3592" t="s">
        <v>1016</v>
      </c>
    </row>
    <row r="3593" spans="1:18" x14ac:dyDescent="0.25">
      <c r="A3593" t="s">
        <v>21302</v>
      </c>
      <c r="B3593" t="s">
        <v>5201</v>
      </c>
      <c r="C3593" t="str">
        <f>HYPERLINK("https://nematode.unl.edu/eucon7.jpg")</f>
        <v>https://nematode.unl.edu/eucon7.jpg</v>
      </c>
      <c r="D3593" t="s">
        <v>16</v>
      </c>
      <c r="G3593" t="s">
        <v>34</v>
      </c>
      <c r="H3593" t="s">
        <v>18</v>
      </c>
      <c r="J3593" t="s">
        <v>20</v>
      </c>
      <c r="L3593" t="s">
        <v>64</v>
      </c>
      <c r="M3593" t="s">
        <v>5192</v>
      </c>
      <c r="N3593" t="s">
        <v>5192</v>
      </c>
      <c r="O3593" t="s">
        <v>73</v>
      </c>
      <c r="P3593" t="s">
        <v>81</v>
      </c>
      <c r="Q3593" t="s">
        <v>82</v>
      </c>
      <c r="R3593" t="s">
        <v>1016</v>
      </c>
    </row>
    <row r="3594" spans="1:18" x14ac:dyDescent="0.25">
      <c r="A3594" t="s">
        <v>21315</v>
      </c>
      <c r="B3594" t="s">
        <v>5202</v>
      </c>
      <c r="C3594" t="str">
        <f>HYPERLINK("https://nematode.unl.edu/eucon8.jpg")</f>
        <v>https://nematode.unl.edu/eucon8.jpg</v>
      </c>
      <c r="D3594" t="s">
        <v>16</v>
      </c>
      <c r="G3594" t="s">
        <v>28</v>
      </c>
      <c r="I3594" t="s">
        <v>19</v>
      </c>
      <c r="J3594" t="s">
        <v>20</v>
      </c>
      <c r="L3594" t="s">
        <v>456</v>
      </c>
      <c r="M3594" t="s">
        <v>5192</v>
      </c>
      <c r="N3594" t="s">
        <v>5192</v>
      </c>
      <c r="O3594" t="s">
        <v>73</v>
      </c>
      <c r="P3594" t="s">
        <v>81</v>
      </c>
      <c r="Q3594" t="s">
        <v>82</v>
      </c>
      <c r="R3594" t="s">
        <v>1016</v>
      </c>
    </row>
    <row r="3595" spans="1:18" x14ac:dyDescent="0.25">
      <c r="A3595" t="s">
        <v>21303</v>
      </c>
      <c r="B3595" t="s">
        <v>5203</v>
      </c>
      <c r="C3595" t="str">
        <f>HYPERLINK("https://nematode.unl.edu/eucon9.jpg")</f>
        <v>https://nematode.unl.edu/eucon9.jpg</v>
      </c>
      <c r="D3595" t="s">
        <v>16</v>
      </c>
      <c r="G3595" t="s">
        <v>34</v>
      </c>
      <c r="H3595" t="s">
        <v>18</v>
      </c>
      <c r="I3595" t="s">
        <v>19</v>
      </c>
      <c r="J3595" t="s">
        <v>20</v>
      </c>
      <c r="L3595" t="s">
        <v>64</v>
      </c>
      <c r="M3595" t="s">
        <v>5192</v>
      </c>
      <c r="N3595" t="s">
        <v>5192</v>
      </c>
      <c r="O3595" t="s">
        <v>73</v>
      </c>
      <c r="P3595" t="s">
        <v>81</v>
      </c>
      <c r="Q3595" t="s">
        <v>82</v>
      </c>
      <c r="R3595" t="s">
        <v>1016</v>
      </c>
    </row>
    <row r="3596" spans="1:18" x14ac:dyDescent="0.25">
      <c r="A3596" t="s">
        <v>21294</v>
      </c>
      <c r="B3596" t="s">
        <v>5177</v>
      </c>
      <c r="C3596" t="str">
        <f>HYPERLINK("https://nematode.unl.edu/euconf1.jpg")</f>
        <v>https://nematode.unl.edu/euconf1.jpg</v>
      </c>
      <c r="D3596" t="s">
        <v>43</v>
      </c>
      <c r="G3596" t="s">
        <v>44</v>
      </c>
      <c r="I3596" t="s">
        <v>45</v>
      </c>
      <c r="J3596" t="s">
        <v>267</v>
      </c>
      <c r="M3596" t="s">
        <v>5178</v>
      </c>
      <c r="N3596" t="s">
        <v>5178</v>
      </c>
      <c r="O3596" t="s">
        <v>73</v>
      </c>
      <c r="P3596" t="s">
        <v>81</v>
      </c>
      <c r="Q3596" t="s">
        <v>82</v>
      </c>
      <c r="R3596" t="s">
        <v>1016</v>
      </c>
    </row>
    <row r="3597" spans="1:18" x14ac:dyDescent="0.25">
      <c r="A3597" t="s">
        <v>21288</v>
      </c>
      <c r="B3597" t="s">
        <v>5179</v>
      </c>
      <c r="C3597" t="str">
        <f>HYPERLINK("https://nematode.unl.edu/euconf2.jpg")</f>
        <v>https://nematode.unl.edu/euconf2.jpg</v>
      </c>
      <c r="D3597" t="s">
        <v>43</v>
      </c>
      <c r="G3597" t="s">
        <v>34</v>
      </c>
      <c r="H3597" t="s">
        <v>18</v>
      </c>
      <c r="J3597" t="s">
        <v>267</v>
      </c>
      <c r="M3597" t="s">
        <v>5178</v>
      </c>
      <c r="N3597" t="s">
        <v>5178</v>
      </c>
      <c r="O3597" t="s">
        <v>73</v>
      </c>
      <c r="P3597" t="s">
        <v>81</v>
      </c>
      <c r="Q3597" t="s">
        <v>82</v>
      </c>
      <c r="R3597" t="s">
        <v>1016</v>
      </c>
    </row>
    <row r="3598" spans="1:18" x14ac:dyDescent="0.25">
      <c r="A3598" t="s">
        <v>21293</v>
      </c>
      <c r="B3598" t="s">
        <v>5180</v>
      </c>
      <c r="C3598" t="str">
        <f>HYPERLINK("https://nematode.unl.edu/euconf3.jpg")</f>
        <v>https://nematode.unl.edu/euconf3.jpg</v>
      </c>
      <c r="D3598" t="s">
        <v>43</v>
      </c>
      <c r="G3598" t="s">
        <v>87</v>
      </c>
      <c r="I3598" t="s">
        <v>516</v>
      </c>
      <c r="J3598" t="s">
        <v>267</v>
      </c>
      <c r="M3598" t="s">
        <v>5178</v>
      </c>
      <c r="N3598" t="s">
        <v>5178</v>
      </c>
      <c r="O3598" t="s">
        <v>73</v>
      </c>
      <c r="P3598" t="s">
        <v>81</v>
      </c>
      <c r="Q3598" t="s">
        <v>82</v>
      </c>
      <c r="R3598" t="s">
        <v>1016</v>
      </c>
    </row>
    <row r="3599" spans="1:18" x14ac:dyDescent="0.25">
      <c r="A3599" t="s">
        <v>21299</v>
      </c>
      <c r="B3599" t="s">
        <v>5181</v>
      </c>
      <c r="C3599" t="str">
        <f>HYPERLINK("https://nematode.unl.edu/euconf4.jpg")</f>
        <v>https://nematode.unl.edu/euconf4.jpg</v>
      </c>
      <c r="D3599" t="s">
        <v>43</v>
      </c>
      <c r="G3599" t="s">
        <v>51</v>
      </c>
      <c r="I3599" t="s">
        <v>19</v>
      </c>
      <c r="J3599" t="s">
        <v>267</v>
      </c>
      <c r="M3599" t="s">
        <v>5178</v>
      </c>
      <c r="N3599" t="s">
        <v>5178</v>
      </c>
      <c r="O3599" t="s">
        <v>73</v>
      </c>
      <c r="P3599" t="s">
        <v>81</v>
      </c>
      <c r="Q3599" t="s">
        <v>82</v>
      </c>
      <c r="R3599" t="s">
        <v>1016</v>
      </c>
    </row>
    <row r="3600" spans="1:18" x14ac:dyDescent="0.25">
      <c r="A3600" t="s">
        <v>21296</v>
      </c>
      <c r="B3600" t="s">
        <v>5182</v>
      </c>
      <c r="C3600" t="str">
        <f>HYPERLINK("https://nematode.unl.edu/euconf5.jpg")</f>
        <v>https://nematode.unl.edu/euconf5.jpg</v>
      </c>
      <c r="D3600" t="s">
        <v>43</v>
      </c>
      <c r="G3600" t="s">
        <v>28</v>
      </c>
      <c r="J3600" t="s">
        <v>267</v>
      </c>
      <c r="M3600" t="s">
        <v>5178</v>
      </c>
      <c r="N3600" t="s">
        <v>5178</v>
      </c>
      <c r="O3600" t="s">
        <v>73</v>
      </c>
      <c r="P3600" t="s">
        <v>81</v>
      </c>
      <c r="Q3600" t="s">
        <v>82</v>
      </c>
      <c r="R3600" t="s">
        <v>1016</v>
      </c>
    </row>
    <row r="3601" spans="1:18" x14ac:dyDescent="0.25">
      <c r="A3601" t="s">
        <v>21289</v>
      </c>
      <c r="B3601" t="s">
        <v>5183</v>
      </c>
      <c r="C3601" t="str">
        <f>HYPERLINK("https://nematode.unl.edu/euconf6.jpg")</f>
        <v>https://nematode.unl.edu/euconf6.jpg</v>
      </c>
      <c r="D3601" t="s">
        <v>43</v>
      </c>
      <c r="G3601" t="s">
        <v>34</v>
      </c>
      <c r="H3601" t="s">
        <v>18</v>
      </c>
      <c r="I3601" t="s">
        <v>41</v>
      </c>
      <c r="J3601" t="s">
        <v>267</v>
      </c>
      <c r="M3601" t="s">
        <v>5178</v>
      </c>
      <c r="N3601" t="s">
        <v>5178</v>
      </c>
      <c r="O3601" t="s">
        <v>73</v>
      </c>
      <c r="P3601" t="s">
        <v>81</v>
      </c>
      <c r="Q3601" t="s">
        <v>82</v>
      </c>
      <c r="R3601" t="s">
        <v>1016</v>
      </c>
    </row>
    <row r="3602" spans="1:18" x14ac:dyDescent="0.25">
      <c r="A3602" t="s">
        <v>21290</v>
      </c>
      <c r="B3602" t="s">
        <v>5184</v>
      </c>
      <c r="C3602" t="str">
        <f>HYPERLINK("https://nematode.unl.edu/euconf7.jpg")</f>
        <v>https://nematode.unl.edu/euconf7.jpg</v>
      </c>
      <c r="D3602" t="s">
        <v>16</v>
      </c>
      <c r="G3602" t="s">
        <v>34</v>
      </c>
      <c r="H3602" t="s">
        <v>18</v>
      </c>
      <c r="I3602" t="s">
        <v>19</v>
      </c>
      <c r="J3602" t="s">
        <v>267</v>
      </c>
      <c r="M3602" t="s">
        <v>5178</v>
      </c>
      <c r="N3602" t="s">
        <v>5178</v>
      </c>
      <c r="O3602" t="s">
        <v>73</v>
      </c>
      <c r="P3602" t="s">
        <v>81</v>
      </c>
      <c r="Q3602" t="s">
        <v>82</v>
      </c>
      <c r="R3602" t="s">
        <v>1016</v>
      </c>
    </row>
    <row r="3603" spans="1:18" x14ac:dyDescent="0.25">
      <c r="A3603" t="s">
        <v>21297</v>
      </c>
      <c r="B3603" t="s">
        <v>5185</v>
      </c>
      <c r="C3603" t="str">
        <f>HYPERLINK("https://nematode.unl.edu/euconf8.jpg")</f>
        <v>https://nematode.unl.edu/euconf8.jpg</v>
      </c>
      <c r="D3603" t="s">
        <v>16</v>
      </c>
      <c r="G3603" t="s">
        <v>28</v>
      </c>
      <c r="I3603" t="s">
        <v>19</v>
      </c>
      <c r="J3603" t="s">
        <v>267</v>
      </c>
      <c r="M3603" t="s">
        <v>5178</v>
      </c>
      <c r="N3603" t="s">
        <v>5178</v>
      </c>
      <c r="O3603" t="s">
        <v>73</v>
      </c>
      <c r="P3603" t="s">
        <v>81</v>
      </c>
      <c r="Q3603" t="s">
        <v>82</v>
      </c>
      <c r="R3603" t="s">
        <v>1016</v>
      </c>
    </row>
    <row r="3604" spans="1:18" x14ac:dyDescent="0.25">
      <c r="A3604" t="s">
        <v>21291</v>
      </c>
      <c r="B3604" t="s">
        <v>5186</v>
      </c>
      <c r="C3604" t="str">
        <f>HYPERLINK("https://nematode.unl.edu/euconf9.jpg")</f>
        <v>https://nematode.unl.edu/euconf9.jpg</v>
      </c>
      <c r="D3604" t="s">
        <v>16</v>
      </c>
      <c r="G3604" t="s">
        <v>34</v>
      </c>
      <c r="H3604" t="s">
        <v>18</v>
      </c>
      <c r="I3604" t="s">
        <v>41</v>
      </c>
      <c r="J3604" t="s">
        <v>267</v>
      </c>
      <c r="M3604" t="s">
        <v>5178</v>
      </c>
      <c r="N3604" t="s">
        <v>5178</v>
      </c>
      <c r="O3604" t="s">
        <v>73</v>
      </c>
      <c r="P3604" t="s">
        <v>81</v>
      </c>
      <c r="Q3604" t="s">
        <v>82</v>
      </c>
      <c r="R3604" t="s">
        <v>1016</v>
      </c>
    </row>
    <row r="3605" spans="1:18" x14ac:dyDescent="0.25">
      <c r="A3605" t="s">
        <v>21292</v>
      </c>
      <c r="B3605" t="s">
        <v>5187</v>
      </c>
      <c r="C3605" t="str">
        <f>HYPERLINK("https://nematode.unl.edu/eucuti1.jpg")</f>
        <v>https://nematode.unl.edu/eucuti1.jpg</v>
      </c>
      <c r="D3605" t="s">
        <v>77</v>
      </c>
      <c r="G3605" t="s">
        <v>34</v>
      </c>
      <c r="H3605" t="s">
        <v>18</v>
      </c>
      <c r="I3605" t="s">
        <v>19</v>
      </c>
      <c r="J3605" t="s">
        <v>127</v>
      </c>
      <c r="L3605" t="s">
        <v>131</v>
      </c>
      <c r="M3605" t="s">
        <v>5178</v>
      </c>
      <c r="N3605" t="s">
        <v>5178</v>
      </c>
      <c r="O3605" t="s">
        <v>73</v>
      </c>
      <c r="P3605" t="s">
        <v>81</v>
      </c>
      <c r="Q3605" t="s">
        <v>82</v>
      </c>
      <c r="R3605" t="s">
        <v>1016</v>
      </c>
    </row>
    <row r="3606" spans="1:18" x14ac:dyDescent="0.25">
      <c r="A3606" t="s">
        <v>21287</v>
      </c>
      <c r="B3606" t="s">
        <v>5188</v>
      </c>
      <c r="C3606" t="str">
        <f>HYPERLINK("https://nematode.unl.edu/eucuti2.jpg")</f>
        <v>https://nematode.unl.edu/eucuti2.jpg</v>
      </c>
      <c r="D3606" t="s">
        <v>77</v>
      </c>
      <c r="G3606" t="s">
        <v>17</v>
      </c>
      <c r="H3606" t="s">
        <v>18</v>
      </c>
      <c r="I3606" t="s">
        <v>19</v>
      </c>
      <c r="J3606" t="s">
        <v>127</v>
      </c>
      <c r="M3606" t="s">
        <v>5178</v>
      </c>
      <c r="N3606" t="s">
        <v>5178</v>
      </c>
      <c r="O3606" t="s">
        <v>73</v>
      </c>
      <c r="P3606" t="s">
        <v>81</v>
      </c>
      <c r="Q3606" t="s">
        <v>82</v>
      </c>
      <c r="R3606" t="s">
        <v>1016</v>
      </c>
    </row>
    <row r="3607" spans="1:18" x14ac:dyDescent="0.25">
      <c r="A3607" t="s">
        <v>21298</v>
      </c>
      <c r="B3607" t="s">
        <v>5189</v>
      </c>
      <c r="C3607" t="str">
        <f>HYPERLINK("https://nematode.unl.edu/eucuti3.jpg")</f>
        <v>https://nematode.unl.edu/eucuti3.jpg</v>
      </c>
      <c r="D3607" t="s">
        <v>77</v>
      </c>
      <c r="G3607" t="s">
        <v>2113</v>
      </c>
      <c r="I3607" t="s">
        <v>19</v>
      </c>
      <c r="J3607" t="s">
        <v>127</v>
      </c>
      <c r="L3607" t="s">
        <v>128</v>
      </c>
      <c r="M3607" t="s">
        <v>5178</v>
      </c>
      <c r="N3607" t="s">
        <v>5178</v>
      </c>
      <c r="O3607" t="s">
        <v>73</v>
      </c>
      <c r="P3607" t="s">
        <v>81</v>
      </c>
      <c r="Q3607" t="s">
        <v>82</v>
      </c>
      <c r="R3607" t="s">
        <v>1016</v>
      </c>
    </row>
    <row r="3608" spans="1:18" x14ac:dyDescent="0.25">
      <c r="A3608" t="s">
        <v>21295</v>
      </c>
      <c r="B3608" t="s">
        <v>5190</v>
      </c>
      <c r="C3608" t="str">
        <f>HYPERLINK("https://nematode.unl.edu/eucuti4.jpg")</f>
        <v>https://nematode.unl.edu/eucuti4.jpg</v>
      </c>
      <c r="D3608" t="s">
        <v>77</v>
      </c>
      <c r="G3608" t="s">
        <v>230</v>
      </c>
      <c r="I3608" t="s">
        <v>19</v>
      </c>
      <c r="J3608" t="s">
        <v>127</v>
      </c>
      <c r="L3608" t="s">
        <v>128</v>
      </c>
      <c r="M3608" t="s">
        <v>5178</v>
      </c>
      <c r="N3608" t="s">
        <v>5178</v>
      </c>
      <c r="O3608" t="s">
        <v>73</v>
      </c>
      <c r="P3608" t="s">
        <v>81</v>
      </c>
      <c r="Q3608" t="s">
        <v>82</v>
      </c>
      <c r="R3608" t="s">
        <v>1016</v>
      </c>
    </row>
    <row r="3609" spans="1:18" x14ac:dyDescent="0.25">
      <c r="A3609" t="s">
        <v>21177</v>
      </c>
      <c r="B3609" t="s">
        <v>5045</v>
      </c>
      <c r="C3609" t="str">
        <f>HYPERLINK("https://nematode.unl.edu/eudal1.jpg")</f>
        <v>https://nematode.unl.edu/eudal1.jpg</v>
      </c>
      <c r="D3609" t="s">
        <v>43</v>
      </c>
      <c r="G3609" t="s">
        <v>44</v>
      </c>
      <c r="I3609" t="s">
        <v>91</v>
      </c>
      <c r="J3609" t="s">
        <v>482</v>
      </c>
      <c r="L3609" t="s">
        <v>5046</v>
      </c>
      <c r="M3609" t="s">
        <v>5047</v>
      </c>
      <c r="N3609" t="s">
        <v>5047</v>
      </c>
      <c r="O3609" t="s">
        <v>73</v>
      </c>
      <c r="P3609" t="s">
        <v>81</v>
      </c>
      <c r="Q3609" t="s">
        <v>82</v>
      </c>
      <c r="R3609" t="s">
        <v>1016</v>
      </c>
    </row>
    <row r="3610" spans="1:18" x14ac:dyDescent="0.25">
      <c r="A3610" t="s">
        <v>21168</v>
      </c>
      <c r="B3610" t="s">
        <v>5048</v>
      </c>
      <c r="C3610" t="str">
        <f>HYPERLINK("https://nematode.unl.edu/eudal10.jpg")</f>
        <v>https://nematode.unl.edu/eudal10.jpg</v>
      </c>
      <c r="D3610" t="s">
        <v>43</v>
      </c>
      <c r="G3610" t="s">
        <v>34</v>
      </c>
      <c r="H3610" t="s">
        <v>18</v>
      </c>
      <c r="J3610" t="s">
        <v>440</v>
      </c>
      <c r="M3610" t="s">
        <v>5047</v>
      </c>
      <c r="N3610" t="s">
        <v>5047</v>
      </c>
      <c r="O3610" t="s">
        <v>73</v>
      </c>
      <c r="P3610" t="s">
        <v>81</v>
      </c>
      <c r="Q3610" t="s">
        <v>82</v>
      </c>
      <c r="R3610" t="s">
        <v>1016</v>
      </c>
    </row>
    <row r="3611" spans="1:18" x14ac:dyDescent="0.25">
      <c r="A3611" t="s">
        <v>21184</v>
      </c>
      <c r="B3611" t="s">
        <v>5049</v>
      </c>
      <c r="C3611" t="str">
        <f>HYPERLINK("https://nematode.unl.edu/eudal11.jpg")</f>
        <v>https://nematode.unl.edu/eudal11.jpg</v>
      </c>
      <c r="D3611" t="s">
        <v>43</v>
      </c>
      <c r="G3611" t="s">
        <v>51</v>
      </c>
      <c r="I3611" t="s">
        <v>516</v>
      </c>
      <c r="J3611" t="s">
        <v>482</v>
      </c>
      <c r="L3611" t="s">
        <v>1147</v>
      </c>
      <c r="M3611" t="s">
        <v>5047</v>
      </c>
      <c r="N3611" t="s">
        <v>5047</v>
      </c>
      <c r="O3611" t="s">
        <v>73</v>
      </c>
      <c r="P3611" t="s">
        <v>81</v>
      </c>
      <c r="Q3611" t="s">
        <v>82</v>
      </c>
      <c r="R3611" t="s">
        <v>1016</v>
      </c>
    </row>
    <row r="3612" spans="1:18" x14ac:dyDescent="0.25">
      <c r="A3612" t="s">
        <v>21181</v>
      </c>
      <c r="B3612" t="s">
        <v>5050</v>
      </c>
      <c r="C3612" t="str">
        <f>HYPERLINK("https://nematode.unl.edu/eudal12.jpg")</f>
        <v>https://nematode.unl.edu/eudal12.jpg</v>
      </c>
      <c r="G3612" t="s">
        <v>28</v>
      </c>
      <c r="I3612" t="s">
        <v>19</v>
      </c>
      <c r="J3612" t="s">
        <v>482</v>
      </c>
      <c r="L3612" t="s">
        <v>1147</v>
      </c>
      <c r="M3612" t="s">
        <v>5047</v>
      </c>
      <c r="N3612" t="s">
        <v>5047</v>
      </c>
      <c r="O3612" t="s">
        <v>73</v>
      </c>
      <c r="P3612" t="s">
        <v>81</v>
      </c>
      <c r="Q3612" t="s">
        <v>82</v>
      </c>
      <c r="R3612" t="s">
        <v>1016</v>
      </c>
    </row>
    <row r="3613" spans="1:18" x14ac:dyDescent="0.25">
      <c r="A3613" t="s">
        <v>21169</v>
      </c>
      <c r="B3613" t="s">
        <v>5051</v>
      </c>
      <c r="C3613" t="str">
        <f>HYPERLINK("https://nematode.unl.edu/eudal13.jpg")</f>
        <v>https://nematode.unl.edu/eudal13.jpg</v>
      </c>
      <c r="D3613" t="s">
        <v>43</v>
      </c>
      <c r="G3613" t="s">
        <v>34</v>
      </c>
      <c r="H3613" t="s">
        <v>18</v>
      </c>
      <c r="I3613" t="s">
        <v>41</v>
      </c>
      <c r="M3613" t="s">
        <v>5047</v>
      </c>
      <c r="N3613" t="s">
        <v>5047</v>
      </c>
      <c r="O3613" t="s">
        <v>73</v>
      </c>
      <c r="P3613" t="s">
        <v>81</v>
      </c>
      <c r="Q3613" t="s">
        <v>82</v>
      </c>
      <c r="R3613" t="s">
        <v>1016</v>
      </c>
    </row>
    <row r="3614" spans="1:18" x14ac:dyDescent="0.25">
      <c r="A3614" t="s">
        <v>21180</v>
      </c>
      <c r="B3614" t="s">
        <v>5052</v>
      </c>
      <c r="C3614" t="str">
        <f>HYPERLINK("https://nematode.unl.edu/eudal14.jpg")</f>
        <v>https://nematode.unl.edu/eudal14.jpg</v>
      </c>
      <c r="D3614" t="s">
        <v>43</v>
      </c>
      <c r="G3614" t="s">
        <v>243</v>
      </c>
      <c r="I3614" t="s">
        <v>41</v>
      </c>
      <c r="J3614" t="s">
        <v>482</v>
      </c>
      <c r="L3614" t="s">
        <v>1147</v>
      </c>
      <c r="M3614" t="s">
        <v>5047</v>
      </c>
      <c r="N3614" t="s">
        <v>5047</v>
      </c>
      <c r="O3614" t="s">
        <v>73</v>
      </c>
      <c r="P3614" t="s">
        <v>81</v>
      </c>
      <c r="Q3614" t="s">
        <v>82</v>
      </c>
      <c r="R3614" t="s">
        <v>1016</v>
      </c>
    </row>
    <row r="3615" spans="1:18" x14ac:dyDescent="0.25">
      <c r="A3615" t="s">
        <v>21174</v>
      </c>
      <c r="B3615" t="s">
        <v>5053</v>
      </c>
      <c r="C3615" t="str">
        <f>HYPERLINK("https://nematode.unl.edu/eudal15.jpg")</f>
        <v>https://nematode.unl.edu/eudal15.jpg</v>
      </c>
      <c r="D3615" t="s">
        <v>43</v>
      </c>
      <c r="G3615" t="s">
        <v>257</v>
      </c>
      <c r="H3615" t="s">
        <v>18</v>
      </c>
      <c r="I3615" t="s">
        <v>41</v>
      </c>
      <c r="J3615" t="s">
        <v>482</v>
      </c>
      <c r="L3615" t="s">
        <v>1147</v>
      </c>
      <c r="M3615" t="s">
        <v>5047</v>
      </c>
      <c r="N3615" t="s">
        <v>5047</v>
      </c>
      <c r="O3615" t="s">
        <v>73</v>
      </c>
      <c r="P3615" t="s">
        <v>81</v>
      </c>
      <c r="Q3615" t="s">
        <v>82</v>
      </c>
      <c r="R3615" t="s">
        <v>1016</v>
      </c>
    </row>
    <row r="3616" spans="1:18" x14ac:dyDescent="0.25">
      <c r="A3616" t="s">
        <v>21170</v>
      </c>
      <c r="B3616" t="s">
        <v>5054</v>
      </c>
      <c r="C3616" t="str">
        <f>HYPERLINK("https://nematode.unl.edu/eudal2.jpg")</f>
        <v>https://nematode.unl.edu/eudal2.jpg</v>
      </c>
      <c r="D3616" t="s">
        <v>43</v>
      </c>
      <c r="G3616" t="s">
        <v>34</v>
      </c>
      <c r="H3616" t="s">
        <v>18</v>
      </c>
      <c r="M3616" t="s">
        <v>5047</v>
      </c>
      <c r="N3616" t="s">
        <v>5047</v>
      </c>
      <c r="O3616" t="s">
        <v>73</v>
      </c>
      <c r="P3616" t="s">
        <v>81</v>
      </c>
      <c r="Q3616" t="s">
        <v>82</v>
      </c>
      <c r="R3616" t="s">
        <v>1016</v>
      </c>
    </row>
    <row r="3617" spans="1:18" x14ac:dyDescent="0.25">
      <c r="A3617" t="s">
        <v>21175</v>
      </c>
      <c r="B3617" t="s">
        <v>5055</v>
      </c>
      <c r="C3617" t="str">
        <f>HYPERLINK("https://nematode.unl.edu/eudal3.jpg")</f>
        <v>https://nematode.unl.edu/eudal3.jpg</v>
      </c>
      <c r="D3617" t="s">
        <v>43</v>
      </c>
      <c r="G3617" t="s">
        <v>87</v>
      </c>
      <c r="J3617" t="s">
        <v>440</v>
      </c>
      <c r="M3617" t="s">
        <v>5047</v>
      </c>
      <c r="N3617" t="s">
        <v>5047</v>
      </c>
      <c r="O3617" t="s">
        <v>73</v>
      </c>
      <c r="P3617" t="s">
        <v>81</v>
      </c>
      <c r="Q3617" t="s">
        <v>82</v>
      </c>
      <c r="R3617" t="s">
        <v>1016</v>
      </c>
    </row>
    <row r="3618" spans="1:18" x14ac:dyDescent="0.25">
      <c r="A3618" t="s">
        <v>21185</v>
      </c>
      <c r="B3618" t="s">
        <v>5056</v>
      </c>
      <c r="C3618" t="str">
        <f>HYPERLINK("https://nematode.unl.edu/eudal4.jpg")</f>
        <v>https://nematode.unl.edu/eudal4.jpg</v>
      </c>
      <c r="D3618" t="s">
        <v>43</v>
      </c>
      <c r="G3618" t="s">
        <v>51</v>
      </c>
      <c r="J3618" t="s">
        <v>440</v>
      </c>
      <c r="M3618" t="s">
        <v>5047</v>
      </c>
      <c r="N3618" t="s">
        <v>5047</v>
      </c>
      <c r="O3618" t="s">
        <v>73</v>
      </c>
      <c r="P3618" t="s">
        <v>81</v>
      </c>
      <c r="Q3618" t="s">
        <v>82</v>
      </c>
      <c r="R3618" t="s">
        <v>1016</v>
      </c>
    </row>
    <row r="3619" spans="1:18" x14ac:dyDescent="0.25">
      <c r="A3619" t="s">
        <v>21182</v>
      </c>
      <c r="B3619" t="s">
        <v>5057</v>
      </c>
      <c r="C3619" t="str">
        <f>HYPERLINK("https://nematode.unl.edu/eudal5.jpg")</f>
        <v>https://nematode.unl.edu/eudal5.jpg</v>
      </c>
      <c r="D3619" t="s">
        <v>43</v>
      </c>
      <c r="G3619" t="s">
        <v>28</v>
      </c>
      <c r="I3619" t="s">
        <v>19</v>
      </c>
      <c r="M3619" t="s">
        <v>5047</v>
      </c>
      <c r="N3619" t="s">
        <v>5047</v>
      </c>
      <c r="O3619" t="s">
        <v>73</v>
      </c>
      <c r="P3619" t="s">
        <v>81</v>
      </c>
      <c r="Q3619" t="s">
        <v>82</v>
      </c>
      <c r="R3619" t="s">
        <v>1016</v>
      </c>
    </row>
    <row r="3620" spans="1:18" x14ac:dyDescent="0.25">
      <c r="A3620" t="s">
        <v>21183</v>
      </c>
      <c r="B3620" t="s">
        <v>5058</v>
      </c>
      <c r="C3620" t="str">
        <f>HYPERLINK("https://nematode.unl.edu/eudal6.jpg")</f>
        <v>https://nematode.unl.edu/eudal6.jpg</v>
      </c>
      <c r="D3620" t="s">
        <v>16</v>
      </c>
      <c r="G3620" t="s">
        <v>28</v>
      </c>
      <c r="I3620" t="s">
        <v>19</v>
      </c>
      <c r="J3620" t="s">
        <v>482</v>
      </c>
      <c r="L3620" t="s">
        <v>1147</v>
      </c>
      <c r="M3620" t="s">
        <v>5047</v>
      </c>
      <c r="N3620" t="s">
        <v>5047</v>
      </c>
      <c r="O3620" t="s">
        <v>73</v>
      </c>
      <c r="P3620" t="s">
        <v>81</v>
      </c>
      <c r="Q3620" t="s">
        <v>82</v>
      </c>
      <c r="R3620" t="s">
        <v>1016</v>
      </c>
    </row>
    <row r="3621" spans="1:18" x14ac:dyDescent="0.25">
      <c r="A3621" t="s">
        <v>21176</v>
      </c>
      <c r="B3621" t="s">
        <v>5059</v>
      </c>
      <c r="C3621" t="str">
        <f>HYPERLINK("https://nematode.unl.edu/eudal7.jpg")</f>
        <v>https://nematode.unl.edu/eudal7.jpg</v>
      </c>
      <c r="D3621" t="s">
        <v>16</v>
      </c>
      <c r="G3621" t="s">
        <v>87</v>
      </c>
      <c r="I3621" t="s">
        <v>19</v>
      </c>
      <c r="J3621" t="s">
        <v>440</v>
      </c>
      <c r="M3621" t="s">
        <v>5047</v>
      </c>
      <c r="N3621" t="s">
        <v>5047</v>
      </c>
      <c r="O3621" t="s">
        <v>73</v>
      </c>
      <c r="P3621" t="s">
        <v>81</v>
      </c>
      <c r="Q3621" t="s">
        <v>82</v>
      </c>
      <c r="R3621" t="s">
        <v>1016</v>
      </c>
    </row>
    <row r="3622" spans="1:18" x14ac:dyDescent="0.25">
      <c r="A3622" t="s">
        <v>21171</v>
      </c>
      <c r="B3622" t="s">
        <v>5060</v>
      </c>
      <c r="C3622" t="str">
        <f>HYPERLINK("https://nematode.unl.edu/eudal8.jpg")</f>
        <v>https://nematode.unl.edu/eudal8.jpg</v>
      </c>
      <c r="D3622" t="s">
        <v>16</v>
      </c>
      <c r="G3622" t="s">
        <v>34</v>
      </c>
      <c r="H3622" t="s">
        <v>18</v>
      </c>
      <c r="I3622" t="s">
        <v>19</v>
      </c>
      <c r="J3622" t="s">
        <v>482</v>
      </c>
      <c r="L3622" t="s">
        <v>1147</v>
      </c>
      <c r="M3622" t="s">
        <v>5047</v>
      </c>
      <c r="N3622" t="s">
        <v>5047</v>
      </c>
      <c r="O3622" t="s">
        <v>73</v>
      </c>
      <c r="P3622" t="s">
        <v>81</v>
      </c>
      <c r="Q3622" t="s">
        <v>82</v>
      </c>
      <c r="R3622" t="s">
        <v>1016</v>
      </c>
    </row>
    <row r="3623" spans="1:18" x14ac:dyDescent="0.25">
      <c r="A3623" t="s">
        <v>21178</v>
      </c>
      <c r="B3623" t="s">
        <v>5061</v>
      </c>
      <c r="C3623" t="str">
        <f>HYPERLINK("https://nematode.unl.edu/eudal9.jpg")</f>
        <v>https://nematode.unl.edu/eudal9.jpg</v>
      </c>
      <c r="D3623" t="s">
        <v>43</v>
      </c>
      <c r="G3623" t="s">
        <v>44</v>
      </c>
      <c r="I3623" t="s">
        <v>45</v>
      </c>
      <c r="J3623" t="s">
        <v>482</v>
      </c>
      <c r="L3623" t="s">
        <v>5046</v>
      </c>
      <c r="M3623" t="s">
        <v>5047</v>
      </c>
      <c r="N3623" t="s">
        <v>5047</v>
      </c>
      <c r="O3623" t="s">
        <v>73</v>
      </c>
      <c r="P3623" t="s">
        <v>81</v>
      </c>
      <c r="Q3623" t="s">
        <v>82</v>
      </c>
      <c r="R3623" t="s">
        <v>1016</v>
      </c>
    </row>
    <row r="3624" spans="1:18" x14ac:dyDescent="0.25">
      <c r="A3624" t="s">
        <v>20892</v>
      </c>
      <c r="B3624" t="s">
        <v>76</v>
      </c>
      <c r="C3624" t="str">
        <f>HYPERLINK("https://nematode.unl.edu/eudan1.jpg")</f>
        <v>https://nematode.unl.edu/eudan1.jpg</v>
      </c>
      <c r="D3624" t="s">
        <v>77</v>
      </c>
      <c r="G3624" t="s">
        <v>44</v>
      </c>
      <c r="I3624" t="s">
        <v>45</v>
      </c>
      <c r="J3624" t="s">
        <v>20</v>
      </c>
      <c r="L3624" t="s">
        <v>78</v>
      </c>
      <c r="M3624" t="s">
        <v>79</v>
      </c>
      <c r="N3624" t="s">
        <v>80</v>
      </c>
      <c r="O3624" t="s">
        <v>73</v>
      </c>
      <c r="P3624" t="s">
        <v>81</v>
      </c>
      <c r="Q3624" t="s">
        <v>82</v>
      </c>
      <c r="R3624" t="s">
        <v>83</v>
      </c>
    </row>
    <row r="3625" spans="1:18" x14ac:dyDescent="0.25">
      <c r="A3625" t="s">
        <v>20890</v>
      </c>
      <c r="B3625" t="s">
        <v>84</v>
      </c>
      <c r="C3625" t="str">
        <f>HYPERLINK("https://nematode.unl.edu/eudan2.jpg")</f>
        <v>https://nematode.unl.edu/eudan2.jpg</v>
      </c>
      <c r="D3625" t="s">
        <v>43</v>
      </c>
      <c r="G3625" t="s">
        <v>34</v>
      </c>
      <c r="H3625" t="s">
        <v>18</v>
      </c>
      <c r="I3625" t="s">
        <v>19</v>
      </c>
      <c r="J3625" t="s">
        <v>20</v>
      </c>
      <c r="L3625" t="s">
        <v>85</v>
      </c>
      <c r="M3625" t="s">
        <v>79</v>
      </c>
      <c r="N3625" t="s">
        <v>80</v>
      </c>
      <c r="O3625" t="s">
        <v>73</v>
      </c>
      <c r="P3625" t="s">
        <v>81</v>
      </c>
      <c r="Q3625" t="s">
        <v>82</v>
      </c>
      <c r="R3625" t="s">
        <v>83</v>
      </c>
    </row>
    <row r="3626" spans="1:18" x14ac:dyDescent="0.25">
      <c r="A3626" t="s">
        <v>20891</v>
      </c>
      <c r="B3626" t="s">
        <v>86</v>
      </c>
      <c r="C3626" t="str">
        <f>HYPERLINK("https://nematode.unl.edu/eudan3.jpg")</f>
        <v>https://nematode.unl.edu/eudan3.jpg</v>
      </c>
      <c r="D3626" t="s">
        <v>43</v>
      </c>
      <c r="G3626" t="s">
        <v>87</v>
      </c>
      <c r="I3626" t="s">
        <v>19</v>
      </c>
      <c r="J3626" t="s">
        <v>20</v>
      </c>
      <c r="L3626" t="s">
        <v>78</v>
      </c>
      <c r="M3626" t="s">
        <v>79</v>
      </c>
      <c r="N3626" t="s">
        <v>80</v>
      </c>
      <c r="O3626" t="s">
        <v>73</v>
      </c>
      <c r="P3626" t="s">
        <v>81</v>
      </c>
      <c r="Q3626" t="s">
        <v>82</v>
      </c>
      <c r="R3626" t="s">
        <v>83</v>
      </c>
    </row>
    <row r="3627" spans="1:18" x14ac:dyDescent="0.25">
      <c r="A3627" t="s">
        <v>20894</v>
      </c>
      <c r="B3627" t="s">
        <v>88</v>
      </c>
      <c r="C3627" t="str">
        <f>HYPERLINK("https://nematode.unl.edu/eudan4.jpg")</f>
        <v>https://nematode.unl.edu/eudan4.jpg</v>
      </c>
      <c r="D3627" t="s">
        <v>43</v>
      </c>
      <c r="G3627" t="s">
        <v>51</v>
      </c>
      <c r="J3627" t="s">
        <v>20</v>
      </c>
      <c r="L3627" t="s">
        <v>35</v>
      </c>
      <c r="M3627" t="s">
        <v>79</v>
      </c>
      <c r="N3627" t="s">
        <v>80</v>
      </c>
      <c r="O3627" t="s">
        <v>73</v>
      </c>
      <c r="P3627" t="s">
        <v>81</v>
      </c>
      <c r="Q3627" t="s">
        <v>82</v>
      </c>
      <c r="R3627" t="s">
        <v>83</v>
      </c>
    </row>
    <row r="3628" spans="1:18" x14ac:dyDescent="0.25">
      <c r="A3628" t="s">
        <v>20893</v>
      </c>
      <c r="B3628" t="s">
        <v>89</v>
      </c>
      <c r="C3628" t="str">
        <f>HYPERLINK("https://nematode.unl.edu/eudan5.jpg")</f>
        <v>https://nematode.unl.edu/eudan5.jpg</v>
      </c>
      <c r="D3628" t="s">
        <v>43</v>
      </c>
      <c r="G3628" t="s">
        <v>28</v>
      </c>
      <c r="J3628" t="s">
        <v>20</v>
      </c>
      <c r="L3628" t="s">
        <v>64</v>
      </c>
      <c r="M3628" t="s">
        <v>79</v>
      </c>
      <c r="N3628" t="s">
        <v>80</v>
      </c>
      <c r="O3628" t="s">
        <v>73</v>
      </c>
      <c r="P3628" t="s">
        <v>81</v>
      </c>
      <c r="Q3628" t="s">
        <v>82</v>
      </c>
      <c r="R3628" t="s">
        <v>83</v>
      </c>
    </row>
    <row r="3629" spans="1:18" x14ac:dyDescent="0.25">
      <c r="A3629" t="s">
        <v>21195</v>
      </c>
      <c r="B3629" t="s">
        <v>5068</v>
      </c>
      <c r="C3629" t="str">
        <f>HYPERLINK("https://nematode.unl.edu/eudaq1.jpg")</f>
        <v>https://nematode.unl.edu/eudaq1.jpg</v>
      </c>
      <c r="D3629" t="s">
        <v>77</v>
      </c>
      <c r="G3629" t="s">
        <v>44</v>
      </c>
      <c r="I3629" t="s">
        <v>45</v>
      </c>
      <c r="J3629" t="s">
        <v>20</v>
      </c>
      <c r="L3629" t="s">
        <v>85</v>
      </c>
      <c r="M3629" t="s">
        <v>5069</v>
      </c>
      <c r="N3629" t="s">
        <v>5069</v>
      </c>
      <c r="O3629" t="s">
        <v>73</v>
      </c>
      <c r="P3629" t="s">
        <v>81</v>
      </c>
      <c r="Q3629" t="s">
        <v>82</v>
      </c>
      <c r="R3629" t="s">
        <v>1016</v>
      </c>
    </row>
    <row r="3630" spans="1:18" x14ac:dyDescent="0.25">
      <c r="A3630" t="s">
        <v>21197</v>
      </c>
      <c r="B3630" t="s">
        <v>5070</v>
      </c>
      <c r="C3630" t="str">
        <f>HYPERLINK("https://nematode.unl.edu/eudaq10.jpg")</f>
        <v>https://nematode.unl.edu/eudaq10.jpg</v>
      </c>
      <c r="D3630" t="s">
        <v>16</v>
      </c>
      <c r="G3630" t="s">
        <v>243</v>
      </c>
      <c r="I3630" t="s">
        <v>41</v>
      </c>
      <c r="J3630" t="s">
        <v>20</v>
      </c>
      <c r="L3630" t="s">
        <v>85</v>
      </c>
      <c r="M3630" t="s">
        <v>5069</v>
      </c>
      <c r="N3630" t="s">
        <v>5069</v>
      </c>
      <c r="O3630" t="s">
        <v>73</v>
      </c>
      <c r="P3630" t="s">
        <v>81</v>
      </c>
      <c r="Q3630" t="s">
        <v>82</v>
      </c>
      <c r="R3630" t="s">
        <v>1016</v>
      </c>
    </row>
    <row r="3631" spans="1:18" x14ac:dyDescent="0.25">
      <c r="A3631" t="s">
        <v>21192</v>
      </c>
      <c r="B3631" t="s">
        <v>5071</v>
      </c>
      <c r="C3631" t="str">
        <f>HYPERLINK("https://nematode.unl.edu/eudaq11.jpg")</f>
        <v>https://nematode.unl.edu/eudaq11.jpg</v>
      </c>
      <c r="D3631" t="s">
        <v>16</v>
      </c>
      <c r="G3631" t="s">
        <v>87</v>
      </c>
      <c r="J3631" t="s">
        <v>20</v>
      </c>
      <c r="M3631" t="s">
        <v>5069</v>
      </c>
      <c r="N3631" t="s">
        <v>5069</v>
      </c>
      <c r="O3631" t="s">
        <v>73</v>
      </c>
      <c r="P3631" t="s">
        <v>81</v>
      </c>
      <c r="Q3631" t="s">
        <v>82</v>
      </c>
      <c r="R3631" t="s">
        <v>1016</v>
      </c>
    </row>
    <row r="3632" spans="1:18" x14ac:dyDescent="0.25">
      <c r="A3632" t="s">
        <v>21198</v>
      </c>
      <c r="B3632" t="s">
        <v>5072</v>
      </c>
      <c r="C3632" t="str">
        <f>HYPERLINK("https://nematode.unl.edu/eudaq12.jpg")</f>
        <v>https://nematode.unl.edu/eudaq12.jpg</v>
      </c>
      <c r="D3632" t="s">
        <v>16</v>
      </c>
      <c r="G3632" t="s">
        <v>28</v>
      </c>
      <c r="I3632" t="s">
        <v>19</v>
      </c>
      <c r="M3632" t="s">
        <v>5069</v>
      </c>
      <c r="N3632" t="s">
        <v>5069</v>
      </c>
      <c r="O3632" t="s">
        <v>73</v>
      </c>
      <c r="P3632" t="s">
        <v>81</v>
      </c>
      <c r="Q3632" t="s">
        <v>82</v>
      </c>
      <c r="R3632" t="s">
        <v>1016</v>
      </c>
    </row>
    <row r="3633" spans="1:18" x14ac:dyDescent="0.25">
      <c r="A3633" t="s">
        <v>21196</v>
      </c>
      <c r="B3633" t="s">
        <v>5073</v>
      </c>
      <c r="C3633" t="str">
        <f>HYPERLINK("https://nematode.unl.edu/eudaq13.jpg")</f>
        <v>https://nematode.unl.edu/eudaq13.jpg</v>
      </c>
      <c r="D3633" t="s">
        <v>43</v>
      </c>
      <c r="G3633" t="s">
        <v>44</v>
      </c>
      <c r="I3633" t="s">
        <v>91</v>
      </c>
      <c r="J3633" t="s">
        <v>20</v>
      </c>
      <c r="L3633" t="s">
        <v>38</v>
      </c>
      <c r="M3633" t="s">
        <v>5069</v>
      </c>
      <c r="N3633" t="s">
        <v>5069</v>
      </c>
      <c r="O3633" t="s">
        <v>73</v>
      </c>
      <c r="P3633" t="s">
        <v>81</v>
      </c>
      <c r="Q3633" t="s">
        <v>82</v>
      </c>
      <c r="R3633" t="s">
        <v>1016</v>
      </c>
    </row>
    <row r="3634" spans="1:18" x14ac:dyDescent="0.25">
      <c r="A3634" t="s">
        <v>21186</v>
      </c>
      <c r="B3634" t="s">
        <v>5074</v>
      </c>
      <c r="C3634" t="str">
        <f>HYPERLINK("https://nematode.unl.edu/eudaq14.jpg")</f>
        <v>https://nematode.unl.edu/eudaq14.jpg</v>
      </c>
      <c r="D3634" t="s">
        <v>43</v>
      </c>
      <c r="G3634" t="s">
        <v>34</v>
      </c>
      <c r="H3634" t="s">
        <v>18</v>
      </c>
      <c r="L3634" t="s">
        <v>85</v>
      </c>
      <c r="M3634" t="s">
        <v>5069</v>
      </c>
      <c r="N3634" t="s">
        <v>5069</v>
      </c>
      <c r="O3634" t="s">
        <v>73</v>
      </c>
      <c r="P3634" t="s">
        <v>81</v>
      </c>
      <c r="Q3634" t="s">
        <v>82</v>
      </c>
      <c r="R3634" t="s">
        <v>1016</v>
      </c>
    </row>
    <row r="3635" spans="1:18" x14ac:dyDescent="0.25">
      <c r="A3635" t="s">
        <v>21199</v>
      </c>
      <c r="B3635" t="s">
        <v>5075</v>
      </c>
      <c r="C3635" t="str">
        <f>HYPERLINK("https://nematode.unl.edu/eudaq15.jpg")</f>
        <v>https://nematode.unl.edu/eudaq15.jpg</v>
      </c>
      <c r="D3635" t="s">
        <v>43</v>
      </c>
      <c r="G3635" t="s">
        <v>28</v>
      </c>
      <c r="I3635" t="s">
        <v>19</v>
      </c>
      <c r="J3635" t="s">
        <v>20</v>
      </c>
      <c r="M3635" t="s">
        <v>5069</v>
      </c>
      <c r="N3635" t="s">
        <v>5069</v>
      </c>
      <c r="O3635" t="s">
        <v>73</v>
      </c>
      <c r="P3635" t="s">
        <v>81</v>
      </c>
      <c r="Q3635" t="s">
        <v>82</v>
      </c>
      <c r="R3635" t="s">
        <v>1016</v>
      </c>
    </row>
    <row r="3636" spans="1:18" x14ac:dyDescent="0.25">
      <c r="A3636" t="s">
        <v>21187</v>
      </c>
      <c r="B3636" t="s">
        <v>5076</v>
      </c>
      <c r="C3636" t="str">
        <f>HYPERLINK("https://nematode.unl.edu/eudaq16.jpg")</f>
        <v>https://nematode.unl.edu/eudaq16.jpg</v>
      </c>
      <c r="D3636" t="s">
        <v>43</v>
      </c>
      <c r="G3636" t="s">
        <v>34</v>
      </c>
      <c r="H3636" t="s">
        <v>18</v>
      </c>
      <c r="I3636" t="s">
        <v>41</v>
      </c>
      <c r="L3636" t="s">
        <v>85</v>
      </c>
      <c r="M3636" t="s">
        <v>5069</v>
      </c>
      <c r="N3636" t="s">
        <v>5069</v>
      </c>
      <c r="O3636" t="s">
        <v>73</v>
      </c>
      <c r="P3636" t="s">
        <v>81</v>
      </c>
      <c r="Q3636" t="s">
        <v>82</v>
      </c>
      <c r="R3636" t="s">
        <v>1016</v>
      </c>
    </row>
    <row r="3637" spans="1:18" x14ac:dyDescent="0.25">
      <c r="A3637" t="s">
        <v>21188</v>
      </c>
      <c r="B3637" t="s">
        <v>5077</v>
      </c>
      <c r="C3637" t="str">
        <f>HYPERLINK("https://nematode.unl.edu/eudaq2.jpg")</f>
        <v>https://nematode.unl.edu/eudaq2.jpg</v>
      </c>
      <c r="D3637" t="s">
        <v>43</v>
      </c>
      <c r="G3637" t="s">
        <v>34</v>
      </c>
      <c r="H3637" t="s">
        <v>18</v>
      </c>
      <c r="I3637" t="s">
        <v>19</v>
      </c>
      <c r="J3637" t="s">
        <v>20</v>
      </c>
      <c r="M3637" t="s">
        <v>5069</v>
      </c>
      <c r="N3637" t="s">
        <v>5069</v>
      </c>
      <c r="O3637" t="s">
        <v>73</v>
      </c>
      <c r="P3637" t="s">
        <v>81</v>
      </c>
      <c r="Q3637" t="s">
        <v>82</v>
      </c>
      <c r="R3637" t="s">
        <v>1016</v>
      </c>
    </row>
    <row r="3638" spans="1:18" x14ac:dyDescent="0.25">
      <c r="A3638" t="s">
        <v>21193</v>
      </c>
      <c r="B3638" t="s">
        <v>5078</v>
      </c>
      <c r="C3638" t="str">
        <f>HYPERLINK("https://nematode.unl.edu/eudaq3.jpg")</f>
        <v>https://nematode.unl.edu/eudaq3.jpg</v>
      </c>
      <c r="D3638" t="s">
        <v>43</v>
      </c>
      <c r="G3638" t="s">
        <v>87</v>
      </c>
      <c r="I3638" t="s">
        <v>516</v>
      </c>
      <c r="J3638" t="s">
        <v>20</v>
      </c>
      <c r="L3638" t="s">
        <v>85</v>
      </c>
      <c r="M3638" t="s">
        <v>5069</v>
      </c>
      <c r="N3638" t="s">
        <v>5069</v>
      </c>
      <c r="O3638" t="s">
        <v>73</v>
      </c>
      <c r="P3638" t="s">
        <v>81</v>
      </c>
      <c r="Q3638" t="s">
        <v>82</v>
      </c>
      <c r="R3638" t="s">
        <v>1016</v>
      </c>
    </row>
    <row r="3639" spans="1:18" x14ac:dyDescent="0.25">
      <c r="A3639" t="s">
        <v>21201</v>
      </c>
      <c r="B3639" t="s">
        <v>5079</v>
      </c>
      <c r="C3639" t="str">
        <f>HYPERLINK("https://nematode.unl.edu/eudaq4.jpg")</f>
        <v>https://nematode.unl.edu/eudaq4.jpg</v>
      </c>
      <c r="D3639" t="s">
        <v>43</v>
      </c>
      <c r="G3639" t="s">
        <v>51</v>
      </c>
      <c r="I3639" t="s">
        <v>19</v>
      </c>
      <c r="J3639" t="s">
        <v>20</v>
      </c>
      <c r="L3639" t="s">
        <v>85</v>
      </c>
      <c r="M3639" t="s">
        <v>5069</v>
      </c>
      <c r="N3639" t="s">
        <v>5069</v>
      </c>
      <c r="O3639" t="s">
        <v>73</v>
      </c>
      <c r="P3639" t="s">
        <v>81</v>
      </c>
      <c r="Q3639" t="s">
        <v>82</v>
      </c>
      <c r="R3639" t="s">
        <v>1016</v>
      </c>
    </row>
    <row r="3640" spans="1:18" x14ac:dyDescent="0.25">
      <c r="A3640" t="s">
        <v>21200</v>
      </c>
      <c r="B3640" t="s">
        <v>5080</v>
      </c>
      <c r="C3640" t="str">
        <f>HYPERLINK("https://nematode.unl.edu/eudaq5.jpg")</f>
        <v>https://nematode.unl.edu/eudaq5.jpg</v>
      </c>
      <c r="D3640" t="s">
        <v>77</v>
      </c>
      <c r="G3640" t="s">
        <v>28</v>
      </c>
      <c r="M3640" t="s">
        <v>5069</v>
      </c>
      <c r="N3640" t="s">
        <v>5069</v>
      </c>
      <c r="O3640" t="s">
        <v>73</v>
      </c>
      <c r="P3640" t="s">
        <v>81</v>
      </c>
      <c r="Q3640" t="s">
        <v>82</v>
      </c>
      <c r="R3640" t="s">
        <v>1016</v>
      </c>
    </row>
    <row r="3641" spans="1:18" x14ac:dyDescent="0.25">
      <c r="A3641" t="s">
        <v>21189</v>
      </c>
      <c r="B3641" t="s">
        <v>5081</v>
      </c>
      <c r="C3641" t="str">
        <f>HYPERLINK("https://nematode.unl.edu/eudaq6.jpg")</f>
        <v>https://nematode.unl.edu/eudaq6.jpg</v>
      </c>
      <c r="D3641" t="s">
        <v>43</v>
      </c>
      <c r="G3641" t="s">
        <v>34</v>
      </c>
      <c r="H3641" t="s">
        <v>18</v>
      </c>
      <c r="M3641" t="s">
        <v>5069</v>
      </c>
      <c r="N3641" t="s">
        <v>5069</v>
      </c>
      <c r="O3641" t="s">
        <v>73</v>
      </c>
      <c r="P3641" t="s">
        <v>81</v>
      </c>
      <c r="Q3641" t="s">
        <v>82</v>
      </c>
      <c r="R3641" t="s">
        <v>1016</v>
      </c>
    </row>
    <row r="3642" spans="1:18" x14ac:dyDescent="0.25">
      <c r="A3642" t="s">
        <v>21190</v>
      </c>
      <c r="B3642" t="s">
        <v>5082</v>
      </c>
      <c r="C3642" t="str">
        <f>HYPERLINK("https://nematode.unl.edu/eudaq7.jpg")</f>
        <v>https://nematode.unl.edu/eudaq7.jpg</v>
      </c>
      <c r="D3642" t="s">
        <v>16</v>
      </c>
      <c r="G3642" t="s">
        <v>34</v>
      </c>
      <c r="H3642" t="s">
        <v>18</v>
      </c>
      <c r="I3642" t="s">
        <v>19</v>
      </c>
      <c r="J3642" t="s">
        <v>20</v>
      </c>
      <c r="L3642" t="s">
        <v>141</v>
      </c>
      <c r="M3642" t="s">
        <v>5069</v>
      </c>
      <c r="N3642" t="s">
        <v>5069</v>
      </c>
      <c r="O3642" t="s">
        <v>73</v>
      </c>
      <c r="P3642" t="s">
        <v>81</v>
      </c>
      <c r="Q3642" t="s">
        <v>82</v>
      </c>
      <c r="R3642" t="s">
        <v>1016</v>
      </c>
    </row>
    <row r="3643" spans="1:18" x14ac:dyDescent="0.25">
      <c r="A3643" t="s">
        <v>21194</v>
      </c>
      <c r="B3643" t="s">
        <v>5083</v>
      </c>
      <c r="C3643" t="str">
        <f>HYPERLINK("https://nematode.unl.edu/eudaq8.jpg")</f>
        <v>https://nematode.unl.edu/eudaq8.jpg</v>
      </c>
      <c r="D3643" t="s">
        <v>16</v>
      </c>
      <c r="G3643" t="s">
        <v>87</v>
      </c>
      <c r="J3643" t="s">
        <v>20</v>
      </c>
      <c r="L3643" t="s">
        <v>141</v>
      </c>
      <c r="M3643" t="s">
        <v>5069</v>
      </c>
      <c r="N3643" t="s">
        <v>5069</v>
      </c>
      <c r="O3643" t="s">
        <v>73</v>
      </c>
      <c r="P3643" t="s">
        <v>81</v>
      </c>
      <c r="Q3643" t="s">
        <v>82</v>
      </c>
      <c r="R3643" t="s">
        <v>1016</v>
      </c>
    </row>
    <row r="3644" spans="1:18" x14ac:dyDescent="0.25">
      <c r="A3644" t="s">
        <v>21191</v>
      </c>
      <c r="B3644" t="s">
        <v>5084</v>
      </c>
      <c r="C3644" t="str">
        <f>HYPERLINK("https://nematode.unl.edu/eudaq9.jpg")</f>
        <v>https://nematode.unl.edu/eudaq9.jpg</v>
      </c>
      <c r="D3644" t="s">
        <v>16</v>
      </c>
      <c r="G3644" t="s">
        <v>34</v>
      </c>
      <c r="H3644" t="s">
        <v>18</v>
      </c>
      <c r="I3644" t="s">
        <v>41</v>
      </c>
      <c r="J3644" t="s">
        <v>20</v>
      </c>
      <c r="L3644" t="s">
        <v>141</v>
      </c>
      <c r="M3644" t="s">
        <v>5069</v>
      </c>
      <c r="N3644" t="s">
        <v>5069</v>
      </c>
      <c r="O3644" t="s">
        <v>73</v>
      </c>
      <c r="P3644" t="s">
        <v>81</v>
      </c>
      <c r="Q3644" t="s">
        <v>82</v>
      </c>
      <c r="R3644" t="s">
        <v>1016</v>
      </c>
    </row>
    <row r="3645" spans="1:18" x14ac:dyDescent="0.25">
      <c r="A3645" t="s">
        <v>20900</v>
      </c>
      <c r="B3645" t="s">
        <v>439</v>
      </c>
      <c r="C3645" t="str">
        <f>HYPERLINK("https://nematode.unl.edu/eudenc1.jpg")</f>
        <v>https://nematode.unl.edu/eudenc1.jpg</v>
      </c>
      <c r="D3645" t="s">
        <v>16</v>
      </c>
      <c r="G3645" t="s">
        <v>34</v>
      </c>
      <c r="H3645" t="s">
        <v>18</v>
      </c>
      <c r="I3645" t="s">
        <v>19</v>
      </c>
      <c r="J3645" t="s">
        <v>440</v>
      </c>
      <c r="M3645" t="s">
        <v>441</v>
      </c>
      <c r="N3645" t="s">
        <v>442</v>
      </c>
      <c r="O3645" t="s">
        <v>73</v>
      </c>
      <c r="P3645" t="s">
        <v>81</v>
      </c>
      <c r="Q3645" t="s">
        <v>82</v>
      </c>
      <c r="R3645" t="s">
        <v>443</v>
      </c>
    </row>
    <row r="3646" spans="1:18" x14ac:dyDescent="0.25">
      <c r="A3646" t="s">
        <v>20901</v>
      </c>
      <c r="B3646" t="s">
        <v>444</v>
      </c>
      <c r="C3646" t="str">
        <f>HYPERLINK("https://nematode.unl.edu/eudenc2.jpg")</f>
        <v>https://nematode.unl.edu/eudenc2.jpg</v>
      </c>
      <c r="D3646" t="s">
        <v>16</v>
      </c>
      <c r="G3646" t="s">
        <v>28</v>
      </c>
      <c r="I3646" t="s">
        <v>19</v>
      </c>
      <c r="M3646" t="s">
        <v>441</v>
      </c>
      <c r="N3646" t="s">
        <v>442</v>
      </c>
      <c r="O3646" t="s">
        <v>73</v>
      </c>
      <c r="P3646" t="s">
        <v>81</v>
      </c>
      <c r="Q3646" t="s">
        <v>82</v>
      </c>
      <c r="R3646" t="s">
        <v>443</v>
      </c>
    </row>
    <row r="3647" spans="1:18" x14ac:dyDescent="0.25">
      <c r="A3647" t="s">
        <v>21321</v>
      </c>
      <c r="B3647" t="s">
        <v>5211</v>
      </c>
      <c r="C3647" t="str">
        <f>HYPERLINK("https://nematode.unl.edu/eudim1.jpg")</f>
        <v>https://nematode.unl.edu/eudim1.jpg</v>
      </c>
      <c r="D3647" t="s">
        <v>43</v>
      </c>
      <c r="G3647" t="s">
        <v>43</v>
      </c>
      <c r="I3647" t="s">
        <v>45</v>
      </c>
      <c r="J3647" t="s">
        <v>20</v>
      </c>
      <c r="L3647" t="s">
        <v>29</v>
      </c>
      <c r="M3647" t="s">
        <v>5212</v>
      </c>
      <c r="N3647" t="s">
        <v>5212</v>
      </c>
      <c r="O3647" t="s">
        <v>73</v>
      </c>
      <c r="P3647" t="s">
        <v>81</v>
      </c>
      <c r="Q3647" t="s">
        <v>82</v>
      </c>
      <c r="R3647" t="s">
        <v>1016</v>
      </c>
    </row>
    <row r="3648" spans="1:18" x14ac:dyDescent="0.25">
      <c r="A3648" t="s">
        <v>21322</v>
      </c>
      <c r="B3648" t="s">
        <v>5213</v>
      </c>
      <c r="C3648" t="str">
        <f>HYPERLINK("https://nematode.unl.edu/eudim2.jpg")</f>
        <v>https://nematode.unl.edu/eudim2.jpg</v>
      </c>
      <c r="D3648" t="s">
        <v>43</v>
      </c>
      <c r="G3648" t="s">
        <v>28</v>
      </c>
      <c r="M3648" t="s">
        <v>5212</v>
      </c>
      <c r="N3648" t="s">
        <v>5212</v>
      </c>
      <c r="O3648" t="s">
        <v>73</v>
      </c>
      <c r="P3648" t="s">
        <v>81</v>
      </c>
      <c r="Q3648" t="s">
        <v>82</v>
      </c>
      <c r="R3648" t="s">
        <v>1016</v>
      </c>
    </row>
    <row r="3649" spans="1:18" x14ac:dyDescent="0.25">
      <c r="A3649" t="s">
        <v>21323</v>
      </c>
      <c r="B3649" t="s">
        <v>5214</v>
      </c>
      <c r="C3649" t="str">
        <f>HYPERLINK("https://nematode.unl.edu/eudim3.jpg")</f>
        <v>https://nematode.unl.edu/eudim3.jpg</v>
      </c>
      <c r="D3649" t="s">
        <v>43</v>
      </c>
      <c r="G3649" t="s">
        <v>51</v>
      </c>
      <c r="J3649" t="s">
        <v>20</v>
      </c>
      <c r="L3649" t="s">
        <v>29</v>
      </c>
      <c r="M3649" t="s">
        <v>5212</v>
      </c>
      <c r="N3649" t="s">
        <v>5212</v>
      </c>
      <c r="O3649" t="s">
        <v>73</v>
      </c>
      <c r="P3649" t="s">
        <v>81</v>
      </c>
      <c r="Q3649" t="s">
        <v>82</v>
      </c>
      <c r="R3649" t="s">
        <v>1016</v>
      </c>
    </row>
    <row r="3650" spans="1:18" x14ac:dyDescent="0.25">
      <c r="A3650" t="s">
        <v>21320</v>
      </c>
      <c r="B3650" t="s">
        <v>5215</v>
      </c>
      <c r="C3650" t="str">
        <f>HYPERLINK("https://nematode.unl.edu/eudim4.jpg")</f>
        <v>https://nematode.unl.edu/eudim4.jpg</v>
      </c>
      <c r="D3650" t="s">
        <v>43</v>
      </c>
      <c r="G3650" t="s">
        <v>87</v>
      </c>
      <c r="I3650" t="s">
        <v>19</v>
      </c>
      <c r="M3650" t="s">
        <v>5212</v>
      </c>
      <c r="N3650" t="s">
        <v>5212</v>
      </c>
      <c r="O3650" t="s">
        <v>73</v>
      </c>
      <c r="P3650" t="s">
        <v>81</v>
      </c>
      <c r="Q3650" t="s">
        <v>82</v>
      </c>
      <c r="R3650" t="s">
        <v>1016</v>
      </c>
    </row>
    <row r="3651" spans="1:18" x14ac:dyDescent="0.25">
      <c r="A3651" t="s">
        <v>21319</v>
      </c>
      <c r="B3651" t="s">
        <v>5216</v>
      </c>
      <c r="C3651" t="str">
        <f>HYPERLINK("https://nematode.unl.edu/eudim5.jpg")</f>
        <v>https://nematode.unl.edu/eudim5.jpg</v>
      </c>
      <c r="D3651" t="s">
        <v>43</v>
      </c>
      <c r="G3651" t="s">
        <v>34</v>
      </c>
      <c r="H3651" t="s">
        <v>18</v>
      </c>
      <c r="I3651" t="s">
        <v>19</v>
      </c>
      <c r="L3651" t="s">
        <v>29</v>
      </c>
      <c r="M3651" t="s">
        <v>5212</v>
      </c>
      <c r="N3651" t="s">
        <v>5212</v>
      </c>
      <c r="O3651" t="s">
        <v>73</v>
      </c>
      <c r="P3651" t="s">
        <v>81</v>
      </c>
      <c r="Q3651" t="s">
        <v>82</v>
      </c>
      <c r="R3651" t="s">
        <v>1016</v>
      </c>
    </row>
    <row r="3652" spans="1:18" x14ac:dyDescent="0.25">
      <c r="A3652" t="s">
        <v>21304</v>
      </c>
      <c r="B3652" t="s">
        <v>5204</v>
      </c>
      <c r="C3652" t="str">
        <f>HYPERLINK("https://nematode.unl.edu/eudocon1.jpg")</f>
        <v>https://nematode.unl.edu/eudocon1.jpg</v>
      </c>
      <c r="D3652" t="s">
        <v>16</v>
      </c>
      <c r="G3652" t="s">
        <v>34</v>
      </c>
      <c r="H3652" t="s">
        <v>18</v>
      </c>
      <c r="I3652" t="s">
        <v>19</v>
      </c>
      <c r="L3652" t="s">
        <v>85</v>
      </c>
      <c r="M3652" t="s">
        <v>5192</v>
      </c>
      <c r="N3652" t="s">
        <v>5192</v>
      </c>
      <c r="O3652" t="s">
        <v>73</v>
      </c>
      <c r="P3652" t="s">
        <v>81</v>
      </c>
      <c r="Q3652" t="s">
        <v>82</v>
      </c>
      <c r="R3652" t="s">
        <v>1016</v>
      </c>
    </row>
    <row r="3653" spans="1:18" x14ac:dyDescent="0.25">
      <c r="A3653" t="s">
        <v>21307</v>
      </c>
      <c r="B3653" t="s">
        <v>5205</v>
      </c>
      <c r="C3653" t="str">
        <f>HYPERLINK("https://nematode.unl.edu/eudocon2.jpg")</f>
        <v>https://nematode.unl.edu/eudocon2.jpg</v>
      </c>
      <c r="D3653" t="s">
        <v>16</v>
      </c>
      <c r="G3653" t="s">
        <v>87</v>
      </c>
      <c r="I3653" t="s">
        <v>19</v>
      </c>
      <c r="J3653" t="s">
        <v>116</v>
      </c>
      <c r="L3653" t="s">
        <v>85</v>
      </c>
      <c r="M3653" t="s">
        <v>5192</v>
      </c>
      <c r="N3653" t="s">
        <v>5192</v>
      </c>
      <c r="O3653" t="s">
        <v>73</v>
      </c>
      <c r="P3653" t="s">
        <v>81</v>
      </c>
      <c r="Q3653" t="s">
        <v>82</v>
      </c>
      <c r="R3653" t="s">
        <v>1016</v>
      </c>
    </row>
    <row r="3654" spans="1:18" x14ac:dyDescent="0.25">
      <c r="A3654" t="s">
        <v>21316</v>
      </c>
      <c r="B3654" t="s">
        <v>5206</v>
      </c>
      <c r="C3654" t="str">
        <f>HYPERLINK("https://nematode.unl.edu/eudocon3.jpg")</f>
        <v>https://nematode.unl.edu/eudocon3.jpg</v>
      </c>
      <c r="D3654" t="s">
        <v>16</v>
      </c>
      <c r="G3654" t="s">
        <v>28</v>
      </c>
      <c r="I3654" t="s">
        <v>19</v>
      </c>
      <c r="J3654" t="s">
        <v>116</v>
      </c>
      <c r="L3654" t="s">
        <v>85</v>
      </c>
      <c r="M3654" t="s">
        <v>5192</v>
      </c>
      <c r="N3654" t="s">
        <v>5192</v>
      </c>
      <c r="O3654" t="s">
        <v>73</v>
      </c>
      <c r="P3654" t="s">
        <v>81</v>
      </c>
      <c r="Q3654" t="s">
        <v>82</v>
      </c>
      <c r="R3654" t="s">
        <v>1016</v>
      </c>
    </row>
    <row r="3655" spans="1:18" x14ac:dyDescent="0.25">
      <c r="A3655" t="s">
        <v>21311</v>
      </c>
      <c r="B3655" t="s">
        <v>5207</v>
      </c>
      <c r="C3655" t="str">
        <f>HYPERLINK("https://nematode.unl.edu/eudocr1.jpg")</f>
        <v>https://nematode.unl.edu/eudocr1.jpg</v>
      </c>
      <c r="D3655" t="s">
        <v>16</v>
      </c>
      <c r="G3655" t="s">
        <v>44</v>
      </c>
      <c r="I3655" t="s">
        <v>19</v>
      </c>
      <c r="J3655" t="s">
        <v>1517</v>
      </c>
      <c r="L3655" t="s">
        <v>1526</v>
      </c>
      <c r="M3655" t="s">
        <v>5192</v>
      </c>
      <c r="N3655" t="s">
        <v>5192</v>
      </c>
      <c r="O3655" t="s">
        <v>73</v>
      </c>
      <c r="P3655" t="s">
        <v>81</v>
      </c>
      <c r="Q3655" t="s">
        <v>82</v>
      </c>
      <c r="R3655" t="s">
        <v>1016</v>
      </c>
    </row>
    <row r="3656" spans="1:18" x14ac:dyDescent="0.25">
      <c r="A3656" t="s">
        <v>21305</v>
      </c>
      <c r="B3656" t="s">
        <v>5208</v>
      </c>
      <c r="C3656" t="str">
        <f>HYPERLINK("https://nematode.unl.edu/eudocr2.jpg")</f>
        <v>https://nematode.unl.edu/eudocr2.jpg</v>
      </c>
      <c r="D3656" t="s">
        <v>16</v>
      </c>
      <c r="G3656" t="s">
        <v>34</v>
      </c>
      <c r="H3656" t="s">
        <v>18</v>
      </c>
      <c r="I3656" t="s">
        <v>41</v>
      </c>
      <c r="J3656" t="s">
        <v>1517</v>
      </c>
      <c r="M3656" t="s">
        <v>5192</v>
      </c>
      <c r="N3656" t="s">
        <v>5192</v>
      </c>
      <c r="O3656" t="s">
        <v>73</v>
      </c>
      <c r="P3656" t="s">
        <v>81</v>
      </c>
      <c r="Q3656" t="s">
        <v>82</v>
      </c>
      <c r="R3656" t="s">
        <v>1016</v>
      </c>
    </row>
    <row r="3657" spans="1:18" x14ac:dyDescent="0.25">
      <c r="A3657" t="s">
        <v>21308</v>
      </c>
      <c r="B3657" t="s">
        <v>5209</v>
      </c>
      <c r="C3657" t="str">
        <f>HYPERLINK("https://nematode.unl.edu/eudocr3.jpg")</f>
        <v>https://nematode.unl.edu/eudocr3.jpg</v>
      </c>
      <c r="D3657" t="s">
        <v>16</v>
      </c>
      <c r="G3657" t="s">
        <v>2106</v>
      </c>
      <c r="I3657" t="s">
        <v>529</v>
      </c>
      <c r="J3657" t="s">
        <v>1517</v>
      </c>
      <c r="L3657" t="s">
        <v>1526</v>
      </c>
      <c r="M3657" t="s">
        <v>5192</v>
      </c>
      <c r="N3657" t="s">
        <v>5192</v>
      </c>
      <c r="O3657" t="s">
        <v>73</v>
      </c>
      <c r="P3657" t="s">
        <v>81</v>
      </c>
      <c r="Q3657" t="s">
        <v>82</v>
      </c>
      <c r="R3657" t="s">
        <v>1016</v>
      </c>
    </row>
    <row r="3658" spans="1:18" x14ac:dyDescent="0.25">
      <c r="A3658" t="s">
        <v>21317</v>
      </c>
      <c r="B3658" t="s">
        <v>5210</v>
      </c>
      <c r="C3658" t="str">
        <f>HYPERLINK("https://nematode.unl.edu/eudocr4.jpg")</f>
        <v>https://nematode.unl.edu/eudocr4.jpg</v>
      </c>
      <c r="D3658" t="s">
        <v>16</v>
      </c>
      <c r="G3658" t="s">
        <v>28</v>
      </c>
      <c r="I3658" t="s">
        <v>41</v>
      </c>
      <c r="J3658" t="s">
        <v>1525</v>
      </c>
      <c r="L3658" t="s">
        <v>1526</v>
      </c>
      <c r="M3658" t="s">
        <v>5192</v>
      </c>
      <c r="N3658" t="s">
        <v>5192</v>
      </c>
      <c r="O3658" t="s">
        <v>73</v>
      </c>
      <c r="P3658" t="s">
        <v>81</v>
      </c>
      <c r="Q3658" t="s">
        <v>82</v>
      </c>
      <c r="R3658" t="s">
        <v>1016</v>
      </c>
    </row>
    <row r="3659" spans="1:18" x14ac:dyDescent="0.25">
      <c r="A3659" t="s">
        <v>21179</v>
      </c>
      <c r="B3659" t="s">
        <v>5062</v>
      </c>
      <c r="C3659" t="str">
        <f>HYPERLINK("https://nematode.unl.edu/eudoralt1.jpg")</f>
        <v>https://nematode.unl.edu/eudoralt1.jpg</v>
      </c>
      <c r="D3659" t="s">
        <v>77</v>
      </c>
      <c r="G3659" t="s">
        <v>44</v>
      </c>
      <c r="I3659" t="s">
        <v>91</v>
      </c>
      <c r="J3659" t="s">
        <v>116</v>
      </c>
      <c r="L3659" t="s">
        <v>105</v>
      </c>
      <c r="M3659" t="s">
        <v>5047</v>
      </c>
      <c r="N3659" t="s">
        <v>5047</v>
      </c>
      <c r="O3659" t="s">
        <v>73</v>
      </c>
      <c r="P3659" t="s">
        <v>81</v>
      </c>
      <c r="Q3659" t="s">
        <v>82</v>
      </c>
      <c r="R3659" t="s">
        <v>1016</v>
      </c>
    </row>
    <row r="3660" spans="1:18" x14ac:dyDescent="0.25">
      <c r="A3660" t="s">
        <v>21165</v>
      </c>
      <c r="B3660" t="s">
        <v>5063</v>
      </c>
      <c r="C3660" t="str">
        <f>HYPERLINK("https://nematode.unl.edu/eudoralt2.jpg")</f>
        <v>https://nematode.unl.edu/eudoralt2.jpg</v>
      </c>
      <c r="D3660" t="s">
        <v>77</v>
      </c>
      <c r="G3660" t="s">
        <v>96</v>
      </c>
      <c r="H3660" t="s">
        <v>18</v>
      </c>
      <c r="I3660" t="s">
        <v>45</v>
      </c>
      <c r="L3660" t="s">
        <v>105</v>
      </c>
      <c r="M3660" t="s">
        <v>5047</v>
      </c>
      <c r="N3660" t="s">
        <v>5047</v>
      </c>
      <c r="O3660" t="s">
        <v>73</v>
      </c>
      <c r="P3660" t="s">
        <v>81</v>
      </c>
      <c r="Q3660" t="s">
        <v>82</v>
      </c>
      <c r="R3660" t="s">
        <v>1016</v>
      </c>
    </row>
    <row r="3661" spans="1:18" x14ac:dyDescent="0.25">
      <c r="A3661" t="s">
        <v>21166</v>
      </c>
      <c r="B3661" t="s">
        <v>5064</v>
      </c>
      <c r="C3661" t="str">
        <f>HYPERLINK("https://nematode.unl.edu/eudoralt3.jpg")</f>
        <v>https://nematode.unl.edu/eudoralt3.jpg</v>
      </c>
      <c r="D3661" t="s">
        <v>77</v>
      </c>
      <c r="G3661" t="s">
        <v>96</v>
      </c>
      <c r="H3661" t="s">
        <v>18</v>
      </c>
      <c r="I3661" t="s">
        <v>45</v>
      </c>
      <c r="L3661" t="s">
        <v>105</v>
      </c>
      <c r="M3661" t="s">
        <v>5047</v>
      </c>
      <c r="N3661" t="s">
        <v>5047</v>
      </c>
      <c r="O3661" t="s">
        <v>73</v>
      </c>
      <c r="P3661" t="s">
        <v>81</v>
      </c>
      <c r="Q3661" t="s">
        <v>82</v>
      </c>
      <c r="R3661" t="s">
        <v>1016</v>
      </c>
    </row>
    <row r="3662" spans="1:18" x14ac:dyDescent="0.25">
      <c r="A3662" t="s">
        <v>21172</v>
      </c>
      <c r="B3662" t="s">
        <v>5065</v>
      </c>
      <c r="C3662" t="str">
        <f>HYPERLINK("https://nematode.unl.edu/eudoralt4.jpg")</f>
        <v>https://nematode.unl.edu/eudoralt4.jpg</v>
      </c>
      <c r="D3662" t="s">
        <v>77</v>
      </c>
      <c r="G3662" t="s">
        <v>34</v>
      </c>
      <c r="H3662" t="s">
        <v>18</v>
      </c>
      <c r="I3662" t="s">
        <v>19</v>
      </c>
      <c r="L3662" t="s">
        <v>105</v>
      </c>
      <c r="M3662" t="s">
        <v>5047</v>
      </c>
      <c r="N3662" t="s">
        <v>5047</v>
      </c>
      <c r="O3662" t="s">
        <v>73</v>
      </c>
      <c r="P3662" t="s">
        <v>81</v>
      </c>
      <c r="Q3662" t="s">
        <v>82</v>
      </c>
      <c r="R3662" t="s">
        <v>1016</v>
      </c>
    </row>
    <row r="3663" spans="1:18" x14ac:dyDescent="0.25">
      <c r="A3663" t="s">
        <v>21167</v>
      </c>
      <c r="B3663" t="s">
        <v>5066</v>
      </c>
      <c r="C3663" t="str">
        <f>HYPERLINK("https://nematode.unl.edu/eudoralt5.jpg")</f>
        <v>https://nematode.unl.edu/eudoralt5.jpg</v>
      </c>
      <c r="D3663" t="s">
        <v>77</v>
      </c>
      <c r="G3663" t="s">
        <v>96</v>
      </c>
      <c r="H3663" t="s">
        <v>18</v>
      </c>
      <c r="I3663" t="s">
        <v>45</v>
      </c>
      <c r="L3663" t="s">
        <v>105</v>
      </c>
      <c r="M3663" t="s">
        <v>5047</v>
      </c>
      <c r="N3663" t="s">
        <v>5047</v>
      </c>
      <c r="O3663" t="s">
        <v>73</v>
      </c>
      <c r="P3663" t="s">
        <v>81</v>
      </c>
      <c r="Q3663" t="s">
        <v>82</v>
      </c>
      <c r="R3663" t="s">
        <v>1016</v>
      </c>
    </row>
    <row r="3664" spans="1:18" x14ac:dyDescent="0.25">
      <c r="A3664" t="s">
        <v>21173</v>
      </c>
      <c r="B3664" t="s">
        <v>5067</v>
      </c>
      <c r="C3664" t="str">
        <f>HYPERLINK("https://nematode.unl.edu/eudoralt6.jpg")</f>
        <v>https://nematode.unl.edu/eudoralt6.jpg</v>
      </c>
      <c r="D3664" t="s">
        <v>77</v>
      </c>
      <c r="G3664" t="s">
        <v>34</v>
      </c>
      <c r="H3664" t="s">
        <v>18</v>
      </c>
      <c r="I3664" t="s">
        <v>41</v>
      </c>
      <c r="M3664" t="s">
        <v>5047</v>
      </c>
      <c r="N3664" t="s">
        <v>5047</v>
      </c>
      <c r="O3664" t="s">
        <v>73</v>
      </c>
      <c r="P3664" t="s">
        <v>81</v>
      </c>
      <c r="Q3664" t="s">
        <v>82</v>
      </c>
      <c r="R3664" t="s">
        <v>1016</v>
      </c>
    </row>
    <row r="3665" spans="1:18" x14ac:dyDescent="0.25">
      <c r="A3665" t="s">
        <v>21125</v>
      </c>
      <c r="B3665" t="s">
        <v>4999</v>
      </c>
      <c r="C3665" t="str">
        <f>HYPERLINK("https://nematode.unl.edu/eudoreso.jpg")</f>
        <v>https://nematode.unl.edu/eudoreso.jpg</v>
      </c>
      <c r="D3665" t="s">
        <v>16</v>
      </c>
      <c r="G3665" t="s">
        <v>17</v>
      </c>
      <c r="H3665" t="s">
        <v>18</v>
      </c>
      <c r="I3665" t="s">
        <v>19</v>
      </c>
      <c r="J3665" t="s">
        <v>46</v>
      </c>
      <c r="L3665" t="s">
        <v>727</v>
      </c>
      <c r="M3665" t="s">
        <v>1016</v>
      </c>
      <c r="N3665" t="s">
        <v>1016</v>
      </c>
      <c r="O3665" t="s">
        <v>73</v>
      </c>
      <c r="P3665" t="s">
        <v>81</v>
      </c>
      <c r="Q3665" t="s">
        <v>82</v>
      </c>
      <c r="R3665" t="s">
        <v>1016</v>
      </c>
    </row>
    <row r="3666" spans="1:18" x14ac:dyDescent="0.25">
      <c r="A3666" t="s">
        <v>21123</v>
      </c>
      <c r="B3666" t="s">
        <v>5000</v>
      </c>
      <c r="C3666" t="str">
        <f>HYPERLINK("https://nematode.unl.edu/eudorg1.jpg")</f>
        <v>https://nematode.unl.edu/eudorg1.jpg</v>
      </c>
      <c r="D3666" t="s">
        <v>77</v>
      </c>
      <c r="G3666" t="s">
        <v>96</v>
      </c>
      <c r="H3666" t="s">
        <v>18</v>
      </c>
      <c r="I3666" t="s">
        <v>45</v>
      </c>
      <c r="J3666" t="s">
        <v>127</v>
      </c>
      <c r="L3666" t="s">
        <v>131</v>
      </c>
      <c r="M3666" t="s">
        <v>1016</v>
      </c>
      <c r="N3666" t="s">
        <v>1016</v>
      </c>
      <c r="O3666" t="s">
        <v>73</v>
      </c>
      <c r="P3666" t="s">
        <v>81</v>
      </c>
      <c r="Q3666" t="s">
        <v>82</v>
      </c>
      <c r="R3666" t="s">
        <v>1016</v>
      </c>
    </row>
    <row r="3667" spans="1:18" x14ac:dyDescent="0.25">
      <c r="A3667" t="s">
        <v>21136</v>
      </c>
      <c r="B3667" t="s">
        <v>5001</v>
      </c>
      <c r="C3667" t="str">
        <f>HYPERLINK("https://nematode.unl.edu/eudorg2.jpg")</f>
        <v>https://nematode.unl.edu/eudorg2.jpg</v>
      </c>
      <c r="D3667" t="s">
        <v>77</v>
      </c>
      <c r="G3667" t="s">
        <v>181</v>
      </c>
      <c r="I3667" t="s">
        <v>45</v>
      </c>
      <c r="J3667" t="s">
        <v>127</v>
      </c>
      <c r="M3667" t="s">
        <v>1016</v>
      </c>
      <c r="N3667" t="s">
        <v>1016</v>
      </c>
      <c r="O3667" t="s">
        <v>73</v>
      </c>
      <c r="P3667" t="s">
        <v>81</v>
      </c>
      <c r="Q3667" t="s">
        <v>82</v>
      </c>
      <c r="R3667" t="s">
        <v>1016</v>
      </c>
    </row>
    <row r="3668" spans="1:18" x14ac:dyDescent="0.25">
      <c r="A3668" t="s">
        <v>21138</v>
      </c>
      <c r="B3668" t="s">
        <v>5002</v>
      </c>
      <c r="C3668" t="str">
        <f>HYPERLINK("https://nematode.unl.edu/eudorg3.jpg")</f>
        <v>https://nematode.unl.edu/eudorg3.jpg</v>
      </c>
      <c r="D3668" t="s">
        <v>77</v>
      </c>
      <c r="G3668" t="s">
        <v>28</v>
      </c>
      <c r="I3668" t="s">
        <v>137</v>
      </c>
      <c r="M3668" t="s">
        <v>1016</v>
      </c>
      <c r="N3668" t="s">
        <v>1016</v>
      </c>
      <c r="O3668" t="s">
        <v>73</v>
      </c>
      <c r="P3668" t="s">
        <v>81</v>
      </c>
      <c r="Q3668" t="s">
        <v>82</v>
      </c>
      <c r="R3668" t="s">
        <v>1016</v>
      </c>
    </row>
    <row r="3669" spans="1:18" x14ac:dyDescent="0.25">
      <c r="A3669" t="s">
        <v>21137</v>
      </c>
      <c r="B3669" t="s">
        <v>5003</v>
      </c>
      <c r="C3669" t="str">
        <f>HYPERLINK("https://nematode.unl.edu/eudorg4.jpg")</f>
        <v>https://nematode.unl.edu/eudorg4.jpg</v>
      </c>
      <c r="D3669" t="s">
        <v>77</v>
      </c>
      <c r="G3669" t="s">
        <v>181</v>
      </c>
      <c r="M3669" t="s">
        <v>1016</v>
      </c>
      <c r="N3669" t="s">
        <v>1016</v>
      </c>
      <c r="O3669" t="s">
        <v>73</v>
      </c>
      <c r="P3669" t="s">
        <v>81</v>
      </c>
      <c r="Q3669" t="s">
        <v>82</v>
      </c>
      <c r="R3669" t="s">
        <v>1016</v>
      </c>
    </row>
    <row r="3670" spans="1:18" x14ac:dyDescent="0.25">
      <c r="A3670" t="s">
        <v>21144</v>
      </c>
      <c r="B3670" t="s">
        <v>5004</v>
      </c>
      <c r="C3670" t="str">
        <f>HYPERLINK("https://nematode.unl.edu/eudorg5.jpg")</f>
        <v>https://nematode.unl.edu/eudorg5.jpg</v>
      </c>
      <c r="D3670" t="s">
        <v>77</v>
      </c>
      <c r="G3670" t="s">
        <v>5005</v>
      </c>
      <c r="I3670" t="s">
        <v>19</v>
      </c>
      <c r="J3670" t="s">
        <v>127</v>
      </c>
      <c r="L3670" t="s">
        <v>128</v>
      </c>
      <c r="M3670" t="s">
        <v>1016</v>
      </c>
      <c r="N3670" t="s">
        <v>1016</v>
      </c>
      <c r="O3670" t="s">
        <v>73</v>
      </c>
      <c r="P3670" t="s">
        <v>81</v>
      </c>
      <c r="Q3670" t="s">
        <v>82</v>
      </c>
      <c r="R3670" t="s">
        <v>1016</v>
      </c>
    </row>
    <row r="3671" spans="1:18" x14ac:dyDescent="0.25">
      <c r="A3671" t="s">
        <v>21124</v>
      </c>
      <c r="B3671" t="s">
        <v>5006</v>
      </c>
      <c r="C3671" t="str">
        <f>HYPERLINK("https://nematode.unl.edu/eudorg6.jpg")</f>
        <v>https://nematode.unl.edu/eudorg6.jpg</v>
      </c>
      <c r="D3671" t="s">
        <v>77</v>
      </c>
      <c r="G3671" t="s">
        <v>96</v>
      </c>
      <c r="H3671" t="s">
        <v>18</v>
      </c>
      <c r="I3671" t="s">
        <v>19</v>
      </c>
      <c r="J3671" t="s">
        <v>127</v>
      </c>
      <c r="L3671" t="s">
        <v>131</v>
      </c>
      <c r="M3671" t="s">
        <v>1016</v>
      </c>
      <c r="N3671" t="s">
        <v>1016</v>
      </c>
      <c r="O3671" t="s">
        <v>73</v>
      </c>
      <c r="P3671" t="s">
        <v>81</v>
      </c>
      <c r="Q3671" t="s">
        <v>82</v>
      </c>
      <c r="R3671" t="s">
        <v>1016</v>
      </c>
    </row>
    <row r="3672" spans="1:18" x14ac:dyDescent="0.25">
      <c r="A3672" t="s">
        <v>21139</v>
      </c>
      <c r="B3672" t="s">
        <v>5007</v>
      </c>
      <c r="C3672" t="str">
        <f>HYPERLINK("https://nematode.unl.edu/eudorg7.jpg")</f>
        <v>https://nematode.unl.edu/eudorg7.jpg</v>
      </c>
      <c r="D3672" t="s">
        <v>43</v>
      </c>
      <c r="G3672" t="s">
        <v>28</v>
      </c>
      <c r="J3672" t="s">
        <v>127</v>
      </c>
      <c r="L3672" t="s">
        <v>131</v>
      </c>
      <c r="M3672" t="s">
        <v>1016</v>
      </c>
      <c r="N3672" t="s">
        <v>1016</v>
      </c>
      <c r="O3672" t="s">
        <v>73</v>
      </c>
      <c r="P3672" t="s">
        <v>81</v>
      </c>
      <c r="Q3672" t="s">
        <v>82</v>
      </c>
      <c r="R3672" t="s">
        <v>1016</v>
      </c>
    </row>
    <row r="3673" spans="1:18" x14ac:dyDescent="0.25">
      <c r="A3673" t="s">
        <v>21134</v>
      </c>
      <c r="B3673" t="s">
        <v>5008</v>
      </c>
      <c r="C3673" t="str">
        <f>HYPERLINK("https://nematode.unl.edu/eudorga1.jpg")</f>
        <v>https://nematode.unl.edu/eudorga1.jpg</v>
      </c>
      <c r="D3673" t="s">
        <v>43</v>
      </c>
      <c r="G3673" t="s">
        <v>44</v>
      </c>
      <c r="I3673" t="s">
        <v>45</v>
      </c>
      <c r="J3673" t="s">
        <v>267</v>
      </c>
      <c r="M3673" t="s">
        <v>1016</v>
      </c>
      <c r="N3673" t="s">
        <v>1016</v>
      </c>
      <c r="O3673" t="s">
        <v>73</v>
      </c>
      <c r="P3673" t="s">
        <v>81</v>
      </c>
      <c r="Q3673" t="s">
        <v>82</v>
      </c>
      <c r="R3673" t="s">
        <v>1016</v>
      </c>
    </row>
    <row r="3674" spans="1:18" x14ac:dyDescent="0.25">
      <c r="A3674" t="s">
        <v>21128</v>
      </c>
      <c r="B3674" t="s">
        <v>5009</v>
      </c>
      <c r="C3674" t="str">
        <f>HYPERLINK("https://nematode.unl.edu/eudorga2.jpg")</f>
        <v>https://nematode.unl.edu/eudorga2.jpg</v>
      </c>
      <c r="D3674" t="s">
        <v>43</v>
      </c>
      <c r="G3674" t="s">
        <v>34</v>
      </c>
      <c r="H3674" t="s">
        <v>18</v>
      </c>
      <c r="I3674" t="s">
        <v>19</v>
      </c>
      <c r="J3674" t="s">
        <v>267</v>
      </c>
      <c r="M3674" t="s">
        <v>1016</v>
      </c>
      <c r="N3674" t="s">
        <v>1016</v>
      </c>
      <c r="O3674" t="s">
        <v>73</v>
      </c>
      <c r="P3674" t="s">
        <v>81</v>
      </c>
      <c r="Q3674" t="s">
        <v>82</v>
      </c>
      <c r="R3674" t="s">
        <v>1016</v>
      </c>
    </row>
    <row r="3675" spans="1:18" x14ac:dyDescent="0.25">
      <c r="A3675" t="s">
        <v>21126</v>
      </c>
      <c r="B3675" t="s">
        <v>5010</v>
      </c>
      <c r="C3675" t="str">
        <f>HYPERLINK("https://nematode.unl.edu/eudorga3.jpg")</f>
        <v>https://nematode.unl.edu/eudorga3.jpg</v>
      </c>
      <c r="D3675" t="s">
        <v>43</v>
      </c>
      <c r="G3675" t="s">
        <v>17</v>
      </c>
      <c r="H3675" t="s">
        <v>18</v>
      </c>
      <c r="J3675" t="s">
        <v>267</v>
      </c>
      <c r="M3675" t="s">
        <v>1016</v>
      </c>
      <c r="N3675" t="s">
        <v>1016</v>
      </c>
      <c r="O3675" t="s">
        <v>73</v>
      </c>
      <c r="P3675" t="s">
        <v>81</v>
      </c>
      <c r="Q3675" t="s">
        <v>82</v>
      </c>
      <c r="R3675" t="s">
        <v>1016</v>
      </c>
    </row>
    <row r="3676" spans="1:18" x14ac:dyDescent="0.25">
      <c r="A3676" t="s">
        <v>21145</v>
      </c>
      <c r="B3676" t="s">
        <v>5011</v>
      </c>
      <c r="C3676" t="str">
        <f>HYPERLINK("https://nematode.unl.edu/eudorga4.jpg")</f>
        <v>https://nematode.unl.edu/eudorga4.jpg</v>
      </c>
      <c r="D3676" t="s">
        <v>43</v>
      </c>
      <c r="G3676" t="s">
        <v>51</v>
      </c>
      <c r="I3676" t="s">
        <v>19</v>
      </c>
      <c r="J3676" t="s">
        <v>267</v>
      </c>
      <c r="M3676" t="s">
        <v>1016</v>
      </c>
      <c r="N3676" t="s">
        <v>1016</v>
      </c>
      <c r="O3676" t="s">
        <v>73</v>
      </c>
      <c r="P3676" t="s">
        <v>81</v>
      </c>
      <c r="Q3676" t="s">
        <v>82</v>
      </c>
      <c r="R3676" t="s">
        <v>1016</v>
      </c>
    </row>
    <row r="3677" spans="1:18" x14ac:dyDescent="0.25">
      <c r="A3677" t="s">
        <v>21140</v>
      </c>
      <c r="B3677" t="s">
        <v>5012</v>
      </c>
      <c r="C3677" t="str">
        <f>HYPERLINK("https://nematode.unl.edu/eudorga5.jpg")</f>
        <v>https://nematode.unl.edu/eudorga5.jpg</v>
      </c>
      <c r="D3677" t="s">
        <v>43</v>
      </c>
      <c r="G3677" t="s">
        <v>28</v>
      </c>
      <c r="J3677" t="s">
        <v>267</v>
      </c>
      <c r="M3677" t="s">
        <v>1016</v>
      </c>
      <c r="N3677" t="s">
        <v>1016</v>
      </c>
      <c r="O3677" t="s">
        <v>73</v>
      </c>
      <c r="P3677" t="s">
        <v>81</v>
      </c>
      <c r="Q3677" t="s">
        <v>82</v>
      </c>
      <c r="R3677" t="s">
        <v>1016</v>
      </c>
    </row>
    <row r="3678" spans="1:18" x14ac:dyDescent="0.25">
      <c r="A3678" t="s">
        <v>21146</v>
      </c>
      <c r="B3678" t="s">
        <v>5013</v>
      </c>
      <c r="C3678" t="str">
        <f>HYPERLINK("https://nematode.unl.edu/eudorga6.jpg")</f>
        <v>https://nematode.unl.edu/eudorga6.jpg</v>
      </c>
      <c r="D3678" t="s">
        <v>43</v>
      </c>
      <c r="G3678" t="s">
        <v>51</v>
      </c>
      <c r="I3678" t="s">
        <v>41</v>
      </c>
      <c r="J3678" t="s">
        <v>267</v>
      </c>
      <c r="M3678" t="s">
        <v>1016</v>
      </c>
      <c r="N3678" t="s">
        <v>1016</v>
      </c>
      <c r="O3678" t="s">
        <v>73</v>
      </c>
      <c r="P3678" t="s">
        <v>81</v>
      </c>
      <c r="Q3678" t="s">
        <v>82</v>
      </c>
      <c r="R3678" t="s">
        <v>1016</v>
      </c>
    </row>
    <row r="3679" spans="1:18" x14ac:dyDescent="0.25">
      <c r="A3679" t="s">
        <v>21127</v>
      </c>
      <c r="B3679" t="s">
        <v>5014</v>
      </c>
      <c r="C3679" t="str">
        <f>HYPERLINK("https://nematode.unl.edu/eudorga7.jpg")</f>
        <v>https://nematode.unl.edu/eudorga7.jpg</v>
      </c>
      <c r="D3679" t="s">
        <v>77</v>
      </c>
      <c r="G3679" t="s">
        <v>17</v>
      </c>
      <c r="H3679" t="s">
        <v>18</v>
      </c>
      <c r="I3679" t="s">
        <v>41</v>
      </c>
      <c r="J3679" t="s">
        <v>267</v>
      </c>
      <c r="M3679" t="s">
        <v>1016</v>
      </c>
      <c r="N3679" t="s">
        <v>1016</v>
      </c>
      <c r="O3679" t="s">
        <v>73</v>
      </c>
      <c r="P3679" t="s">
        <v>81</v>
      </c>
      <c r="Q3679" t="s">
        <v>82</v>
      </c>
      <c r="R3679" t="s">
        <v>1016</v>
      </c>
    </row>
    <row r="3680" spans="1:18" x14ac:dyDescent="0.25">
      <c r="A3680" t="s">
        <v>21129</v>
      </c>
      <c r="B3680" t="s">
        <v>5015</v>
      </c>
      <c r="C3680" t="str">
        <f>HYPERLINK("https://nematode.unl.edu/eudorga8.jpg")</f>
        <v>https://nematode.unl.edu/eudorga8.jpg</v>
      </c>
      <c r="D3680" t="s">
        <v>43</v>
      </c>
      <c r="G3680" t="s">
        <v>34</v>
      </c>
      <c r="H3680" t="s">
        <v>18</v>
      </c>
      <c r="J3680" t="s">
        <v>267</v>
      </c>
      <c r="M3680" t="s">
        <v>1016</v>
      </c>
      <c r="N3680" t="s">
        <v>1016</v>
      </c>
      <c r="O3680" t="s">
        <v>73</v>
      </c>
      <c r="P3680" t="s">
        <v>81</v>
      </c>
      <c r="Q3680" t="s">
        <v>82</v>
      </c>
      <c r="R3680" t="s">
        <v>1016</v>
      </c>
    </row>
    <row r="3681" spans="1:18" x14ac:dyDescent="0.25">
      <c r="A3681" t="s">
        <v>21130</v>
      </c>
      <c r="B3681" t="s">
        <v>5016</v>
      </c>
      <c r="C3681" t="str">
        <f>HYPERLINK("https://nematode.unl.edu/eudorlp.jpg")</f>
        <v>https://nematode.unl.edu/eudorlp.jpg</v>
      </c>
      <c r="D3681" t="s">
        <v>16</v>
      </c>
      <c r="G3681" t="s">
        <v>34</v>
      </c>
      <c r="H3681" t="s">
        <v>18</v>
      </c>
      <c r="I3681" t="s">
        <v>19</v>
      </c>
      <c r="J3681" t="s">
        <v>46</v>
      </c>
      <c r="L3681" t="s">
        <v>727</v>
      </c>
      <c r="M3681" t="s">
        <v>1016</v>
      </c>
      <c r="N3681" t="s">
        <v>1016</v>
      </c>
      <c r="O3681" t="s">
        <v>73</v>
      </c>
      <c r="P3681" t="s">
        <v>81</v>
      </c>
      <c r="Q3681" t="s">
        <v>82</v>
      </c>
      <c r="R3681" t="s">
        <v>1016</v>
      </c>
    </row>
    <row r="3682" spans="1:18" x14ac:dyDescent="0.25">
      <c r="A3682" t="s">
        <v>21350</v>
      </c>
      <c r="B3682" t="s">
        <v>5227</v>
      </c>
      <c r="C3682" t="str">
        <f>HYPERLINK("https://nematode.unl.edu/eudormer1.jpg")</f>
        <v>https://nematode.unl.edu/eudormer1.jpg</v>
      </c>
      <c r="D3682" t="s">
        <v>43</v>
      </c>
      <c r="G3682" t="s">
        <v>44</v>
      </c>
      <c r="I3682" t="s">
        <v>91</v>
      </c>
      <c r="J3682" t="s">
        <v>20</v>
      </c>
      <c r="L3682" t="s">
        <v>78</v>
      </c>
      <c r="M3682" t="s">
        <v>5228</v>
      </c>
      <c r="N3682" t="s">
        <v>5228</v>
      </c>
      <c r="O3682" t="s">
        <v>73</v>
      </c>
      <c r="P3682" t="s">
        <v>81</v>
      </c>
      <c r="Q3682" t="s">
        <v>82</v>
      </c>
      <c r="R3682" t="s">
        <v>1016</v>
      </c>
    </row>
    <row r="3683" spans="1:18" x14ac:dyDescent="0.25">
      <c r="A3683" t="s">
        <v>21358</v>
      </c>
      <c r="B3683" t="s">
        <v>5229</v>
      </c>
      <c r="C3683" t="str">
        <f>HYPERLINK("https://nematode.unl.edu/eudormer10.jpg")</f>
        <v>https://nematode.unl.edu/eudormer10.jpg</v>
      </c>
      <c r="D3683" t="s">
        <v>77</v>
      </c>
      <c r="G3683" t="s">
        <v>28</v>
      </c>
      <c r="I3683" t="s">
        <v>19</v>
      </c>
      <c r="J3683" t="s">
        <v>20</v>
      </c>
      <c r="L3683" t="s">
        <v>752</v>
      </c>
      <c r="M3683" t="s">
        <v>5228</v>
      </c>
      <c r="N3683" t="s">
        <v>5228</v>
      </c>
      <c r="O3683" t="s">
        <v>73</v>
      </c>
      <c r="P3683" t="s">
        <v>81</v>
      </c>
      <c r="Q3683" t="s">
        <v>82</v>
      </c>
      <c r="R3683" t="s">
        <v>1016</v>
      </c>
    </row>
    <row r="3684" spans="1:18" x14ac:dyDescent="0.25">
      <c r="A3684" t="s">
        <v>21335</v>
      </c>
      <c r="B3684" t="s">
        <v>5230</v>
      </c>
      <c r="C3684" t="str">
        <f>HYPERLINK("https://nematode.unl.edu/eudormer11.jpg")</f>
        <v>https://nematode.unl.edu/eudormer11.jpg</v>
      </c>
      <c r="D3684" t="s">
        <v>43</v>
      </c>
      <c r="G3684" t="s">
        <v>34</v>
      </c>
      <c r="H3684" t="s">
        <v>18</v>
      </c>
      <c r="M3684" t="s">
        <v>5228</v>
      </c>
      <c r="N3684" t="s">
        <v>5228</v>
      </c>
      <c r="O3684" t="s">
        <v>73</v>
      </c>
      <c r="P3684" t="s">
        <v>81</v>
      </c>
      <c r="Q3684" t="s">
        <v>82</v>
      </c>
      <c r="R3684" t="s">
        <v>1016</v>
      </c>
    </row>
    <row r="3685" spans="1:18" x14ac:dyDescent="0.25">
      <c r="A3685" t="s">
        <v>21369</v>
      </c>
      <c r="B3685" t="s">
        <v>5231</v>
      </c>
      <c r="C3685" t="str">
        <f>HYPERLINK("https://nematode.unl.edu/eudormer12.jpg")</f>
        <v>https://nematode.unl.edu/eudormer12.jpg</v>
      </c>
      <c r="D3685" t="s">
        <v>43</v>
      </c>
      <c r="G3685" t="s">
        <v>51</v>
      </c>
      <c r="I3685" t="s">
        <v>19</v>
      </c>
      <c r="M3685" t="s">
        <v>5228</v>
      </c>
      <c r="N3685" t="s">
        <v>5228</v>
      </c>
      <c r="O3685" t="s">
        <v>73</v>
      </c>
      <c r="P3685" t="s">
        <v>81</v>
      </c>
      <c r="Q3685" t="s">
        <v>82</v>
      </c>
      <c r="R3685" t="s">
        <v>1016</v>
      </c>
    </row>
    <row r="3686" spans="1:18" x14ac:dyDescent="0.25">
      <c r="A3686" t="s">
        <v>21359</v>
      </c>
      <c r="B3686" t="s">
        <v>5232</v>
      </c>
      <c r="C3686" t="str">
        <f>HYPERLINK("https://nematode.unl.edu/eudormer13.jpg")</f>
        <v>https://nematode.unl.edu/eudormer13.jpg</v>
      </c>
      <c r="D3686" t="s">
        <v>43</v>
      </c>
      <c r="G3686" t="s">
        <v>28</v>
      </c>
      <c r="M3686" t="s">
        <v>5228</v>
      </c>
      <c r="N3686" t="s">
        <v>5228</v>
      </c>
      <c r="O3686" t="s">
        <v>73</v>
      </c>
      <c r="P3686" t="s">
        <v>81</v>
      </c>
      <c r="Q3686" t="s">
        <v>82</v>
      </c>
      <c r="R3686" t="s">
        <v>1016</v>
      </c>
    </row>
    <row r="3687" spans="1:18" x14ac:dyDescent="0.25">
      <c r="A3687" t="s">
        <v>21351</v>
      </c>
      <c r="B3687" t="s">
        <v>5233</v>
      </c>
      <c r="C3687" t="str">
        <f>HYPERLINK("https://nematode.unl.edu/eudormer14.jpg")</f>
        <v>https://nematode.unl.edu/eudormer14.jpg</v>
      </c>
      <c r="D3687" t="s">
        <v>43</v>
      </c>
      <c r="G3687" t="s">
        <v>44</v>
      </c>
      <c r="I3687" t="s">
        <v>45</v>
      </c>
      <c r="J3687" t="s">
        <v>20</v>
      </c>
      <c r="L3687" t="s">
        <v>78</v>
      </c>
      <c r="M3687" t="s">
        <v>5228</v>
      </c>
      <c r="N3687" t="s">
        <v>5228</v>
      </c>
      <c r="O3687" t="s">
        <v>73</v>
      </c>
      <c r="P3687" t="s">
        <v>81</v>
      </c>
      <c r="Q3687" t="s">
        <v>82</v>
      </c>
      <c r="R3687" t="s">
        <v>1016</v>
      </c>
    </row>
    <row r="3688" spans="1:18" x14ac:dyDescent="0.25">
      <c r="A3688" t="s">
        <v>21336</v>
      </c>
      <c r="B3688" t="s">
        <v>5234</v>
      </c>
      <c r="C3688" t="str">
        <f>HYPERLINK("https://nematode.unl.edu/eudormer15.jpg")</f>
        <v>https://nematode.unl.edu/eudormer15.jpg</v>
      </c>
      <c r="D3688" t="s">
        <v>43</v>
      </c>
      <c r="G3688" t="s">
        <v>34</v>
      </c>
      <c r="H3688" t="s">
        <v>18</v>
      </c>
      <c r="I3688" t="s">
        <v>19</v>
      </c>
      <c r="J3688" t="s">
        <v>20</v>
      </c>
      <c r="L3688" t="s">
        <v>85</v>
      </c>
      <c r="M3688" t="s">
        <v>5228</v>
      </c>
      <c r="N3688" t="s">
        <v>5228</v>
      </c>
      <c r="O3688" t="s">
        <v>73</v>
      </c>
      <c r="P3688" t="s">
        <v>81</v>
      </c>
      <c r="Q3688" t="s">
        <v>82</v>
      </c>
      <c r="R3688" t="s">
        <v>1016</v>
      </c>
    </row>
    <row r="3689" spans="1:18" x14ac:dyDescent="0.25">
      <c r="A3689" t="s">
        <v>21348</v>
      </c>
      <c r="B3689" t="s">
        <v>5235</v>
      </c>
      <c r="C3689" t="str">
        <f>HYPERLINK("https://nematode.unl.edu/eudormer16.jpg")</f>
        <v>https://nematode.unl.edu/eudormer16.jpg</v>
      </c>
      <c r="D3689" t="s">
        <v>43</v>
      </c>
      <c r="G3689" t="s">
        <v>87</v>
      </c>
      <c r="L3689" t="s">
        <v>64</v>
      </c>
      <c r="M3689" t="s">
        <v>5228</v>
      </c>
      <c r="N3689" t="s">
        <v>5228</v>
      </c>
      <c r="O3689" t="s">
        <v>73</v>
      </c>
      <c r="P3689" t="s">
        <v>81</v>
      </c>
      <c r="Q3689" t="s">
        <v>82</v>
      </c>
      <c r="R3689" t="s">
        <v>1016</v>
      </c>
    </row>
    <row r="3690" spans="1:18" x14ac:dyDescent="0.25">
      <c r="A3690" t="s">
        <v>21370</v>
      </c>
      <c r="B3690" t="s">
        <v>5236</v>
      </c>
      <c r="C3690" t="str">
        <f>HYPERLINK("https://nematode.unl.edu/eudormer17.jpg")</f>
        <v>https://nematode.unl.edu/eudormer17.jpg</v>
      </c>
      <c r="D3690" t="s">
        <v>43</v>
      </c>
      <c r="G3690" t="s">
        <v>51</v>
      </c>
      <c r="I3690" t="s">
        <v>19</v>
      </c>
      <c r="J3690" t="s">
        <v>20</v>
      </c>
      <c r="L3690" t="s">
        <v>35</v>
      </c>
      <c r="M3690" t="s">
        <v>5228</v>
      </c>
      <c r="N3690" t="s">
        <v>5228</v>
      </c>
      <c r="O3690" t="s">
        <v>73</v>
      </c>
      <c r="P3690" t="s">
        <v>81</v>
      </c>
      <c r="Q3690" t="s">
        <v>82</v>
      </c>
      <c r="R3690" t="s">
        <v>1016</v>
      </c>
    </row>
    <row r="3691" spans="1:18" x14ac:dyDescent="0.25">
      <c r="A3691" t="s">
        <v>21360</v>
      </c>
      <c r="B3691" t="s">
        <v>5237</v>
      </c>
      <c r="C3691" t="str">
        <f>HYPERLINK("https://nematode.unl.edu/eudormer18.jpg")</f>
        <v>https://nematode.unl.edu/eudormer18.jpg</v>
      </c>
      <c r="D3691" t="s">
        <v>43</v>
      </c>
      <c r="G3691" t="s">
        <v>28</v>
      </c>
      <c r="J3691" t="s">
        <v>20</v>
      </c>
      <c r="L3691" t="s">
        <v>64</v>
      </c>
      <c r="M3691" t="s">
        <v>5228</v>
      </c>
      <c r="N3691" t="s">
        <v>5228</v>
      </c>
      <c r="O3691" t="s">
        <v>73</v>
      </c>
      <c r="P3691" t="s">
        <v>81</v>
      </c>
      <c r="Q3691" t="s">
        <v>82</v>
      </c>
      <c r="R3691" t="s">
        <v>1016</v>
      </c>
    </row>
    <row r="3692" spans="1:18" x14ac:dyDescent="0.25">
      <c r="A3692" t="s">
        <v>21337</v>
      </c>
      <c r="B3692" t="s">
        <v>5238</v>
      </c>
      <c r="C3692" t="str">
        <f>HYPERLINK("https://nematode.unl.edu/eudormer19.jpg")</f>
        <v>https://nematode.unl.edu/eudormer19.jpg</v>
      </c>
      <c r="D3692" t="s">
        <v>16</v>
      </c>
      <c r="G3692" t="s">
        <v>34</v>
      </c>
      <c r="H3692" t="s">
        <v>18</v>
      </c>
      <c r="I3692" t="s">
        <v>19</v>
      </c>
      <c r="M3692" t="s">
        <v>5228</v>
      </c>
      <c r="N3692" t="s">
        <v>5228</v>
      </c>
      <c r="O3692" t="s">
        <v>73</v>
      </c>
      <c r="P3692" t="s">
        <v>81</v>
      </c>
      <c r="Q3692" t="s">
        <v>82</v>
      </c>
      <c r="R3692" t="s">
        <v>1016</v>
      </c>
    </row>
    <row r="3693" spans="1:18" x14ac:dyDescent="0.25">
      <c r="A3693" t="s">
        <v>21371</v>
      </c>
      <c r="B3693" t="s">
        <v>5239</v>
      </c>
      <c r="C3693" t="str">
        <f>HYPERLINK("https://nematode.unl.edu/eudormer2.jpg")</f>
        <v>https://nematode.unl.edu/eudormer2.jpg</v>
      </c>
      <c r="D3693" t="s">
        <v>43</v>
      </c>
      <c r="G3693" t="s">
        <v>51</v>
      </c>
      <c r="M3693" t="s">
        <v>5228</v>
      </c>
      <c r="N3693" t="s">
        <v>5228</v>
      </c>
      <c r="O3693" t="s">
        <v>73</v>
      </c>
      <c r="P3693" t="s">
        <v>81</v>
      </c>
      <c r="Q3693" t="s">
        <v>82</v>
      </c>
      <c r="R3693" t="s">
        <v>1016</v>
      </c>
    </row>
    <row r="3694" spans="1:18" x14ac:dyDescent="0.25">
      <c r="A3694" t="s">
        <v>21334</v>
      </c>
      <c r="B3694" t="s">
        <v>5240</v>
      </c>
      <c r="C3694" t="str">
        <f>HYPERLINK("https://nematode.unl.edu/eudormer20.jpg")</f>
        <v>https://nematode.unl.edu/eudormer20.jpg</v>
      </c>
      <c r="D3694" t="s">
        <v>16</v>
      </c>
      <c r="G3694" t="s">
        <v>17</v>
      </c>
      <c r="H3694" t="s">
        <v>18</v>
      </c>
      <c r="J3694" t="s">
        <v>20</v>
      </c>
      <c r="L3694" t="s">
        <v>29</v>
      </c>
      <c r="M3694" t="s">
        <v>5228</v>
      </c>
      <c r="N3694" t="s">
        <v>5228</v>
      </c>
      <c r="O3694" t="s">
        <v>73</v>
      </c>
      <c r="P3694" t="s">
        <v>81</v>
      </c>
      <c r="Q3694" t="s">
        <v>82</v>
      </c>
      <c r="R3694" t="s">
        <v>1016</v>
      </c>
    </row>
    <row r="3695" spans="1:18" x14ac:dyDescent="0.25">
      <c r="A3695" t="s">
        <v>21361</v>
      </c>
      <c r="B3695" t="s">
        <v>5241</v>
      </c>
      <c r="C3695" t="str">
        <f>HYPERLINK("https://nematode.unl.edu/eudormer21.jpg")</f>
        <v>https://nematode.unl.edu/eudormer21.jpg</v>
      </c>
      <c r="D3695" t="s">
        <v>16</v>
      </c>
      <c r="G3695" t="s">
        <v>28</v>
      </c>
      <c r="M3695" t="s">
        <v>5228</v>
      </c>
      <c r="N3695" t="s">
        <v>5228</v>
      </c>
      <c r="O3695" t="s">
        <v>73</v>
      </c>
      <c r="P3695" t="s">
        <v>81</v>
      </c>
      <c r="Q3695" t="s">
        <v>82</v>
      </c>
      <c r="R3695" t="s">
        <v>1016</v>
      </c>
    </row>
    <row r="3696" spans="1:18" x14ac:dyDescent="0.25">
      <c r="A3696" t="s">
        <v>21338</v>
      </c>
      <c r="B3696" t="s">
        <v>5242</v>
      </c>
      <c r="C3696" t="str">
        <f>HYPERLINK("https://nematode.unl.edu/eudormer22.jpg")</f>
        <v>https://nematode.unl.edu/eudormer22.jpg</v>
      </c>
      <c r="D3696" t="s">
        <v>16</v>
      </c>
      <c r="G3696" t="s">
        <v>34</v>
      </c>
      <c r="H3696" t="s">
        <v>18</v>
      </c>
      <c r="I3696" t="s">
        <v>19</v>
      </c>
      <c r="J3696" t="s">
        <v>20</v>
      </c>
      <c r="L3696" t="s">
        <v>141</v>
      </c>
      <c r="M3696" t="s">
        <v>5228</v>
      </c>
      <c r="N3696" t="s">
        <v>5228</v>
      </c>
      <c r="O3696" t="s">
        <v>73</v>
      </c>
      <c r="P3696" t="s">
        <v>81</v>
      </c>
      <c r="Q3696" t="s">
        <v>82</v>
      </c>
      <c r="R3696" t="s">
        <v>1016</v>
      </c>
    </row>
    <row r="3697" spans="1:18" x14ac:dyDescent="0.25">
      <c r="A3697" t="s">
        <v>21362</v>
      </c>
      <c r="B3697" t="s">
        <v>5243</v>
      </c>
      <c r="C3697" t="str">
        <f>HYPERLINK("https://nematode.unl.edu/eudormer23.jpg")</f>
        <v>https://nematode.unl.edu/eudormer23.jpg</v>
      </c>
      <c r="D3697" t="s">
        <v>16</v>
      </c>
      <c r="G3697" t="s">
        <v>28</v>
      </c>
      <c r="I3697" t="s">
        <v>19</v>
      </c>
      <c r="J3697" t="s">
        <v>20</v>
      </c>
      <c r="L3697" t="s">
        <v>141</v>
      </c>
      <c r="M3697" t="s">
        <v>5228</v>
      </c>
      <c r="N3697" t="s">
        <v>5228</v>
      </c>
      <c r="O3697" t="s">
        <v>73</v>
      </c>
      <c r="P3697" t="s">
        <v>81</v>
      </c>
      <c r="Q3697" t="s">
        <v>82</v>
      </c>
      <c r="R3697" t="s">
        <v>1016</v>
      </c>
    </row>
    <row r="3698" spans="1:18" x14ac:dyDescent="0.25">
      <c r="A3698" t="s">
        <v>21363</v>
      </c>
      <c r="B3698" t="s">
        <v>5244</v>
      </c>
      <c r="C3698" t="str">
        <f>HYPERLINK("https://nematode.unl.edu/eudormer3.jpg")</f>
        <v>https://nematode.unl.edu/eudormer3.jpg</v>
      </c>
      <c r="D3698" t="s">
        <v>77</v>
      </c>
      <c r="G3698" t="s">
        <v>28</v>
      </c>
      <c r="I3698" t="s">
        <v>137</v>
      </c>
      <c r="J3698" t="s">
        <v>20</v>
      </c>
      <c r="L3698" t="s">
        <v>29</v>
      </c>
      <c r="M3698" t="s">
        <v>5228</v>
      </c>
      <c r="N3698" t="s">
        <v>5228</v>
      </c>
      <c r="O3698" t="s">
        <v>73</v>
      </c>
      <c r="P3698" t="s">
        <v>81</v>
      </c>
      <c r="Q3698" t="s">
        <v>82</v>
      </c>
      <c r="R3698" t="s">
        <v>1016</v>
      </c>
    </row>
    <row r="3699" spans="1:18" x14ac:dyDescent="0.25">
      <c r="A3699" t="s">
        <v>21339</v>
      </c>
      <c r="B3699" t="s">
        <v>5245</v>
      </c>
      <c r="C3699" t="str">
        <f>HYPERLINK("https://nematode.unl.edu/eudormer4.jpg")</f>
        <v>https://nematode.unl.edu/eudormer4.jpg</v>
      </c>
      <c r="D3699" t="s">
        <v>43</v>
      </c>
      <c r="G3699" t="s">
        <v>34</v>
      </c>
      <c r="H3699" t="s">
        <v>18</v>
      </c>
      <c r="I3699" t="s">
        <v>19</v>
      </c>
      <c r="J3699" t="s">
        <v>20</v>
      </c>
      <c r="M3699" t="s">
        <v>5228</v>
      </c>
      <c r="N3699" t="s">
        <v>5228</v>
      </c>
      <c r="O3699" t="s">
        <v>73</v>
      </c>
      <c r="P3699" t="s">
        <v>81</v>
      </c>
      <c r="Q3699" t="s">
        <v>82</v>
      </c>
      <c r="R3699" t="s">
        <v>1016</v>
      </c>
    </row>
    <row r="3700" spans="1:18" x14ac:dyDescent="0.25">
      <c r="A3700" t="s">
        <v>21349</v>
      </c>
      <c r="B3700" t="s">
        <v>5246</v>
      </c>
      <c r="C3700" t="str">
        <f>HYPERLINK("https://nematode.unl.edu/eudormer5.jpg")</f>
        <v>https://nematode.unl.edu/eudormer5.jpg</v>
      </c>
      <c r="D3700" t="s">
        <v>43</v>
      </c>
      <c r="G3700" t="s">
        <v>87</v>
      </c>
      <c r="J3700" t="s">
        <v>20</v>
      </c>
      <c r="L3700" t="s">
        <v>85</v>
      </c>
      <c r="M3700" t="s">
        <v>5228</v>
      </c>
      <c r="N3700" t="s">
        <v>5228</v>
      </c>
      <c r="O3700" t="s">
        <v>73</v>
      </c>
      <c r="P3700" t="s">
        <v>81</v>
      </c>
      <c r="Q3700" t="s">
        <v>82</v>
      </c>
      <c r="R3700" t="s">
        <v>1016</v>
      </c>
    </row>
    <row r="3701" spans="1:18" x14ac:dyDescent="0.25">
      <c r="A3701" t="s">
        <v>21340</v>
      </c>
      <c r="B3701" t="s">
        <v>5247</v>
      </c>
      <c r="C3701" t="str">
        <f>HYPERLINK("https://nematode.unl.edu/eudormer6.jpg")</f>
        <v>https://nematode.unl.edu/eudormer6.jpg</v>
      </c>
      <c r="D3701" t="s">
        <v>43</v>
      </c>
      <c r="G3701" t="s">
        <v>34</v>
      </c>
      <c r="H3701" t="s">
        <v>18</v>
      </c>
      <c r="I3701" t="s">
        <v>41</v>
      </c>
      <c r="J3701" t="s">
        <v>20</v>
      </c>
      <c r="L3701" t="s">
        <v>85</v>
      </c>
      <c r="M3701" t="s">
        <v>5228</v>
      </c>
      <c r="N3701" t="s">
        <v>5228</v>
      </c>
      <c r="O3701" t="s">
        <v>73</v>
      </c>
      <c r="P3701" t="s">
        <v>81</v>
      </c>
      <c r="Q3701" t="s">
        <v>82</v>
      </c>
      <c r="R3701" t="s">
        <v>1016</v>
      </c>
    </row>
    <row r="3702" spans="1:18" x14ac:dyDescent="0.25">
      <c r="A3702" t="s">
        <v>21352</v>
      </c>
      <c r="B3702" t="s">
        <v>5248</v>
      </c>
      <c r="C3702" t="str">
        <f>HYPERLINK("https://nematode.unl.edu/eudormer7.jpg")</f>
        <v>https://nematode.unl.edu/eudormer7.jpg</v>
      </c>
      <c r="D3702" t="s">
        <v>43</v>
      </c>
      <c r="G3702" t="s">
        <v>44</v>
      </c>
      <c r="I3702" t="s">
        <v>91</v>
      </c>
      <c r="J3702" t="s">
        <v>20</v>
      </c>
      <c r="L3702" t="s">
        <v>752</v>
      </c>
      <c r="M3702" t="s">
        <v>5228</v>
      </c>
      <c r="N3702" t="s">
        <v>5228</v>
      </c>
      <c r="O3702" t="s">
        <v>73</v>
      </c>
      <c r="P3702" t="s">
        <v>81</v>
      </c>
      <c r="Q3702" t="s">
        <v>82</v>
      </c>
      <c r="R3702" t="s">
        <v>1016</v>
      </c>
    </row>
    <row r="3703" spans="1:18" x14ac:dyDescent="0.25">
      <c r="A3703" t="s">
        <v>21341</v>
      </c>
      <c r="B3703" t="s">
        <v>5249</v>
      </c>
      <c r="C3703" t="str">
        <f>HYPERLINK("https://nematode.unl.edu/eudormer8.jpg")</f>
        <v>https://nematode.unl.edu/eudormer8.jpg</v>
      </c>
      <c r="D3703" t="s">
        <v>43</v>
      </c>
      <c r="G3703" t="s">
        <v>34</v>
      </c>
      <c r="H3703" t="s">
        <v>18</v>
      </c>
      <c r="J3703" t="s">
        <v>20</v>
      </c>
      <c r="L3703" t="s">
        <v>752</v>
      </c>
      <c r="M3703" t="s">
        <v>5228</v>
      </c>
      <c r="N3703" t="s">
        <v>5228</v>
      </c>
      <c r="O3703" t="s">
        <v>73</v>
      </c>
      <c r="P3703" t="s">
        <v>81</v>
      </c>
      <c r="Q3703" t="s">
        <v>82</v>
      </c>
      <c r="R3703" t="s">
        <v>1016</v>
      </c>
    </row>
    <row r="3704" spans="1:18" x14ac:dyDescent="0.25">
      <c r="A3704" t="s">
        <v>21383</v>
      </c>
      <c r="B3704" t="s">
        <v>1013</v>
      </c>
      <c r="C3704" t="str">
        <f>HYPERLINK("https://nematode.unl.edu/eudorp1.jpg")</f>
        <v>https://nematode.unl.edu/eudorp1.jpg</v>
      </c>
      <c r="D3704" t="s">
        <v>43</v>
      </c>
      <c r="G3704" t="s">
        <v>44</v>
      </c>
      <c r="I3704" t="s">
        <v>45</v>
      </c>
      <c r="J3704" t="s">
        <v>267</v>
      </c>
      <c r="M3704" t="s">
        <v>1014</v>
      </c>
      <c r="N3704" t="s">
        <v>1015</v>
      </c>
      <c r="O3704" t="s">
        <v>73</v>
      </c>
      <c r="P3704" t="s">
        <v>81</v>
      </c>
      <c r="Q3704" t="s">
        <v>82</v>
      </c>
      <c r="R3704" t="s">
        <v>1016</v>
      </c>
    </row>
    <row r="3705" spans="1:18" x14ac:dyDescent="0.25">
      <c r="A3705" t="s">
        <v>21381</v>
      </c>
      <c r="B3705" t="s">
        <v>1017</v>
      </c>
      <c r="C3705" t="str">
        <f>HYPERLINK("https://nematode.unl.edu/eudorp2.jpg")</f>
        <v>https://nematode.unl.edu/eudorp2.jpg</v>
      </c>
      <c r="D3705" t="s">
        <v>43</v>
      </c>
      <c r="G3705" t="s">
        <v>34</v>
      </c>
      <c r="H3705" t="s">
        <v>18</v>
      </c>
      <c r="J3705" t="s">
        <v>267</v>
      </c>
      <c r="M3705" t="s">
        <v>1014</v>
      </c>
      <c r="N3705" t="s">
        <v>1015</v>
      </c>
      <c r="O3705" t="s">
        <v>73</v>
      </c>
      <c r="P3705" t="s">
        <v>81</v>
      </c>
      <c r="Q3705" t="s">
        <v>82</v>
      </c>
      <c r="R3705" t="s">
        <v>1016</v>
      </c>
    </row>
    <row r="3706" spans="1:18" x14ac:dyDescent="0.25">
      <c r="A3706" t="s">
        <v>21382</v>
      </c>
      <c r="B3706" t="s">
        <v>1018</v>
      </c>
      <c r="C3706" t="str">
        <f>HYPERLINK("https://nematode.unl.edu/eudorp3.jpg")</f>
        <v>https://nematode.unl.edu/eudorp3.jpg</v>
      </c>
      <c r="D3706" t="s">
        <v>43</v>
      </c>
      <c r="G3706" t="s">
        <v>87</v>
      </c>
      <c r="I3706" t="s">
        <v>19</v>
      </c>
      <c r="J3706" t="s">
        <v>267</v>
      </c>
      <c r="M3706" t="s">
        <v>1014</v>
      </c>
      <c r="N3706" t="s">
        <v>1015</v>
      </c>
      <c r="O3706" t="s">
        <v>73</v>
      </c>
      <c r="P3706" t="s">
        <v>81</v>
      </c>
      <c r="Q3706" t="s">
        <v>82</v>
      </c>
      <c r="R3706" t="s">
        <v>1016</v>
      </c>
    </row>
    <row r="3707" spans="1:18" x14ac:dyDescent="0.25">
      <c r="A3707" t="s">
        <v>21385</v>
      </c>
      <c r="B3707" t="s">
        <v>1019</v>
      </c>
      <c r="C3707" t="str">
        <f>HYPERLINK("https://nematode.unl.edu/eudorp4.jpg")</f>
        <v>https://nematode.unl.edu/eudorp4.jpg</v>
      </c>
      <c r="D3707" t="s">
        <v>43</v>
      </c>
      <c r="G3707" t="s">
        <v>51</v>
      </c>
      <c r="J3707" t="s">
        <v>267</v>
      </c>
      <c r="M3707" t="s">
        <v>1014</v>
      </c>
      <c r="N3707" t="s">
        <v>1015</v>
      </c>
      <c r="O3707" t="s">
        <v>73</v>
      </c>
      <c r="P3707" t="s">
        <v>81</v>
      </c>
      <c r="Q3707" t="s">
        <v>82</v>
      </c>
      <c r="R3707" t="s">
        <v>1016</v>
      </c>
    </row>
    <row r="3708" spans="1:18" x14ac:dyDescent="0.25">
      <c r="A3708" t="s">
        <v>21384</v>
      </c>
      <c r="B3708" t="s">
        <v>1020</v>
      </c>
      <c r="C3708" t="str">
        <f>HYPERLINK("https://nematode.unl.edu/eudorp5.jpg")</f>
        <v>https://nematode.unl.edu/eudorp5.jpg</v>
      </c>
      <c r="D3708" t="s">
        <v>43</v>
      </c>
      <c r="G3708" t="s">
        <v>28</v>
      </c>
      <c r="J3708" t="s">
        <v>267</v>
      </c>
      <c r="M3708" t="s">
        <v>1014</v>
      </c>
      <c r="N3708" t="s">
        <v>1015</v>
      </c>
      <c r="O3708" t="s">
        <v>73</v>
      </c>
      <c r="P3708" t="s">
        <v>81</v>
      </c>
      <c r="Q3708" t="s">
        <v>82</v>
      </c>
      <c r="R3708" t="s">
        <v>1016</v>
      </c>
    </row>
    <row r="3709" spans="1:18" x14ac:dyDescent="0.25">
      <c r="A3709" t="s">
        <v>21135</v>
      </c>
      <c r="B3709" t="s">
        <v>5017</v>
      </c>
      <c r="C3709" t="str">
        <f>HYPERLINK("https://nematode.unl.edu/eudorsp1.jpg")</f>
        <v>https://nematode.unl.edu/eudorsp1.jpg</v>
      </c>
      <c r="D3709" t="s">
        <v>16</v>
      </c>
      <c r="G3709" t="s">
        <v>44</v>
      </c>
      <c r="I3709" t="s">
        <v>45</v>
      </c>
      <c r="J3709" t="s">
        <v>20</v>
      </c>
      <c r="L3709" t="s">
        <v>64</v>
      </c>
      <c r="M3709" t="s">
        <v>1016</v>
      </c>
      <c r="N3709" t="s">
        <v>1016</v>
      </c>
      <c r="O3709" t="s">
        <v>73</v>
      </c>
      <c r="P3709" t="s">
        <v>81</v>
      </c>
      <c r="Q3709" t="s">
        <v>82</v>
      </c>
      <c r="R3709" t="s">
        <v>1016</v>
      </c>
    </row>
    <row r="3710" spans="1:18" x14ac:dyDescent="0.25">
      <c r="A3710" t="s">
        <v>21131</v>
      </c>
      <c r="B3710" t="s">
        <v>5018</v>
      </c>
      <c r="C3710" t="str">
        <f>HYPERLINK("https://nematode.unl.edu/eudorsp2.jpg")</f>
        <v>https://nematode.unl.edu/eudorsp2.jpg</v>
      </c>
      <c r="D3710" t="s">
        <v>16</v>
      </c>
      <c r="G3710" t="s">
        <v>34</v>
      </c>
      <c r="H3710" t="s">
        <v>18</v>
      </c>
      <c r="J3710" t="s">
        <v>20</v>
      </c>
      <c r="L3710" t="s">
        <v>64</v>
      </c>
      <c r="M3710" t="s">
        <v>1016</v>
      </c>
      <c r="N3710" t="s">
        <v>1016</v>
      </c>
      <c r="O3710" t="s">
        <v>73</v>
      </c>
      <c r="P3710" t="s">
        <v>81</v>
      </c>
      <c r="Q3710" t="s">
        <v>82</v>
      </c>
      <c r="R3710" t="s">
        <v>1016</v>
      </c>
    </row>
    <row r="3711" spans="1:18" x14ac:dyDescent="0.25">
      <c r="A3711" t="s">
        <v>21141</v>
      </c>
      <c r="B3711" t="s">
        <v>5019</v>
      </c>
      <c r="C3711" t="str">
        <f>HYPERLINK("https://nematode.unl.edu/eudorsp3.jpg")</f>
        <v>https://nematode.unl.edu/eudorsp3.jpg</v>
      </c>
      <c r="D3711" t="s">
        <v>16</v>
      </c>
      <c r="G3711" t="s">
        <v>28</v>
      </c>
      <c r="J3711" t="s">
        <v>20</v>
      </c>
      <c r="L3711" t="s">
        <v>64</v>
      </c>
      <c r="M3711" t="s">
        <v>1016</v>
      </c>
      <c r="N3711" t="s">
        <v>1016</v>
      </c>
      <c r="O3711" t="s">
        <v>73</v>
      </c>
      <c r="P3711" t="s">
        <v>81</v>
      </c>
      <c r="Q3711" t="s">
        <v>82</v>
      </c>
      <c r="R3711" t="s">
        <v>1016</v>
      </c>
    </row>
    <row r="3712" spans="1:18" x14ac:dyDescent="0.25">
      <c r="A3712" t="s">
        <v>21132</v>
      </c>
      <c r="B3712" t="s">
        <v>5020</v>
      </c>
      <c r="C3712" t="str">
        <f>HYPERLINK("https://nematode.unl.edu/eudorsp4.jpg")</f>
        <v>https://nematode.unl.edu/eudorsp4.jpg</v>
      </c>
      <c r="D3712" t="s">
        <v>16</v>
      </c>
      <c r="G3712" t="s">
        <v>34</v>
      </c>
      <c r="H3712" t="s">
        <v>18</v>
      </c>
      <c r="I3712" t="s">
        <v>19</v>
      </c>
      <c r="J3712" t="s">
        <v>20</v>
      </c>
      <c r="L3712" t="s">
        <v>85</v>
      </c>
      <c r="M3712" t="s">
        <v>1016</v>
      </c>
      <c r="N3712" t="s">
        <v>1016</v>
      </c>
      <c r="O3712" t="s">
        <v>73</v>
      </c>
      <c r="P3712" t="s">
        <v>81</v>
      </c>
      <c r="Q3712" t="s">
        <v>82</v>
      </c>
      <c r="R3712" t="s">
        <v>1016</v>
      </c>
    </row>
    <row r="3713" spans="1:18" x14ac:dyDescent="0.25">
      <c r="A3713" t="s">
        <v>21142</v>
      </c>
      <c r="B3713" t="s">
        <v>5021</v>
      </c>
      <c r="C3713" t="str">
        <f>HYPERLINK("https://nematode.unl.edu/eudorsp5.jpg")</f>
        <v>https://nematode.unl.edu/eudorsp5.jpg</v>
      </c>
      <c r="D3713" t="s">
        <v>16</v>
      </c>
      <c r="G3713" t="s">
        <v>28</v>
      </c>
      <c r="L3713" t="s">
        <v>85</v>
      </c>
      <c r="M3713" t="s">
        <v>1016</v>
      </c>
      <c r="N3713" t="s">
        <v>1016</v>
      </c>
      <c r="O3713" t="s">
        <v>73</v>
      </c>
      <c r="P3713" t="s">
        <v>81</v>
      </c>
      <c r="Q3713" t="s">
        <v>82</v>
      </c>
      <c r="R3713" t="s">
        <v>1016</v>
      </c>
    </row>
    <row r="3714" spans="1:18" x14ac:dyDescent="0.25">
      <c r="A3714" t="s">
        <v>21133</v>
      </c>
      <c r="B3714" t="s">
        <v>5022</v>
      </c>
      <c r="C3714" t="str">
        <f>HYPERLINK("https://nematode.unl.edu/eudorspr.jpg")</f>
        <v>https://nematode.unl.edu/eudorspr.jpg</v>
      </c>
      <c r="D3714" t="s">
        <v>16</v>
      </c>
      <c r="G3714" t="s">
        <v>34</v>
      </c>
      <c r="H3714" t="s">
        <v>18</v>
      </c>
      <c r="I3714" t="s">
        <v>19</v>
      </c>
      <c r="J3714" t="s">
        <v>46</v>
      </c>
      <c r="L3714" t="s">
        <v>105</v>
      </c>
      <c r="M3714" t="s">
        <v>1016</v>
      </c>
      <c r="N3714" t="s">
        <v>1016</v>
      </c>
      <c r="O3714" t="s">
        <v>73</v>
      </c>
      <c r="P3714" t="s">
        <v>81</v>
      </c>
      <c r="Q3714" t="s">
        <v>82</v>
      </c>
      <c r="R3714" t="s">
        <v>1016</v>
      </c>
    </row>
    <row r="3715" spans="1:18" x14ac:dyDescent="0.25">
      <c r="A3715" t="s">
        <v>21143</v>
      </c>
      <c r="B3715" t="s">
        <v>5023</v>
      </c>
      <c r="C3715" t="str">
        <f>HYPERLINK("https://nematode.unl.edu/eudortl.jpg")</f>
        <v>https://nematode.unl.edu/eudortl.jpg</v>
      </c>
      <c r="D3715" t="s">
        <v>16</v>
      </c>
      <c r="G3715" t="s">
        <v>28</v>
      </c>
      <c r="J3715" t="s">
        <v>46</v>
      </c>
      <c r="L3715" t="s">
        <v>105</v>
      </c>
      <c r="M3715" t="s">
        <v>1016</v>
      </c>
      <c r="N3715" t="s">
        <v>1016</v>
      </c>
      <c r="O3715" t="s">
        <v>73</v>
      </c>
      <c r="P3715" t="s">
        <v>81</v>
      </c>
      <c r="Q3715" t="s">
        <v>82</v>
      </c>
      <c r="R3715" t="s">
        <v>1016</v>
      </c>
    </row>
    <row r="3716" spans="1:18" x14ac:dyDescent="0.25">
      <c r="A3716" t="s">
        <v>21503</v>
      </c>
      <c r="B3716" t="s">
        <v>5377</v>
      </c>
      <c r="C3716" t="str">
        <f>HYPERLINK("https://nematode.unl.edu/eudos1.jpg")</f>
        <v>https://nematode.unl.edu/eudos1.jpg</v>
      </c>
      <c r="D3716" t="s">
        <v>43</v>
      </c>
      <c r="G3716" t="s">
        <v>44</v>
      </c>
      <c r="I3716" t="s">
        <v>316</v>
      </c>
      <c r="J3716" t="s">
        <v>127</v>
      </c>
      <c r="L3716" t="s">
        <v>5264</v>
      </c>
      <c r="M3716" t="s">
        <v>5378</v>
      </c>
      <c r="N3716" t="s">
        <v>5378</v>
      </c>
      <c r="O3716" t="s">
        <v>73</v>
      </c>
      <c r="P3716" t="s">
        <v>81</v>
      </c>
      <c r="Q3716" t="s">
        <v>82</v>
      </c>
      <c r="R3716" t="s">
        <v>1016</v>
      </c>
    </row>
    <row r="3717" spans="1:18" x14ac:dyDescent="0.25">
      <c r="A3717" t="s">
        <v>21514</v>
      </c>
      <c r="B3717" t="s">
        <v>5379</v>
      </c>
      <c r="C3717" t="str">
        <f>HYPERLINK("https://nematode.unl.edu/eudos10.jpg")</f>
        <v>https://nematode.unl.edu/eudos10.jpg</v>
      </c>
      <c r="D3717" t="s">
        <v>43</v>
      </c>
      <c r="G3717" t="s">
        <v>28</v>
      </c>
      <c r="I3717" t="s">
        <v>19</v>
      </c>
      <c r="J3717" t="s">
        <v>127</v>
      </c>
      <c r="M3717" t="s">
        <v>5378</v>
      </c>
      <c r="N3717" t="s">
        <v>5378</v>
      </c>
      <c r="O3717" t="s">
        <v>73</v>
      </c>
      <c r="P3717" t="s">
        <v>81</v>
      </c>
      <c r="Q3717" t="s">
        <v>82</v>
      </c>
      <c r="R3717" t="s">
        <v>1016</v>
      </c>
    </row>
    <row r="3718" spans="1:18" x14ac:dyDescent="0.25">
      <c r="A3718" t="s">
        <v>21482</v>
      </c>
      <c r="B3718" t="s">
        <v>5380</v>
      </c>
      <c r="C3718" t="str">
        <f>HYPERLINK("https://nematode.unl.edu/eudos11.jpg")</f>
        <v>https://nematode.unl.edu/eudos11.jpg</v>
      </c>
      <c r="D3718" t="s">
        <v>43</v>
      </c>
      <c r="G3718" t="s">
        <v>34</v>
      </c>
      <c r="H3718" t="s">
        <v>18</v>
      </c>
      <c r="I3718" t="s">
        <v>41</v>
      </c>
      <c r="M3718" t="s">
        <v>5378</v>
      </c>
      <c r="N3718" t="s">
        <v>5378</v>
      </c>
      <c r="O3718" t="s">
        <v>73</v>
      </c>
      <c r="P3718" t="s">
        <v>81</v>
      </c>
      <c r="Q3718" t="s">
        <v>82</v>
      </c>
      <c r="R3718" t="s">
        <v>1016</v>
      </c>
    </row>
    <row r="3719" spans="1:18" x14ac:dyDescent="0.25">
      <c r="A3719" t="s">
        <v>21530</v>
      </c>
      <c r="B3719" t="s">
        <v>5381</v>
      </c>
      <c r="C3719" t="str">
        <f>HYPERLINK("https://nematode.unl.edu/eudos12.jpg")</f>
        <v>https://nematode.unl.edu/eudos12.jpg</v>
      </c>
      <c r="D3719" t="s">
        <v>43</v>
      </c>
      <c r="G3719" t="s">
        <v>51</v>
      </c>
      <c r="I3719" t="s">
        <v>41</v>
      </c>
      <c r="J3719" t="s">
        <v>127</v>
      </c>
      <c r="L3719" t="s">
        <v>5264</v>
      </c>
      <c r="M3719" t="s">
        <v>5378</v>
      </c>
      <c r="N3719" t="s">
        <v>5378</v>
      </c>
      <c r="O3719" t="s">
        <v>73</v>
      </c>
      <c r="P3719" t="s">
        <v>81</v>
      </c>
      <c r="Q3719" t="s">
        <v>82</v>
      </c>
      <c r="R3719" t="s">
        <v>1016</v>
      </c>
    </row>
    <row r="3720" spans="1:18" x14ac:dyDescent="0.25">
      <c r="A3720" t="s">
        <v>21515</v>
      </c>
      <c r="B3720" t="s">
        <v>5382</v>
      </c>
      <c r="C3720" t="str">
        <f>HYPERLINK("https://nematode.unl.edu/eudos13.jpg")</f>
        <v>https://nematode.unl.edu/eudos13.jpg</v>
      </c>
      <c r="D3720" t="s">
        <v>43</v>
      </c>
      <c r="G3720" t="s">
        <v>28</v>
      </c>
      <c r="J3720" t="s">
        <v>127</v>
      </c>
      <c r="M3720" t="s">
        <v>5378</v>
      </c>
      <c r="N3720" t="s">
        <v>5378</v>
      </c>
      <c r="O3720" t="s">
        <v>73</v>
      </c>
      <c r="P3720" t="s">
        <v>81</v>
      </c>
      <c r="Q3720" t="s">
        <v>82</v>
      </c>
      <c r="R3720" t="s">
        <v>1016</v>
      </c>
    </row>
    <row r="3721" spans="1:18" x14ac:dyDescent="0.25">
      <c r="A3721" t="s">
        <v>21483</v>
      </c>
      <c r="B3721" t="s">
        <v>5383</v>
      </c>
      <c r="C3721" t="str">
        <f>HYPERLINK("https://nematode.unl.edu/eudos14.jpg")</f>
        <v>https://nematode.unl.edu/eudos14.jpg</v>
      </c>
      <c r="D3721" t="s">
        <v>43</v>
      </c>
      <c r="G3721" t="s">
        <v>34</v>
      </c>
      <c r="H3721" t="s">
        <v>18</v>
      </c>
      <c r="I3721" t="s">
        <v>19</v>
      </c>
      <c r="J3721" t="s">
        <v>127</v>
      </c>
      <c r="M3721" t="s">
        <v>5378</v>
      </c>
      <c r="N3721" t="s">
        <v>5378</v>
      </c>
      <c r="O3721" t="s">
        <v>73</v>
      </c>
      <c r="P3721" t="s">
        <v>81</v>
      </c>
      <c r="Q3721" t="s">
        <v>82</v>
      </c>
      <c r="R3721" t="s">
        <v>1016</v>
      </c>
    </row>
    <row r="3722" spans="1:18" x14ac:dyDescent="0.25">
      <c r="A3722" t="s">
        <v>21481</v>
      </c>
      <c r="B3722" t="s">
        <v>5384</v>
      </c>
      <c r="C3722" t="str">
        <f>HYPERLINK("https://nematode.unl.edu/eudos15.jpg")</f>
        <v>https://nematode.unl.edu/eudos15.jpg</v>
      </c>
      <c r="D3722" t="s">
        <v>43</v>
      </c>
      <c r="G3722" t="s">
        <v>17</v>
      </c>
      <c r="H3722" t="s">
        <v>18</v>
      </c>
      <c r="J3722" t="s">
        <v>127</v>
      </c>
      <c r="M3722" t="s">
        <v>5378</v>
      </c>
      <c r="N3722" t="s">
        <v>5378</v>
      </c>
      <c r="O3722" t="s">
        <v>73</v>
      </c>
      <c r="P3722" t="s">
        <v>81</v>
      </c>
      <c r="Q3722" t="s">
        <v>82</v>
      </c>
      <c r="R3722" t="s">
        <v>1016</v>
      </c>
    </row>
    <row r="3723" spans="1:18" x14ac:dyDescent="0.25">
      <c r="A3723" t="s">
        <v>21531</v>
      </c>
      <c r="B3723" t="s">
        <v>5385</v>
      </c>
      <c r="C3723" t="str">
        <f>HYPERLINK("https://nematode.unl.edu/eudos16.jpg")</f>
        <v>https://nematode.unl.edu/eudos16.jpg</v>
      </c>
      <c r="D3723" t="s">
        <v>43</v>
      </c>
      <c r="G3723" t="s">
        <v>51</v>
      </c>
      <c r="I3723" t="s">
        <v>19</v>
      </c>
      <c r="J3723" t="s">
        <v>127</v>
      </c>
      <c r="M3723" t="s">
        <v>5378</v>
      </c>
      <c r="N3723" t="s">
        <v>5378</v>
      </c>
      <c r="O3723" t="s">
        <v>73</v>
      </c>
      <c r="P3723" t="s">
        <v>81</v>
      </c>
      <c r="Q3723" t="s">
        <v>82</v>
      </c>
      <c r="R3723" t="s">
        <v>1016</v>
      </c>
    </row>
    <row r="3724" spans="1:18" x14ac:dyDescent="0.25">
      <c r="A3724" t="s">
        <v>21516</v>
      </c>
      <c r="B3724" t="s">
        <v>5386</v>
      </c>
      <c r="C3724" t="str">
        <f>HYPERLINK("https://nematode.unl.edu/eudos17.jpg")</f>
        <v>https://nematode.unl.edu/eudos17.jpg</v>
      </c>
      <c r="D3724" t="s">
        <v>43</v>
      </c>
      <c r="G3724" t="s">
        <v>28</v>
      </c>
      <c r="J3724" t="s">
        <v>127</v>
      </c>
      <c r="M3724" t="s">
        <v>5378</v>
      </c>
      <c r="N3724" t="s">
        <v>5378</v>
      </c>
      <c r="O3724" t="s">
        <v>73</v>
      </c>
      <c r="P3724" t="s">
        <v>81</v>
      </c>
      <c r="Q3724" t="s">
        <v>82</v>
      </c>
      <c r="R3724" t="s">
        <v>1016</v>
      </c>
    </row>
    <row r="3725" spans="1:18" x14ac:dyDescent="0.25">
      <c r="A3725" t="s">
        <v>21478</v>
      </c>
      <c r="B3725" t="s">
        <v>5387</v>
      </c>
      <c r="C3725" t="str">
        <f>HYPERLINK("https://nematode.unl.edu/eudos18.jpg")</f>
        <v>https://nematode.unl.edu/eudos18.jpg</v>
      </c>
      <c r="D3725" t="s">
        <v>43</v>
      </c>
      <c r="G3725" t="s">
        <v>96</v>
      </c>
      <c r="H3725" t="s">
        <v>18</v>
      </c>
      <c r="J3725" t="s">
        <v>127</v>
      </c>
      <c r="L3725" t="s">
        <v>131</v>
      </c>
      <c r="M3725" t="s">
        <v>5378</v>
      </c>
      <c r="N3725" t="s">
        <v>5378</v>
      </c>
      <c r="O3725" t="s">
        <v>73</v>
      </c>
      <c r="P3725" t="s">
        <v>81</v>
      </c>
      <c r="Q3725" t="s">
        <v>82</v>
      </c>
      <c r="R3725" t="s">
        <v>1016</v>
      </c>
    </row>
    <row r="3726" spans="1:18" x14ac:dyDescent="0.25">
      <c r="A3726" t="s">
        <v>21512</v>
      </c>
      <c r="B3726" t="s">
        <v>5388</v>
      </c>
      <c r="C3726" t="str">
        <f>HYPERLINK("https://nematode.unl.edu/eudos19.jpg")</f>
        <v>https://nematode.unl.edu/eudos19.jpg</v>
      </c>
      <c r="D3726" t="s">
        <v>43</v>
      </c>
      <c r="G3726" t="s">
        <v>205</v>
      </c>
      <c r="I3726" t="s">
        <v>19</v>
      </c>
      <c r="J3726" t="s">
        <v>127</v>
      </c>
      <c r="L3726" t="s">
        <v>128</v>
      </c>
      <c r="M3726" t="s">
        <v>5378</v>
      </c>
      <c r="N3726" t="s">
        <v>5378</v>
      </c>
      <c r="O3726" t="s">
        <v>73</v>
      </c>
      <c r="P3726" t="s">
        <v>81</v>
      </c>
      <c r="Q3726" t="s">
        <v>82</v>
      </c>
      <c r="R3726" t="s">
        <v>1016</v>
      </c>
    </row>
    <row r="3727" spans="1:18" x14ac:dyDescent="0.25">
      <c r="A3727" t="s">
        <v>21484</v>
      </c>
      <c r="B3727" t="s">
        <v>5389</v>
      </c>
      <c r="C3727" t="str">
        <f>HYPERLINK("https://nematode.unl.edu/eudos2.jpg")</f>
        <v>https://nematode.unl.edu/eudos2.jpg</v>
      </c>
      <c r="D3727" t="s">
        <v>43</v>
      </c>
      <c r="G3727" t="s">
        <v>34</v>
      </c>
      <c r="H3727" t="s">
        <v>18</v>
      </c>
      <c r="J3727" t="s">
        <v>127</v>
      </c>
      <c r="M3727" t="s">
        <v>5378</v>
      </c>
      <c r="N3727" t="s">
        <v>5378</v>
      </c>
      <c r="O3727" t="s">
        <v>73</v>
      </c>
      <c r="P3727" t="s">
        <v>81</v>
      </c>
      <c r="Q3727" t="s">
        <v>82</v>
      </c>
      <c r="R3727" t="s">
        <v>1016</v>
      </c>
    </row>
    <row r="3728" spans="1:18" x14ac:dyDescent="0.25">
      <c r="A3728" t="s">
        <v>21517</v>
      </c>
      <c r="B3728" t="s">
        <v>5390</v>
      </c>
      <c r="C3728" t="str">
        <f>HYPERLINK("https://nematode.unl.edu/eudos20.jpg")</f>
        <v>https://nematode.unl.edu/eudos20.jpg</v>
      </c>
      <c r="D3728" t="s">
        <v>43</v>
      </c>
      <c r="G3728" t="s">
        <v>28</v>
      </c>
      <c r="J3728" t="s">
        <v>127</v>
      </c>
      <c r="M3728" t="s">
        <v>5378</v>
      </c>
      <c r="N3728" t="s">
        <v>5378</v>
      </c>
      <c r="O3728" t="s">
        <v>73</v>
      </c>
      <c r="P3728" t="s">
        <v>81</v>
      </c>
      <c r="Q3728" t="s">
        <v>82</v>
      </c>
      <c r="R3728" t="s">
        <v>1016</v>
      </c>
    </row>
    <row r="3729" spans="1:18" x14ac:dyDescent="0.25">
      <c r="A3729" t="s">
        <v>21485</v>
      </c>
      <c r="B3729" t="s">
        <v>5391</v>
      </c>
      <c r="C3729" t="str">
        <f>HYPERLINK("https://nematode.unl.edu/eudos21.jpg")</f>
        <v>https://nematode.unl.edu/eudos21.jpg</v>
      </c>
      <c r="D3729" t="s">
        <v>43</v>
      </c>
      <c r="G3729" t="s">
        <v>34</v>
      </c>
      <c r="H3729" t="s">
        <v>18</v>
      </c>
      <c r="J3729" t="s">
        <v>127</v>
      </c>
      <c r="L3729" t="s">
        <v>128</v>
      </c>
      <c r="M3729" t="s">
        <v>5378</v>
      </c>
      <c r="N3729" t="s">
        <v>5378</v>
      </c>
      <c r="O3729" t="s">
        <v>73</v>
      </c>
      <c r="P3729" t="s">
        <v>81</v>
      </c>
      <c r="Q3729" t="s">
        <v>82</v>
      </c>
      <c r="R3729" t="s">
        <v>1016</v>
      </c>
    </row>
    <row r="3730" spans="1:18" x14ac:dyDescent="0.25">
      <c r="A3730" t="s">
        <v>21532</v>
      </c>
      <c r="B3730" t="s">
        <v>5392</v>
      </c>
      <c r="C3730" t="str">
        <f>HYPERLINK("https://nematode.unl.edu/eudos22.jpg")</f>
        <v>https://nematode.unl.edu/eudos22.jpg</v>
      </c>
      <c r="D3730" t="s">
        <v>43</v>
      </c>
      <c r="G3730" t="s">
        <v>51</v>
      </c>
      <c r="I3730" t="s">
        <v>19</v>
      </c>
      <c r="J3730" t="s">
        <v>127</v>
      </c>
      <c r="L3730" t="s">
        <v>128</v>
      </c>
      <c r="M3730" t="s">
        <v>5378</v>
      </c>
      <c r="N3730" t="s">
        <v>5378</v>
      </c>
      <c r="O3730" t="s">
        <v>73</v>
      </c>
      <c r="P3730" t="s">
        <v>81</v>
      </c>
      <c r="Q3730" t="s">
        <v>82</v>
      </c>
      <c r="R3730" t="s">
        <v>1016</v>
      </c>
    </row>
    <row r="3731" spans="1:18" x14ac:dyDescent="0.25">
      <c r="A3731" t="s">
        <v>21518</v>
      </c>
      <c r="B3731" t="s">
        <v>5393</v>
      </c>
      <c r="C3731" t="str">
        <f>HYPERLINK("https://nematode.unl.edu/eudos23.jpg")</f>
        <v>https://nematode.unl.edu/eudos23.jpg</v>
      </c>
      <c r="D3731" t="s">
        <v>43</v>
      </c>
      <c r="G3731" t="s">
        <v>28</v>
      </c>
      <c r="J3731" t="s">
        <v>127</v>
      </c>
      <c r="M3731" t="s">
        <v>5378</v>
      </c>
      <c r="N3731" t="s">
        <v>5378</v>
      </c>
      <c r="O3731" t="s">
        <v>73</v>
      </c>
      <c r="P3731" t="s">
        <v>81</v>
      </c>
      <c r="Q3731" t="s">
        <v>82</v>
      </c>
      <c r="R3731" t="s">
        <v>1016</v>
      </c>
    </row>
    <row r="3732" spans="1:18" x14ac:dyDescent="0.25">
      <c r="A3732" t="s">
        <v>21486</v>
      </c>
      <c r="B3732" t="s">
        <v>5394</v>
      </c>
      <c r="C3732" t="str">
        <f>HYPERLINK("https://nematode.unl.edu/eudos24.jpg")</f>
        <v>https://nematode.unl.edu/eudos24.jpg</v>
      </c>
      <c r="D3732" t="s">
        <v>43</v>
      </c>
      <c r="G3732" t="s">
        <v>34</v>
      </c>
      <c r="H3732" t="s">
        <v>18</v>
      </c>
      <c r="J3732" t="s">
        <v>127</v>
      </c>
      <c r="L3732" t="s">
        <v>128</v>
      </c>
      <c r="M3732" t="s">
        <v>5378</v>
      </c>
      <c r="N3732" t="s">
        <v>5378</v>
      </c>
      <c r="O3732" t="s">
        <v>73</v>
      </c>
      <c r="P3732" t="s">
        <v>81</v>
      </c>
      <c r="Q3732" t="s">
        <v>82</v>
      </c>
      <c r="R3732" t="s">
        <v>1016</v>
      </c>
    </row>
    <row r="3733" spans="1:18" x14ac:dyDescent="0.25">
      <c r="A3733" t="s">
        <v>21533</v>
      </c>
      <c r="B3733" t="s">
        <v>5395</v>
      </c>
      <c r="C3733" t="str">
        <f>HYPERLINK("https://nematode.unl.edu/eudos25.jpg")</f>
        <v>https://nematode.unl.edu/eudos25.jpg</v>
      </c>
      <c r="D3733" t="s">
        <v>43</v>
      </c>
      <c r="G3733" t="s">
        <v>51</v>
      </c>
      <c r="J3733" t="s">
        <v>127</v>
      </c>
      <c r="M3733" t="s">
        <v>5378</v>
      </c>
      <c r="N3733" t="s">
        <v>5378</v>
      </c>
      <c r="O3733" t="s">
        <v>73</v>
      </c>
      <c r="P3733" t="s">
        <v>81</v>
      </c>
      <c r="Q3733" t="s">
        <v>82</v>
      </c>
      <c r="R3733" t="s">
        <v>1016</v>
      </c>
    </row>
    <row r="3734" spans="1:18" x14ac:dyDescent="0.25">
      <c r="A3734" t="s">
        <v>21519</v>
      </c>
      <c r="B3734" t="s">
        <v>5396</v>
      </c>
      <c r="C3734" t="str">
        <f>HYPERLINK("https://nematode.unl.edu/eudos26.jpg")</f>
        <v>https://nematode.unl.edu/eudos26.jpg</v>
      </c>
      <c r="D3734" t="s">
        <v>43</v>
      </c>
      <c r="G3734" t="s">
        <v>28</v>
      </c>
      <c r="L3734" t="s">
        <v>128</v>
      </c>
      <c r="M3734" t="s">
        <v>5378</v>
      </c>
      <c r="N3734" t="s">
        <v>5378</v>
      </c>
      <c r="O3734" t="s">
        <v>73</v>
      </c>
      <c r="P3734" t="s">
        <v>81</v>
      </c>
      <c r="Q3734" t="s">
        <v>82</v>
      </c>
      <c r="R3734" t="s">
        <v>1016</v>
      </c>
    </row>
    <row r="3735" spans="1:18" x14ac:dyDescent="0.25">
      <c r="A3735" t="s">
        <v>21487</v>
      </c>
      <c r="B3735" t="s">
        <v>5397</v>
      </c>
      <c r="C3735" t="str">
        <f>HYPERLINK("https://nematode.unl.edu/eudos27.jpg")</f>
        <v>https://nematode.unl.edu/eudos27.jpg</v>
      </c>
      <c r="D3735" t="s">
        <v>43</v>
      </c>
      <c r="G3735" t="s">
        <v>34</v>
      </c>
      <c r="H3735" t="s">
        <v>18</v>
      </c>
      <c r="I3735" t="s">
        <v>19</v>
      </c>
      <c r="J3735" t="s">
        <v>127</v>
      </c>
      <c r="L3735" t="s">
        <v>131</v>
      </c>
      <c r="M3735" t="s">
        <v>5378</v>
      </c>
      <c r="N3735" t="s">
        <v>5378</v>
      </c>
      <c r="O3735" t="s">
        <v>73</v>
      </c>
      <c r="P3735" t="s">
        <v>81</v>
      </c>
      <c r="Q3735" t="s">
        <v>82</v>
      </c>
      <c r="R3735" t="s">
        <v>1016</v>
      </c>
    </row>
    <row r="3736" spans="1:18" x14ac:dyDescent="0.25">
      <c r="A3736" t="s">
        <v>21498</v>
      </c>
      <c r="B3736" t="s">
        <v>5398</v>
      </c>
      <c r="C3736" t="str">
        <f>HYPERLINK("https://nematode.unl.edu/eudos28.jpg")</f>
        <v>https://nematode.unl.edu/eudos28.jpg</v>
      </c>
      <c r="D3736" t="s">
        <v>43</v>
      </c>
      <c r="G3736" t="s">
        <v>87</v>
      </c>
      <c r="J3736" t="s">
        <v>127</v>
      </c>
      <c r="M3736" t="s">
        <v>5378</v>
      </c>
      <c r="N3736" t="s">
        <v>5378</v>
      </c>
      <c r="O3736" t="s">
        <v>73</v>
      </c>
      <c r="P3736" t="s">
        <v>81</v>
      </c>
      <c r="Q3736" t="s">
        <v>82</v>
      </c>
      <c r="R3736" t="s">
        <v>1016</v>
      </c>
    </row>
    <row r="3737" spans="1:18" x14ac:dyDescent="0.25">
      <c r="A3737" t="s">
        <v>21534</v>
      </c>
      <c r="B3737" t="s">
        <v>5399</v>
      </c>
      <c r="C3737" t="str">
        <f>HYPERLINK("https://nematode.unl.edu/eudos29.jpg")</f>
        <v>https://nematode.unl.edu/eudos29.jpg</v>
      </c>
      <c r="D3737" t="s">
        <v>43</v>
      </c>
      <c r="G3737" t="s">
        <v>51</v>
      </c>
      <c r="I3737" t="s">
        <v>19</v>
      </c>
      <c r="J3737" t="s">
        <v>127</v>
      </c>
      <c r="L3737" t="s">
        <v>131</v>
      </c>
      <c r="M3737" t="s">
        <v>5378</v>
      </c>
      <c r="N3737" t="s">
        <v>5378</v>
      </c>
      <c r="O3737" t="s">
        <v>73</v>
      </c>
      <c r="P3737" t="s">
        <v>81</v>
      </c>
      <c r="Q3737" t="s">
        <v>82</v>
      </c>
      <c r="R3737" t="s">
        <v>1016</v>
      </c>
    </row>
    <row r="3738" spans="1:18" x14ac:dyDescent="0.25">
      <c r="A3738" t="s">
        <v>21499</v>
      </c>
      <c r="B3738" t="s">
        <v>5400</v>
      </c>
      <c r="C3738" t="str">
        <f>HYPERLINK("https://nematode.unl.edu/eudos3.jpg")</f>
        <v>https://nematode.unl.edu/eudos3.jpg</v>
      </c>
      <c r="D3738" t="s">
        <v>43</v>
      </c>
      <c r="G3738" t="s">
        <v>87</v>
      </c>
      <c r="J3738" t="s">
        <v>127</v>
      </c>
      <c r="M3738" t="s">
        <v>5378</v>
      </c>
      <c r="N3738" t="s">
        <v>5378</v>
      </c>
      <c r="O3738" t="s">
        <v>73</v>
      </c>
      <c r="P3738" t="s">
        <v>81</v>
      </c>
      <c r="Q3738" t="s">
        <v>82</v>
      </c>
      <c r="R3738" t="s">
        <v>1016</v>
      </c>
    </row>
    <row r="3739" spans="1:18" x14ac:dyDescent="0.25">
      <c r="A3739" t="s">
        <v>21520</v>
      </c>
      <c r="B3739" t="s">
        <v>5401</v>
      </c>
      <c r="C3739" t="str">
        <f>HYPERLINK("https://nematode.unl.edu/eudos30.jpg")</f>
        <v>https://nematode.unl.edu/eudos30.jpg</v>
      </c>
      <c r="D3739" t="s">
        <v>43</v>
      </c>
      <c r="G3739" t="s">
        <v>28</v>
      </c>
      <c r="I3739" t="s">
        <v>19</v>
      </c>
      <c r="L3739" t="s">
        <v>131</v>
      </c>
      <c r="M3739" t="s">
        <v>5378</v>
      </c>
      <c r="N3739" t="s">
        <v>5378</v>
      </c>
      <c r="O3739" t="s">
        <v>73</v>
      </c>
      <c r="P3739" t="s">
        <v>81</v>
      </c>
      <c r="Q3739" t="s">
        <v>82</v>
      </c>
      <c r="R3739" t="s">
        <v>1016</v>
      </c>
    </row>
    <row r="3740" spans="1:18" x14ac:dyDescent="0.25">
      <c r="A3740" t="s">
        <v>21535</v>
      </c>
      <c r="B3740" t="s">
        <v>5402</v>
      </c>
      <c r="C3740" t="str">
        <f>HYPERLINK("https://nematode.unl.edu/eudos4.jpg")</f>
        <v>https://nematode.unl.edu/eudos4.jpg</v>
      </c>
      <c r="D3740" t="s">
        <v>43</v>
      </c>
      <c r="G3740" t="s">
        <v>51</v>
      </c>
      <c r="I3740" t="s">
        <v>516</v>
      </c>
      <c r="J3740" t="s">
        <v>127</v>
      </c>
      <c r="L3740" t="s">
        <v>5264</v>
      </c>
      <c r="M3740" t="s">
        <v>5378</v>
      </c>
      <c r="N3740" t="s">
        <v>5378</v>
      </c>
      <c r="O3740" t="s">
        <v>73</v>
      </c>
      <c r="P3740" t="s">
        <v>81</v>
      </c>
      <c r="Q3740" t="s">
        <v>82</v>
      </c>
      <c r="R3740" t="s">
        <v>1016</v>
      </c>
    </row>
    <row r="3741" spans="1:18" x14ac:dyDescent="0.25">
      <c r="A3741" t="s">
        <v>21521</v>
      </c>
      <c r="B3741" t="s">
        <v>5403</v>
      </c>
      <c r="C3741" t="str">
        <f>HYPERLINK("https://nematode.unl.edu/eudos5.jpg")</f>
        <v>https://nematode.unl.edu/eudos5.jpg</v>
      </c>
      <c r="D3741" t="s">
        <v>43</v>
      </c>
      <c r="G3741" t="s">
        <v>28</v>
      </c>
      <c r="M3741" t="s">
        <v>5378</v>
      </c>
      <c r="N3741" t="s">
        <v>5378</v>
      </c>
      <c r="O3741" t="s">
        <v>73</v>
      </c>
      <c r="P3741" t="s">
        <v>81</v>
      </c>
      <c r="Q3741" t="s">
        <v>82</v>
      </c>
      <c r="R3741" t="s">
        <v>1016</v>
      </c>
    </row>
    <row r="3742" spans="1:18" x14ac:dyDescent="0.25">
      <c r="A3742" t="s">
        <v>21504</v>
      </c>
      <c r="B3742" t="s">
        <v>5404</v>
      </c>
      <c r="C3742" t="str">
        <f>HYPERLINK("https://nematode.unl.edu/eudos6.jpg")</f>
        <v>https://nematode.unl.edu/eudos6.jpg</v>
      </c>
      <c r="D3742" t="s">
        <v>77</v>
      </c>
      <c r="G3742" t="s">
        <v>44</v>
      </c>
      <c r="I3742" t="s">
        <v>316</v>
      </c>
      <c r="J3742" t="s">
        <v>127</v>
      </c>
      <c r="L3742" t="s">
        <v>5264</v>
      </c>
      <c r="M3742" t="s">
        <v>5378</v>
      </c>
      <c r="N3742" t="s">
        <v>5378</v>
      </c>
      <c r="O3742" t="s">
        <v>73</v>
      </c>
      <c r="P3742" t="s">
        <v>81</v>
      </c>
      <c r="Q3742" t="s">
        <v>82</v>
      </c>
      <c r="R3742" t="s">
        <v>1016</v>
      </c>
    </row>
    <row r="3743" spans="1:18" x14ac:dyDescent="0.25">
      <c r="A3743" t="s">
        <v>21488</v>
      </c>
      <c r="B3743" t="s">
        <v>5405</v>
      </c>
      <c r="C3743" t="str">
        <f>HYPERLINK("https://nematode.unl.edu/eudos7.jpg")</f>
        <v>https://nematode.unl.edu/eudos7.jpg</v>
      </c>
      <c r="D3743" t="s">
        <v>43</v>
      </c>
      <c r="G3743" t="s">
        <v>34</v>
      </c>
      <c r="H3743" t="s">
        <v>18</v>
      </c>
      <c r="I3743" t="s">
        <v>19</v>
      </c>
      <c r="J3743" t="s">
        <v>127</v>
      </c>
      <c r="M3743" t="s">
        <v>5378</v>
      </c>
      <c r="N3743" t="s">
        <v>5378</v>
      </c>
      <c r="O3743" t="s">
        <v>73</v>
      </c>
      <c r="P3743" t="s">
        <v>81</v>
      </c>
      <c r="Q3743" t="s">
        <v>82</v>
      </c>
      <c r="R3743" t="s">
        <v>1016</v>
      </c>
    </row>
    <row r="3744" spans="1:18" x14ac:dyDescent="0.25">
      <c r="A3744" t="s">
        <v>21509</v>
      </c>
      <c r="B3744" t="s">
        <v>5406</v>
      </c>
      <c r="C3744" t="str">
        <f>HYPERLINK("https://nematode.unl.edu/eudos8.jpg")</f>
        <v>https://nematode.unl.edu/eudos8.jpg</v>
      </c>
      <c r="D3744" t="s">
        <v>43</v>
      </c>
      <c r="G3744" t="s">
        <v>243</v>
      </c>
      <c r="I3744" t="s">
        <v>19</v>
      </c>
      <c r="M3744" t="s">
        <v>5378</v>
      </c>
      <c r="N3744" t="s">
        <v>5378</v>
      </c>
      <c r="O3744" t="s">
        <v>73</v>
      </c>
      <c r="P3744" t="s">
        <v>81</v>
      </c>
      <c r="Q3744" t="s">
        <v>82</v>
      </c>
      <c r="R3744" t="s">
        <v>1016</v>
      </c>
    </row>
    <row r="3745" spans="1:18" x14ac:dyDescent="0.25">
      <c r="A3745" t="s">
        <v>21536</v>
      </c>
      <c r="B3745" t="s">
        <v>5407</v>
      </c>
      <c r="C3745" t="str">
        <f>HYPERLINK("https://nematode.unl.edu/eudos9.jpg")</f>
        <v>https://nematode.unl.edu/eudos9.jpg</v>
      </c>
      <c r="D3745" t="s">
        <v>43</v>
      </c>
      <c r="G3745" t="s">
        <v>51</v>
      </c>
      <c r="I3745" t="s">
        <v>19</v>
      </c>
      <c r="J3745" t="s">
        <v>127</v>
      </c>
      <c r="M3745" t="s">
        <v>5378</v>
      </c>
      <c r="N3745" t="s">
        <v>5378</v>
      </c>
      <c r="O3745" t="s">
        <v>73</v>
      </c>
      <c r="P3745" t="s">
        <v>81</v>
      </c>
      <c r="Q3745" t="s">
        <v>82</v>
      </c>
      <c r="R3745" t="s">
        <v>1016</v>
      </c>
    </row>
    <row r="3746" spans="1:18" x14ac:dyDescent="0.25">
      <c r="A3746" t="s">
        <v>21556</v>
      </c>
      <c r="B3746" t="s">
        <v>5457</v>
      </c>
      <c r="C3746" t="str">
        <f>HYPERLINK("https://nematode.unl.edu/eudovest.jpg")</f>
        <v>https://nematode.unl.edu/eudovest.jpg</v>
      </c>
      <c r="G3746" t="s">
        <v>108</v>
      </c>
      <c r="J3746" t="s">
        <v>482</v>
      </c>
      <c r="M3746" t="s">
        <v>5458</v>
      </c>
      <c r="N3746" t="s">
        <v>5458</v>
      </c>
      <c r="O3746" t="s">
        <v>73</v>
      </c>
      <c r="P3746" t="s">
        <v>81</v>
      </c>
      <c r="Q3746" t="s">
        <v>82</v>
      </c>
      <c r="R3746" t="s">
        <v>1016</v>
      </c>
    </row>
    <row r="3747" spans="1:18" x14ac:dyDescent="0.25">
      <c r="A3747" t="s">
        <v>21398</v>
      </c>
      <c r="B3747" t="s">
        <v>5294</v>
      </c>
      <c r="C3747" t="str">
        <f>HYPERLINK("https://nematode.unl.edu/euds1.jpg")</f>
        <v>https://nematode.unl.edu/euds1.jpg</v>
      </c>
      <c r="D3747" t="s">
        <v>43</v>
      </c>
      <c r="G3747" t="s">
        <v>34</v>
      </c>
      <c r="H3747" t="s">
        <v>18</v>
      </c>
      <c r="J3747" t="s">
        <v>127</v>
      </c>
      <c r="M3747" t="s">
        <v>5289</v>
      </c>
      <c r="N3747" t="s">
        <v>5289</v>
      </c>
      <c r="O3747" t="s">
        <v>73</v>
      </c>
      <c r="P3747" t="s">
        <v>81</v>
      </c>
      <c r="Q3747" t="s">
        <v>82</v>
      </c>
      <c r="R3747" t="s">
        <v>1016</v>
      </c>
    </row>
    <row r="3748" spans="1:18" x14ac:dyDescent="0.25">
      <c r="A3748" t="s">
        <v>21426</v>
      </c>
      <c r="B3748" t="s">
        <v>5295</v>
      </c>
      <c r="C3748" t="str">
        <f>HYPERLINK("https://nematode.unl.edu/euds2.jpg")</f>
        <v>https://nematode.unl.edu/euds2.jpg</v>
      </c>
      <c r="D3748" t="s">
        <v>43</v>
      </c>
      <c r="G3748" t="s">
        <v>51</v>
      </c>
      <c r="I3748" t="s">
        <v>19</v>
      </c>
      <c r="L3748" t="s">
        <v>162</v>
      </c>
      <c r="M3748" t="s">
        <v>5289</v>
      </c>
      <c r="N3748" t="s">
        <v>5289</v>
      </c>
      <c r="O3748" t="s">
        <v>73</v>
      </c>
      <c r="P3748" t="s">
        <v>81</v>
      </c>
      <c r="Q3748" t="s">
        <v>82</v>
      </c>
      <c r="R3748" t="s">
        <v>1016</v>
      </c>
    </row>
    <row r="3749" spans="1:18" x14ac:dyDescent="0.25">
      <c r="A3749" t="s">
        <v>21415</v>
      </c>
      <c r="B3749" t="s">
        <v>5296</v>
      </c>
      <c r="C3749" t="str">
        <f>HYPERLINK("https://nematode.unl.edu/euds3.jpg")</f>
        <v>https://nematode.unl.edu/euds3.jpg</v>
      </c>
      <c r="D3749" t="s">
        <v>43</v>
      </c>
      <c r="G3749" t="s">
        <v>28</v>
      </c>
      <c r="J3749" t="s">
        <v>127</v>
      </c>
      <c r="M3749" t="s">
        <v>5289</v>
      </c>
      <c r="N3749" t="s">
        <v>5289</v>
      </c>
      <c r="O3749" t="s">
        <v>73</v>
      </c>
      <c r="P3749" t="s">
        <v>81</v>
      </c>
      <c r="Q3749" t="s">
        <v>82</v>
      </c>
      <c r="R3749" t="s">
        <v>1016</v>
      </c>
    </row>
    <row r="3750" spans="1:18" x14ac:dyDescent="0.25">
      <c r="A3750" t="s">
        <v>21399</v>
      </c>
      <c r="B3750" t="s">
        <v>5297</v>
      </c>
      <c r="C3750" t="str">
        <f>HYPERLINK("https://nematode.unl.edu/euds4.jpg")</f>
        <v>https://nematode.unl.edu/euds4.jpg</v>
      </c>
      <c r="D3750" t="s">
        <v>43</v>
      </c>
      <c r="G3750" t="s">
        <v>34</v>
      </c>
      <c r="H3750" t="s">
        <v>18</v>
      </c>
      <c r="I3750" t="s">
        <v>41</v>
      </c>
      <c r="J3750" t="s">
        <v>127</v>
      </c>
      <c r="L3750" t="s">
        <v>162</v>
      </c>
      <c r="M3750" t="s">
        <v>5289</v>
      </c>
      <c r="N3750" t="s">
        <v>5289</v>
      </c>
      <c r="O3750" t="s">
        <v>73</v>
      </c>
      <c r="P3750" t="s">
        <v>81</v>
      </c>
      <c r="Q3750" t="s">
        <v>82</v>
      </c>
      <c r="R3750" t="s">
        <v>1016</v>
      </c>
    </row>
    <row r="3751" spans="1:18" x14ac:dyDescent="0.25">
      <c r="A3751" t="s">
        <v>21412</v>
      </c>
      <c r="B3751" t="s">
        <v>5298</v>
      </c>
      <c r="C3751" t="str">
        <f>HYPERLINK("https://nematode.unl.edu/euds5.jpg")</f>
        <v>https://nematode.unl.edu/euds5.jpg</v>
      </c>
      <c r="D3751" t="s">
        <v>43</v>
      </c>
      <c r="G3751" t="s">
        <v>243</v>
      </c>
      <c r="I3751" t="s">
        <v>41</v>
      </c>
      <c r="J3751" t="s">
        <v>127</v>
      </c>
      <c r="L3751" t="s">
        <v>162</v>
      </c>
      <c r="M3751" t="s">
        <v>5289</v>
      </c>
      <c r="N3751" t="s">
        <v>5289</v>
      </c>
      <c r="O3751" t="s">
        <v>73</v>
      </c>
      <c r="P3751" t="s">
        <v>81</v>
      </c>
      <c r="Q3751" t="s">
        <v>82</v>
      </c>
      <c r="R3751" t="s">
        <v>1016</v>
      </c>
    </row>
    <row r="3752" spans="1:18" x14ac:dyDescent="0.25">
      <c r="A3752" t="s">
        <v>21325</v>
      </c>
      <c r="B3752" t="s">
        <v>5217</v>
      </c>
      <c r="C3752" t="str">
        <f>HYPERLINK("https://nematode.unl.edu/eujun1.jpg")</f>
        <v>https://nematode.unl.edu/eujun1.jpg</v>
      </c>
      <c r="D3752" t="s">
        <v>43</v>
      </c>
      <c r="G3752" t="s">
        <v>34</v>
      </c>
      <c r="H3752" t="s">
        <v>18</v>
      </c>
      <c r="J3752" t="s">
        <v>127</v>
      </c>
      <c r="L3752" t="s">
        <v>131</v>
      </c>
      <c r="M3752" t="s">
        <v>5218</v>
      </c>
      <c r="N3752" t="s">
        <v>5218</v>
      </c>
      <c r="O3752" t="s">
        <v>73</v>
      </c>
      <c r="P3752" t="s">
        <v>81</v>
      </c>
      <c r="Q3752" t="s">
        <v>82</v>
      </c>
      <c r="R3752" t="s">
        <v>1016</v>
      </c>
    </row>
    <row r="3753" spans="1:18" x14ac:dyDescent="0.25">
      <c r="A3753" t="s">
        <v>21329</v>
      </c>
      <c r="B3753" t="s">
        <v>5219</v>
      </c>
      <c r="C3753" t="str">
        <f>HYPERLINK("https://nematode.unl.edu/eujun2.jpg")</f>
        <v>https://nematode.unl.edu/eujun2.jpg</v>
      </c>
      <c r="D3753" t="s">
        <v>43</v>
      </c>
      <c r="G3753" t="s">
        <v>51</v>
      </c>
      <c r="M3753" t="s">
        <v>5218</v>
      </c>
      <c r="N3753" t="s">
        <v>5218</v>
      </c>
      <c r="O3753" t="s">
        <v>73</v>
      </c>
      <c r="P3753" t="s">
        <v>81</v>
      </c>
      <c r="Q3753" t="s">
        <v>82</v>
      </c>
      <c r="R3753" t="s">
        <v>1016</v>
      </c>
    </row>
    <row r="3754" spans="1:18" x14ac:dyDescent="0.25">
      <c r="A3754" t="s">
        <v>21327</v>
      </c>
      <c r="B3754" t="s">
        <v>5220</v>
      </c>
      <c r="C3754" t="str">
        <f>HYPERLINK("https://nematode.unl.edu/eujun3.jpg")</f>
        <v>https://nematode.unl.edu/eujun3.jpg</v>
      </c>
      <c r="D3754" t="s">
        <v>43</v>
      </c>
      <c r="G3754" t="s">
        <v>28</v>
      </c>
      <c r="I3754" t="s">
        <v>19</v>
      </c>
      <c r="J3754" t="s">
        <v>127</v>
      </c>
      <c r="L3754" t="s">
        <v>162</v>
      </c>
      <c r="M3754" t="s">
        <v>5218</v>
      </c>
      <c r="N3754" t="s">
        <v>5218</v>
      </c>
      <c r="O3754" t="s">
        <v>73</v>
      </c>
      <c r="P3754" t="s">
        <v>81</v>
      </c>
      <c r="Q3754" t="s">
        <v>82</v>
      </c>
      <c r="R3754" t="s">
        <v>1016</v>
      </c>
    </row>
    <row r="3755" spans="1:18" x14ac:dyDescent="0.25">
      <c r="A3755" t="s">
        <v>21326</v>
      </c>
      <c r="B3755" t="s">
        <v>5221</v>
      </c>
      <c r="C3755" t="str">
        <f>HYPERLINK("https://nematode.unl.edu/eujun4.jpg")</f>
        <v>https://nematode.unl.edu/eujun4.jpg</v>
      </c>
      <c r="D3755" t="s">
        <v>43</v>
      </c>
      <c r="G3755" t="s">
        <v>34</v>
      </c>
      <c r="H3755" t="s">
        <v>18</v>
      </c>
      <c r="J3755" t="s">
        <v>127</v>
      </c>
      <c r="L3755" t="s">
        <v>131</v>
      </c>
      <c r="M3755" t="s">
        <v>5218</v>
      </c>
      <c r="N3755" t="s">
        <v>5218</v>
      </c>
      <c r="O3755" t="s">
        <v>73</v>
      </c>
      <c r="P3755" t="s">
        <v>81</v>
      </c>
      <c r="Q3755" t="s">
        <v>82</v>
      </c>
      <c r="R3755" t="s">
        <v>1016</v>
      </c>
    </row>
    <row r="3756" spans="1:18" x14ac:dyDescent="0.25">
      <c r="A3756" t="s">
        <v>21324</v>
      </c>
      <c r="B3756" t="s">
        <v>5222</v>
      </c>
      <c r="C3756" t="str">
        <f>HYPERLINK("https://nematode.unl.edu/eujun5.jpg")</f>
        <v>https://nematode.unl.edu/eujun5.jpg</v>
      </c>
      <c r="D3756" t="s">
        <v>43</v>
      </c>
      <c r="G3756" t="s">
        <v>386</v>
      </c>
      <c r="H3756" t="s">
        <v>18</v>
      </c>
      <c r="I3756" t="s">
        <v>41</v>
      </c>
      <c r="J3756" t="s">
        <v>127</v>
      </c>
      <c r="L3756" t="s">
        <v>162</v>
      </c>
      <c r="M3756" t="s">
        <v>5218</v>
      </c>
      <c r="N3756" t="s">
        <v>5218</v>
      </c>
      <c r="O3756" t="s">
        <v>73</v>
      </c>
      <c r="P3756" t="s">
        <v>81</v>
      </c>
      <c r="Q3756" t="s">
        <v>82</v>
      </c>
      <c r="R3756" t="s">
        <v>1016</v>
      </c>
    </row>
    <row r="3757" spans="1:18" x14ac:dyDescent="0.25">
      <c r="A3757" t="s">
        <v>21330</v>
      </c>
      <c r="B3757" t="s">
        <v>5223</v>
      </c>
      <c r="C3757" t="str">
        <f>HYPERLINK("https://nematode.unl.edu/eujun6.jpg")</f>
        <v>https://nematode.unl.edu/eujun6.jpg</v>
      </c>
      <c r="D3757" t="s">
        <v>43</v>
      </c>
      <c r="G3757" t="s">
        <v>51</v>
      </c>
      <c r="L3757" t="s">
        <v>162</v>
      </c>
      <c r="M3757" t="s">
        <v>5218</v>
      </c>
      <c r="N3757" t="s">
        <v>5218</v>
      </c>
      <c r="O3757" t="s">
        <v>73</v>
      </c>
      <c r="P3757" t="s">
        <v>81</v>
      </c>
      <c r="Q3757" t="s">
        <v>82</v>
      </c>
      <c r="R3757" t="s">
        <v>1016</v>
      </c>
    </row>
    <row r="3758" spans="1:18" x14ac:dyDescent="0.25">
      <c r="A3758" t="s">
        <v>21328</v>
      </c>
      <c r="B3758" t="s">
        <v>5224</v>
      </c>
      <c r="C3758" t="str">
        <f>HYPERLINK("https://nematode.unl.edu/eujun7.jpg")</f>
        <v>https://nematode.unl.edu/eujun7.jpg</v>
      </c>
      <c r="D3758" t="s">
        <v>43</v>
      </c>
      <c r="G3758" t="s">
        <v>28</v>
      </c>
      <c r="J3758" t="s">
        <v>127</v>
      </c>
      <c r="L3758" t="s">
        <v>131</v>
      </c>
      <c r="M3758" t="s">
        <v>5218</v>
      </c>
      <c r="N3758" t="s">
        <v>5218</v>
      </c>
      <c r="O3758" t="s">
        <v>73</v>
      </c>
      <c r="P3758" t="s">
        <v>81</v>
      </c>
      <c r="Q3758" t="s">
        <v>82</v>
      </c>
      <c r="R3758" t="s">
        <v>1016</v>
      </c>
    </row>
    <row r="3759" spans="1:18" x14ac:dyDescent="0.25">
      <c r="A3759" t="s">
        <v>13565</v>
      </c>
      <c r="B3759" t="s">
        <v>1701</v>
      </c>
      <c r="C3759" t="str">
        <f>HYPERLINK("https://nematode.unl.edu/eula10.jpg")</f>
        <v>https://nematode.unl.edu/eula10.jpg</v>
      </c>
      <c r="D3759" t="s">
        <v>43</v>
      </c>
      <c r="G3759" t="s">
        <v>28</v>
      </c>
      <c r="M3759" t="s">
        <v>1696</v>
      </c>
      <c r="N3759" t="s">
        <v>1697</v>
      </c>
      <c r="O3759" t="s">
        <v>23</v>
      </c>
      <c r="P3759" t="s">
        <v>24</v>
      </c>
      <c r="Q3759" t="s">
        <v>25</v>
      </c>
      <c r="R3759" t="s">
        <v>1679</v>
      </c>
    </row>
    <row r="3760" spans="1:18" x14ac:dyDescent="0.25">
      <c r="A3760" t="s">
        <v>13552</v>
      </c>
      <c r="B3760" t="s">
        <v>1702</v>
      </c>
      <c r="C3760" t="str">
        <f>HYPERLINK("https://nematode.unl.edu/eula11.jpg")</f>
        <v>https://nematode.unl.edu/eula11.jpg</v>
      </c>
      <c r="D3760" t="s">
        <v>16</v>
      </c>
      <c r="G3760" t="s">
        <v>44</v>
      </c>
      <c r="I3760" t="s">
        <v>45</v>
      </c>
      <c r="J3760" t="s">
        <v>20</v>
      </c>
      <c r="L3760" t="s">
        <v>64</v>
      </c>
      <c r="M3760" t="s">
        <v>1696</v>
      </c>
      <c r="N3760" t="s">
        <v>1697</v>
      </c>
      <c r="O3760" t="s">
        <v>23</v>
      </c>
      <c r="P3760" t="s">
        <v>24</v>
      </c>
      <c r="Q3760" t="s">
        <v>25</v>
      </c>
      <c r="R3760" t="s">
        <v>1679</v>
      </c>
    </row>
    <row r="3761" spans="1:18" x14ac:dyDescent="0.25">
      <c r="A3761" t="s">
        <v>13525</v>
      </c>
      <c r="B3761" t="s">
        <v>1703</v>
      </c>
      <c r="C3761" t="str">
        <f>HYPERLINK("https://nematode.unl.edu/eula12.jpg")</f>
        <v>https://nematode.unl.edu/eula12.jpg</v>
      </c>
      <c r="D3761" t="s">
        <v>16</v>
      </c>
      <c r="G3761" t="s">
        <v>34</v>
      </c>
      <c r="H3761" t="s">
        <v>18</v>
      </c>
      <c r="I3761" t="s">
        <v>19</v>
      </c>
      <c r="J3761" t="s">
        <v>20</v>
      </c>
      <c r="L3761" t="s">
        <v>64</v>
      </c>
      <c r="M3761" t="s">
        <v>1696</v>
      </c>
      <c r="N3761" t="s">
        <v>1697</v>
      </c>
      <c r="O3761" t="s">
        <v>23</v>
      </c>
      <c r="P3761" t="s">
        <v>24</v>
      </c>
      <c r="Q3761" t="s">
        <v>25</v>
      </c>
      <c r="R3761" t="s">
        <v>1679</v>
      </c>
    </row>
    <row r="3762" spans="1:18" x14ac:dyDescent="0.25">
      <c r="A3762" t="s">
        <v>13566</v>
      </c>
      <c r="B3762" t="s">
        <v>1704</v>
      </c>
      <c r="C3762" t="str">
        <f>HYPERLINK("https://nematode.unl.edu/eula13.jpg")</f>
        <v>https://nematode.unl.edu/eula13.jpg</v>
      </c>
      <c r="D3762" t="s">
        <v>16</v>
      </c>
      <c r="G3762" t="s">
        <v>28</v>
      </c>
      <c r="I3762" t="s">
        <v>19</v>
      </c>
      <c r="J3762" t="s">
        <v>20</v>
      </c>
      <c r="L3762" t="s">
        <v>29</v>
      </c>
      <c r="M3762" t="s">
        <v>1696</v>
      </c>
      <c r="N3762" t="s">
        <v>1697</v>
      </c>
      <c r="O3762" t="s">
        <v>23</v>
      </c>
      <c r="P3762" t="s">
        <v>24</v>
      </c>
      <c r="Q3762" t="s">
        <v>25</v>
      </c>
      <c r="R3762" t="s">
        <v>1679</v>
      </c>
    </row>
    <row r="3763" spans="1:18" x14ac:dyDescent="0.25">
      <c r="A3763" t="s">
        <v>13567</v>
      </c>
      <c r="B3763" t="s">
        <v>1705</v>
      </c>
      <c r="C3763" t="str">
        <f>HYPERLINK("https://nematode.unl.edu/eula15.jpg")</f>
        <v>https://nematode.unl.edu/eula15.jpg</v>
      </c>
      <c r="D3763" t="s">
        <v>77</v>
      </c>
      <c r="G3763" t="s">
        <v>28</v>
      </c>
      <c r="I3763" t="s">
        <v>19</v>
      </c>
      <c r="M3763" t="s">
        <v>1696</v>
      </c>
      <c r="N3763" t="s">
        <v>1697</v>
      </c>
      <c r="O3763" t="s">
        <v>23</v>
      </c>
      <c r="P3763" t="s">
        <v>24</v>
      </c>
      <c r="Q3763" t="s">
        <v>25</v>
      </c>
      <c r="R3763" t="s">
        <v>1679</v>
      </c>
    </row>
    <row r="3764" spans="1:18" x14ac:dyDescent="0.25">
      <c r="A3764" t="s">
        <v>13553</v>
      </c>
      <c r="B3764" t="s">
        <v>1706</v>
      </c>
      <c r="C3764" t="str">
        <f>HYPERLINK("https://nematode.unl.edu/eula16.jpg")</f>
        <v>https://nematode.unl.edu/eula16.jpg</v>
      </c>
      <c r="D3764" t="s">
        <v>77</v>
      </c>
      <c r="G3764" t="s">
        <v>44</v>
      </c>
      <c r="I3764" t="s">
        <v>45</v>
      </c>
      <c r="J3764" t="s">
        <v>20</v>
      </c>
      <c r="L3764" t="s">
        <v>1707</v>
      </c>
      <c r="M3764" t="s">
        <v>1696</v>
      </c>
      <c r="N3764" t="s">
        <v>1697</v>
      </c>
      <c r="O3764" t="s">
        <v>23</v>
      </c>
      <c r="P3764" t="s">
        <v>24</v>
      </c>
      <c r="Q3764" t="s">
        <v>25</v>
      </c>
      <c r="R3764" t="s">
        <v>1679</v>
      </c>
    </row>
    <row r="3765" spans="1:18" x14ac:dyDescent="0.25">
      <c r="A3765" t="s">
        <v>13554</v>
      </c>
      <c r="B3765" t="s">
        <v>1708</v>
      </c>
      <c r="C3765" t="str">
        <f>HYPERLINK("https://nematode.unl.edu/eula17.jpg")</f>
        <v>https://nematode.unl.edu/eula17.jpg</v>
      </c>
      <c r="D3765" t="s">
        <v>43</v>
      </c>
      <c r="G3765" t="s">
        <v>44</v>
      </c>
      <c r="I3765" t="s">
        <v>45</v>
      </c>
      <c r="J3765" t="s">
        <v>20</v>
      </c>
      <c r="L3765" t="s">
        <v>1709</v>
      </c>
      <c r="M3765" t="s">
        <v>1696</v>
      </c>
      <c r="N3765" t="s">
        <v>1697</v>
      </c>
      <c r="O3765" t="s">
        <v>23</v>
      </c>
      <c r="P3765" t="s">
        <v>24</v>
      </c>
      <c r="Q3765" t="s">
        <v>25</v>
      </c>
      <c r="R3765" t="s">
        <v>1679</v>
      </c>
    </row>
    <row r="3766" spans="1:18" x14ac:dyDescent="0.25">
      <c r="A3766" t="s">
        <v>13526</v>
      </c>
      <c r="B3766" t="s">
        <v>1710</v>
      </c>
      <c r="C3766" t="str">
        <f>HYPERLINK("https://nematode.unl.edu/eula18.jpg")</f>
        <v>https://nematode.unl.edu/eula18.jpg</v>
      </c>
      <c r="D3766" t="s">
        <v>77</v>
      </c>
      <c r="G3766" t="s">
        <v>34</v>
      </c>
      <c r="H3766" t="s">
        <v>18</v>
      </c>
      <c r="J3766" t="s">
        <v>20</v>
      </c>
      <c r="L3766" t="s">
        <v>38</v>
      </c>
      <c r="M3766" t="s">
        <v>1696</v>
      </c>
      <c r="N3766" t="s">
        <v>1697</v>
      </c>
      <c r="O3766" t="s">
        <v>23</v>
      </c>
      <c r="P3766" t="s">
        <v>24</v>
      </c>
      <c r="Q3766" t="s">
        <v>25</v>
      </c>
      <c r="R3766" t="s">
        <v>1679</v>
      </c>
    </row>
    <row r="3767" spans="1:18" x14ac:dyDescent="0.25">
      <c r="A3767" t="s">
        <v>13568</v>
      </c>
      <c r="B3767" t="s">
        <v>1711</v>
      </c>
      <c r="C3767" t="str">
        <f>HYPERLINK("https://nematode.unl.edu/eula19.jpg")</f>
        <v>https://nematode.unl.edu/eula19.jpg</v>
      </c>
      <c r="D3767" t="s">
        <v>77</v>
      </c>
      <c r="G3767" t="s">
        <v>28</v>
      </c>
      <c r="I3767" t="s">
        <v>19</v>
      </c>
      <c r="J3767" t="s">
        <v>20</v>
      </c>
      <c r="L3767" t="s">
        <v>38</v>
      </c>
      <c r="M3767" t="s">
        <v>1696</v>
      </c>
      <c r="N3767" t="s">
        <v>1697</v>
      </c>
      <c r="O3767" t="s">
        <v>23</v>
      </c>
      <c r="P3767" t="s">
        <v>24</v>
      </c>
      <c r="Q3767" t="s">
        <v>25</v>
      </c>
      <c r="R3767" t="s">
        <v>1679</v>
      </c>
    </row>
    <row r="3768" spans="1:18" x14ac:dyDescent="0.25">
      <c r="A3768" t="s">
        <v>13569</v>
      </c>
      <c r="B3768" t="s">
        <v>1712</v>
      </c>
      <c r="C3768" t="str">
        <f>HYPERLINK("https://nematode.unl.edu/eula20.jpg")</f>
        <v>https://nematode.unl.edu/eula20.jpg</v>
      </c>
      <c r="D3768" t="s">
        <v>43</v>
      </c>
      <c r="G3768" t="s">
        <v>28</v>
      </c>
      <c r="J3768" t="s">
        <v>20</v>
      </c>
      <c r="L3768" t="s">
        <v>38</v>
      </c>
      <c r="M3768" t="s">
        <v>1696</v>
      </c>
      <c r="N3768" t="s">
        <v>1697</v>
      </c>
      <c r="O3768" t="s">
        <v>23</v>
      </c>
      <c r="P3768" t="s">
        <v>24</v>
      </c>
      <c r="Q3768" t="s">
        <v>25</v>
      </c>
      <c r="R3768" t="s">
        <v>1679</v>
      </c>
    </row>
    <row r="3769" spans="1:18" x14ac:dyDescent="0.25">
      <c r="A3769" t="s">
        <v>13584</v>
      </c>
      <c r="B3769" t="s">
        <v>1713</v>
      </c>
      <c r="C3769" t="str">
        <f>HYPERLINK("https://nematode.unl.edu/eula21.jpg")</f>
        <v>https://nematode.unl.edu/eula21.jpg</v>
      </c>
      <c r="D3769" t="s">
        <v>43</v>
      </c>
      <c r="G3769" t="s">
        <v>51</v>
      </c>
      <c r="I3769" t="s">
        <v>19</v>
      </c>
      <c r="L3769" t="s">
        <v>38</v>
      </c>
      <c r="M3769" t="s">
        <v>1696</v>
      </c>
      <c r="N3769" t="s">
        <v>1697</v>
      </c>
      <c r="O3769" t="s">
        <v>23</v>
      </c>
      <c r="P3769" t="s">
        <v>24</v>
      </c>
      <c r="Q3769" t="s">
        <v>25</v>
      </c>
      <c r="R3769" t="s">
        <v>1679</v>
      </c>
    </row>
    <row r="3770" spans="1:18" x14ac:dyDescent="0.25">
      <c r="A3770" t="s">
        <v>13527</v>
      </c>
      <c r="B3770" t="s">
        <v>1714</v>
      </c>
      <c r="C3770" t="str">
        <f>HYPERLINK("https://nematode.unl.edu/eula22.jpg")</f>
        <v>https://nematode.unl.edu/eula22.jpg</v>
      </c>
      <c r="D3770" t="s">
        <v>43</v>
      </c>
      <c r="G3770" t="s">
        <v>34</v>
      </c>
      <c r="H3770" t="s">
        <v>18</v>
      </c>
      <c r="J3770" t="s">
        <v>20</v>
      </c>
      <c r="L3770" t="s">
        <v>38</v>
      </c>
      <c r="M3770" t="s">
        <v>1696</v>
      </c>
      <c r="N3770" t="s">
        <v>1697</v>
      </c>
      <c r="O3770" t="s">
        <v>23</v>
      </c>
      <c r="P3770" t="s">
        <v>24</v>
      </c>
      <c r="Q3770" t="s">
        <v>25</v>
      </c>
      <c r="R3770" t="s">
        <v>1679</v>
      </c>
    </row>
    <row r="3771" spans="1:18" x14ac:dyDescent="0.25">
      <c r="A3771" t="s">
        <v>13528</v>
      </c>
      <c r="B3771" t="s">
        <v>1715</v>
      </c>
      <c r="C3771" t="str">
        <f>HYPERLINK("https://nematode.unl.edu/eula23.jpg")</f>
        <v>https://nematode.unl.edu/eula23.jpg</v>
      </c>
      <c r="D3771" t="s">
        <v>77</v>
      </c>
      <c r="G3771" t="s">
        <v>34</v>
      </c>
      <c r="H3771" t="s">
        <v>18</v>
      </c>
      <c r="J3771" t="s">
        <v>20</v>
      </c>
      <c r="L3771" t="s">
        <v>64</v>
      </c>
      <c r="M3771" t="s">
        <v>1696</v>
      </c>
      <c r="N3771" t="s">
        <v>1697</v>
      </c>
      <c r="O3771" t="s">
        <v>23</v>
      </c>
      <c r="P3771" t="s">
        <v>24</v>
      </c>
      <c r="Q3771" t="s">
        <v>25</v>
      </c>
      <c r="R3771" t="s">
        <v>1679</v>
      </c>
    </row>
    <row r="3772" spans="1:18" x14ac:dyDescent="0.25">
      <c r="A3772" t="s">
        <v>13570</v>
      </c>
      <c r="B3772" t="s">
        <v>1716</v>
      </c>
      <c r="C3772" t="str">
        <f>HYPERLINK("https://nematode.unl.edu/eula24.jpg")</f>
        <v>https://nematode.unl.edu/eula24.jpg</v>
      </c>
      <c r="D3772" t="s">
        <v>77</v>
      </c>
      <c r="G3772" t="s">
        <v>28</v>
      </c>
      <c r="J3772" t="s">
        <v>20</v>
      </c>
      <c r="L3772" t="s">
        <v>64</v>
      </c>
      <c r="M3772" t="s">
        <v>1696</v>
      </c>
      <c r="N3772" t="s">
        <v>1697</v>
      </c>
      <c r="O3772" t="s">
        <v>23</v>
      </c>
      <c r="P3772" t="s">
        <v>24</v>
      </c>
      <c r="Q3772" t="s">
        <v>25</v>
      </c>
      <c r="R3772" t="s">
        <v>1679</v>
      </c>
    </row>
    <row r="3773" spans="1:18" x14ac:dyDescent="0.25">
      <c r="A3773" t="s">
        <v>13555</v>
      </c>
      <c r="B3773" t="s">
        <v>1717</v>
      </c>
      <c r="C3773" t="str">
        <f>HYPERLINK("https://nematode.unl.edu/eula25.jpg")</f>
        <v>https://nematode.unl.edu/eula25.jpg</v>
      </c>
      <c r="D3773" t="s">
        <v>77</v>
      </c>
      <c r="G3773" t="s">
        <v>44</v>
      </c>
      <c r="I3773" t="s">
        <v>45</v>
      </c>
      <c r="J3773" t="s">
        <v>20</v>
      </c>
      <c r="L3773" t="s">
        <v>1718</v>
      </c>
      <c r="M3773" t="s">
        <v>1696</v>
      </c>
      <c r="N3773" t="s">
        <v>1697</v>
      </c>
      <c r="O3773" t="s">
        <v>23</v>
      </c>
      <c r="P3773" t="s">
        <v>24</v>
      </c>
      <c r="Q3773" t="s">
        <v>25</v>
      </c>
      <c r="R3773" t="s">
        <v>1679</v>
      </c>
    </row>
    <row r="3774" spans="1:18" x14ac:dyDescent="0.25">
      <c r="A3774" t="s">
        <v>13559</v>
      </c>
      <c r="B3774" t="s">
        <v>1719</v>
      </c>
      <c r="C3774" t="str">
        <f>HYPERLINK("https://nematode.unl.edu/eula26.jpg")</f>
        <v>https://nematode.unl.edu/eula26.jpg</v>
      </c>
      <c r="D3774" t="s">
        <v>43</v>
      </c>
      <c r="G3774" t="s">
        <v>53</v>
      </c>
      <c r="J3774" t="s">
        <v>20</v>
      </c>
      <c r="M3774" t="s">
        <v>1696</v>
      </c>
      <c r="N3774" t="s">
        <v>1697</v>
      </c>
      <c r="O3774" t="s">
        <v>23</v>
      </c>
      <c r="P3774" t="s">
        <v>24</v>
      </c>
      <c r="Q3774" t="s">
        <v>25</v>
      </c>
      <c r="R3774" t="s">
        <v>1679</v>
      </c>
    </row>
    <row r="3775" spans="1:18" x14ac:dyDescent="0.25">
      <c r="A3775" t="s">
        <v>13585</v>
      </c>
      <c r="B3775" t="s">
        <v>1720</v>
      </c>
      <c r="C3775" t="str">
        <f>HYPERLINK("https://nematode.unl.edu/eula27.jpg")</f>
        <v>https://nematode.unl.edu/eula27.jpg</v>
      </c>
      <c r="D3775" t="s">
        <v>43</v>
      </c>
      <c r="G3775" t="s">
        <v>51</v>
      </c>
      <c r="I3775" t="s">
        <v>19</v>
      </c>
      <c r="J3775" t="s">
        <v>20</v>
      </c>
      <c r="M3775" t="s">
        <v>1696</v>
      </c>
      <c r="N3775" t="s">
        <v>1697</v>
      </c>
      <c r="O3775" t="s">
        <v>23</v>
      </c>
      <c r="P3775" t="s">
        <v>24</v>
      </c>
      <c r="Q3775" t="s">
        <v>25</v>
      </c>
      <c r="R3775" t="s">
        <v>1679</v>
      </c>
    </row>
    <row r="3776" spans="1:18" x14ac:dyDescent="0.25">
      <c r="A3776" t="s">
        <v>13571</v>
      </c>
      <c r="B3776" t="s">
        <v>1721</v>
      </c>
      <c r="C3776" t="str">
        <f>HYPERLINK("https://nematode.unl.edu/eula28.jpg")</f>
        <v>https://nematode.unl.edu/eula28.jpg</v>
      </c>
      <c r="D3776" t="s">
        <v>43</v>
      </c>
      <c r="G3776" t="s">
        <v>28</v>
      </c>
      <c r="I3776" t="s">
        <v>19</v>
      </c>
      <c r="M3776" t="s">
        <v>1696</v>
      </c>
      <c r="N3776" t="s">
        <v>1697</v>
      </c>
      <c r="O3776" t="s">
        <v>23</v>
      </c>
      <c r="P3776" t="s">
        <v>24</v>
      </c>
      <c r="Q3776" t="s">
        <v>25</v>
      </c>
      <c r="R3776" t="s">
        <v>1679</v>
      </c>
    </row>
    <row r="3777" spans="1:18" x14ac:dyDescent="0.25">
      <c r="A3777" t="s">
        <v>13529</v>
      </c>
      <c r="B3777" t="s">
        <v>1722</v>
      </c>
      <c r="C3777" t="str">
        <f>HYPERLINK("https://nematode.unl.edu/eula29.jpg")</f>
        <v>https://nematode.unl.edu/eula29.jpg</v>
      </c>
      <c r="D3777" t="s">
        <v>43</v>
      </c>
      <c r="G3777" t="s">
        <v>34</v>
      </c>
      <c r="H3777" t="s">
        <v>18</v>
      </c>
      <c r="J3777" t="s">
        <v>20</v>
      </c>
      <c r="L3777" t="s">
        <v>64</v>
      </c>
      <c r="M3777" t="s">
        <v>1696</v>
      </c>
      <c r="N3777" t="s">
        <v>1697</v>
      </c>
      <c r="O3777" t="s">
        <v>23</v>
      </c>
      <c r="P3777" t="s">
        <v>24</v>
      </c>
      <c r="Q3777" t="s">
        <v>25</v>
      </c>
      <c r="R3777" t="s">
        <v>1679</v>
      </c>
    </row>
    <row r="3778" spans="1:18" x14ac:dyDescent="0.25">
      <c r="A3778" t="s">
        <v>13530</v>
      </c>
      <c r="B3778" t="s">
        <v>1723</v>
      </c>
      <c r="C3778" t="str">
        <f>HYPERLINK("https://nematode.unl.edu/eula30.jpg")</f>
        <v>https://nematode.unl.edu/eula30.jpg</v>
      </c>
      <c r="D3778" t="s">
        <v>43</v>
      </c>
      <c r="G3778" t="s">
        <v>34</v>
      </c>
      <c r="H3778" t="s">
        <v>18</v>
      </c>
      <c r="I3778" t="s">
        <v>19</v>
      </c>
      <c r="J3778" t="s">
        <v>20</v>
      </c>
      <c r="L3778" t="s">
        <v>38</v>
      </c>
      <c r="M3778" t="s">
        <v>1696</v>
      </c>
      <c r="N3778" t="s">
        <v>1697</v>
      </c>
      <c r="O3778" t="s">
        <v>23</v>
      </c>
      <c r="P3778" t="s">
        <v>24</v>
      </c>
      <c r="Q3778" t="s">
        <v>25</v>
      </c>
      <c r="R3778" t="s">
        <v>1679</v>
      </c>
    </row>
    <row r="3779" spans="1:18" x14ac:dyDescent="0.25">
      <c r="A3779" t="s">
        <v>13572</v>
      </c>
      <c r="B3779" t="s">
        <v>1724</v>
      </c>
      <c r="C3779" t="str">
        <f>HYPERLINK("https://nematode.unl.edu/eula31.jpg")</f>
        <v>https://nematode.unl.edu/eula31.jpg</v>
      </c>
      <c r="D3779" t="s">
        <v>43</v>
      </c>
      <c r="G3779" t="s">
        <v>28</v>
      </c>
      <c r="J3779" t="s">
        <v>20</v>
      </c>
      <c r="L3779" t="s">
        <v>38</v>
      </c>
      <c r="M3779" t="s">
        <v>1696</v>
      </c>
      <c r="N3779" t="s">
        <v>1697</v>
      </c>
      <c r="O3779" t="s">
        <v>23</v>
      </c>
      <c r="P3779" t="s">
        <v>24</v>
      </c>
      <c r="Q3779" t="s">
        <v>25</v>
      </c>
      <c r="R3779" t="s">
        <v>1679</v>
      </c>
    </row>
    <row r="3780" spans="1:18" x14ac:dyDescent="0.25">
      <c r="A3780" t="s">
        <v>13531</v>
      </c>
      <c r="B3780" t="s">
        <v>1725</v>
      </c>
      <c r="C3780" t="str">
        <f>HYPERLINK("https://nematode.unl.edu/eula32.jpg")</f>
        <v>https://nematode.unl.edu/eula32.jpg</v>
      </c>
      <c r="D3780" t="s">
        <v>77</v>
      </c>
      <c r="G3780" t="s">
        <v>34</v>
      </c>
      <c r="H3780" t="s">
        <v>18</v>
      </c>
      <c r="I3780" t="s">
        <v>19</v>
      </c>
      <c r="J3780" t="s">
        <v>20</v>
      </c>
      <c r="M3780" t="s">
        <v>1696</v>
      </c>
      <c r="N3780" t="s">
        <v>1697</v>
      </c>
      <c r="O3780" t="s">
        <v>23</v>
      </c>
      <c r="P3780" t="s">
        <v>24</v>
      </c>
      <c r="Q3780" t="s">
        <v>25</v>
      </c>
      <c r="R3780" t="s">
        <v>1679</v>
      </c>
    </row>
    <row r="3781" spans="1:18" x14ac:dyDescent="0.25">
      <c r="A3781" t="s">
        <v>13573</v>
      </c>
      <c r="B3781" t="s">
        <v>1726</v>
      </c>
      <c r="C3781" t="str">
        <f>HYPERLINK("https://nematode.unl.edu/eula33.jpg")</f>
        <v>https://nematode.unl.edu/eula33.jpg</v>
      </c>
      <c r="D3781" t="s">
        <v>77</v>
      </c>
      <c r="G3781" t="s">
        <v>28</v>
      </c>
      <c r="I3781" t="s">
        <v>19</v>
      </c>
      <c r="J3781" t="s">
        <v>20</v>
      </c>
      <c r="M3781" t="s">
        <v>1696</v>
      </c>
      <c r="N3781" t="s">
        <v>1697</v>
      </c>
      <c r="O3781" t="s">
        <v>23</v>
      </c>
      <c r="P3781" t="s">
        <v>24</v>
      </c>
      <c r="Q3781" t="s">
        <v>25</v>
      </c>
      <c r="R3781" t="s">
        <v>1679</v>
      </c>
    </row>
    <row r="3782" spans="1:18" x14ac:dyDescent="0.25">
      <c r="A3782" t="s">
        <v>13556</v>
      </c>
      <c r="B3782" t="s">
        <v>1727</v>
      </c>
      <c r="C3782" t="str">
        <f>HYPERLINK("https://nematode.unl.edu/eula34.jpg")</f>
        <v>https://nematode.unl.edu/eula34.jpg</v>
      </c>
      <c r="D3782" t="s">
        <v>43</v>
      </c>
      <c r="G3782" t="s">
        <v>44</v>
      </c>
      <c r="I3782" t="s">
        <v>91</v>
      </c>
      <c r="J3782" t="s">
        <v>20</v>
      </c>
      <c r="L3782" t="s">
        <v>141</v>
      </c>
      <c r="M3782" t="s">
        <v>1696</v>
      </c>
      <c r="N3782" t="s">
        <v>1697</v>
      </c>
      <c r="O3782" t="s">
        <v>23</v>
      </c>
      <c r="P3782" t="s">
        <v>24</v>
      </c>
      <c r="Q3782" t="s">
        <v>25</v>
      </c>
      <c r="R3782" t="s">
        <v>1679</v>
      </c>
    </row>
    <row r="3783" spans="1:18" x14ac:dyDescent="0.25">
      <c r="A3783" t="s">
        <v>13532</v>
      </c>
      <c r="B3783" t="s">
        <v>1728</v>
      </c>
      <c r="C3783" t="str">
        <f>HYPERLINK("https://nematode.unl.edu/eula35.jpg")</f>
        <v>https://nematode.unl.edu/eula35.jpg</v>
      </c>
      <c r="D3783" t="s">
        <v>43</v>
      </c>
      <c r="G3783" t="s">
        <v>34</v>
      </c>
      <c r="H3783" t="s">
        <v>18</v>
      </c>
      <c r="I3783" t="s">
        <v>19</v>
      </c>
      <c r="J3783" t="s">
        <v>20</v>
      </c>
      <c r="L3783" t="s">
        <v>141</v>
      </c>
      <c r="M3783" t="s">
        <v>1696</v>
      </c>
      <c r="N3783" t="s">
        <v>1697</v>
      </c>
      <c r="O3783" t="s">
        <v>23</v>
      </c>
      <c r="P3783" t="s">
        <v>24</v>
      </c>
      <c r="Q3783" t="s">
        <v>25</v>
      </c>
      <c r="R3783" t="s">
        <v>1679</v>
      </c>
    </row>
    <row r="3784" spans="1:18" x14ac:dyDescent="0.25">
      <c r="A3784" t="s">
        <v>13586</v>
      </c>
      <c r="B3784" t="s">
        <v>1729</v>
      </c>
      <c r="C3784" t="str">
        <f>HYPERLINK("https://nematode.unl.edu/eula36.jpg")</f>
        <v>https://nematode.unl.edu/eula36.jpg</v>
      </c>
      <c r="D3784" t="s">
        <v>43</v>
      </c>
      <c r="G3784" t="s">
        <v>51</v>
      </c>
      <c r="I3784" t="s">
        <v>19</v>
      </c>
      <c r="J3784" t="s">
        <v>20</v>
      </c>
      <c r="L3784" t="s">
        <v>141</v>
      </c>
      <c r="M3784" t="s">
        <v>1696</v>
      </c>
      <c r="N3784" t="s">
        <v>1697</v>
      </c>
      <c r="O3784" t="s">
        <v>23</v>
      </c>
      <c r="P3784" t="s">
        <v>24</v>
      </c>
      <c r="Q3784" t="s">
        <v>25</v>
      </c>
      <c r="R3784" t="s">
        <v>1679</v>
      </c>
    </row>
    <row r="3785" spans="1:18" x14ac:dyDescent="0.25">
      <c r="A3785" t="s">
        <v>13574</v>
      </c>
      <c r="B3785" t="s">
        <v>1730</v>
      </c>
      <c r="C3785" t="str">
        <f>HYPERLINK("https://nematode.unl.edu/eula37.jpg")</f>
        <v>https://nematode.unl.edu/eula37.jpg</v>
      </c>
      <c r="D3785" t="s">
        <v>43</v>
      </c>
      <c r="G3785" t="s">
        <v>28</v>
      </c>
      <c r="J3785" t="s">
        <v>20</v>
      </c>
      <c r="L3785" t="s">
        <v>141</v>
      </c>
      <c r="M3785" t="s">
        <v>1696</v>
      </c>
      <c r="N3785" t="s">
        <v>1697</v>
      </c>
      <c r="O3785" t="s">
        <v>23</v>
      </c>
      <c r="P3785" t="s">
        <v>24</v>
      </c>
      <c r="Q3785" t="s">
        <v>25</v>
      </c>
      <c r="R3785" t="s">
        <v>1679</v>
      </c>
    </row>
    <row r="3786" spans="1:18" x14ac:dyDescent="0.25">
      <c r="A3786" t="s">
        <v>13533</v>
      </c>
      <c r="B3786" t="s">
        <v>1731</v>
      </c>
      <c r="C3786" t="str">
        <f>HYPERLINK("https://nematode.unl.edu/eula38.jpg")</f>
        <v>https://nematode.unl.edu/eula38.jpg</v>
      </c>
      <c r="D3786" t="s">
        <v>16</v>
      </c>
      <c r="G3786" t="s">
        <v>34</v>
      </c>
      <c r="H3786" t="s">
        <v>18</v>
      </c>
      <c r="I3786" t="s">
        <v>19</v>
      </c>
      <c r="J3786" t="s">
        <v>20</v>
      </c>
      <c r="L3786" t="s">
        <v>141</v>
      </c>
      <c r="M3786" t="s">
        <v>1696</v>
      </c>
      <c r="N3786" t="s">
        <v>1697</v>
      </c>
      <c r="O3786" t="s">
        <v>23</v>
      </c>
      <c r="P3786" t="s">
        <v>24</v>
      </c>
      <c r="Q3786" t="s">
        <v>25</v>
      </c>
      <c r="R3786" t="s">
        <v>1679</v>
      </c>
    </row>
    <row r="3787" spans="1:18" x14ac:dyDescent="0.25">
      <c r="A3787" t="s">
        <v>13575</v>
      </c>
      <c r="B3787" t="s">
        <v>1732</v>
      </c>
      <c r="C3787" t="str">
        <f>HYPERLINK("https://nematode.unl.edu/eula4.jpg")</f>
        <v>https://nematode.unl.edu/eula4.jpg</v>
      </c>
      <c r="D3787" t="s">
        <v>43</v>
      </c>
      <c r="G3787" t="s">
        <v>28</v>
      </c>
      <c r="J3787" t="s">
        <v>20</v>
      </c>
      <c r="L3787" t="s">
        <v>64</v>
      </c>
      <c r="M3787" t="s">
        <v>1696</v>
      </c>
      <c r="N3787" t="s">
        <v>1697</v>
      </c>
      <c r="O3787" t="s">
        <v>23</v>
      </c>
      <c r="P3787" t="s">
        <v>24</v>
      </c>
      <c r="Q3787" t="s">
        <v>25</v>
      </c>
      <c r="R3787" t="s">
        <v>1679</v>
      </c>
    </row>
    <row r="3788" spans="1:18" x14ac:dyDescent="0.25">
      <c r="A3788" t="s">
        <v>13587</v>
      </c>
      <c r="B3788" t="s">
        <v>1733</v>
      </c>
      <c r="C3788" t="str">
        <f>HYPERLINK("https://nematode.unl.edu/eula5.jpg")</f>
        <v>https://nematode.unl.edu/eula5.jpg</v>
      </c>
      <c r="D3788" t="s">
        <v>43</v>
      </c>
      <c r="G3788" t="s">
        <v>51</v>
      </c>
      <c r="I3788" t="s">
        <v>19</v>
      </c>
      <c r="J3788" t="s">
        <v>20</v>
      </c>
      <c r="M3788" t="s">
        <v>1696</v>
      </c>
      <c r="N3788" t="s">
        <v>1697</v>
      </c>
      <c r="O3788" t="s">
        <v>23</v>
      </c>
      <c r="P3788" t="s">
        <v>24</v>
      </c>
      <c r="Q3788" t="s">
        <v>25</v>
      </c>
      <c r="R3788" t="s">
        <v>1679</v>
      </c>
    </row>
    <row r="3789" spans="1:18" x14ac:dyDescent="0.25">
      <c r="A3789" t="s">
        <v>13560</v>
      </c>
      <c r="B3789" t="s">
        <v>1734</v>
      </c>
      <c r="C3789" t="str">
        <f>HYPERLINK("https://nematode.unl.edu/eula6.jpg")</f>
        <v>https://nematode.unl.edu/eula6.jpg</v>
      </c>
      <c r="D3789" t="s">
        <v>43</v>
      </c>
      <c r="G3789" t="s">
        <v>53</v>
      </c>
      <c r="M3789" t="s">
        <v>1696</v>
      </c>
      <c r="N3789" t="s">
        <v>1697</v>
      </c>
      <c r="O3789" t="s">
        <v>23</v>
      </c>
      <c r="P3789" t="s">
        <v>24</v>
      </c>
      <c r="Q3789" t="s">
        <v>25</v>
      </c>
      <c r="R3789" t="s">
        <v>1679</v>
      </c>
    </row>
    <row r="3790" spans="1:18" x14ac:dyDescent="0.25">
      <c r="A3790" t="s">
        <v>13534</v>
      </c>
      <c r="B3790" t="s">
        <v>1735</v>
      </c>
      <c r="C3790" t="str">
        <f>HYPERLINK("https://nematode.unl.edu/eula7.jpg")</f>
        <v>https://nematode.unl.edu/eula7.jpg</v>
      </c>
      <c r="D3790" t="s">
        <v>43</v>
      </c>
      <c r="G3790" t="s">
        <v>34</v>
      </c>
      <c r="H3790" t="s">
        <v>18</v>
      </c>
      <c r="J3790" t="s">
        <v>20</v>
      </c>
      <c r="M3790" t="s">
        <v>1696</v>
      </c>
      <c r="N3790" t="s">
        <v>1697</v>
      </c>
      <c r="O3790" t="s">
        <v>23</v>
      </c>
      <c r="P3790" t="s">
        <v>24</v>
      </c>
      <c r="Q3790" t="s">
        <v>25</v>
      </c>
      <c r="R3790" t="s">
        <v>1679</v>
      </c>
    </row>
    <row r="3791" spans="1:18" x14ac:dyDescent="0.25">
      <c r="A3791" t="s">
        <v>13588</v>
      </c>
      <c r="B3791" t="s">
        <v>1736</v>
      </c>
      <c r="C3791" t="str">
        <f>HYPERLINK("https://nematode.unl.edu/eula8.jpg")</f>
        <v>https://nematode.unl.edu/eula8.jpg</v>
      </c>
      <c r="D3791" t="s">
        <v>43</v>
      </c>
      <c r="G3791" t="s">
        <v>51</v>
      </c>
      <c r="I3791" t="s">
        <v>19</v>
      </c>
      <c r="J3791" t="s">
        <v>20</v>
      </c>
      <c r="L3791" t="s">
        <v>35</v>
      </c>
      <c r="M3791" t="s">
        <v>1696</v>
      </c>
      <c r="N3791" t="s">
        <v>1697</v>
      </c>
      <c r="O3791" t="s">
        <v>23</v>
      </c>
      <c r="P3791" t="s">
        <v>24</v>
      </c>
      <c r="Q3791" t="s">
        <v>25</v>
      </c>
      <c r="R3791" t="s">
        <v>1679</v>
      </c>
    </row>
    <row r="3792" spans="1:18" x14ac:dyDescent="0.25">
      <c r="A3792" t="s">
        <v>13535</v>
      </c>
      <c r="B3792" t="s">
        <v>1737</v>
      </c>
      <c r="C3792" t="str">
        <f>HYPERLINK("https://nematode.unl.edu/eula9.jpg")</f>
        <v>https://nematode.unl.edu/eula9.jpg</v>
      </c>
      <c r="D3792" t="s">
        <v>43</v>
      </c>
      <c r="G3792" t="s">
        <v>34</v>
      </c>
      <c r="H3792" t="s">
        <v>18</v>
      </c>
      <c r="J3792" t="s">
        <v>20</v>
      </c>
      <c r="M3792" t="s">
        <v>1696</v>
      </c>
      <c r="N3792" t="s">
        <v>1697</v>
      </c>
      <c r="O3792" t="s">
        <v>23</v>
      </c>
      <c r="P3792" t="s">
        <v>24</v>
      </c>
      <c r="Q3792" t="s">
        <v>25</v>
      </c>
      <c r="R3792" t="s">
        <v>1679</v>
      </c>
    </row>
    <row r="3793" spans="1:18" x14ac:dyDescent="0.25">
      <c r="A3793" t="s">
        <v>13518</v>
      </c>
      <c r="B3793" t="s">
        <v>1694</v>
      </c>
      <c r="C3793" t="str">
        <f>HYPERLINK("https://nematode.unl.edu/euladraw.jpg")</f>
        <v>https://nematode.unl.edu/euladraw.jpg</v>
      </c>
      <c r="G3793" t="s">
        <v>108</v>
      </c>
      <c r="M3793" t="s">
        <v>1684</v>
      </c>
      <c r="N3793" t="s">
        <v>1685</v>
      </c>
      <c r="O3793" t="s">
        <v>23</v>
      </c>
      <c r="P3793" t="s">
        <v>24</v>
      </c>
      <c r="Q3793" t="s">
        <v>25</v>
      </c>
      <c r="R3793" t="s">
        <v>1679</v>
      </c>
    </row>
    <row r="3794" spans="1:18" x14ac:dyDescent="0.25">
      <c r="A3794" t="s">
        <v>21364</v>
      </c>
      <c r="B3794" t="s">
        <v>5250</v>
      </c>
      <c r="C3794" t="str">
        <f>HYPERLINK("https://nematode.unl.edu/eumer1.jpg")</f>
        <v>https://nematode.unl.edu/eumer1.jpg</v>
      </c>
      <c r="D3794" t="s">
        <v>43</v>
      </c>
      <c r="G3794" t="s">
        <v>28</v>
      </c>
      <c r="I3794" t="s">
        <v>19</v>
      </c>
      <c r="J3794" t="s">
        <v>440</v>
      </c>
      <c r="M3794" t="s">
        <v>5228</v>
      </c>
      <c r="N3794" t="s">
        <v>5228</v>
      </c>
      <c r="O3794" t="s">
        <v>73</v>
      </c>
      <c r="P3794" t="s">
        <v>81</v>
      </c>
      <c r="Q3794" t="s">
        <v>82</v>
      </c>
      <c r="R3794" t="s">
        <v>1016</v>
      </c>
    </row>
    <row r="3795" spans="1:18" x14ac:dyDescent="0.25">
      <c r="A3795" t="s">
        <v>21372</v>
      </c>
      <c r="B3795" t="s">
        <v>5251</v>
      </c>
      <c r="C3795" t="str">
        <f>HYPERLINK("https://nematode.unl.edu/eumer2.jpg")</f>
        <v>https://nematode.unl.edu/eumer2.jpg</v>
      </c>
      <c r="D3795" t="s">
        <v>43</v>
      </c>
      <c r="G3795" t="s">
        <v>51</v>
      </c>
      <c r="I3795" t="s">
        <v>19</v>
      </c>
      <c r="M3795" t="s">
        <v>5228</v>
      </c>
      <c r="N3795" t="s">
        <v>5228</v>
      </c>
      <c r="O3795" t="s">
        <v>73</v>
      </c>
      <c r="P3795" t="s">
        <v>81</v>
      </c>
      <c r="Q3795" t="s">
        <v>82</v>
      </c>
      <c r="R3795" t="s">
        <v>1016</v>
      </c>
    </row>
    <row r="3796" spans="1:18" x14ac:dyDescent="0.25">
      <c r="A3796" t="s">
        <v>21342</v>
      </c>
      <c r="B3796" t="s">
        <v>5252</v>
      </c>
      <c r="C3796" t="str">
        <f>HYPERLINK("https://nematode.unl.edu/eumer3.jpg")</f>
        <v>https://nematode.unl.edu/eumer3.jpg</v>
      </c>
      <c r="D3796" t="s">
        <v>43</v>
      </c>
      <c r="G3796" t="s">
        <v>34</v>
      </c>
      <c r="H3796" t="s">
        <v>18</v>
      </c>
      <c r="J3796" t="s">
        <v>440</v>
      </c>
      <c r="M3796" t="s">
        <v>5228</v>
      </c>
      <c r="N3796" t="s">
        <v>5228</v>
      </c>
      <c r="O3796" t="s">
        <v>73</v>
      </c>
      <c r="P3796" t="s">
        <v>81</v>
      </c>
      <c r="Q3796" t="s">
        <v>82</v>
      </c>
      <c r="R3796" t="s">
        <v>1016</v>
      </c>
    </row>
    <row r="3797" spans="1:18" x14ac:dyDescent="0.25">
      <c r="A3797" t="s">
        <v>21353</v>
      </c>
      <c r="B3797" t="s">
        <v>5253</v>
      </c>
      <c r="C3797" t="str">
        <f>HYPERLINK("https://nematode.unl.edu/eumer4.jpg")</f>
        <v>https://nematode.unl.edu/eumer4.jpg</v>
      </c>
      <c r="D3797" t="s">
        <v>43</v>
      </c>
      <c r="G3797" t="s">
        <v>44</v>
      </c>
      <c r="I3797" t="s">
        <v>91</v>
      </c>
      <c r="J3797" t="s">
        <v>482</v>
      </c>
      <c r="L3797" t="s">
        <v>5046</v>
      </c>
      <c r="M3797" t="s">
        <v>5228</v>
      </c>
      <c r="N3797" t="s">
        <v>5228</v>
      </c>
      <c r="O3797" t="s">
        <v>73</v>
      </c>
      <c r="P3797" t="s">
        <v>81</v>
      </c>
      <c r="Q3797" t="s">
        <v>82</v>
      </c>
      <c r="R3797" t="s">
        <v>1016</v>
      </c>
    </row>
    <row r="3798" spans="1:18" x14ac:dyDescent="0.25">
      <c r="A3798" t="s">
        <v>21343</v>
      </c>
      <c r="B3798" t="s">
        <v>5254</v>
      </c>
      <c r="C3798" t="str">
        <f>HYPERLINK("https://nematode.unl.edu/eumer5.jpg")</f>
        <v>https://nematode.unl.edu/eumer5.jpg</v>
      </c>
      <c r="D3798" t="s">
        <v>16</v>
      </c>
      <c r="G3798" t="s">
        <v>34</v>
      </c>
      <c r="H3798" t="s">
        <v>18</v>
      </c>
      <c r="I3798" t="s">
        <v>19</v>
      </c>
      <c r="J3798" t="s">
        <v>440</v>
      </c>
      <c r="M3798" t="s">
        <v>5228</v>
      </c>
      <c r="N3798" t="s">
        <v>5228</v>
      </c>
      <c r="O3798" t="s">
        <v>73</v>
      </c>
      <c r="P3798" t="s">
        <v>81</v>
      </c>
      <c r="Q3798" t="s">
        <v>82</v>
      </c>
      <c r="R3798" t="s">
        <v>1016</v>
      </c>
    </row>
    <row r="3799" spans="1:18" x14ac:dyDescent="0.25">
      <c r="A3799" t="s">
        <v>21365</v>
      </c>
      <c r="B3799" t="s">
        <v>5255</v>
      </c>
      <c r="C3799" t="str">
        <f>HYPERLINK("https://nematode.unl.edu/eumer6.jpg")</f>
        <v>https://nematode.unl.edu/eumer6.jpg</v>
      </c>
      <c r="D3799" t="s">
        <v>16</v>
      </c>
      <c r="G3799" t="s">
        <v>28</v>
      </c>
      <c r="I3799" t="s">
        <v>19</v>
      </c>
      <c r="J3799" t="s">
        <v>482</v>
      </c>
      <c r="L3799" t="s">
        <v>5046</v>
      </c>
      <c r="M3799" t="s">
        <v>5228</v>
      </c>
      <c r="N3799" t="s">
        <v>5228</v>
      </c>
      <c r="O3799" t="s">
        <v>73</v>
      </c>
      <c r="P3799" t="s">
        <v>81</v>
      </c>
      <c r="Q3799" t="s">
        <v>82</v>
      </c>
      <c r="R3799" t="s">
        <v>1016</v>
      </c>
    </row>
    <row r="3800" spans="1:18" x14ac:dyDescent="0.25">
      <c r="A3800" t="s">
        <v>21366</v>
      </c>
      <c r="B3800" t="s">
        <v>5256</v>
      </c>
      <c r="C3800" t="str">
        <f>HYPERLINK("https://nematode.unl.edu/eumer7.jpg")</f>
        <v>https://nematode.unl.edu/eumer7.jpg</v>
      </c>
      <c r="D3800" t="s">
        <v>16</v>
      </c>
      <c r="G3800" t="s">
        <v>28</v>
      </c>
      <c r="I3800" t="s">
        <v>19</v>
      </c>
      <c r="J3800" t="s">
        <v>482</v>
      </c>
      <c r="L3800" t="s">
        <v>5046</v>
      </c>
      <c r="M3800" t="s">
        <v>5228</v>
      </c>
      <c r="N3800" t="s">
        <v>5228</v>
      </c>
      <c r="O3800" t="s">
        <v>73</v>
      </c>
      <c r="P3800" t="s">
        <v>81</v>
      </c>
      <c r="Q3800" t="s">
        <v>82</v>
      </c>
      <c r="R3800" t="s">
        <v>1016</v>
      </c>
    </row>
    <row r="3801" spans="1:18" x14ac:dyDescent="0.25">
      <c r="A3801" t="s">
        <v>21354</v>
      </c>
      <c r="B3801" t="s">
        <v>5257</v>
      </c>
      <c r="C3801" t="str">
        <f>HYPERLINK("https://nematode.unl.edu/eumeri1.jpg")</f>
        <v>https://nematode.unl.edu/eumeri1.jpg</v>
      </c>
      <c r="D3801" t="s">
        <v>43</v>
      </c>
      <c r="G3801" t="s">
        <v>44</v>
      </c>
      <c r="I3801" t="s">
        <v>45</v>
      </c>
      <c r="J3801" t="s">
        <v>127</v>
      </c>
      <c r="L3801" t="s">
        <v>632</v>
      </c>
      <c r="M3801" t="s">
        <v>5228</v>
      </c>
      <c r="N3801" t="s">
        <v>5228</v>
      </c>
      <c r="O3801" t="s">
        <v>73</v>
      </c>
      <c r="P3801" t="s">
        <v>81</v>
      </c>
      <c r="Q3801" t="s">
        <v>82</v>
      </c>
      <c r="R3801" t="s">
        <v>1016</v>
      </c>
    </row>
    <row r="3802" spans="1:18" x14ac:dyDescent="0.25">
      <c r="A3802" t="s">
        <v>21344</v>
      </c>
      <c r="B3802" t="s">
        <v>5258</v>
      </c>
      <c r="C3802" t="str">
        <f>HYPERLINK("https://nematode.unl.edu/eumeri10.jpg")</f>
        <v>https://nematode.unl.edu/eumeri10.jpg</v>
      </c>
      <c r="D3802" t="s">
        <v>43</v>
      </c>
      <c r="G3802" t="s">
        <v>34</v>
      </c>
      <c r="H3802" t="s">
        <v>18</v>
      </c>
      <c r="M3802" t="s">
        <v>5228</v>
      </c>
      <c r="N3802" t="s">
        <v>5228</v>
      </c>
      <c r="O3802" t="s">
        <v>73</v>
      </c>
      <c r="P3802" t="s">
        <v>81</v>
      </c>
      <c r="Q3802" t="s">
        <v>82</v>
      </c>
      <c r="R3802" t="s">
        <v>1016</v>
      </c>
    </row>
    <row r="3803" spans="1:18" x14ac:dyDescent="0.25">
      <c r="A3803" t="s">
        <v>21356</v>
      </c>
      <c r="B3803" t="s">
        <v>5259</v>
      </c>
      <c r="C3803" t="str">
        <f>HYPERLINK("https://nematode.unl.edu/eumeri11.jpg")</f>
        <v>https://nematode.unl.edu/eumeri11.jpg</v>
      </c>
      <c r="D3803" t="s">
        <v>43</v>
      </c>
      <c r="G3803" t="s">
        <v>243</v>
      </c>
      <c r="I3803" t="s">
        <v>41</v>
      </c>
      <c r="J3803" t="s">
        <v>127</v>
      </c>
      <c r="L3803" t="s">
        <v>5260</v>
      </c>
      <c r="M3803" t="s">
        <v>5228</v>
      </c>
      <c r="N3803" t="s">
        <v>5228</v>
      </c>
      <c r="O3803" t="s">
        <v>73</v>
      </c>
      <c r="P3803" t="s">
        <v>81</v>
      </c>
      <c r="Q3803" t="s">
        <v>82</v>
      </c>
      <c r="R3803" t="s">
        <v>1016</v>
      </c>
    </row>
    <row r="3804" spans="1:18" x14ac:dyDescent="0.25">
      <c r="A3804" t="s">
        <v>21373</v>
      </c>
      <c r="B3804" t="s">
        <v>5261</v>
      </c>
      <c r="C3804" t="str">
        <f>HYPERLINK("https://nematode.unl.edu/eumeri12.jpg")</f>
        <v>https://nematode.unl.edu/eumeri12.jpg</v>
      </c>
      <c r="D3804" t="s">
        <v>43</v>
      </c>
      <c r="G3804" t="s">
        <v>51</v>
      </c>
      <c r="I3804" t="s">
        <v>41</v>
      </c>
      <c r="J3804" t="s">
        <v>127</v>
      </c>
      <c r="L3804" t="s">
        <v>5260</v>
      </c>
      <c r="M3804" t="s">
        <v>5228</v>
      </c>
      <c r="N3804" t="s">
        <v>5228</v>
      </c>
      <c r="O3804" t="s">
        <v>73</v>
      </c>
      <c r="P3804" t="s">
        <v>81</v>
      </c>
      <c r="Q3804" t="s">
        <v>82</v>
      </c>
      <c r="R3804" t="s">
        <v>1016</v>
      </c>
    </row>
    <row r="3805" spans="1:18" x14ac:dyDescent="0.25">
      <c r="A3805" t="s">
        <v>21374</v>
      </c>
      <c r="B3805" t="s">
        <v>5262</v>
      </c>
      <c r="C3805" t="str">
        <f>HYPERLINK("https://nematode.unl.edu/eumeri13.jpg")</f>
        <v>https://nematode.unl.edu/eumeri13.jpg</v>
      </c>
      <c r="D3805" t="s">
        <v>43</v>
      </c>
      <c r="G3805" t="s">
        <v>51</v>
      </c>
      <c r="I3805" t="s">
        <v>41</v>
      </c>
      <c r="J3805" t="s">
        <v>127</v>
      </c>
      <c r="L3805" t="s">
        <v>5260</v>
      </c>
      <c r="M3805" t="s">
        <v>5228</v>
      </c>
      <c r="N3805" t="s">
        <v>5228</v>
      </c>
      <c r="O3805" t="s">
        <v>73</v>
      </c>
      <c r="P3805" t="s">
        <v>81</v>
      </c>
      <c r="Q3805" t="s">
        <v>82</v>
      </c>
      <c r="R3805" t="s">
        <v>1016</v>
      </c>
    </row>
    <row r="3806" spans="1:18" x14ac:dyDescent="0.25">
      <c r="A3806" t="s">
        <v>21355</v>
      </c>
      <c r="B3806" t="s">
        <v>5263</v>
      </c>
      <c r="C3806" t="str">
        <f>HYPERLINK("https://nematode.unl.edu/eumeri14.jpg")</f>
        <v>https://nematode.unl.edu/eumeri14.jpg</v>
      </c>
      <c r="D3806" t="s">
        <v>43</v>
      </c>
      <c r="G3806" t="s">
        <v>44</v>
      </c>
      <c r="I3806" t="s">
        <v>45</v>
      </c>
      <c r="J3806" t="s">
        <v>127</v>
      </c>
      <c r="L3806" t="s">
        <v>5264</v>
      </c>
      <c r="M3806" t="s">
        <v>5228</v>
      </c>
      <c r="N3806" t="s">
        <v>5228</v>
      </c>
      <c r="O3806" t="s">
        <v>73</v>
      </c>
      <c r="P3806" t="s">
        <v>81</v>
      </c>
      <c r="Q3806" t="s">
        <v>82</v>
      </c>
      <c r="R3806" t="s">
        <v>1016</v>
      </c>
    </row>
    <row r="3807" spans="1:18" x14ac:dyDescent="0.25">
      <c r="A3807" t="s">
        <v>21345</v>
      </c>
      <c r="B3807" t="s">
        <v>5265</v>
      </c>
      <c r="C3807" t="str">
        <f>HYPERLINK("https://nematode.unl.edu/eumeri15.jpg")</f>
        <v>https://nematode.unl.edu/eumeri15.jpg</v>
      </c>
      <c r="D3807" t="s">
        <v>43</v>
      </c>
      <c r="G3807" t="s">
        <v>34</v>
      </c>
      <c r="H3807" t="s">
        <v>18</v>
      </c>
      <c r="J3807" t="s">
        <v>127</v>
      </c>
      <c r="M3807" t="s">
        <v>5228</v>
      </c>
      <c r="N3807" t="s">
        <v>5228</v>
      </c>
      <c r="O3807" t="s">
        <v>73</v>
      </c>
      <c r="P3807" t="s">
        <v>81</v>
      </c>
      <c r="Q3807" t="s">
        <v>82</v>
      </c>
      <c r="R3807" t="s">
        <v>1016</v>
      </c>
    </row>
    <row r="3808" spans="1:18" x14ac:dyDescent="0.25">
      <c r="A3808" t="s">
        <v>21375</v>
      </c>
      <c r="B3808" t="s">
        <v>5266</v>
      </c>
      <c r="C3808" t="str">
        <f>HYPERLINK("https://nematode.unl.edu/eumeri16.jpg")</f>
        <v>https://nematode.unl.edu/eumeri16.jpg</v>
      </c>
      <c r="D3808" t="s">
        <v>43</v>
      </c>
      <c r="G3808" t="s">
        <v>51</v>
      </c>
      <c r="I3808" t="s">
        <v>19</v>
      </c>
      <c r="J3808" t="s">
        <v>127</v>
      </c>
      <c r="M3808" t="s">
        <v>5228</v>
      </c>
      <c r="N3808" t="s">
        <v>5228</v>
      </c>
      <c r="O3808" t="s">
        <v>73</v>
      </c>
      <c r="P3808" t="s">
        <v>81</v>
      </c>
      <c r="Q3808" t="s">
        <v>82</v>
      </c>
      <c r="R3808" t="s">
        <v>1016</v>
      </c>
    </row>
    <row r="3809" spans="1:18" x14ac:dyDescent="0.25">
      <c r="A3809" t="s">
        <v>21333</v>
      </c>
      <c r="B3809" t="s">
        <v>5267</v>
      </c>
      <c r="C3809" t="str">
        <f>HYPERLINK("https://nematode.unl.edu/eumeri2.jpg")</f>
        <v>https://nematode.unl.edu/eumeri2.jpg</v>
      </c>
      <c r="D3809" t="s">
        <v>77</v>
      </c>
      <c r="G3809" t="s">
        <v>96</v>
      </c>
      <c r="H3809" t="s">
        <v>18</v>
      </c>
      <c r="I3809" t="s">
        <v>19</v>
      </c>
      <c r="J3809" t="s">
        <v>127</v>
      </c>
      <c r="M3809" t="s">
        <v>5228</v>
      </c>
      <c r="N3809" t="s">
        <v>5228</v>
      </c>
      <c r="O3809" t="s">
        <v>73</v>
      </c>
      <c r="P3809" t="s">
        <v>81</v>
      </c>
      <c r="Q3809" t="s">
        <v>82</v>
      </c>
      <c r="R3809" t="s">
        <v>1016</v>
      </c>
    </row>
    <row r="3810" spans="1:18" x14ac:dyDescent="0.25">
      <c r="A3810" t="s">
        <v>21376</v>
      </c>
      <c r="B3810" t="s">
        <v>5268</v>
      </c>
      <c r="C3810" t="str">
        <f>HYPERLINK("https://nematode.unl.edu/eumeri3.jpg")</f>
        <v>https://nematode.unl.edu/eumeri3.jpg</v>
      </c>
      <c r="D3810" t="s">
        <v>43</v>
      </c>
      <c r="G3810" t="s">
        <v>51</v>
      </c>
      <c r="I3810" t="s">
        <v>19</v>
      </c>
      <c r="J3810" t="s">
        <v>127</v>
      </c>
      <c r="M3810" t="s">
        <v>5228</v>
      </c>
      <c r="N3810" t="s">
        <v>5228</v>
      </c>
      <c r="O3810" t="s">
        <v>73</v>
      </c>
      <c r="P3810" t="s">
        <v>81</v>
      </c>
      <c r="Q3810" t="s">
        <v>82</v>
      </c>
      <c r="R3810" t="s">
        <v>1016</v>
      </c>
    </row>
    <row r="3811" spans="1:18" x14ac:dyDescent="0.25">
      <c r="A3811" t="s">
        <v>21367</v>
      </c>
      <c r="B3811" t="s">
        <v>5269</v>
      </c>
      <c r="C3811" t="str">
        <f>HYPERLINK("https://nematode.unl.edu/eumeri4.jpg")</f>
        <v>https://nematode.unl.edu/eumeri4.jpg</v>
      </c>
      <c r="D3811" t="s">
        <v>43</v>
      </c>
      <c r="G3811" t="s">
        <v>28</v>
      </c>
      <c r="I3811" t="s">
        <v>19</v>
      </c>
      <c r="J3811" t="s">
        <v>127</v>
      </c>
      <c r="M3811" t="s">
        <v>5228</v>
      </c>
      <c r="N3811" t="s">
        <v>5228</v>
      </c>
      <c r="O3811" t="s">
        <v>73</v>
      </c>
      <c r="P3811" t="s">
        <v>81</v>
      </c>
      <c r="Q3811" t="s">
        <v>82</v>
      </c>
      <c r="R3811" t="s">
        <v>1016</v>
      </c>
    </row>
    <row r="3812" spans="1:18" x14ac:dyDescent="0.25">
      <c r="A3812" t="s">
        <v>21346</v>
      </c>
      <c r="B3812" t="s">
        <v>5270</v>
      </c>
      <c r="C3812" t="str">
        <f>HYPERLINK("https://nematode.unl.edu/eumeri5.jpg")</f>
        <v>https://nematode.unl.edu/eumeri5.jpg</v>
      </c>
      <c r="D3812" t="s">
        <v>43</v>
      </c>
      <c r="G3812" t="s">
        <v>34</v>
      </c>
      <c r="H3812" t="s">
        <v>18</v>
      </c>
      <c r="I3812" t="s">
        <v>41</v>
      </c>
      <c r="J3812" t="s">
        <v>127</v>
      </c>
      <c r="M3812" t="s">
        <v>5228</v>
      </c>
      <c r="N3812" t="s">
        <v>5228</v>
      </c>
      <c r="O3812" t="s">
        <v>73</v>
      </c>
      <c r="P3812" t="s">
        <v>81</v>
      </c>
      <c r="Q3812" t="s">
        <v>82</v>
      </c>
      <c r="R3812" t="s">
        <v>1016</v>
      </c>
    </row>
    <row r="3813" spans="1:18" x14ac:dyDescent="0.25">
      <c r="A3813" t="s">
        <v>21332</v>
      </c>
      <c r="B3813" t="s">
        <v>5271</v>
      </c>
      <c r="C3813" t="str">
        <f>HYPERLINK("https://nematode.unl.edu/eumeri6.jpg")</f>
        <v>https://nematode.unl.edu/eumeri6.jpg</v>
      </c>
      <c r="D3813" t="s">
        <v>43</v>
      </c>
      <c r="G3813" t="s">
        <v>386</v>
      </c>
      <c r="H3813" t="s">
        <v>18</v>
      </c>
      <c r="J3813" t="s">
        <v>127</v>
      </c>
      <c r="M3813" t="s">
        <v>5228</v>
      </c>
      <c r="N3813" t="s">
        <v>5228</v>
      </c>
      <c r="O3813" t="s">
        <v>73</v>
      </c>
      <c r="P3813" t="s">
        <v>81</v>
      </c>
      <c r="Q3813" t="s">
        <v>82</v>
      </c>
      <c r="R3813" t="s">
        <v>1016</v>
      </c>
    </row>
    <row r="3814" spans="1:18" x14ac:dyDescent="0.25">
      <c r="A3814" t="s">
        <v>21357</v>
      </c>
      <c r="B3814" t="s">
        <v>5272</v>
      </c>
      <c r="C3814" t="str">
        <f>HYPERLINK("https://nematode.unl.edu/eumeri7.jpg")</f>
        <v>https://nematode.unl.edu/eumeri7.jpg</v>
      </c>
      <c r="D3814" t="s">
        <v>43</v>
      </c>
      <c r="G3814" t="s">
        <v>243</v>
      </c>
      <c r="I3814" t="s">
        <v>41</v>
      </c>
      <c r="J3814" t="s">
        <v>127</v>
      </c>
      <c r="M3814" t="s">
        <v>5228</v>
      </c>
      <c r="N3814" t="s">
        <v>5228</v>
      </c>
      <c r="O3814" t="s">
        <v>73</v>
      </c>
      <c r="P3814" t="s">
        <v>81</v>
      </c>
      <c r="Q3814" t="s">
        <v>82</v>
      </c>
      <c r="R3814" t="s">
        <v>1016</v>
      </c>
    </row>
    <row r="3815" spans="1:18" x14ac:dyDescent="0.25">
      <c r="A3815" t="s">
        <v>21347</v>
      </c>
      <c r="B3815" t="s">
        <v>5273</v>
      </c>
      <c r="C3815" t="str">
        <f>HYPERLINK("https://nematode.unl.edu/eumeri8.jpg")</f>
        <v>https://nematode.unl.edu/eumeri8.jpg</v>
      </c>
      <c r="D3815" t="s">
        <v>43</v>
      </c>
      <c r="G3815" t="s">
        <v>34</v>
      </c>
      <c r="H3815" t="s">
        <v>18</v>
      </c>
      <c r="I3815" t="s">
        <v>19</v>
      </c>
      <c r="J3815" t="s">
        <v>127</v>
      </c>
      <c r="L3815" t="s">
        <v>162</v>
      </c>
      <c r="M3815" t="s">
        <v>5228</v>
      </c>
      <c r="N3815" t="s">
        <v>5228</v>
      </c>
      <c r="O3815" t="s">
        <v>73</v>
      </c>
      <c r="P3815" t="s">
        <v>81</v>
      </c>
      <c r="Q3815" t="s">
        <v>82</v>
      </c>
      <c r="R3815" t="s">
        <v>1016</v>
      </c>
    </row>
    <row r="3816" spans="1:18" x14ac:dyDescent="0.25">
      <c r="A3816" t="s">
        <v>21368</v>
      </c>
      <c r="B3816" t="s">
        <v>5274</v>
      </c>
      <c r="C3816" t="str">
        <f>HYPERLINK("https://nematode.unl.edu/eumeri9.jpg")</f>
        <v>https://nematode.unl.edu/eumeri9.jpg</v>
      </c>
      <c r="D3816" t="s">
        <v>43</v>
      </c>
      <c r="G3816" t="s">
        <v>28</v>
      </c>
      <c r="J3816" t="s">
        <v>127</v>
      </c>
      <c r="L3816" t="s">
        <v>162</v>
      </c>
      <c r="M3816" t="s">
        <v>5228</v>
      </c>
      <c r="N3816" t="s">
        <v>5228</v>
      </c>
      <c r="O3816" t="s">
        <v>73</v>
      </c>
      <c r="P3816" t="s">
        <v>81</v>
      </c>
      <c r="Q3816" t="s">
        <v>82</v>
      </c>
      <c r="R3816" t="s">
        <v>1016</v>
      </c>
    </row>
    <row r="3817" spans="1:18" x14ac:dyDescent="0.25">
      <c r="A3817" t="s">
        <v>12247</v>
      </c>
      <c r="B3817" t="s">
        <v>5472</v>
      </c>
      <c r="C3817" t="str">
        <f>HYPERLINK("https://nematode.unl.edu/eumov1.jpg")</f>
        <v>https://nematode.unl.edu/eumov1.jpg</v>
      </c>
      <c r="D3817" t="s">
        <v>43</v>
      </c>
      <c r="G3817" t="s">
        <v>34</v>
      </c>
      <c r="H3817" t="s">
        <v>18</v>
      </c>
      <c r="M3817" t="s">
        <v>5473</v>
      </c>
      <c r="N3817" t="s">
        <v>5473</v>
      </c>
      <c r="O3817" t="s">
        <v>23</v>
      </c>
      <c r="P3817" t="s">
        <v>1024</v>
      </c>
      <c r="Q3817" t="s">
        <v>1025</v>
      </c>
      <c r="R3817" t="s">
        <v>1026</v>
      </c>
    </row>
    <row r="3818" spans="1:18" x14ac:dyDescent="0.25">
      <c r="A3818" t="s">
        <v>12251</v>
      </c>
      <c r="B3818" t="s">
        <v>5474</v>
      </c>
      <c r="C3818" t="str">
        <f>HYPERLINK("https://nematode.unl.edu/eumov2.jpg")</f>
        <v>https://nematode.unl.edu/eumov2.jpg</v>
      </c>
      <c r="D3818" t="s">
        <v>43</v>
      </c>
      <c r="G3818" t="s">
        <v>28</v>
      </c>
      <c r="L3818" t="s">
        <v>85</v>
      </c>
      <c r="M3818" t="s">
        <v>5473</v>
      </c>
      <c r="N3818" t="s">
        <v>5473</v>
      </c>
      <c r="O3818" t="s">
        <v>23</v>
      </c>
      <c r="P3818" t="s">
        <v>1024</v>
      </c>
      <c r="Q3818" t="s">
        <v>1025</v>
      </c>
      <c r="R3818" t="s">
        <v>1026</v>
      </c>
    </row>
    <row r="3819" spans="1:18" x14ac:dyDescent="0.25">
      <c r="A3819" t="s">
        <v>12248</v>
      </c>
      <c r="B3819" t="s">
        <v>5475</v>
      </c>
      <c r="C3819" t="str">
        <f>HYPERLINK("https://nematode.unl.edu/eumov3.jpg")</f>
        <v>https://nematode.unl.edu/eumov3.jpg</v>
      </c>
      <c r="D3819" t="s">
        <v>43</v>
      </c>
      <c r="G3819" t="s">
        <v>34</v>
      </c>
      <c r="H3819" t="s">
        <v>18</v>
      </c>
      <c r="I3819" t="s">
        <v>41</v>
      </c>
      <c r="J3819" t="s">
        <v>20</v>
      </c>
      <c r="L3819" t="s">
        <v>85</v>
      </c>
      <c r="M3819" t="s">
        <v>5473</v>
      </c>
      <c r="N3819" t="s">
        <v>5473</v>
      </c>
      <c r="O3819" t="s">
        <v>23</v>
      </c>
      <c r="P3819" t="s">
        <v>1024</v>
      </c>
      <c r="Q3819" t="s">
        <v>1025</v>
      </c>
      <c r="R3819" t="s">
        <v>1026</v>
      </c>
    </row>
    <row r="3820" spans="1:18" x14ac:dyDescent="0.25">
      <c r="A3820" t="s">
        <v>12252</v>
      </c>
      <c r="B3820" t="s">
        <v>5476</v>
      </c>
      <c r="C3820" t="str">
        <f>HYPERLINK("https://nematode.unl.edu/eumov4.jpg")</f>
        <v>https://nematode.unl.edu/eumov4.jpg</v>
      </c>
      <c r="D3820" t="s">
        <v>43</v>
      </c>
      <c r="G3820" t="s">
        <v>28</v>
      </c>
      <c r="I3820" t="s">
        <v>41</v>
      </c>
      <c r="J3820" t="s">
        <v>20</v>
      </c>
      <c r="M3820" t="s">
        <v>5473</v>
      </c>
      <c r="N3820" t="s">
        <v>5473</v>
      </c>
      <c r="O3820" t="s">
        <v>23</v>
      </c>
      <c r="P3820" t="s">
        <v>1024</v>
      </c>
      <c r="Q3820" t="s">
        <v>1025</v>
      </c>
      <c r="R3820" t="s">
        <v>1026</v>
      </c>
    </row>
    <row r="3821" spans="1:18" x14ac:dyDescent="0.25">
      <c r="A3821" t="s">
        <v>12254</v>
      </c>
      <c r="B3821" t="s">
        <v>5477</v>
      </c>
      <c r="C3821" t="str">
        <f>HYPERLINK("https://nematode.unl.edu/eumov5.jpg")</f>
        <v>https://nematode.unl.edu/eumov5.jpg</v>
      </c>
      <c r="D3821" t="s">
        <v>43</v>
      </c>
      <c r="G3821" t="s">
        <v>51</v>
      </c>
      <c r="I3821" t="s">
        <v>41</v>
      </c>
      <c r="M3821" t="s">
        <v>5473</v>
      </c>
      <c r="N3821" t="s">
        <v>5473</v>
      </c>
      <c r="O3821" t="s">
        <v>23</v>
      </c>
      <c r="P3821" t="s">
        <v>1024</v>
      </c>
      <c r="Q3821" t="s">
        <v>1025</v>
      </c>
      <c r="R3821" t="s">
        <v>1026</v>
      </c>
    </row>
    <row r="3822" spans="1:18" x14ac:dyDescent="0.25">
      <c r="A3822" t="s">
        <v>12250</v>
      </c>
      <c r="B3822" t="s">
        <v>5478</v>
      </c>
      <c r="C3822" t="str">
        <f>HYPERLINK("https://nematode.unl.edu/eumov6.jpg")</f>
        <v>https://nematode.unl.edu/eumov6.jpg</v>
      </c>
      <c r="D3822" t="s">
        <v>43</v>
      </c>
      <c r="G3822" t="s">
        <v>87</v>
      </c>
      <c r="M3822" t="s">
        <v>5473</v>
      </c>
      <c r="N3822" t="s">
        <v>5473</v>
      </c>
      <c r="O3822" t="s">
        <v>23</v>
      </c>
      <c r="P3822" t="s">
        <v>1024</v>
      </c>
      <c r="Q3822" t="s">
        <v>1025</v>
      </c>
      <c r="R3822" t="s">
        <v>1026</v>
      </c>
    </row>
    <row r="3823" spans="1:18" x14ac:dyDescent="0.25">
      <c r="A3823" t="s">
        <v>12246</v>
      </c>
      <c r="B3823" t="s">
        <v>5479</v>
      </c>
      <c r="C3823" t="str">
        <f>HYPERLINK("https://nematode.unl.edu/eumov7.jpg")</f>
        <v>https://nematode.unl.edu/eumov7.jpg</v>
      </c>
      <c r="D3823" t="s">
        <v>43</v>
      </c>
      <c r="G3823" t="s">
        <v>386</v>
      </c>
      <c r="H3823" t="s">
        <v>18</v>
      </c>
      <c r="I3823" t="s">
        <v>41</v>
      </c>
      <c r="J3823" t="s">
        <v>20</v>
      </c>
      <c r="M3823" t="s">
        <v>5473</v>
      </c>
      <c r="N3823" t="s">
        <v>5473</v>
      </c>
      <c r="O3823" t="s">
        <v>23</v>
      </c>
      <c r="P3823" t="s">
        <v>1024</v>
      </c>
      <c r="Q3823" t="s">
        <v>1025</v>
      </c>
      <c r="R3823" t="s">
        <v>1026</v>
      </c>
    </row>
    <row r="3824" spans="1:18" x14ac:dyDescent="0.25">
      <c r="A3824" t="s">
        <v>12249</v>
      </c>
      <c r="B3824" t="s">
        <v>5480</v>
      </c>
      <c r="C3824" t="str">
        <f>HYPERLINK("https://nematode.unl.edu/eumov8.jpg")</f>
        <v>https://nematode.unl.edu/eumov8.jpg</v>
      </c>
      <c r="D3824" t="s">
        <v>16</v>
      </c>
      <c r="G3824" t="s">
        <v>34</v>
      </c>
      <c r="H3824" t="s">
        <v>18</v>
      </c>
      <c r="I3824" t="s">
        <v>529</v>
      </c>
      <c r="J3824" t="s">
        <v>20</v>
      </c>
      <c r="L3824" t="s">
        <v>85</v>
      </c>
      <c r="M3824" t="s">
        <v>5473</v>
      </c>
      <c r="N3824" t="s">
        <v>5473</v>
      </c>
      <c r="O3824" t="s">
        <v>23</v>
      </c>
      <c r="P3824" t="s">
        <v>1024</v>
      </c>
      <c r="Q3824" t="s">
        <v>1025</v>
      </c>
      <c r="R3824" t="s">
        <v>1026</v>
      </c>
    </row>
    <row r="3825" spans="1:18" x14ac:dyDescent="0.25">
      <c r="A3825" t="s">
        <v>12253</v>
      </c>
      <c r="B3825" t="s">
        <v>5481</v>
      </c>
      <c r="C3825" t="str">
        <f>HYPERLINK("https://nematode.unl.edu/eumov9.jpg")</f>
        <v>https://nematode.unl.edu/eumov9.jpg</v>
      </c>
      <c r="D3825" t="s">
        <v>16</v>
      </c>
      <c r="G3825" t="s">
        <v>28</v>
      </c>
      <c r="I3825" t="s">
        <v>41</v>
      </c>
      <c r="J3825" t="s">
        <v>20</v>
      </c>
      <c r="M3825" t="s">
        <v>5473</v>
      </c>
      <c r="N3825" t="s">
        <v>5473</v>
      </c>
      <c r="O3825" t="s">
        <v>23</v>
      </c>
      <c r="P3825" t="s">
        <v>1024</v>
      </c>
      <c r="Q3825" t="s">
        <v>1025</v>
      </c>
      <c r="R3825" t="s">
        <v>1026</v>
      </c>
    </row>
    <row r="3826" spans="1:18" x14ac:dyDescent="0.25">
      <c r="A3826" t="s">
        <v>21378</v>
      </c>
      <c r="B3826" t="s">
        <v>5275</v>
      </c>
      <c r="C3826" t="str">
        <f>HYPERLINK("https://nematode.unl.edu/euno1.jpg")</f>
        <v>https://nematode.unl.edu/euno1.jpg</v>
      </c>
      <c r="D3826" t="s">
        <v>43</v>
      </c>
      <c r="G3826" t="s">
        <v>44</v>
      </c>
      <c r="I3826" t="s">
        <v>45</v>
      </c>
      <c r="J3826" t="s">
        <v>20</v>
      </c>
      <c r="L3826" t="s">
        <v>29</v>
      </c>
      <c r="M3826" t="s">
        <v>5276</v>
      </c>
      <c r="N3826" t="s">
        <v>5276</v>
      </c>
      <c r="O3826" t="s">
        <v>73</v>
      </c>
      <c r="P3826" t="s">
        <v>81</v>
      </c>
      <c r="Q3826" t="s">
        <v>82</v>
      </c>
      <c r="R3826" t="s">
        <v>1016</v>
      </c>
    </row>
    <row r="3827" spans="1:18" x14ac:dyDescent="0.25">
      <c r="A3827" t="s">
        <v>21377</v>
      </c>
      <c r="B3827" t="s">
        <v>5277</v>
      </c>
      <c r="C3827" t="str">
        <f>HYPERLINK("https://nematode.unl.edu/euno2.jpg")</f>
        <v>https://nematode.unl.edu/euno2.jpg</v>
      </c>
      <c r="D3827" t="s">
        <v>43</v>
      </c>
      <c r="G3827" t="s">
        <v>34</v>
      </c>
      <c r="H3827" t="s">
        <v>18</v>
      </c>
      <c r="M3827" t="s">
        <v>5276</v>
      </c>
      <c r="N3827" t="s">
        <v>5276</v>
      </c>
      <c r="O3827" t="s">
        <v>73</v>
      </c>
      <c r="P3827" t="s">
        <v>81</v>
      </c>
      <c r="Q3827" t="s">
        <v>82</v>
      </c>
      <c r="R3827" t="s">
        <v>1016</v>
      </c>
    </row>
    <row r="3828" spans="1:18" x14ac:dyDescent="0.25">
      <c r="A3828" t="s">
        <v>21380</v>
      </c>
      <c r="B3828" t="s">
        <v>5278</v>
      </c>
      <c r="C3828" t="str">
        <f>HYPERLINK("https://nematode.unl.edu/euno3.jpg")</f>
        <v>https://nematode.unl.edu/euno3.jpg</v>
      </c>
      <c r="D3828" t="s">
        <v>43</v>
      </c>
      <c r="G3828" t="s">
        <v>51</v>
      </c>
      <c r="I3828" t="s">
        <v>19</v>
      </c>
      <c r="J3828" t="s">
        <v>20</v>
      </c>
      <c r="M3828" t="s">
        <v>5276</v>
      </c>
      <c r="N3828" t="s">
        <v>5276</v>
      </c>
      <c r="O3828" t="s">
        <v>73</v>
      </c>
      <c r="P3828" t="s">
        <v>81</v>
      </c>
      <c r="Q3828" t="s">
        <v>82</v>
      </c>
      <c r="R3828" t="s">
        <v>1016</v>
      </c>
    </row>
    <row r="3829" spans="1:18" x14ac:dyDescent="0.25">
      <c r="A3829" t="s">
        <v>21379</v>
      </c>
      <c r="B3829" t="s">
        <v>5279</v>
      </c>
      <c r="C3829" t="str">
        <f>HYPERLINK("https://nematode.unl.edu/euno4.jpg")</f>
        <v>https://nematode.unl.edu/euno4.jpg</v>
      </c>
      <c r="D3829" t="s">
        <v>77</v>
      </c>
      <c r="G3829" t="s">
        <v>28</v>
      </c>
      <c r="I3829" t="s">
        <v>19</v>
      </c>
      <c r="J3829" t="s">
        <v>20</v>
      </c>
      <c r="M3829" t="s">
        <v>5276</v>
      </c>
      <c r="N3829" t="s">
        <v>5276</v>
      </c>
      <c r="O3829" t="s">
        <v>73</v>
      </c>
      <c r="P3829" t="s">
        <v>81</v>
      </c>
      <c r="Q3829" t="s">
        <v>82</v>
      </c>
      <c r="R3829" t="s">
        <v>1016</v>
      </c>
    </row>
    <row r="3830" spans="1:18" x14ac:dyDescent="0.25">
      <c r="A3830" t="s">
        <v>13425</v>
      </c>
      <c r="B3830" t="s">
        <v>4914</v>
      </c>
      <c r="C3830" t="str">
        <f>HYPERLINK("https://nematode.unl.edu/euox1.jpg")</f>
        <v>https://nematode.unl.edu/euox1.jpg</v>
      </c>
      <c r="D3830" t="s">
        <v>43</v>
      </c>
      <c r="G3830" t="s">
        <v>34</v>
      </c>
      <c r="H3830" t="s">
        <v>18</v>
      </c>
      <c r="I3830" t="s">
        <v>19</v>
      </c>
      <c r="J3830" t="s">
        <v>20</v>
      </c>
      <c r="L3830" t="s">
        <v>4915</v>
      </c>
      <c r="M3830" t="s">
        <v>4916</v>
      </c>
      <c r="N3830" t="s">
        <v>4916</v>
      </c>
      <c r="O3830" t="s">
        <v>23</v>
      </c>
      <c r="P3830" t="s">
        <v>24</v>
      </c>
      <c r="Q3830" t="s">
        <v>25</v>
      </c>
      <c r="R3830" t="s">
        <v>4917</v>
      </c>
    </row>
    <row r="3831" spans="1:18" x14ac:dyDescent="0.25">
      <c r="A3831" t="s">
        <v>13450</v>
      </c>
      <c r="B3831" t="s">
        <v>4918</v>
      </c>
      <c r="C3831" t="str">
        <f>HYPERLINK("https://nematode.unl.edu/euox10.jpg")</f>
        <v>https://nematode.unl.edu/euox10.jpg</v>
      </c>
      <c r="D3831" t="s">
        <v>77</v>
      </c>
      <c r="G3831" t="s">
        <v>28</v>
      </c>
      <c r="I3831" t="s">
        <v>41</v>
      </c>
      <c r="J3831" t="s">
        <v>20</v>
      </c>
      <c r="L3831" t="s">
        <v>193</v>
      </c>
      <c r="M3831" t="s">
        <v>4916</v>
      </c>
      <c r="N3831" t="s">
        <v>4916</v>
      </c>
      <c r="O3831" t="s">
        <v>23</v>
      </c>
      <c r="P3831" t="s">
        <v>24</v>
      </c>
      <c r="Q3831" t="s">
        <v>25</v>
      </c>
      <c r="R3831" t="s">
        <v>4917</v>
      </c>
    </row>
    <row r="3832" spans="1:18" x14ac:dyDescent="0.25">
      <c r="A3832" t="s">
        <v>13426</v>
      </c>
      <c r="B3832" t="s">
        <v>4919</v>
      </c>
      <c r="C3832" t="str">
        <f>HYPERLINK("https://nematode.unl.edu/euox11.jpg")</f>
        <v>https://nematode.unl.edu/euox11.jpg</v>
      </c>
      <c r="D3832" t="s">
        <v>43</v>
      </c>
      <c r="G3832" t="s">
        <v>34</v>
      </c>
      <c r="H3832" t="s">
        <v>18</v>
      </c>
      <c r="I3832" t="s">
        <v>41</v>
      </c>
      <c r="J3832" t="s">
        <v>20</v>
      </c>
      <c r="L3832" t="s">
        <v>38</v>
      </c>
      <c r="M3832" t="s">
        <v>4916</v>
      </c>
      <c r="N3832" t="s">
        <v>4916</v>
      </c>
      <c r="O3832" t="s">
        <v>23</v>
      </c>
      <c r="P3832" t="s">
        <v>24</v>
      </c>
      <c r="Q3832" t="s">
        <v>25</v>
      </c>
      <c r="R3832" t="s">
        <v>4917</v>
      </c>
    </row>
    <row r="3833" spans="1:18" x14ac:dyDescent="0.25">
      <c r="A3833" t="s">
        <v>13427</v>
      </c>
      <c r="B3833" t="s">
        <v>4920</v>
      </c>
      <c r="C3833" t="str">
        <f>HYPERLINK("https://nematode.unl.edu/euox12.jpg")</f>
        <v>https://nematode.unl.edu/euox12.jpg</v>
      </c>
      <c r="D3833" t="s">
        <v>77</v>
      </c>
      <c r="G3833" t="s">
        <v>34</v>
      </c>
      <c r="H3833" t="s">
        <v>18</v>
      </c>
      <c r="J3833" t="s">
        <v>20</v>
      </c>
      <c r="L3833" t="s">
        <v>38</v>
      </c>
      <c r="M3833" t="s">
        <v>4916</v>
      </c>
      <c r="N3833" t="s">
        <v>4916</v>
      </c>
      <c r="O3833" t="s">
        <v>23</v>
      </c>
      <c r="P3833" t="s">
        <v>24</v>
      </c>
      <c r="Q3833" t="s">
        <v>25</v>
      </c>
      <c r="R3833" t="s">
        <v>4917</v>
      </c>
    </row>
    <row r="3834" spans="1:18" x14ac:dyDescent="0.25">
      <c r="A3834" t="s">
        <v>13444</v>
      </c>
      <c r="B3834" t="s">
        <v>4921</v>
      </c>
      <c r="C3834" t="str">
        <f>HYPERLINK("https://nematode.unl.edu/euox13.jpg")</f>
        <v>https://nematode.unl.edu/euox13.jpg</v>
      </c>
      <c r="D3834" t="s">
        <v>43</v>
      </c>
      <c r="G3834" t="s">
        <v>87</v>
      </c>
      <c r="I3834" t="s">
        <v>19</v>
      </c>
      <c r="J3834" t="s">
        <v>20</v>
      </c>
      <c r="M3834" t="s">
        <v>4916</v>
      </c>
      <c r="N3834" t="s">
        <v>4916</v>
      </c>
      <c r="O3834" t="s">
        <v>23</v>
      </c>
      <c r="P3834" t="s">
        <v>24</v>
      </c>
      <c r="Q3834" t="s">
        <v>25</v>
      </c>
      <c r="R3834" t="s">
        <v>4917</v>
      </c>
    </row>
    <row r="3835" spans="1:18" x14ac:dyDescent="0.25">
      <c r="A3835" t="s">
        <v>13464</v>
      </c>
      <c r="B3835" t="s">
        <v>4922</v>
      </c>
      <c r="C3835" t="str">
        <f>HYPERLINK("https://nematode.unl.edu/euox14.jpg")</f>
        <v>https://nematode.unl.edu/euox14.jpg</v>
      </c>
      <c r="D3835" t="s">
        <v>43</v>
      </c>
      <c r="G3835" t="s">
        <v>51</v>
      </c>
      <c r="J3835" t="s">
        <v>20</v>
      </c>
      <c r="L3835" t="s">
        <v>38</v>
      </c>
      <c r="M3835" t="s">
        <v>4916</v>
      </c>
      <c r="N3835" t="s">
        <v>4916</v>
      </c>
      <c r="O3835" t="s">
        <v>23</v>
      </c>
      <c r="P3835" t="s">
        <v>24</v>
      </c>
      <c r="Q3835" t="s">
        <v>25</v>
      </c>
      <c r="R3835" t="s">
        <v>4917</v>
      </c>
    </row>
    <row r="3836" spans="1:18" x14ac:dyDescent="0.25">
      <c r="A3836" t="s">
        <v>13451</v>
      </c>
      <c r="B3836" t="s">
        <v>4923</v>
      </c>
      <c r="C3836" t="str">
        <f>HYPERLINK("https://nematode.unl.edu/euox15.jpg")</f>
        <v>https://nematode.unl.edu/euox15.jpg</v>
      </c>
      <c r="D3836" t="s">
        <v>43</v>
      </c>
      <c r="G3836" t="s">
        <v>28</v>
      </c>
      <c r="J3836" t="s">
        <v>20</v>
      </c>
      <c r="L3836" t="s">
        <v>38</v>
      </c>
      <c r="M3836" t="s">
        <v>4916</v>
      </c>
      <c r="N3836" t="s">
        <v>4916</v>
      </c>
      <c r="O3836" t="s">
        <v>23</v>
      </c>
      <c r="P3836" t="s">
        <v>24</v>
      </c>
      <c r="Q3836" t="s">
        <v>25</v>
      </c>
      <c r="R3836" t="s">
        <v>4917</v>
      </c>
    </row>
    <row r="3837" spans="1:18" x14ac:dyDescent="0.25">
      <c r="A3837" t="s">
        <v>13448</v>
      </c>
      <c r="B3837" t="s">
        <v>4924</v>
      </c>
      <c r="C3837" t="str">
        <f>HYPERLINK("https://nematode.unl.edu/euox16.jpg")</f>
        <v>https://nematode.unl.edu/euox16.jpg</v>
      </c>
      <c r="D3837" t="s">
        <v>43</v>
      </c>
      <c r="G3837" t="s">
        <v>53</v>
      </c>
      <c r="I3837" t="s">
        <v>41</v>
      </c>
      <c r="L3837" t="s">
        <v>38</v>
      </c>
      <c r="M3837" t="s">
        <v>4916</v>
      </c>
      <c r="N3837" t="s">
        <v>4916</v>
      </c>
      <c r="O3837" t="s">
        <v>23</v>
      </c>
      <c r="P3837" t="s">
        <v>24</v>
      </c>
      <c r="Q3837" t="s">
        <v>25</v>
      </c>
      <c r="R3837" t="s">
        <v>4917</v>
      </c>
    </row>
    <row r="3838" spans="1:18" x14ac:dyDescent="0.25">
      <c r="A3838" t="s">
        <v>13428</v>
      </c>
      <c r="B3838" t="s">
        <v>4925</v>
      </c>
      <c r="C3838" t="str">
        <f>HYPERLINK("https://nematode.unl.edu/euox17.jpg")</f>
        <v>https://nematode.unl.edu/euox17.jpg</v>
      </c>
      <c r="D3838" t="s">
        <v>43</v>
      </c>
      <c r="G3838" t="s">
        <v>34</v>
      </c>
      <c r="H3838" t="s">
        <v>18</v>
      </c>
      <c r="I3838" t="s">
        <v>41</v>
      </c>
      <c r="M3838" t="s">
        <v>4916</v>
      </c>
      <c r="N3838" t="s">
        <v>4916</v>
      </c>
      <c r="O3838" t="s">
        <v>23</v>
      </c>
      <c r="P3838" t="s">
        <v>24</v>
      </c>
      <c r="Q3838" t="s">
        <v>25</v>
      </c>
      <c r="R3838" t="s">
        <v>4917</v>
      </c>
    </row>
    <row r="3839" spans="1:18" x14ac:dyDescent="0.25">
      <c r="A3839" t="s">
        <v>13429</v>
      </c>
      <c r="B3839" t="s">
        <v>4926</v>
      </c>
      <c r="C3839" t="str">
        <f>HYPERLINK("https://nematode.unl.edu/euox18.jpg")</f>
        <v>https://nematode.unl.edu/euox18.jpg</v>
      </c>
      <c r="D3839" t="s">
        <v>77</v>
      </c>
      <c r="G3839" t="s">
        <v>34</v>
      </c>
      <c r="H3839" t="s">
        <v>18</v>
      </c>
      <c r="I3839" t="s">
        <v>41</v>
      </c>
      <c r="M3839" t="s">
        <v>4916</v>
      </c>
      <c r="N3839" t="s">
        <v>4916</v>
      </c>
      <c r="O3839" t="s">
        <v>23</v>
      </c>
      <c r="P3839" t="s">
        <v>24</v>
      </c>
      <c r="Q3839" t="s">
        <v>25</v>
      </c>
      <c r="R3839" t="s">
        <v>4917</v>
      </c>
    </row>
    <row r="3840" spans="1:18" x14ac:dyDescent="0.25">
      <c r="A3840" t="s">
        <v>13442</v>
      </c>
      <c r="B3840" t="s">
        <v>4927</v>
      </c>
      <c r="C3840" t="str">
        <f>HYPERLINK("https://nematode.unl.edu/euox19.jpg")</f>
        <v>https://nematode.unl.edu/euox19.jpg</v>
      </c>
      <c r="D3840" t="s">
        <v>43</v>
      </c>
      <c r="G3840" t="s">
        <v>257</v>
      </c>
      <c r="H3840" t="s">
        <v>18</v>
      </c>
      <c r="I3840" t="s">
        <v>41</v>
      </c>
      <c r="J3840" t="s">
        <v>20</v>
      </c>
      <c r="M3840" t="s">
        <v>4916</v>
      </c>
      <c r="N3840" t="s">
        <v>4916</v>
      </c>
      <c r="O3840" t="s">
        <v>23</v>
      </c>
      <c r="P3840" t="s">
        <v>24</v>
      </c>
      <c r="Q3840" t="s">
        <v>25</v>
      </c>
      <c r="R3840" t="s">
        <v>4917</v>
      </c>
    </row>
    <row r="3841" spans="1:18" x14ac:dyDescent="0.25">
      <c r="A3841" t="s">
        <v>13443</v>
      </c>
      <c r="B3841" t="s">
        <v>4928</v>
      </c>
      <c r="C3841" t="str">
        <f>HYPERLINK("https://nematode.unl.edu/euox2.jpg")</f>
        <v>https://nematode.unl.edu/euox2.jpg</v>
      </c>
      <c r="D3841" t="s">
        <v>43</v>
      </c>
      <c r="G3841" t="s">
        <v>384</v>
      </c>
      <c r="J3841" t="s">
        <v>20</v>
      </c>
      <c r="L3841" t="s">
        <v>138</v>
      </c>
      <c r="M3841" t="s">
        <v>4916</v>
      </c>
      <c r="N3841" t="s">
        <v>4916</v>
      </c>
      <c r="O3841" t="s">
        <v>23</v>
      </c>
      <c r="P3841" t="s">
        <v>24</v>
      </c>
      <c r="Q3841" t="s">
        <v>25</v>
      </c>
      <c r="R3841" t="s">
        <v>4917</v>
      </c>
    </row>
    <row r="3842" spans="1:18" x14ac:dyDescent="0.25">
      <c r="A3842" t="s">
        <v>13452</v>
      </c>
      <c r="B3842" t="s">
        <v>4929</v>
      </c>
      <c r="C3842" t="str">
        <f>HYPERLINK("https://nematode.unl.edu/euox20.jpg")</f>
        <v>https://nematode.unl.edu/euox20.jpg</v>
      </c>
      <c r="D3842" t="s">
        <v>77</v>
      </c>
      <c r="G3842" t="s">
        <v>28</v>
      </c>
      <c r="I3842" t="s">
        <v>41</v>
      </c>
      <c r="J3842" t="s">
        <v>20</v>
      </c>
      <c r="M3842" t="s">
        <v>4916</v>
      </c>
      <c r="N3842" t="s">
        <v>4916</v>
      </c>
      <c r="O3842" t="s">
        <v>23</v>
      </c>
      <c r="P3842" t="s">
        <v>24</v>
      </c>
      <c r="Q3842" t="s">
        <v>25</v>
      </c>
      <c r="R3842" t="s">
        <v>4917</v>
      </c>
    </row>
    <row r="3843" spans="1:18" x14ac:dyDescent="0.25">
      <c r="A3843" t="s">
        <v>13447</v>
      </c>
      <c r="B3843" t="s">
        <v>4930</v>
      </c>
      <c r="C3843" t="str">
        <f>HYPERLINK("https://nematode.unl.edu/euox21.jpg")</f>
        <v>https://nematode.unl.edu/euox21.jpg</v>
      </c>
      <c r="D3843" t="s">
        <v>43</v>
      </c>
      <c r="G3843" t="s">
        <v>4041</v>
      </c>
      <c r="I3843" t="s">
        <v>41</v>
      </c>
      <c r="J3843" t="s">
        <v>20</v>
      </c>
      <c r="L3843" t="s">
        <v>206</v>
      </c>
      <c r="M3843" t="s">
        <v>4916</v>
      </c>
      <c r="N3843" t="s">
        <v>4916</v>
      </c>
      <c r="O3843" t="s">
        <v>23</v>
      </c>
      <c r="P3843" t="s">
        <v>24</v>
      </c>
      <c r="Q3843" t="s">
        <v>25</v>
      </c>
      <c r="R3843" t="s">
        <v>4917</v>
      </c>
    </row>
    <row r="3844" spans="1:18" x14ac:dyDescent="0.25">
      <c r="A3844" t="s">
        <v>13445</v>
      </c>
      <c r="B3844" t="s">
        <v>4931</v>
      </c>
      <c r="C3844" t="str">
        <f>HYPERLINK("https://nematode.unl.edu/euox22.jpg")</f>
        <v>https://nematode.unl.edu/euox22.jpg</v>
      </c>
      <c r="D3844" t="s">
        <v>43</v>
      </c>
      <c r="G3844" t="s">
        <v>44</v>
      </c>
      <c r="I3844" t="s">
        <v>45</v>
      </c>
      <c r="J3844" t="s">
        <v>20</v>
      </c>
      <c r="L3844" t="s">
        <v>38</v>
      </c>
      <c r="M3844" t="s">
        <v>4916</v>
      </c>
      <c r="N3844" t="s">
        <v>4916</v>
      </c>
      <c r="O3844" t="s">
        <v>23</v>
      </c>
      <c r="P3844" t="s">
        <v>24</v>
      </c>
      <c r="Q3844" t="s">
        <v>25</v>
      </c>
      <c r="R3844" t="s">
        <v>4917</v>
      </c>
    </row>
    <row r="3845" spans="1:18" x14ac:dyDescent="0.25">
      <c r="A3845" t="s">
        <v>13430</v>
      </c>
      <c r="B3845" t="s">
        <v>4932</v>
      </c>
      <c r="C3845" t="str">
        <f>HYPERLINK("https://nematode.unl.edu/euox23.jpg")</f>
        <v>https://nematode.unl.edu/euox23.jpg</v>
      </c>
      <c r="D3845" t="s">
        <v>43</v>
      </c>
      <c r="G3845" t="s">
        <v>34</v>
      </c>
      <c r="H3845" t="s">
        <v>18</v>
      </c>
      <c r="I3845" t="s">
        <v>19</v>
      </c>
      <c r="J3845" t="s">
        <v>20</v>
      </c>
      <c r="L3845" t="s">
        <v>38</v>
      </c>
      <c r="M3845" t="s">
        <v>4916</v>
      </c>
      <c r="N3845" t="s">
        <v>4916</v>
      </c>
      <c r="O3845" t="s">
        <v>23</v>
      </c>
      <c r="P3845" t="s">
        <v>24</v>
      </c>
      <c r="Q3845" t="s">
        <v>25</v>
      </c>
      <c r="R3845" t="s">
        <v>4917</v>
      </c>
    </row>
    <row r="3846" spans="1:18" x14ac:dyDescent="0.25">
      <c r="A3846" t="s">
        <v>13453</v>
      </c>
      <c r="B3846" t="s">
        <v>4933</v>
      </c>
      <c r="C3846" t="str">
        <f>HYPERLINK("https://nematode.unl.edu/euox24.jpg")</f>
        <v>https://nematode.unl.edu/euox24.jpg</v>
      </c>
      <c r="D3846" t="s">
        <v>43</v>
      </c>
      <c r="G3846" t="s">
        <v>28</v>
      </c>
      <c r="I3846" t="s">
        <v>19</v>
      </c>
      <c r="J3846" t="s">
        <v>20</v>
      </c>
      <c r="M3846" t="s">
        <v>4916</v>
      </c>
      <c r="N3846" t="s">
        <v>4916</v>
      </c>
      <c r="O3846" t="s">
        <v>23</v>
      </c>
      <c r="P3846" t="s">
        <v>24</v>
      </c>
      <c r="Q3846" t="s">
        <v>25</v>
      </c>
      <c r="R3846" t="s">
        <v>4917</v>
      </c>
    </row>
    <row r="3847" spans="1:18" x14ac:dyDescent="0.25">
      <c r="A3847" t="s">
        <v>13431</v>
      </c>
      <c r="B3847" t="s">
        <v>4934</v>
      </c>
      <c r="C3847" t="str">
        <f>HYPERLINK("https://nematode.unl.edu/euox25.jpg")</f>
        <v>https://nematode.unl.edu/euox25.jpg</v>
      </c>
      <c r="D3847" t="s">
        <v>43</v>
      </c>
      <c r="G3847" t="s">
        <v>34</v>
      </c>
      <c r="H3847" t="s">
        <v>18</v>
      </c>
      <c r="I3847" t="s">
        <v>41</v>
      </c>
      <c r="J3847" t="s">
        <v>20</v>
      </c>
      <c r="M3847" t="s">
        <v>4916</v>
      </c>
      <c r="N3847" t="s">
        <v>4916</v>
      </c>
      <c r="O3847" t="s">
        <v>23</v>
      </c>
      <c r="P3847" t="s">
        <v>24</v>
      </c>
      <c r="Q3847" t="s">
        <v>25</v>
      </c>
      <c r="R3847" t="s">
        <v>4917</v>
      </c>
    </row>
    <row r="3848" spans="1:18" x14ac:dyDescent="0.25">
      <c r="A3848" t="s">
        <v>13432</v>
      </c>
      <c r="B3848" t="s">
        <v>4935</v>
      </c>
      <c r="C3848" t="str">
        <f>HYPERLINK("https://nematode.unl.edu/euox26.jpg")</f>
        <v>https://nematode.unl.edu/euox26.jpg</v>
      </c>
      <c r="D3848" t="s">
        <v>43</v>
      </c>
      <c r="G3848" t="s">
        <v>34</v>
      </c>
      <c r="H3848" t="s">
        <v>18</v>
      </c>
      <c r="J3848" t="s">
        <v>20</v>
      </c>
      <c r="L3848" t="s">
        <v>38</v>
      </c>
      <c r="M3848" t="s">
        <v>4916</v>
      </c>
      <c r="N3848" t="s">
        <v>4916</v>
      </c>
      <c r="O3848" t="s">
        <v>23</v>
      </c>
      <c r="P3848" t="s">
        <v>24</v>
      </c>
      <c r="Q3848" t="s">
        <v>25</v>
      </c>
      <c r="R3848" t="s">
        <v>4917</v>
      </c>
    </row>
    <row r="3849" spans="1:18" x14ac:dyDescent="0.25">
      <c r="A3849" t="s">
        <v>13465</v>
      </c>
      <c r="B3849" t="s">
        <v>4936</v>
      </c>
      <c r="C3849" t="str">
        <f>HYPERLINK("https://nematode.unl.edu/euox27.jpg")</f>
        <v>https://nematode.unl.edu/euox27.jpg</v>
      </c>
      <c r="D3849" t="s">
        <v>43</v>
      </c>
      <c r="G3849" t="s">
        <v>51</v>
      </c>
      <c r="L3849" t="s">
        <v>38</v>
      </c>
      <c r="M3849" t="s">
        <v>4916</v>
      </c>
      <c r="N3849" t="s">
        <v>4916</v>
      </c>
      <c r="O3849" t="s">
        <v>23</v>
      </c>
      <c r="P3849" t="s">
        <v>24</v>
      </c>
      <c r="Q3849" t="s">
        <v>25</v>
      </c>
      <c r="R3849" t="s">
        <v>4917</v>
      </c>
    </row>
    <row r="3850" spans="1:18" x14ac:dyDescent="0.25">
      <c r="A3850" t="s">
        <v>13454</v>
      </c>
      <c r="B3850" t="s">
        <v>4937</v>
      </c>
      <c r="C3850" t="str">
        <f>HYPERLINK("https://nematode.unl.edu/euox28.jpg")</f>
        <v>https://nematode.unl.edu/euox28.jpg</v>
      </c>
      <c r="D3850" t="s">
        <v>77</v>
      </c>
      <c r="G3850" t="s">
        <v>28</v>
      </c>
      <c r="I3850" t="s">
        <v>516</v>
      </c>
      <c r="J3850" t="s">
        <v>20</v>
      </c>
      <c r="L3850" t="s">
        <v>38</v>
      </c>
      <c r="M3850" t="s">
        <v>4916</v>
      </c>
      <c r="N3850" t="s">
        <v>4916</v>
      </c>
      <c r="O3850" t="s">
        <v>23</v>
      </c>
      <c r="P3850" t="s">
        <v>24</v>
      </c>
      <c r="Q3850" t="s">
        <v>25</v>
      </c>
      <c r="R3850" t="s">
        <v>4917</v>
      </c>
    </row>
    <row r="3851" spans="1:18" x14ac:dyDescent="0.25">
      <c r="A3851" t="s">
        <v>13433</v>
      </c>
      <c r="B3851" t="s">
        <v>4938</v>
      </c>
      <c r="C3851" t="str">
        <f>HYPERLINK("https://nematode.unl.edu/euox29.jpg")</f>
        <v>https://nematode.unl.edu/euox29.jpg</v>
      </c>
      <c r="D3851" t="s">
        <v>77</v>
      </c>
      <c r="G3851" t="s">
        <v>34</v>
      </c>
      <c r="H3851" t="s">
        <v>18</v>
      </c>
      <c r="J3851" t="s">
        <v>20</v>
      </c>
      <c r="L3851" t="s">
        <v>85</v>
      </c>
      <c r="M3851" t="s">
        <v>4916</v>
      </c>
      <c r="N3851" t="s">
        <v>4916</v>
      </c>
      <c r="O3851" t="s">
        <v>23</v>
      </c>
      <c r="P3851" t="s">
        <v>24</v>
      </c>
      <c r="Q3851" t="s">
        <v>25</v>
      </c>
      <c r="R3851" t="s">
        <v>4917</v>
      </c>
    </row>
    <row r="3852" spans="1:18" x14ac:dyDescent="0.25">
      <c r="A3852" t="s">
        <v>13466</v>
      </c>
      <c r="B3852" t="s">
        <v>4939</v>
      </c>
      <c r="C3852" t="str">
        <f>HYPERLINK("https://nematode.unl.edu/euox3.jpg")</f>
        <v>https://nematode.unl.edu/euox3.jpg</v>
      </c>
      <c r="D3852" t="s">
        <v>43</v>
      </c>
      <c r="G3852" t="s">
        <v>51</v>
      </c>
      <c r="J3852" t="s">
        <v>20</v>
      </c>
      <c r="L3852" t="s">
        <v>173</v>
      </c>
      <c r="M3852" t="s">
        <v>4916</v>
      </c>
      <c r="N3852" t="s">
        <v>4916</v>
      </c>
      <c r="O3852" t="s">
        <v>23</v>
      </c>
      <c r="P3852" t="s">
        <v>24</v>
      </c>
      <c r="Q3852" t="s">
        <v>25</v>
      </c>
      <c r="R3852" t="s">
        <v>4917</v>
      </c>
    </row>
    <row r="3853" spans="1:18" x14ac:dyDescent="0.25">
      <c r="A3853" t="s">
        <v>13455</v>
      </c>
      <c r="B3853" t="s">
        <v>4940</v>
      </c>
      <c r="C3853" t="str">
        <f>HYPERLINK("https://nematode.unl.edu/euox30.jpg")</f>
        <v>https://nematode.unl.edu/euox30.jpg</v>
      </c>
      <c r="D3853" t="s">
        <v>77</v>
      </c>
      <c r="G3853" t="s">
        <v>28</v>
      </c>
      <c r="L3853" t="s">
        <v>85</v>
      </c>
      <c r="M3853" t="s">
        <v>4916</v>
      </c>
      <c r="N3853" t="s">
        <v>4916</v>
      </c>
      <c r="O3853" t="s">
        <v>23</v>
      </c>
      <c r="P3853" t="s">
        <v>24</v>
      </c>
      <c r="Q3853" t="s">
        <v>25</v>
      </c>
      <c r="R3853" t="s">
        <v>4917</v>
      </c>
    </row>
    <row r="3854" spans="1:18" x14ac:dyDescent="0.25">
      <c r="A3854" t="s">
        <v>13434</v>
      </c>
      <c r="B3854" t="s">
        <v>4941</v>
      </c>
      <c r="C3854" t="str">
        <f>HYPERLINK("https://nematode.unl.edu/euox31.jpg")</f>
        <v>https://nematode.unl.edu/euox31.jpg</v>
      </c>
      <c r="D3854" t="s">
        <v>77</v>
      </c>
      <c r="G3854" t="s">
        <v>34</v>
      </c>
      <c r="H3854" t="s">
        <v>18</v>
      </c>
      <c r="J3854" t="s">
        <v>20</v>
      </c>
      <c r="M3854" t="s">
        <v>4916</v>
      </c>
      <c r="N3854" t="s">
        <v>4916</v>
      </c>
      <c r="O3854" t="s">
        <v>23</v>
      </c>
      <c r="P3854" t="s">
        <v>24</v>
      </c>
      <c r="Q3854" t="s">
        <v>25</v>
      </c>
      <c r="R3854" t="s">
        <v>4917</v>
      </c>
    </row>
    <row r="3855" spans="1:18" x14ac:dyDescent="0.25">
      <c r="A3855" t="s">
        <v>13456</v>
      </c>
      <c r="B3855" t="s">
        <v>4942</v>
      </c>
      <c r="C3855" t="str">
        <f>HYPERLINK("https://nematode.unl.edu/euox32.jpg")</f>
        <v>https://nematode.unl.edu/euox32.jpg</v>
      </c>
      <c r="D3855" t="s">
        <v>77</v>
      </c>
      <c r="G3855" t="s">
        <v>28</v>
      </c>
      <c r="I3855" t="s">
        <v>19</v>
      </c>
      <c r="J3855" t="s">
        <v>20</v>
      </c>
      <c r="L3855" t="s">
        <v>4943</v>
      </c>
      <c r="M3855" t="s">
        <v>4916</v>
      </c>
      <c r="N3855" t="s">
        <v>4916</v>
      </c>
      <c r="O3855" t="s">
        <v>23</v>
      </c>
      <c r="P3855" t="s">
        <v>24</v>
      </c>
      <c r="Q3855" t="s">
        <v>25</v>
      </c>
      <c r="R3855" t="s">
        <v>4917</v>
      </c>
    </row>
    <row r="3856" spans="1:18" x14ac:dyDescent="0.25">
      <c r="A3856" t="s">
        <v>13435</v>
      </c>
      <c r="B3856" t="s">
        <v>4944</v>
      </c>
      <c r="C3856" t="str">
        <f>HYPERLINK("https://nematode.unl.edu/euox33.jpg")</f>
        <v>https://nematode.unl.edu/euox33.jpg</v>
      </c>
      <c r="D3856" t="s">
        <v>43</v>
      </c>
      <c r="G3856" t="s">
        <v>34</v>
      </c>
      <c r="H3856" t="s">
        <v>18</v>
      </c>
      <c r="I3856" t="s">
        <v>19</v>
      </c>
      <c r="J3856" t="s">
        <v>20</v>
      </c>
      <c r="L3856" t="s">
        <v>29</v>
      </c>
      <c r="M3856" t="s">
        <v>4916</v>
      </c>
      <c r="N3856" t="s">
        <v>4916</v>
      </c>
      <c r="O3856" t="s">
        <v>23</v>
      </c>
      <c r="P3856" t="s">
        <v>24</v>
      </c>
      <c r="Q3856" t="s">
        <v>25</v>
      </c>
      <c r="R3856" t="s">
        <v>4917</v>
      </c>
    </row>
    <row r="3857" spans="1:18" x14ac:dyDescent="0.25">
      <c r="A3857" t="s">
        <v>13467</v>
      </c>
      <c r="B3857" t="s">
        <v>4945</v>
      </c>
      <c r="C3857" t="str">
        <f>HYPERLINK("https://nematode.unl.edu/euox34.jpg")</f>
        <v>https://nematode.unl.edu/euox34.jpg</v>
      </c>
      <c r="D3857" t="s">
        <v>43</v>
      </c>
      <c r="G3857" t="s">
        <v>51</v>
      </c>
      <c r="J3857" t="s">
        <v>20</v>
      </c>
      <c r="M3857" t="s">
        <v>4916</v>
      </c>
      <c r="N3857" t="s">
        <v>4916</v>
      </c>
      <c r="O3857" t="s">
        <v>23</v>
      </c>
      <c r="P3857" t="s">
        <v>24</v>
      </c>
      <c r="Q3857" t="s">
        <v>25</v>
      </c>
      <c r="R3857" t="s">
        <v>4917</v>
      </c>
    </row>
    <row r="3858" spans="1:18" x14ac:dyDescent="0.25">
      <c r="A3858" t="s">
        <v>13457</v>
      </c>
      <c r="B3858" t="s">
        <v>4946</v>
      </c>
      <c r="C3858" t="str">
        <f>HYPERLINK("https://nematode.unl.edu/euox35.jpg")</f>
        <v>https://nematode.unl.edu/euox35.jpg</v>
      </c>
      <c r="D3858" t="s">
        <v>43</v>
      </c>
      <c r="G3858" t="s">
        <v>28</v>
      </c>
      <c r="L3858" t="s">
        <v>141</v>
      </c>
      <c r="M3858" t="s">
        <v>4916</v>
      </c>
      <c r="N3858" t="s">
        <v>4916</v>
      </c>
      <c r="O3858" t="s">
        <v>23</v>
      </c>
      <c r="P3858" t="s">
        <v>24</v>
      </c>
      <c r="Q3858" t="s">
        <v>25</v>
      </c>
      <c r="R3858" t="s">
        <v>4917</v>
      </c>
    </row>
    <row r="3859" spans="1:18" x14ac:dyDescent="0.25">
      <c r="A3859" t="s">
        <v>13446</v>
      </c>
      <c r="B3859" t="s">
        <v>4947</v>
      </c>
      <c r="C3859" t="str">
        <f>HYPERLINK("https://nematode.unl.edu/euox36.jpg")</f>
        <v>https://nematode.unl.edu/euox36.jpg</v>
      </c>
      <c r="D3859" t="s">
        <v>16</v>
      </c>
      <c r="G3859" t="s">
        <v>44</v>
      </c>
      <c r="I3859" t="s">
        <v>499</v>
      </c>
      <c r="J3859" t="s">
        <v>20</v>
      </c>
      <c r="L3859" t="s">
        <v>85</v>
      </c>
      <c r="M3859" t="s">
        <v>4916</v>
      </c>
      <c r="N3859" t="s">
        <v>4916</v>
      </c>
      <c r="O3859" t="s">
        <v>23</v>
      </c>
      <c r="P3859" t="s">
        <v>24</v>
      </c>
      <c r="Q3859" t="s">
        <v>25</v>
      </c>
      <c r="R3859" t="s">
        <v>4917</v>
      </c>
    </row>
    <row r="3860" spans="1:18" x14ac:dyDescent="0.25">
      <c r="A3860" t="s">
        <v>13436</v>
      </c>
      <c r="B3860" t="s">
        <v>4948</v>
      </c>
      <c r="C3860" t="str">
        <f>HYPERLINK("https://nematode.unl.edu/euox37.jpg")</f>
        <v>https://nematode.unl.edu/euox37.jpg</v>
      </c>
      <c r="D3860" t="s">
        <v>16</v>
      </c>
      <c r="G3860" t="s">
        <v>34</v>
      </c>
      <c r="H3860" t="s">
        <v>18</v>
      </c>
      <c r="I3860" t="s">
        <v>19</v>
      </c>
      <c r="J3860" t="s">
        <v>20</v>
      </c>
      <c r="M3860" t="s">
        <v>4916</v>
      </c>
      <c r="N3860" t="s">
        <v>4916</v>
      </c>
      <c r="O3860" t="s">
        <v>23</v>
      </c>
      <c r="P3860" t="s">
        <v>24</v>
      </c>
      <c r="Q3860" t="s">
        <v>25</v>
      </c>
      <c r="R3860" t="s">
        <v>4917</v>
      </c>
    </row>
    <row r="3861" spans="1:18" x14ac:dyDescent="0.25">
      <c r="A3861" t="s">
        <v>13458</v>
      </c>
      <c r="B3861" t="s">
        <v>4949</v>
      </c>
      <c r="C3861" t="str">
        <f>HYPERLINK("https://nematode.unl.edu/euox38.jpg")</f>
        <v>https://nematode.unl.edu/euox38.jpg</v>
      </c>
      <c r="D3861" t="s">
        <v>16</v>
      </c>
      <c r="G3861" t="s">
        <v>28</v>
      </c>
      <c r="I3861" t="s">
        <v>19</v>
      </c>
      <c r="J3861" t="s">
        <v>20</v>
      </c>
      <c r="M3861" t="s">
        <v>4916</v>
      </c>
      <c r="N3861" t="s">
        <v>4916</v>
      </c>
      <c r="O3861" t="s">
        <v>23</v>
      </c>
      <c r="P3861" t="s">
        <v>24</v>
      </c>
      <c r="Q3861" t="s">
        <v>25</v>
      </c>
      <c r="R3861" t="s">
        <v>4917</v>
      </c>
    </row>
    <row r="3862" spans="1:18" x14ac:dyDescent="0.25">
      <c r="A3862" t="s">
        <v>13437</v>
      </c>
      <c r="B3862" t="s">
        <v>4950</v>
      </c>
      <c r="C3862" t="str">
        <f>HYPERLINK("https://nematode.unl.edu/euox39.jpg")</f>
        <v>https://nematode.unl.edu/euox39.jpg</v>
      </c>
      <c r="D3862" t="s">
        <v>16</v>
      </c>
      <c r="G3862" t="s">
        <v>34</v>
      </c>
      <c r="H3862" t="s">
        <v>18</v>
      </c>
      <c r="I3862" t="s">
        <v>19</v>
      </c>
      <c r="J3862" t="s">
        <v>20</v>
      </c>
      <c r="L3862" t="s">
        <v>29</v>
      </c>
      <c r="M3862" t="s">
        <v>4916</v>
      </c>
      <c r="N3862" t="s">
        <v>4916</v>
      </c>
      <c r="O3862" t="s">
        <v>23</v>
      </c>
      <c r="P3862" t="s">
        <v>24</v>
      </c>
      <c r="Q3862" t="s">
        <v>25</v>
      </c>
      <c r="R3862" t="s">
        <v>4917</v>
      </c>
    </row>
    <row r="3863" spans="1:18" x14ac:dyDescent="0.25">
      <c r="A3863" t="s">
        <v>13459</v>
      </c>
      <c r="B3863" t="s">
        <v>4951</v>
      </c>
      <c r="C3863" t="str">
        <f>HYPERLINK("https://nematode.unl.edu/euox4.jpg")</f>
        <v>https://nematode.unl.edu/euox4.jpg</v>
      </c>
      <c r="D3863" t="s">
        <v>43</v>
      </c>
      <c r="G3863" t="s">
        <v>28</v>
      </c>
      <c r="J3863" t="s">
        <v>20</v>
      </c>
      <c r="L3863" t="s">
        <v>141</v>
      </c>
      <c r="M3863" t="s">
        <v>4916</v>
      </c>
      <c r="N3863" t="s">
        <v>4916</v>
      </c>
      <c r="O3863" t="s">
        <v>23</v>
      </c>
      <c r="P3863" t="s">
        <v>24</v>
      </c>
      <c r="Q3863" t="s">
        <v>25</v>
      </c>
      <c r="R3863" t="s">
        <v>4917</v>
      </c>
    </row>
    <row r="3864" spans="1:18" x14ac:dyDescent="0.25">
      <c r="A3864" t="s">
        <v>13460</v>
      </c>
      <c r="B3864" t="s">
        <v>4952</v>
      </c>
      <c r="C3864" t="str">
        <f>HYPERLINK("https://nematode.unl.edu/euox40.jpg")</f>
        <v>https://nematode.unl.edu/euox40.jpg</v>
      </c>
      <c r="D3864" t="s">
        <v>16</v>
      </c>
      <c r="G3864" t="s">
        <v>28</v>
      </c>
      <c r="I3864" t="s">
        <v>316</v>
      </c>
      <c r="M3864" t="s">
        <v>4916</v>
      </c>
      <c r="N3864" t="s">
        <v>4916</v>
      </c>
      <c r="O3864" t="s">
        <v>23</v>
      </c>
      <c r="P3864" t="s">
        <v>24</v>
      </c>
      <c r="Q3864" t="s">
        <v>25</v>
      </c>
      <c r="R3864" t="s">
        <v>4917</v>
      </c>
    </row>
    <row r="3865" spans="1:18" x14ac:dyDescent="0.25">
      <c r="A3865" t="s">
        <v>13438</v>
      </c>
      <c r="B3865" t="s">
        <v>4953</v>
      </c>
      <c r="C3865" t="str">
        <f>HYPERLINK("https://nematode.unl.edu/euox41.jpg")</f>
        <v>https://nematode.unl.edu/euox41.jpg</v>
      </c>
      <c r="D3865" t="s">
        <v>16</v>
      </c>
      <c r="G3865" t="s">
        <v>34</v>
      </c>
      <c r="H3865" t="s">
        <v>18</v>
      </c>
      <c r="I3865" t="s">
        <v>19</v>
      </c>
      <c r="J3865" t="s">
        <v>20</v>
      </c>
      <c r="L3865" t="s">
        <v>38</v>
      </c>
      <c r="M3865" t="s">
        <v>4916</v>
      </c>
      <c r="N3865" t="s">
        <v>4916</v>
      </c>
      <c r="O3865" t="s">
        <v>23</v>
      </c>
      <c r="P3865" t="s">
        <v>24</v>
      </c>
      <c r="Q3865" t="s">
        <v>25</v>
      </c>
      <c r="R3865" t="s">
        <v>4917</v>
      </c>
    </row>
    <row r="3866" spans="1:18" x14ac:dyDescent="0.25">
      <c r="A3866" t="s">
        <v>13461</v>
      </c>
      <c r="B3866" t="s">
        <v>4954</v>
      </c>
      <c r="C3866" t="str">
        <f>HYPERLINK("https://nematode.unl.edu/euox42.jpg")</f>
        <v>https://nematode.unl.edu/euox42.jpg</v>
      </c>
      <c r="D3866" t="s">
        <v>16</v>
      </c>
      <c r="G3866" t="s">
        <v>28</v>
      </c>
      <c r="I3866" t="s">
        <v>19</v>
      </c>
      <c r="J3866" t="s">
        <v>20</v>
      </c>
      <c r="L3866" t="s">
        <v>38</v>
      </c>
      <c r="M3866" t="s">
        <v>4916</v>
      </c>
      <c r="N3866" t="s">
        <v>4916</v>
      </c>
      <c r="O3866" t="s">
        <v>23</v>
      </c>
      <c r="P3866" t="s">
        <v>24</v>
      </c>
      <c r="Q3866" t="s">
        <v>25</v>
      </c>
      <c r="R3866" t="s">
        <v>4917</v>
      </c>
    </row>
    <row r="3867" spans="1:18" x14ac:dyDescent="0.25">
      <c r="A3867" t="s">
        <v>13439</v>
      </c>
      <c r="B3867" t="s">
        <v>4955</v>
      </c>
      <c r="C3867" t="str">
        <f>HYPERLINK("https://nematode.unl.edu/euox43.jpg")</f>
        <v>https://nematode.unl.edu/euox43.jpg</v>
      </c>
      <c r="D3867" t="s">
        <v>16</v>
      </c>
      <c r="G3867" t="s">
        <v>34</v>
      </c>
      <c r="H3867" t="s">
        <v>18</v>
      </c>
      <c r="I3867" t="s">
        <v>19</v>
      </c>
      <c r="J3867" t="s">
        <v>20</v>
      </c>
      <c r="L3867" t="s">
        <v>38</v>
      </c>
      <c r="M3867" t="s">
        <v>4916</v>
      </c>
      <c r="N3867" t="s">
        <v>4916</v>
      </c>
      <c r="O3867" t="s">
        <v>23</v>
      </c>
      <c r="P3867" t="s">
        <v>24</v>
      </c>
      <c r="Q3867" t="s">
        <v>25</v>
      </c>
      <c r="R3867" t="s">
        <v>4917</v>
      </c>
    </row>
    <row r="3868" spans="1:18" x14ac:dyDescent="0.25">
      <c r="A3868" t="s">
        <v>13462</v>
      </c>
      <c r="B3868" t="s">
        <v>4956</v>
      </c>
      <c r="C3868" t="str">
        <f>HYPERLINK("https://nematode.unl.edu/euox44.jpg")</f>
        <v>https://nematode.unl.edu/euox44.jpg</v>
      </c>
      <c r="D3868" t="s">
        <v>16</v>
      </c>
      <c r="G3868" t="s">
        <v>28</v>
      </c>
      <c r="I3868" t="s">
        <v>516</v>
      </c>
      <c r="J3868" t="s">
        <v>20</v>
      </c>
      <c r="L3868" t="s">
        <v>38</v>
      </c>
      <c r="M3868" t="s">
        <v>4916</v>
      </c>
      <c r="N3868" t="s">
        <v>4916</v>
      </c>
      <c r="O3868" t="s">
        <v>23</v>
      </c>
      <c r="P3868" t="s">
        <v>24</v>
      </c>
      <c r="Q3868" t="s">
        <v>25</v>
      </c>
      <c r="R3868" t="s">
        <v>4917</v>
      </c>
    </row>
    <row r="3869" spans="1:18" x14ac:dyDescent="0.25">
      <c r="A3869" t="s">
        <v>13449</v>
      </c>
      <c r="B3869" t="s">
        <v>4957</v>
      </c>
      <c r="C3869" t="str">
        <f>HYPERLINK("https://nematode.unl.edu/euox5.jpg")</f>
        <v>https://nematode.unl.edu/euox5.jpg</v>
      </c>
      <c r="D3869" t="s">
        <v>43</v>
      </c>
      <c r="G3869" t="s">
        <v>53</v>
      </c>
      <c r="I3869" t="s">
        <v>19</v>
      </c>
      <c r="J3869" t="s">
        <v>20</v>
      </c>
      <c r="L3869" t="s">
        <v>173</v>
      </c>
      <c r="M3869" t="s">
        <v>4916</v>
      </c>
      <c r="N3869" t="s">
        <v>4916</v>
      </c>
      <c r="O3869" t="s">
        <v>23</v>
      </c>
      <c r="P3869" t="s">
        <v>24</v>
      </c>
      <c r="Q3869" t="s">
        <v>25</v>
      </c>
      <c r="R3869" t="s">
        <v>4917</v>
      </c>
    </row>
    <row r="3870" spans="1:18" x14ac:dyDescent="0.25">
      <c r="A3870" t="s">
        <v>13440</v>
      </c>
      <c r="B3870" t="s">
        <v>4958</v>
      </c>
      <c r="C3870" t="str">
        <f>HYPERLINK("https://nematode.unl.edu/euox6.jpg")</f>
        <v>https://nematode.unl.edu/euox6.jpg</v>
      </c>
      <c r="D3870" t="s">
        <v>77</v>
      </c>
      <c r="G3870" t="s">
        <v>34</v>
      </c>
      <c r="H3870" t="s">
        <v>18</v>
      </c>
      <c r="J3870" t="s">
        <v>20</v>
      </c>
      <c r="L3870" t="s">
        <v>173</v>
      </c>
      <c r="M3870" t="s">
        <v>4916</v>
      </c>
      <c r="N3870" t="s">
        <v>4916</v>
      </c>
      <c r="O3870" t="s">
        <v>23</v>
      </c>
      <c r="P3870" t="s">
        <v>24</v>
      </c>
      <c r="Q3870" t="s">
        <v>25</v>
      </c>
      <c r="R3870" t="s">
        <v>4917</v>
      </c>
    </row>
    <row r="3871" spans="1:18" x14ac:dyDescent="0.25">
      <c r="A3871" t="s">
        <v>13463</v>
      </c>
      <c r="B3871" t="s">
        <v>4959</v>
      </c>
      <c r="C3871" t="str">
        <f>HYPERLINK("https://nematode.unl.edu/euox7.jpg")</f>
        <v>https://nematode.unl.edu/euox7.jpg</v>
      </c>
      <c r="D3871" t="s">
        <v>43</v>
      </c>
      <c r="G3871" t="s">
        <v>28</v>
      </c>
      <c r="I3871" t="s">
        <v>19</v>
      </c>
      <c r="L3871" t="s">
        <v>220</v>
      </c>
      <c r="M3871" t="s">
        <v>4916</v>
      </c>
      <c r="N3871" t="s">
        <v>4916</v>
      </c>
      <c r="O3871" t="s">
        <v>23</v>
      </c>
      <c r="P3871" t="s">
        <v>24</v>
      </c>
      <c r="Q3871" t="s">
        <v>25</v>
      </c>
      <c r="R3871" t="s">
        <v>4917</v>
      </c>
    </row>
    <row r="3872" spans="1:18" x14ac:dyDescent="0.25">
      <c r="A3872" t="s">
        <v>13441</v>
      </c>
      <c r="B3872" t="s">
        <v>4960</v>
      </c>
      <c r="C3872" t="str">
        <f>HYPERLINK("https://nematode.unl.edu/euox8.jpg")</f>
        <v>https://nematode.unl.edu/euox8.jpg</v>
      </c>
      <c r="D3872" t="s">
        <v>43</v>
      </c>
      <c r="G3872" t="s">
        <v>34</v>
      </c>
      <c r="H3872" t="s">
        <v>18</v>
      </c>
      <c r="I3872" t="s">
        <v>41</v>
      </c>
      <c r="J3872" t="s">
        <v>20</v>
      </c>
      <c r="L3872" t="s">
        <v>64</v>
      </c>
      <c r="M3872" t="s">
        <v>4916</v>
      </c>
      <c r="N3872" t="s">
        <v>4916</v>
      </c>
      <c r="O3872" t="s">
        <v>23</v>
      </c>
      <c r="P3872" t="s">
        <v>24</v>
      </c>
      <c r="Q3872" t="s">
        <v>25</v>
      </c>
      <c r="R3872" t="s">
        <v>4917</v>
      </c>
    </row>
    <row r="3873" spans="1:18" x14ac:dyDescent="0.25">
      <c r="A3873" t="s">
        <v>13468</v>
      </c>
      <c r="B3873" t="s">
        <v>4961</v>
      </c>
      <c r="C3873" t="str">
        <f>HYPERLINK("https://nematode.unl.edu/euox9.jpg")</f>
        <v>https://nematode.unl.edu/euox9.jpg</v>
      </c>
      <c r="D3873" t="s">
        <v>43</v>
      </c>
      <c r="G3873" t="s">
        <v>51</v>
      </c>
      <c r="I3873" t="s">
        <v>41</v>
      </c>
      <c r="J3873" t="s">
        <v>20</v>
      </c>
      <c r="L3873" t="s">
        <v>193</v>
      </c>
      <c r="M3873" t="s">
        <v>4916</v>
      </c>
      <c r="N3873" t="s">
        <v>4916</v>
      </c>
      <c r="O3873" t="s">
        <v>23</v>
      </c>
      <c r="P3873" t="s">
        <v>24</v>
      </c>
      <c r="Q3873" t="s">
        <v>25</v>
      </c>
      <c r="R3873" t="s">
        <v>4917</v>
      </c>
    </row>
    <row r="3874" spans="1:18" x14ac:dyDescent="0.25">
      <c r="A3874" t="s">
        <v>20896</v>
      </c>
      <c r="B3874" t="s">
        <v>90</v>
      </c>
      <c r="C3874" t="str">
        <f>HYPERLINK("https://nematode.unl.edu/eurob1.jpg")</f>
        <v>https://nematode.unl.edu/eurob1.jpg</v>
      </c>
      <c r="D3874" t="s">
        <v>43</v>
      </c>
      <c r="G3874" t="s">
        <v>44</v>
      </c>
      <c r="I3874" t="s">
        <v>91</v>
      </c>
      <c r="J3874" t="s">
        <v>20</v>
      </c>
      <c r="L3874" t="s">
        <v>64</v>
      </c>
      <c r="M3874" t="s">
        <v>92</v>
      </c>
      <c r="N3874" t="s">
        <v>93</v>
      </c>
      <c r="O3874" t="s">
        <v>73</v>
      </c>
      <c r="P3874" t="s">
        <v>81</v>
      </c>
      <c r="Q3874" t="s">
        <v>82</v>
      </c>
      <c r="R3874" t="s">
        <v>83</v>
      </c>
    </row>
    <row r="3875" spans="1:18" x14ac:dyDescent="0.25">
      <c r="A3875" t="s">
        <v>20897</v>
      </c>
      <c r="B3875" t="s">
        <v>94</v>
      </c>
      <c r="C3875" t="str">
        <f>HYPERLINK("https://nematode.unl.edu/eurob2.jpg")</f>
        <v>https://nematode.unl.edu/eurob2.jpg</v>
      </c>
      <c r="D3875" t="s">
        <v>43</v>
      </c>
      <c r="G3875" t="s">
        <v>44</v>
      </c>
      <c r="I3875" t="s">
        <v>45</v>
      </c>
      <c r="J3875" t="s">
        <v>20</v>
      </c>
      <c r="L3875" t="s">
        <v>64</v>
      </c>
      <c r="M3875" t="s">
        <v>92</v>
      </c>
      <c r="N3875" t="s">
        <v>93</v>
      </c>
      <c r="O3875" t="s">
        <v>73</v>
      </c>
      <c r="P3875" t="s">
        <v>81</v>
      </c>
      <c r="Q3875" t="s">
        <v>82</v>
      </c>
      <c r="R3875" t="s">
        <v>83</v>
      </c>
    </row>
    <row r="3876" spans="1:18" x14ac:dyDescent="0.25">
      <c r="A3876" t="s">
        <v>20895</v>
      </c>
      <c r="B3876" t="s">
        <v>95</v>
      </c>
      <c r="C3876" t="str">
        <f>HYPERLINK("https://nematode.unl.edu/eurob3.jpg")</f>
        <v>https://nematode.unl.edu/eurob3.jpg</v>
      </c>
      <c r="D3876" t="s">
        <v>43</v>
      </c>
      <c r="G3876" t="s">
        <v>96</v>
      </c>
      <c r="H3876" t="s">
        <v>18</v>
      </c>
      <c r="I3876" t="s">
        <v>19</v>
      </c>
      <c r="J3876" t="s">
        <v>20</v>
      </c>
      <c r="L3876" t="s">
        <v>64</v>
      </c>
      <c r="M3876" t="s">
        <v>92</v>
      </c>
      <c r="N3876" t="s">
        <v>93</v>
      </c>
      <c r="O3876" t="s">
        <v>73</v>
      </c>
      <c r="P3876" t="s">
        <v>81</v>
      </c>
      <c r="Q3876" t="s">
        <v>82</v>
      </c>
      <c r="R3876" t="s">
        <v>83</v>
      </c>
    </row>
    <row r="3877" spans="1:18" x14ac:dyDescent="0.25">
      <c r="A3877" t="s">
        <v>20899</v>
      </c>
      <c r="B3877" t="s">
        <v>97</v>
      </c>
      <c r="C3877" t="str">
        <f>HYPERLINK("https://nematode.unl.edu/eurob4.jpg")</f>
        <v>https://nematode.unl.edu/eurob4.jpg</v>
      </c>
      <c r="D3877" t="s">
        <v>43</v>
      </c>
      <c r="G3877" t="s">
        <v>51</v>
      </c>
      <c r="I3877" t="s">
        <v>19</v>
      </c>
      <c r="J3877" t="s">
        <v>20</v>
      </c>
      <c r="L3877" t="s">
        <v>64</v>
      </c>
      <c r="M3877" t="s">
        <v>92</v>
      </c>
      <c r="N3877" t="s">
        <v>93</v>
      </c>
      <c r="O3877" t="s">
        <v>73</v>
      </c>
      <c r="P3877" t="s">
        <v>81</v>
      </c>
      <c r="Q3877" t="s">
        <v>82</v>
      </c>
      <c r="R3877" t="s">
        <v>83</v>
      </c>
    </row>
    <row r="3878" spans="1:18" x14ac:dyDescent="0.25">
      <c r="A3878" t="s">
        <v>20898</v>
      </c>
      <c r="B3878" t="s">
        <v>98</v>
      </c>
      <c r="C3878" t="str">
        <f>HYPERLINK("https://nematode.unl.edu/eurob5.jpg")</f>
        <v>https://nematode.unl.edu/eurob5.jpg</v>
      </c>
      <c r="D3878" t="s">
        <v>43</v>
      </c>
      <c r="G3878" t="s">
        <v>28</v>
      </c>
      <c r="J3878" t="s">
        <v>20</v>
      </c>
      <c r="L3878" t="s">
        <v>64</v>
      </c>
      <c r="M3878" t="s">
        <v>92</v>
      </c>
      <c r="N3878" t="s">
        <v>93</v>
      </c>
      <c r="O3878" t="s">
        <v>73</v>
      </c>
      <c r="P3878" t="s">
        <v>81</v>
      </c>
      <c r="Q3878" t="s">
        <v>82</v>
      </c>
      <c r="R3878" t="s">
        <v>83</v>
      </c>
    </row>
    <row r="3879" spans="1:18" x14ac:dyDescent="0.25">
      <c r="A3879" t="s">
        <v>21388</v>
      </c>
      <c r="B3879" t="s">
        <v>5280</v>
      </c>
      <c r="C3879" t="str">
        <f>HYPERLINK("https://nematode.unl.edu/eusab1.jpg")</f>
        <v>https://nematode.unl.edu/eusab1.jpg</v>
      </c>
      <c r="D3879" t="s">
        <v>43</v>
      </c>
      <c r="G3879" t="s">
        <v>44</v>
      </c>
      <c r="I3879" t="s">
        <v>91</v>
      </c>
      <c r="J3879" t="s">
        <v>20</v>
      </c>
      <c r="L3879" t="s">
        <v>183</v>
      </c>
      <c r="M3879" t="s">
        <v>5281</v>
      </c>
      <c r="N3879" t="s">
        <v>5281</v>
      </c>
      <c r="O3879" t="s">
        <v>73</v>
      </c>
      <c r="P3879" t="s">
        <v>81</v>
      </c>
      <c r="Q3879" t="s">
        <v>82</v>
      </c>
      <c r="R3879" t="s">
        <v>1016</v>
      </c>
    </row>
    <row r="3880" spans="1:18" x14ac:dyDescent="0.25">
      <c r="A3880" t="s">
        <v>21386</v>
      </c>
      <c r="B3880" t="s">
        <v>5282</v>
      </c>
      <c r="C3880" t="str">
        <f>HYPERLINK("https://nematode.unl.edu/eusab2.jpg")</f>
        <v>https://nematode.unl.edu/eusab2.jpg</v>
      </c>
      <c r="D3880" t="s">
        <v>43</v>
      </c>
      <c r="G3880" t="s">
        <v>34</v>
      </c>
      <c r="H3880" t="s">
        <v>18</v>
      </c>
      <c r="J3880" t="s">
        <v>20</v>
      </c>
      <c r="M3880" t="s">
        <v>5281</v>
      </c>
      <c r="N3880" t="s">
        <v>5281</v>
      </c>
      <c r="O3880" t="s">
        <v>73</v>
      </c>
      <c r="P3880" t="s">
        <v>81</v>
      </c>
      <c r="Q3880" t="s">
        <v>82</v>
      </c>
      <c r="R3880" t="s">
        <v>1016</v>
      </c>
    </row>
    <row r="3881" spans="1:18" x14ac:dyDescent="0.25">
      <c r="A3881" t="s">
        <v>21389</v>
      </c>
      <c r="B3881" t="s">
        <v>5283</v>
      </c>
      <c r="C3881" t="str">
        <f>HYPERLINK("https://nematode.unl.edu/eusab3.jpg")</f>
        <v>https://nematode.unl.edu/eusab3.jpg</v>
      </c>
      <c r="D3881" t="s">
        <v>77</v>
      </c>
      <c r="G3881" t="s">
        <v>28</v>
      </c>
      <c r="J3881" t="s">
        <v>20</v>
      </c>
      <c r="M3881" t="s">
        <v>5281</v>
      </c>
      <c r="N3881" t="s">
        <v>5281</v>
      </c>
      <c r="O3881" t="s">
        <v>73</v>
      </c>
      <c r="P3881" t="s">
        <v>81</v>
      </c>
      <c r="Q3881" t="s">
        <v>82</v>
      </c>
      <c r="R3881" t="s">
        <v>1016</v>
      </c>
    </row>
    <row r="3882" spans="1:18" x14ac:dyDescent="0.25">
      <c r="A3882" t="s">
        <v>21391</v>
      </c>
      <c r="B3882" t="s">
        <v>5284</v>
      </c>
      <c r="C3882" t="str">
        <f>HYPERLINK("https://nematode.unl.edu/eusab4.jpg")</f>
        <v>https://nematode.unl.edu/eusab4.jpg</v>
      </c>
      <c r="D3882" t="s">
        <v>43</v>
      </c>
      <c r="G3882" t="s">
        <v>51</v>
      </c>
      <c r="I3882" t="s">
        <v>19</v>
      </c>
      <c r="M3882" t="s">
        <v>5281</v>
      </c>
      <c r="N3882" t="s">
        <v>5281</v>
      </c>
      <c r="O3882" t="s">
        <v>73</v>
      </c>
      <c r="P3882" t="s">
        <v>81</v>
      </c>
      <c r="Q3882" t="s">
        <v>82</v>
      </c>
      <c r="R3882" t="s">
        <v>1016</v>
      </c>
    </row>
    <row r="3883" spans="1:18" x14ac:dyDescent="0.25">
      <c r="A3883" t="s">
        <v>21392</v>
      </c>
      <c r="B3883" t="s">
        <v>5285</v>
      </c>
      <c r="C3883" t="str">
        <f>HYPERLINK("https://nematode.unl.edu/eusab5.jpg")</f>
        <v>https://nematode.unl.edu/eusab5.jpg</v>
      </c>
      <c r="D3883" t="s">
        <v>43</v>
      </c>
      <c r="G3883" t="s">
        <v>51</v>
      </c>
      <c r="I3883" t="s">
        <v>19</v>
      </c>
      <c r="J3883" t="s">
        <v>20</v>
      </c>
      <c r="L3883" t="s">
        <v>352</v>
      </c>
      <c r="M3883" t="s">
        <v>5281</v>
      </c>
      <c r="N3883" t="s">
        <v>5281</v>
      </c>
      <c r="O3883" t="s">
        <v>73</v>
      </c>
      <c r="P3883" t="s">
        <v>81</v>
      </c>
      <c r="Q3883" t="s">
        <v>82</v>
      </c>
      <c r="R3883" t="s">
        <v>1016</v>
      </c>
    </row>
    <row r="3884" spans="1:18" x14ac:dyDescent="0.25">
      <c r="A3884" t="s">
        <v>21390</v>
      </c>
      <c r="B3884" t="s">
        <v>5286</v>
      </c>
      <c r="C3884" t="str">
        <f>HYPERLINK("https://nematode.unl.edu/eusab6.jpg")</f>
        <v>https://nematode.unl.edu/eusab6.jpg</v>
      </c>
      <c r="D3884" t="s">
        <v>77</v>
      </c>
      <c r="G3884" t="s">
        <v>28</v>
      </c>
      <c r="J3884" t="s">
        <v>20</v>
      </c>
      <c r="M3884" t="s">
        <v>5281</v>
      </c>
      <c r="N3884" t="s">
        <v>5281</v>
      </c>
      <c r="O3884" t="s">
        <v>73</v>
      </c>
      <c r="P3884" t="s">
        <v>81</v>
      </c>
      <c r="Q3884" t="s">
        <v>82</v>
      </c>
      <c r="R3884" t="s">
        <v>1016</v>
      </c>
    </row>
    <row r="3885" spans="1:18" x14ac:dyDescent="0.25">
      <c r="A3885" t="s">
        <v>21387</v>
      </c>
      <c r="B3885" t="s">
        <v>5287</v>
      </c>
      <c r="C3885" t="str">
        <f>HYPERLINK("https://nematode.unl.edu/eusab7.jpg")</f>
        <v>https://nematode.unl.edu/eusab7.jpg</v>
      </c>
      <c r="D3885" t="s">
        <v>43</v>
      </c>
      <c r="G3885" t="s">
        <v>34</v>
      </c>
      <c r="H3885" t="s">
        <v>18</v>
      </c>
      <c r="J3885" t="s">
        <v>20</v>
      </c>
      <c r="L3885" t="s">
        <v>1768</v>
      </c>
      <c r="M3885" t="s">
        <v>5281</v>
      </c>
      <c r="N3885" t="s">
        <v>5281</v>
      </c>
      <c r="O3885" t="s">
        <v>73</v>
      </c>
      <c r="P3885" t="s">
        <v>81</v>
      </c>
      <c r="Q3885" t="s">
        <v>82</v>
      </c>
      <c r="R3885" t="s">
        <v>1016</v>
      </c>
    </row>
    <row r="3886" spans="1:18" x14ac:dyDescent="0.25">
      <c r="A3886" t="s">
        <v>21409</v>
      </c>
      <c r="B3886" t="s">
        <v>5299</v>
      </c>
      <c r="C3886" t="str">
        <f>HYPERLINK("https://nematode.unl.edu/eusil1.jpg")</f>
        <v>https://nematode.unl.edu/eusil1.jpg</v>
      </c>
      <c r="D3886" t="s">
        <v>43</v>
      </c>
      <c r="G3886" t="s">
        <v>44</v>
      </c>
      <c r="I3886" t="s">
        <v>91</v>
      </c>
      <c r="J3886" t="s">
        <v>20</v>
      </c>
      <c r="L3886" t="s">
        <v>64</v>
      </c>
      <c r="M3886" t="s">
        <v>5289</v>
      </c>
      <c r="N3886" t="s">
        <v>5289</v>
      </c>
      <c r="O3886" t="s">
        <v>73</v>
      </c>
      <c r="P3886" t="s">
        <v>81</v>
      </c>
      <c r="Q3886" t="s">
        <v>82</v>
      </c>
      <c r="R3886" t="s">
        <v>1016</v>
      </c>
    </row>
    <row r="3887" spans="1:18" x14ac:dyDescent="0.25">
      <c r="A3887" t="s">
        <v>21427</v>
      </c>
      <c r="B3887" t="s">
        <v>5300</v>
      </c>
      <c r="C3887" t="str">
        <f>HYPERLINK("https://nematode.unl.edu/eusil10.jpg")</f>
        <v>https://nematode.unl.edu/eusil10.jpg</v>
      </c>
      <c r="D3887" t="s">
        <v>43</v>
      </c>
      <c r="G3887" t="s">
        <v>51</v>
      </c>
      <c r="I3887" t="s">
        <v>19</v>
      </c>
      <c r="J3887" t="s">
        <v>20</v>
      </c>
      <c r="L3887" t="s">
        <v>64</v>
      </c>
      <c r="M3887" t="s">
        <v>5289</v>
      </c>
      <c r="N3887" t="s">
        <v>5289</v>
      </c>
      <c r="O3887" t="s">
        <v>73</v>
      </c>
      <c r="P3887" t="s">
        <v>81</v>
      </c>
      <c r="Q3887" t="s">
        <v>82</v>
      </c>
      <c r="R3887" t="s">
        <v>1016</v>
      </c>
    </row>
    <row r="3888" spans="1:18" x14ac:dyDescent="0.25">
      <c r="A3888" t="s">
        <v>21416</v>
      </c>
      <c r="B3888" t="s">
        <v>5301</v>
      </c>
      <c r="C3888" t="str">
        <f>HYPERLINK("https://nematode.unl.edu/eusil11.jpg")</f>
        <v>https://nematode.unl.edu/eusil11.jpg</v>
      </c>
      <c r="D3888" t="s">
        <v>43</v>
      </c>
      <c r="G3888" t="s">
        <v>28</v>
      </c>
      <c r="J3888" t="s">
        <v>20</v>
      </c>
      <c r="L3888" t="s">
        <v>64</v>
      </c>
      <c r="M3888" t="s">
        <v>5289</v>
      </c>
      <c r="N3888" t="s">
        <v>5289</v>
      </c>
      <c r="O3888" t="s">
        <v>73</v>
      </c>
      <c r="P3888" t="s">
        <v>81</v>
      </c>
      <c r="Q3888" t="s">
        <v>82</v>
      </c>
      <c r="R3888" t="s">
        <v>1016</v>
      </c>
    </row>
    <row r="3889" spans="1:18" x14ac:dyDescent="0.25">
      <c r="A3889" t="s">
        <v>21410</v>
      </c>
      <c r="B3889" t="s">
        <v>5302</v>
      </c>
      <c r="C3889" t="str">
        <f>HYPERLINK("https://nematode.unl.edu/eusil12.jpg")</f>
        <v>https://nematode.unl.edu/eusil12.jpg</v>
      </c>
      <c r="D3889" t="s">
        <v>43</v>
      </c>
      <c r="G3889" t="s">
        <v>44</v>
      </c>
      <c r="I3889" t="s">
        <v>45</v>
      </c>
      <c r="J3889" t="s">
        <v>20</v>
      </c>
      <c r="L3889" t="s">
        <v>78</v>
      </c>
      <c r="M3889" t="s">
        <v>5289</v>
      </c>
      <c r="N3889" t="s">
        <v>5289</v>
      </c>
      <c r="O3889" t="s">
        <v>73</v>
      </c>
      <c r="P3889" t="s">
        <v>81</v>
      </c>
      <c r="Q3889" t="s">
        <v>82</v>
      </c>
      <c r="R3889" t="s">
        <v>1016</v>
      </c>
    </row>
    <row r="3890" spans="1:18" x14ac:dyDescent="0.25">
      <c r="A3890" t="s">
        <v>21400</v>
      </c>
      <c r="B3890" t="s">
        <v>5303</v>
      </c>
      <c r="C3890" t="str">
        <f>HYPERLINK("https://nematode.unl.edu/eusil13.jpg")</f>
        <v>https://nematode.unl.edu/eusil13.jpg</v>
      </c>
      <c r="D3890" t="s">
        <v>43</v>
      </c>
      <c r="G3890" t="s">
        <v>34</v>
      </c>
      <c r="H3890" t="s">
        <v>18</v>
      </c>
      <c r="I3890" t="s">
        <v>19</v>
      </c>
      <c r="J3890" t="s">
        <v>20</v>
      </c>
      <c r="L3890" t="s">
        <v>35</v>
      </c>
      <c r="M3890" t="s">
        <v>5289</v>
      </c>
      <c r="N3890" t="s">
        <v>5289</v>
      </c>
      <c r="O3890" t="s">
        <v>73</v>
      </c>
      <c r="P3890" t="s">
        <v>81</v>
      </c>
      <c r="Q3890" t="s">
        <v>82</v>
      </c>
      <c r="R3890" t="s">
        <v>1016</v>
      </c>
    </row>
    <row r="3891" spans="1:18" x14ac:dyDescent="0.25">
      <c r="A3891" t="s">
        <v>21406</v>
      </c>
      <c r="B3891" t="s">
        <v>5304</v>
      </c>
      <c r="C3891" t="str">
        <f>HYPERLINK("https://nematode.unl.edu/eusil14.jpg")</f>
        <v>https://nematode.unl.edu/eusil14.jpg</v>
      </c>
      <c r="D3891" t="s">
        <v>43</v>
      </c>
      <c r="G3891" t="s">
        <v>87</v>
      </c>
      <c r="I3891" t="s">
        <v>19</v>
      </c>
      <c r="J3891" t="s">
        <v>20</v>
      </c>
      <c r="L3891" t="s">
        <v>35</v>
      </c>
      <c r="M3891" t="s">
        <v>5289</v>
      </c>
      <c r="N3891" t="s">
        <v>5289</v>
      </c>
      <c r="O3891" t="s">
        <v>73</v>
      </c>
      <c r="P3891" t="s">
        <v>81</v>
      </c>
      <c r="Q3891" t="s">
        <v>82</v>
      </c>
      <c r="R3891" t="s">
        <v>1016</v>
      </c>
    </row>
    <row r="3892" spans="1:18" x14ac:dyDescent="0.25">
      <c r="A3892" t="s">
        <v>21428</v>
      </c>
      <c r="B3892" t="s">
        <v>5305</v>
      </c>
      <c r="C3892" t="str">
        <f>HYPERLINK("https://nematode.unl.edu/eusil15.jpg")</f>
        <v>https://nematode.unl.edu/eusil15.jpg</v>
      </c>
      <c r="D3892" t="s">
        <v>43</v>
      </c>
      <c r="G3892" t="s">
        <v>51</v>
      </c>
      <c r="J3892" t="s">
        <v>20</v>
      </c>
      <c r="L3892" t="s">
        <v>64</v>
      </c>
      <c r="M3892" t="s">
        <v>5289</v>
      </c>
      <c r="N3892" t="s">
        <v>5289</v>
      </c>
      <c r="O3892" t="s">
        <v>73</v>
      </c>
      <c r="P3892" t="s">
        <v>81</v>
      </c>
      <c r="Q3892" t="s">
        <v>82</v>
      </c>
      <c r="R3892" t="s">
        <v>1016</v>
      </c>
    </row>
    <row r="3893" spans="1:18" x14ac:dyDescent="0.25">
      <c r="A3893" t="s">
        <v>21417</v>
      </c>
      <c r="B3893" t="s">
        <v>5306</v>
      </c>
      <c r="C3893" t="str">
        <f>HYPERLINK("https://nematode.unl.edu/eusil16.jpg")</f>
        <v>https://nematode.unl.edu/eusil16.jpg</v>
      </c>
      <c r="D3893" t="s">
        <v>43</v>
      </c>
      <c r="G3893" t="s">
        <v>28</v>
      </c>
      <c r="I3893" t="s">
        <v>19</v>
      </c>
      <c r="L3893" t="s">
        <v>85</v>
      </c>
      <c r="M3893" t="s">
        <v>5289</v>
      </c>
      <c r="N3893" t="s">
        <v>5289</v>
      </c>
      <c r="O3893" t="s">
        <v>73</v>
      </c>
      <c r="P3893" t="s">
        <v>81</v>
      </c>
      <c r="Q3893" t="s">
        <v>82</v>
      </c>
      <c r="R3893" t="s">
        <v>1016</v>
      </c>
    </row>
    <row r="3894" spans="1:18" x14ac:dyDescent="0.25">
      <c r="A3894" t="s">
        <v>21401</v>
      </c>
      <c r="B3894" t="s">
        <v>5307</v>
      </c>
      <c r="C3894" t="str">
        <f>HYPERLINK("https://nematode.unl.edu/eusil17.jpg")</f>
        <v>https://nematode.unl.edu/eusil17.jpg</v>
      </c>
      <c r="D3894" t="s">
        <v>16</v>
      </c>
      <c r="G3894" t="s">
        <v>34</v>
      </c>
      <c r="H3894" t="s">
        <v>18</v>
      </c>
      <c r="I3894" t="s">
        <v>19</v>
      </c>
      <c r="J3894" t="s">
        <v>20</v>
      </c>
      <c r="L3894" t="s">
        <v>64</v>
      </c>
      <c r="M3894" t="s">
        <v>5289</v>
      </c>
      <c r="N3894" t="s">
        <v>5289</v>
      </c>
      <c r="O3894" t="s">
        <v>73</v>
      </c>
      <c r="P3894" t="s">
        <v>81</v>
      </c>
      <c r="Q3894" t="s">
        <v>82</v>
      </c>
      <c r="R3894" t="s">
        <v>1016</v>
      </c>
    </row>
    <row r="3895" spans="1:18" x14ac:dyDescent="0.25">
      <c r="A3895" t="s">
        <v>21418</v>
      </c>
      <c r="B3895" t="s">
        <v>5308</v>
      </c>
      <c r="C3895" t="str">
        <f>HYPERLINK("https://nematode.unl.edu/eusil18.jpg")</f>
        <v>https://nematode.unl.edu/eusil18.jpg</v>
      </c>
      <c r="D3895" t="s">
        <v>16</v>
      </c>
      <c r="G3895" t="s">
        <v>28</v>
      </c>
      <c r="J3895" t="s">
        <v>20</v>
      </c>
      <c r="L3895" t="s">
        <v>64</v>
      </c>
      <c r="M3895" t="s">
        <v>5289</v>
      </c>
      <c r="N3895" t="s">
        <v>5289</v>
      </c>
      <c r="O3895" t="s">
        <v>73</v>
      </c>
      <c r="P3895" t="s">
        <v>81</v>
      </c>
      <c r="Q3895" t="s">
        <v>82</v>
      </c>
      <c r="R3895" t="s">
        <v>1016</v>
      </c>
    </row>
    <row r="3896" spans="1:18" x14ac:dyDescent="0.25">
      <c r="A3896" t="s">
        <v>21402</v>
      </c>
      <c r="B3896" t="s">
        <v>5309</v>
      </c>
      <c r="C3896" t="str">
        <f>HYPERLINK("https://nematode.unl.edu/eusil19.jpg")</f>
        <v>https://nematode.unl.edu/eusil19.jpg</v>
      </c>
      <c r="D3896" t="s">
        <v>43</v>
      </c>
      <c r="G3896" t="s">
        <v>34</v>
      </c>
      <c r="H3896" t="s">
        <v>18</v>
      </c>
      <c r="I3896" t="s">
        <v>19</v>
      </c>
      <c r="J3896" t="s">
        <v>20</v>
      </c>
      <c r="L3896" t="s">
        <v>64</v>
      </c>
      <c r="M3896" t="s">
        <v>5289</v>
      </c>
      <c r="N3896" t="s">
        <v>5289</v>
      </c>
      <c r="O3896" t="s">
        <v>73</v>
      </c>
      <c r="P3896" t="s">
        <v>81</v>
      </c>
      <c r="Q3896" t="s">
        <v>82</v>
      </c>
      <c r="R3896" t="s">
        <v>1016</v>
      </c>
    </row>
    <row r="3897" spans="1:18" x14ac:dyDescent="0.25">
      <c r="A3897" t="s">
        <v>21393</v>
      </c>
      <c r="B3897" t="s">
        <v>5310</v>
      </c>
      <c r="C3897" t="str">
        <f>HYPERLINK("https://nematode.unl.edu/eusil2.jpg")</f>
        <v>https://nematode.unl.edu/eusil2.jpg</v>
      </c>
      <c r="D3897" t="s">
        <v>43</v>
      </c>
      <c r="G3897" t="s">
        <v>96</v>
      </c>
      <c r="H3897" t="s">
        <v>18</v>
      </c>
      <c r="I3897" t="s">
        <v>137</v>
      </c>
      <c r="J3897" t="s">
        <v>20</v>
      </c>
      <c r="L3897" t="s">
        <v>64</v>
      </c>
      <c r="M3897" t="s">
        <v>5289</v>
      </c>
      <c r="N3897" t="s">
        <v>5289</v>
      </c>
      <c r="O3897" t="s">
        <v>73</v>
      </c>
      <c r="P3897" t="s">
        <v>81</v>
      </c>
      <c r="Q3897" t="s">
        <v>82</v>
      </c>
      <c r="R3897" t="s">
        <v>1016</v>
      </c>
    </row>
    <row r="3898" spans="1:18" x14ac:dyDescent="0.25">
      <c r="A3898" t="s">
        <v>21419</v>
      </c>
      <c r="B3898" t="s">
        <v>5311</v>
      </c>
      <c r="C3898" t="str">
        <f>HYPERLINK("https://nematode.unl.edu/eusil20.jpg")</f>
        <v>https://nematode.unl.edu/eusil20.jpg</v>
      </c>
      <c r="D3898" t="s">
        <v>43</v>
      </c>
      <c r="G3898" t="s">
        <v>28</v>
      </c>
      <c r="J3898" t="s">
        <v>20</v>
      </c>
      <c r="L3898" t="s">
        <v>141</v>
      </c>
      <c r="M3898" t="s">
        <v>5289</v>
      </c>
      <c r="N3898" t="s">
        <v>5289</v>
      </c>
      <c r="O3898" t="s">
        <v>73</v>
      </c>
      <c r="P3898" t="s">
        <v>81</v>
      </c>
      <c r="Q3898" t="s">
        <v>82</v>
      </c>
      <c r="R3898" t="s">
        <v>1016</v>
      </c>
    </row>
    <row r="3899" spans="1:18" x14ac:dyDescent="0.25">
      <c r="A3899" t="s">
        <v>21403</v>
      </c>
      <c r="B3899" t="s">
        <v>5312</v>
      </c>
      <c r="C3899" t="str">
        <f>HYPERLINK("https://nematode.unl.edu/eusil21.jpg")</f>
        <v>https://nematode.unl.edu/eusil21.jpg</v>
      </c>
      <c r="D3899" t="s">
        <v>16</v>
      </c>
      <c r="G3899" t="s">
        <v>34</v>
      </c>
      <c r="H3899" t="s">
        <v>18</v>
      </c>
      <c r="J3899" t="s">
        <v>20</v>
      </c>
      <c r="L3899" t="s">
        <v>138</v>
      </c>
      <c r="M3899" t="s">
        <v>5289</v>
      </c>
      <c r="N3899" t="s">
        <v>5289</v>
      </c>
      <c r="O3899" t="s">
        <v>73</v>
      </c>
      <c r="P3899" t="s">
        <v>81</v>
      </c>
      <c r="Q3899" t="s">
        <v>82</v>
      </c>
      <c r="R3899" t="s">
        <v>1016</v>
      </c>
    </row>
    <row r="3900" spans="1:18" x14ac:dyDescent="0.25">
      <c r="A3900" t="s">
        <v>21424</v>
      </c>
      <c r="B3900" t="s">
        <v>5313</v>
      </c>
      <c r="C3900" t="str">
        <f>HYPERLINK("https://nematode.unl.edu/eusil22.jpg")</f>
        <v>https://nematode.unl.edu/eusil22.jpg</v>
      </c>
      <c r="D3900" t="s">
        <v>16</v>
      </c>
      <c r="G3900" t="s">
        <v>422</v>
      </c>
      <c r="I3900" t="s">
        <v>19</v>
      </c>
      <c r="J3900" t="s">
        <v>20</v>
      </c>
      <c r="L3900" t="s">
        <v>173</v>
      </c>
      <c r="M3900" t="s">
        <v>5289</v>
      </c>
      <c r="N3900" t="s">
        <v>5289</v>
      </c>
      <c r="O3900" t="s">
        <v>73</v>
      </c>
      <c r="P3900" t="s">
        <v>81</v>
      </c>
      <c r="Q3900" t="s">
        <v>82</v>
      </c>
      <c r="R3900" t="s">
        <v>1016</v>
      </c>
    </row>
    <row r="3901" spans="1:18" x14ac:dyDescent="0.25">
      <c r="A3901" t="s">
        <v>21411</v>
      </c>
      <c r="B3901" t="s">
        <v>5314</v>
      </c>
      <c r="C3901" t="str">
        <f>HYPERLINK("https://nematode.unl.edu/eusil23.jpg")</f>
        <v>https://nematode.unl.edu/eusil23.jpg</v>
      </c>
      <c r="D3901" t="s">
        <v>77</v>
      </c>
      <c r="G3901" t="s">
        <v>44</v>
      </c>
      <c r="I3901" t="s">
        <v>91</v>
      </c>
      <c r="J3901" t="s">
        <v>20</v>
      </c>
      <c r="L3901" t="s">
        <v>38</v>
      </c>
      <c r="M3901" t="s">
        <v>5289</v>
      </c>
      <c r="N3901" t="s">
        <v>5289</v>
      </c>
      <c r="O3901" t="s">
        <v>73</v>
      </c>
      <c r="P3901" t="s">
        <v>81</v>
      </c>
      <c r="Q3901" t="s">
        <v>82</v>
      </c>
      <c r="R3901" t="s">
        <v>1016</v>
      </c>
    </row>
    <row r="3902" spans="1:18" x14ac:dyDescent="0.25">
      <c r="A3902" t="s">
        <v>21404</v>
      </c>
      <c r="B3902" t="s">
        <v>5315</v>
      </c>
      <c r="C3902" t="str">
        <f>HYPERLINK("https://nematode.unl.edu/eusil24.jpg")</f>
        <v>https://nematode.unl.edu/eusil24.jpg</v>
      </c>
      <c r="D3902" t="s">
        <v>43</v>
      </c>
      <c r="G3902" t="s">
        <v>34</v>
      </c>
      <c r="H3902" t="s">
        <v>18</v>
      </c>
      <c r="I3902" t="s">
        <v>137</v>
      </c>
      <c r="J3902" t="s">
        <v>20</v>
      </c>
      <c r="L3902" t="s">
        <v>38</v>
      </c>
      <c r="M3902" t="s">
        <v>5289</v>
      </c>
      <c r="N3902" t="s">
        <v>5289</v>
      </c>
      <c r="O3902" t="s">
        <v>73</v>
      </c>
      <c r="P3902" t="s">
        <v>81</v>
      </c>
      <c r="Q3902" t="s">
        <v>82</v>
      </c>
      <c r="R3902" t="s">
        <v>1016</v>
      </c>
    </row>
    <row r="3903" spans="1:18" x14ac:dyDescent="0.25">
      <c r="A3903" t="s">
        <v>21407</v>
      </c>
      <c r="B3903" t="s">
        <v>5316</v>
      </c>
      <c r="C3903" t="str">
        <f>HYPERLINK("https://nematode.unl.edu/eusil25.jpg")</f>
        <v>https://nematode.unl.edu/eusil25.jpg</v>
      </c>
      <c r="D3903" t="s">
        <v>43</v>
      </c>
      <c r="G3903" t="s">
        <v>87</v>
      </c>
      <c r="I3903" t="s">
        <v>137</v>
      </c>
      <c r="J3903" t="s">
        <v>20</v>
      </c>
      <c r="L3903" t="s">
        <v>38</v>
      </c>
      <c r="M3903" t="s">
        <v>5289</v>
      </c>
      <c r="N3903" t="s">
        <v>5289</v>
      </c>
      <c r="O3903" t="s">
        <v>73</v>
      </c>
      <c r="P3903" t="s">
        <v>81</v>
      </c>
      <c r="Q3903" t="s">
        <v>82</v>
      </c>
      <c r="R3903" t="s">
        <v>1016</v>
      </c>
    </row>
    <row r="3904" spans="1:18" x14ac:dyDescent="0.25">
      <c r="A3904" t="s">
        <v>21420</v>
      </c>
      <c r="B3904" t="s">
        <v>5317</v>
      </c>
      <c r="C3904" t="str">
        <f>HYPERLINK("https://nematode.unl.edu/eusil26.jpg")</f>
        <v>https://nematode.unl.edu/eusil26.jpg</v>
      </c>
      <c r="D3904" t="s">
        <v>43</v>
      </c>
      <c r="G3904" t="s">
        <v>28</v>
      </c>
      <c r="I3904" t="s">
        <v>137</v>
      </c>
      <c r="J3904" t="s">
        <v>20</v>
      </c>
      <c r="L3904" t="s">
        <v>38</v>
      </c>
      <c r="M3904" t="s">
        <v>5289</v>
      </c>
      <c r="N3904" t="s">
        <v>5289</v>
      </c>
      <c r="O3904" t="s">
        <v>73</v>
      </c>
      <c r="P3904" t="s">
        <v>81</v>
      </c>
      <c r="Q3904" t="s">
        <v>82</v>
      </c>
      <c r="R3904" t="s">
        <v>1016</v>
      </c>
    </row>
    <row r="3905" spans="1:18" x14ac:dyDescent="0.25">
      <c r="A3905" t="s">
        <v>21395</v>
      </c>
      <c r="B3905" t="s">
        <v>5318</v>
      </c>
      <c r="C3905" t="str">
        <f>HYPERLINK("https://nematode.unl.edu/eusil27.jpg")</f>
        <v>https://nematode.unl.edu/eusil27.jpg</v>
      </c>
      <c r="D3905" t="s">
        <v>43</v>
      </c>
      <c r="G3905" t="s">
        <v>17</v>
      </c>
      <c r="H3905" t="s">
        <v>18</v>
      </c>
      <c r="J3905" t="s">
        <v>20</v>
      </c>
      <c r="L3905" t="s">
        <v>38</v>
      </c>
      <c r="M3905" t="s">
        <v>5289</v>
      </c>
      <c r="N3905" t="s">
        <v>5289</v>
      </c>
      <c r="O3905" t="s">
        <v>73</v>
      </c>
      <c r="P3905" t="s">
        <v>81</v>
      </c>
      <c r="Q3905" t="s">
        <v>82</v>
      </c>
      <c r="R3905" t="s">
        <v>1016</v>
      </c>
    </row>
    <row r="3906" spans="1:18" x14ac:dyDescent="0.25">
      <c r="A3906" t="s">
        <v>21429</v>
      </c>
      <c r="B3906" t="s">
        <v>5319</v>
      </c>
      <c r="C3906" t="str">
        <f>HYPERLINK("https://nematode.unl.edu/eusil28.jpg")</f>
        <v>https://nematode.unl.edu/eusil28.jpg</v>
      </c>
      <c r="D3906" t="s">
        <v>43</v>
      </c>
      <c r="G3906" t="s">
        <v>51</v>
      </c>
      <c r="J3906" t="s">
        <v>20</v>
      </c>
      <c r="M3906" t="s">
        <v>5289</v>
      </c>
      <c r="N3906" t="s">
        <v>5289</v>
      </c>
      <c r="O3906" t="s">
        <v>73</v>
      </c>
      <c r="P3906" t="s">
        <v>81</v>
      </c>
      <c r="Q3906" t="s">
        <v>82</v>
      </c>
      <c r="R3906" t="s">
        <v>1016</v>
      </c>
    </row>
    <row r="3907" spans="1:18" x14ac:dyDescent="0.25">
      <c r="A3907" t="s">
        <v>21421</v>
      </c>
      <c r="B3907" t="s">
        <v>5320</v>
      </c>
      <c r="C3907" t="str">
        <f>HYPERLINK("https://nematode.unl.edu/eusil29.jpg")</f>
        <v>https://nematode.unl.edu/eusil29.jpg</v>
      </c>
      <c r="D3907" t="s">
        <v>43</v>
      </c>
      <c r="G3907" t="s">
        <v>28</v>
      </c>
      <c r="J3907" t="s">
        <v>20</v>
      </c>
      <c r="L3907" t="s">
        <v>38</v>
      </c>
      <c r="M3907" t="s">
        <v>5289</v>
      </c>
      <c r="N3907" t="s">
        <v>5289</v>
      </c>
      <c r="O3907" t="s">
        <v>73</v>
      </c>
      <c r="P3907" t="s">
        <v>81</v>
      </c>
      <c r="Q3907" t="s">
        <v>82</v>
      </c>
      <c r="R3907" t="s">
        <v>1016</v>
      </c>
    </row>
    <row r="3908" spans="1:18" x14ac:dyDescent="0.25">
      <c r="A3908" t="s">
        <v>21430</v>
      </c>
      <c r="B3908" t="s">
        <v>5321</v>
      </c>
      <c r="C3908" t="str">
        <f>HYPERLINK("https://nematode.unl.edu/eusil3.jpg")</f>
        <v>https://nematode.unl.edu/eusil3.jpg</v>
      </c>
      <c r="D3908" t="s">
        <v>43</v>
      </c>
      <c r="G3908" t="s">
        <v>51</v>
      </c>
      <c r="I3908" t="s">
        <v>137</v>
      </c>
      <c r="M3908" t="s">
        <v>5289</v>
      </c>
      <c r="N3908" t="s">
        <v>5289</v>
      </c>
      <c r="O3908" t="s">
        <v>73</v>
      </c>
      <c r="P3908" t="s">
        <v>81</v>
      </c>
      <c r="Q3908" t="s">
        <v>82</v>
      </c>
      <c r="R3908" t="s">
        <v>1016</v>
      </c>
    </row>
    <row r="3909" spans="1:18" x14ac:dyDescent="0.25">
      <c r="A3909" t="s">
        <v>21422</v>
      </c>
      <c r="B3909" t="s">
        <v>5322</v>
      </c>
      <c r="C3909" t="str">
        <f>HYPERLINK("https://nematode.unl.edu/eusil4.jpg")</f>
        <v>https://nematode.unl.edu/eusil4.jpg</v>
      </c>
      <c r="D3909" t="s">
        <v>43</v>
      </c>
      <c r="G3909" t="s">
        <v>28</v>
      </c>
      <c r="I3909" t="s">
        <v>137</v>
      </c>
      <c r="M3909" t="s">
        <v>5289</v>
      </c>
      <c r="N3909" t="s">
        <v>5289</v>
      </c>
      <c r="O3909" t="s">
        <v>73</v>
      </c>
      <c r="P3909" t="s">
        <v>81</v>
      </c>
      <c r="Q3909" t="s">
        <v>82</v>
      </c>
      <c r="R3909" t="s">
        <v>1016</v>
      </c>
    </row>
    <row r="3910" spans="1:18" x14ac:dyDescent="0.25">
      <c r="A3910" t="s">
        <v>21413</v>
      </c>
      <c r="B3910" t="s">
        <v>5323</v>
      </c>
      <c r="C3910" t="str">
        <f>HYPERLINK("https://nematode.unl.edu/eusil5.jpg")</f>
        <v>https://nematode.unl.edu/eusil5.jpg</v>
      </c>
      <c r="D3910" t="s">
        <v>43</v>
      </c>
      <c r="G3910" t="s">
        <v>243</v>
      </c>
      <c r="J3910" t="s">
        <v>20</v>
      </c>
      <c r="L3910" t="s">
        <v>64</v>
      </c>
      <c r="M3910" t="s">
        <v>5289</v>
      </c>
      <c r="N3910" t="s">
        <v>5289</v>
      </c>
      <c r="O3910" t="s">
        <v>73</v>
      </c>
      <c r="P3910" t="s">
        <v>81</v>
      </c>
      <c r="Q3910" t="s">
        <v>82</v>
      </c>
      <c r="R3910" t="s">
        <v>1016</v>
      </c>
    </row>
    <row r="3911" spans="1:18" x14ac:dyDescent="0.25">
      <c r="A3911" t="s">
        <v>21431</v>
      </c>
      <c r="B3911" t="s">
        <v>5324</v>
      </c>
      <c r="C3911" t="str">
        <f>HYPERLINK("https://nematode.unl.edu/eusil6.jpg")</f>
        <v>https://nematode.unl.edu/eusil6.jpg</v>
      </c>
      <c r="D3911" t="s">
        <v>43</v>
      </c>
      <c r="G3911" t="s">
        <v>51</v>
      </c>
      <c r="J3911" t="s">
        <v>20</v>
      </c>
      <c r="L3911" t="s">
        <v>64</v>
      </c>
      <c r="M3911" t="s">
        <v>5289</v>
      </c>
      <c r="N3911" t="s">
        <v>5289</v>
      </c>
      <c r="O3911" t="s">
        <v>73</v>
      </c>
      <c r="P3911" t="s">
        <v>81</v>
      </c>
      <c r="Q3911" t="s">
        <v>82</v>
      </c>
      <c r="R3911" t="s">
        <v>1016</v>
      </c>
    </row>
    <row r="3912" spans="1:18" x14ac:dyDescent="0.25">
      <c r="A3912" t="s">
        <v>21423</v>
      </c>
      <c r="B3912" t="s">
        <v>5325</v>
      </c>
      <c r="C3912" t="str">
        <f>HYPERLINK("https://nematode.unl.edu/eusil7.jpg")</f>
        <v>https://nematode.unl.edu/eusil7.jpg</v>
      </c>
      <c r="D3912" t="s">
        <v>43</v>
      </c>
      <c r="G3912" t="s">
        <v>28</v>
      </c>
      <c r="I3912" t="s">
        <v>19</v>
      </c>
      <c r="J3912" t="s">
        <v>20</v>
      </c>
      <c r="L3912" t="s">
        <v>64</v>
      </c>
      <c r="M3912" t="s">
        <v>5289</v>
      </c>
      <c r="N3912" t="s">
        <v>5289</v>
      </c>
      <c r="O3912" t="s">
        <v>73</v>
      </c>
      <c r="P3912" t="s">
        <v>81</v>
      </c>
      <c r="Q3912" t="s">
        <v>82</v>
      </c>
      <c r="R3912" t="s">
        <v>1016</v>
      </c>
    </row>
    <row r="3913" spans="1:18" x14ac:dyDescent="0.25">
      <c r="A3913" t="s">
        <v>21405</v>
      </c>
      <c r="B3913" t="s">
        <v>5326</v>
      </c>
      <c r="C3913" t="str">
        <f>HYPERLINK("https://nematode.unl.edu/eusil8.jpg")</f>
        <v>https://nematode.unl.edu/eusil8.jpg</v>
      </c>
      <c r="D3913" t="s">
        <v>43</v>
      </c>
      <c r="G3913" t="s">
        <v>34</v>
      </c>
      <c r="H3913" t="s">
        <v>18</v>
      </c>
      <c r="I3913" t="s">
        <v>19</v>
      </c>
      <c r="J3913" t="s">
        <v>20</v>
      </c>
      <c r="L3913" t="s">
        <v>64</v>
      </c>
      <c r="M3913" t="s">
        <v>5289</v>
      </c>
      <c r="N3913" t="s">
        <v>5289</v>
      </c>
      <c r="O3913" t="s">
        <v>73</v>
      </c>
      <c r="P3913" t="s">
        <v>81</v>
      </c>
      <c r="Q3913" t="s">
        <v>82</v>
      </c>
      <c r="R3913" t="s">
        <v>1016</v>
      </c>
    </row>
    <row r="3914" spans="1:18" x14ac:dyDescent="0.25">
      <c r="A3914" t="s">
        <v>21396</v>
      </c>
      <c r="B3914" t="s">
        <v>5327</v>
      </c>
      <c r="C3914" t="str">
        <f>HYPERLINK("https://nematode.unl.edu/eusil9.jpg")</f>
        <v>https://nematode.unl.edu/eusil9.jpg</v>
      </c>
      <c r="D3914" t="s">
        <v>43</v>
      </c>
      <c r="G3914" t="s">
        <v>17</v>
      </c>
      <c r="H3914" t="s">
        <v>18</v>
      </c>
      <c r="I3914" t="s">
        <v>19</v>
      </c>
      <c r="J3914" t="s">
        <v>20</v>
      </c>
      <c r="L3914" t="s">
        <v>64</v>
      </c>
      <c r="M3914" t="s">
        <v>5289</v>
      </c>
      <c r="N3914" t="s">
        <v>5289</v>
      </c>
      <c r="O3914" t="s">
        <v>73</v>
      </c>
      <c r="P3914" t="s">
        <v>81</v>
      </c>
      <c r="Q3914" t="s">
        <v>82</v>
      </c>
      <c r="R3914" t="s">
        <v>1016</v>
      </c>
    </row>
    <row r="3915" spans="1:18" x14ac:dyDescent="0.25">
      <c r="A3915" t="s">
        <v>21436</v>
      </c>
      <c r="B3915" t="s">
        <v>5328</v>
      </c>
      <c r="C3915" t="str">
        <f>HYPERLINK("https://nematode.unl.edu/eusoda1.jpg")</f>
        <v>https://nematode.unl.edu/eusoda1.jpg</v>
      </c>
      <c r="D3915" t="s">
        <v>43</v>
      </c>
      <c r="G3915" t="s">
        <v>34</v>
      </c>
      <c r="H3915" t="s">
        <v>18</v>
      </c>
      <c r="I3915" t="s">
        <v>137</v>
      </c>
      <c r="J3915" t="s">
        <v>20</v>
      </c>
      <c r="M3915" t="s">
        <v>5329</v>
      </c>
      <c r="N3915" t="s">
        <v>5329</v>
      </c>
      <c r="O3915" t="s">
        <v>73</v>
      </c>
      <c r="P3915" t="s">
        <v>81</v>
      </c>
      <c r="Q3915" t="s">
        <v>82</v>
      </c>
      <c r="R3915" t="s">
        <v>1016</v>
      </c>
    </row>
    <row r="3916" spans="1:18" x14ac:dyDescent="0.25">
      <c r="A3916" t="s">
        <v>21463</v>
      </c>
      <c r="B3916" t="s">
        <v>5330</v>
      </c>
      <c r="C3916" t="str">
        <f>HYPERLINK("https://nematode.unl.edu/eusoda10.jpg")</f>
        <v>https://nematode.unl.edu/eusoda10.jpg</v>
      </c>
      <c r="D3916" t="s">
        <v>43</v>
      </c>
      <c r="G3916" t="s">
        <v>28</v>
      </c>
      <c r="J3916" t="s">
        <v>20</v>
      </c>
      <c r="M3916" t="s">
        <v>5329</v>
      </c>
      <c r="N3916" t="s">
        <v>5329</v>
      </c>
      <c r="O3916" t="s">
        <v>73</v>
      </c>
      <c r="P3916" t="s">
        <v>81</v>
      </c>
      <c r="Q3916" t="s">
        <v>82</v>
      </c>
      <c r="R3916" t="s">
        <v>1016</v>
      </c>
    </row>
    <row r="3917" spans="1:18" x14ac:dyDescent="0.25">
      <c r="A3917" t="s">
        <v>21432</v>
      </c>
      <c r="B3917" t="s">
        <v>5331</v>
      </c>
      <c r="C3917" t="str">
        <f>HYPERLINK("https://nematode.unl.edu/eusoda11.jpg")</f>
        <v>https://nematode.unl.edu/eusoda11.jpg</v>
      </c>
      <c r="D3917" t="s">
        <v>43</v>
      </c>
      <c r="G3917" t="s">
        <v>96</v>
      </c>
      <c r="H3917" t="s">
        <v>18</v>
      </c>
      <c r="I3917" t="s">
        <v>45</v>
      </c>
      <c r="J3917" t="s">
        <v>20</v>
      </c>
      <c r="M3917" t="s">
        <v>5329</v>
      </c>
      <c r="N3917" t="s">
        <v>5329</v>
      </c>
      <c r="O3917" t="s">
        <v>73</v>
      </c>
      <c r="P3917" t="s">
        <v>81</v>
      </c>
      <c r="Q3917" t="s">
        <v>82</v>
      </c>
      <c r="R3917" t="s">
        <v>1016</v>
      </c>
    </row>
    <row r="3918" spans="1:18" x14ac:dyDescent="0.25">
      <c r="A3918" t="s">
        <v>21437</v>
      </c>
      <c r="B3918" t="s">
        <v>5332</v>
      </c>
      <c r="C3918" t="str">
        <f>HYPERLINK("https://nematode.unl.edu/eusoda12.jpg")</f>
        <v>https://nematode.unl.edu/eusoda12.jpg</v>
      </c>
      <c r="D3918" t="s">
        <v>43</v>
      </c>
      <c r="G3918" t="s">
        <v>34</v>
      </c>
      <c r="H3918" t="s">
        <v>18</v>
      </c>
      <c r="I3918" t="s">
        <v>19</v>
      </c>
      <c r="J3918" t="s">
        <v>20</v>
      </c>
      <c r="M3918" t="s">
        <v>5329</v>
      </c>
      <c r="N3918" t="s">
        <v>5329</v>
      </c>
      <c r="O3918" t="s">
        <v>73</v>
      </c>
      <c r="P3918" t="s">
        <v>81</v>
      </c>
      <c r="Q3918" t="s">
        <v>82</v>
      </c>
      <c r="R3918" t="s">
        <v>1016</v>
      </c>
    </row>
    <row r="3919" spans="1:18" x14ac:dyDescent="0.25">
      <c r="A3919" t="s">
        <v>21450</v>
      </c>
      <c r="B3919" t="s">
        <v>5333</v>
      </c>
      <c r="C3919" t="str">
        <f>HYPERLINK("https://nematode.unl.edu/eusoda13.jpg")</f>
        <v>https://nematode.unl.edu/eusoda13.jpg</v>
      </c>
      <c r="D3919" t="s">
        <v>43</v>
      </c>
      <c r="G3919" t="s">
        <v>87</v>
      </c>
      <c r="J3919" t="s">
        <v>20</v>
      </c>
      <c r="M3919" t="s">
        <v>5329</v>
      </c>
      <c r="N3919" t="s">
        <v>5329</v>
      </c>
      <c r="O3919" t="s">
        <v>73</v>
      </c>
      <c r="P3919" t="s">
        <v>81</v>
      </c>
      <c r="Q3919" t="s">
        <v>82</v>
      </c>
      <c r="R3919" t="s">
        <v>1016</v>
      </c>
    </row>
    <row r="3920" spans="1:18" x14ac:dyDescent="0.25">
      <c r="A3920" t="s">
        <v>21438</v>
      </c>
      <c r="B3920" t="s">
        <v>5334</v>
      </c>
      <c r="C3920" t="str">
        <f>HYPERLINK("https://nematode.unl.edu/eusoda14.jpg")</f>
        <v>https://nematode.unl.edu/eusoda14.jpg</v>
      </c>
      <c r="D3920" t="s">
        <v>43</v>
      </c>
      <c r="G3920" t="s">
        <v>34</v>
      </c>
      <c r="H3920" t="s">
        <v>18</v>
      </c>
      <c r="I3920" t="s">
        <v>19</v>
      </c>
      <c r="J3920" t="s">
        <v>20</v>
      </c>
      <c r="M3920" t="s">
        <v>5329</v>
      </c>
      <c r="N3920" t="s">
        <v>5329</v>
      </c>
      <c r="O3920" t="s">
        <v>73</v>
      </c>
      <c r="P3920" t="s">
        <v>81</v>
      </c>
      <c r="Q3920" t="s">
        <v>82</v>
      </c>
      <c r="R3920" t="s">
        <v>1016</v>
      </c>
    </row>
    <row r="3921" spans="1:18" x14ac:dyDescent="0.25">
      <c r="A3921" t="s">
        <v>21451</v>
      </c>
      <c r="B3921" t="s">
        <v>5335</v>
      </c>
      <c r="C3921" t="str">
        <f>HYPERLINK("https://nematode.unl.edu/eusoda15.jpg")</f>
        <v>https://nematode.unl.edu/eusoda15.jpg</v>
      </c>
      <c r="D3921" t="s">
        <v>43</v>
      </c>
      <c r="G3921" t="s">
        <v>87</v>
      </c>
      <c r="M3921" t="s">
        <v>5329</v>
      </c>
      <c r="N3921" t="s">
        <v>5329</v>
      </c>
      <c r="O3921" t="s">
        <v>73</v>
      </c>
      <c r="P3921" t="s">
        <v>81</v>
      </c>
      <c r="Q3921" t="s">
        <v>82</v>
      </c>
      <c r="R3921" t="s">
        <v>1016</v>
      </c>
    </row>
    <row r="3922" spans="1:18" x14ac:dyDescent="0.25">
      <c r="A3922" t="s">
        <v>21472</v>
      </c>
      <c r="B3922" t="s">
        <v>5336</v>
      </c>
      <c r="C3922" t="str">
        <f>HYPERLINK("https://nematode.unl.edu/eusoda16.jpg")</f>
        <v>https://nematode.unl.edu/eusoda16.jpg</v>
      </c>
      <c r="D3922" t="s">
        <v>43</v>
      </c>
      <c r="G3922" t="s">
        <v>51</v>
      </c>
      <c r="M3922" t="s">
        <v>5329</v>
      </c>
      <c r="N3922" t="s">
        <v>5329</v>
      </c>
      <c r="O3922" t="s">
        <v>73</v>
      </c>
      <c r="P3922" t="s">
        <v>81</v>
      </c>
      <c r="Q3922" t="s">
        <v>82</v>
      </c>
      <c r="R3922" t="s">
        <v>1016</v>
      </c>
    </row>
    <row r="3923" spans="1:18" x14ac:dyDescent="0.25">
      <c r="A3923" t="s">
        <v>21464</v>
      </c>
      <c r="B3923" t="s">
        <v>5337</v>
      </c>
      <c r="C3923" t="str">
        <f>HYPERLINK("https://nematode.unl.edu/eusoda17.jpg")</f>
        <v>https://nematode.unl.edu/eusoda17.jpg</v>
      </c>
      <c r="D3923" t="s">
        <v>77</v>
      </c>
      <c r="G3923" t="s">
        <v>28</v>
      </c>
      <c r="J3923" t="s">
        <v>20</v>
      </c>
      <c r="L3923" t="s">
        <v>29</v>
      </c>
      <c r="M3923" t="s">
        <v>5329</v>
      </c>
      <c r="N3923" t="s">
        <v>5329</v>
      </c>
      <c r="O3923" t="s">
        <v>73</v>
      </c>
      <c r="P3923" t="s">
        <v>81</v>
      </c>
      <c r="Q3923" t="s">
        <v>82</v>
      </c>
      <c r="R3923" t="s">
        <v>1016</v>
      </c>
    </row>
    <row r="3924" spans="1:18" x14ac:dyDescent="0.25">
      <c r="A3924" t="s">
        <v>21439</v>
      </c>
      <c r="B3924" t="s">
        <v>5338</v>
      </c>
      <c r="C3924" t="str">
        <f>HYPERLINK("https://nematode.unl.edu/eusoda18.jpg")</f>
        <v>https://nematode.unl.edu/eusoda18.jpg</v>
      </c>
      <c r="D3924" t="s">
        <v>77</v>
      </c>
      <c r="G3924" t="s">
        <v>34</v>
      </c>
      <c r="H3924" t="s">
        <v>18</v>
      </c>
      <c r="I3924" t="s">
        <v>19</v>
      </c>
      <c r="J3924" t="s">
        <v>20</v>
      </c>
      <c r="M3924" t="s">
        <v>5329</v>
      </c>
      <c r="N3924" t="s">
        <v>5329</v>
      </c>
      <c r="O3924" t="s">
        <v>73</v>
      </c>
      <c r="P3924" t="s">
        <v>81</v>
      </c>
      <c r="Q3924" t="s">
        <v>82</v>
      </c>
      <c r="R3924" t="s">
        <v>1016</v>
      </c>
    </row>
    <row r="3925" spans="1:18" x14ac:dyDescent="0.25">
      <c r="A3925" t="s">
        <v>21461</v>
      </c>
      <c r="B3925" t="s">
        <v>5339</v>
      </c>
      <c r="C3925" t="str">
        <f>HYPERLINK("https://nematode.unl.edu/eusoda19.jpg")</f>
        <v>https://nematode.unl.edu/eusoda19.jpg</v>
      </c>
      <c r="D3925" t="s">
        <v>43</v>
      </c>
      <c r="G3925" t="s">
        <v>243</v>
      </c>
      <c r="I3925" t="s">
        <v>516</v>
      </c>
      <c r="J3925" t="s">
        <v>20</v>
      </c>
      <c r="L3925" t="s">
        <v>29</v>
      </c>
      <c r="M3925" t="s">
        <v>5329</v>
      </c>
      <c r="N3925" t="s">
        <v>5329</v>
      </c>
      <c r="O3925" t="s">
        <v>73</v>
      </c>
      <c r="P3925" t="s">
        <v>81</v>
      </c>
      <c r="Q3925" t="s">
        <v>82</v>
      </c>
      <c r="R3925" t="s">
        <v>1016</v>
      </c>
    </row>
    <row r="3926" spans="1:18" x14ac:dyDescent="0.25">
      <c r="A3926" t="s">
        <v>21465</v>
      </c>
      <c r="B3926" t="s">
        <v>5340</v>
      </c>
      <c r="C3926" t="str">
        <f>HYPERLINK("https://nematode.unl.edu/eusoda2.jpg")</f>
        <v>https://nematode.unl.edu/eusoda2.jpg</v>
      </c>
      <c r="D3926" t="s">
        <v>43</v>
      </c>
      <c r="G3926" t="s">
        <v>28</v>
      </c>
      <c r="I3926" t="s">
        <v>137</v>
      </c>
      <c r="J3926" t="s">
        <v>20</v>
      </c>
      <c r="M3926" t="s">
        <v>5329</v>
      </c>
      <c r="N3926" t="s">
        <v>5329</v>
      </c>
      <c r="O3926" t="s">
        <v>73</v>
      </c>
      <c r="P3926" t="s">
        <v>81</v>
      </c>
      <c r="Q3926" t="s">
        <v>82</v>
      </c>
      <c r="R3926" t="s">
        <v>1016</v>
      </c>
    </row>
    <row r="3927" spans="1:18" x14ac:dyDescent="0.25">
      <c r="A3927" t="s">
        <v>21473</v>
      </c>
      <c r="B3927" t="s">
        <v>5341</v>
      </c>
      <c r="C3927" t="str">
        <f>HYPERLINK("https://nematode.unl.edu/eusoda20.jpg")</f>
        <v>https://nematode.unl.edu/eusoda20.jpg</v>
      </c>
      <c r="D3927" t="s">
        <v>43</v>
      </c>
      <c r="G3927" t="s">
        <v>51</v>
      </c>
      <c r="M3927" t="s">
        <v>5329</v>
      </c>
      <c r="N3927" t="s">
        <v>5329</v>
      </c>
      <c r="O3927" t="s">
        <v>73</v>
      </c>
      <c r="P3927" t="s">
        <v>81</v>
      </c>
      <c r="Q3927" t="s">
        <v>82</v>
      </c>
      <c r="R3927" t="s">
        <v>1016</v>
      </c>
    </row>
    <row r="3928" spans="1:18" x14ac:dyDescent="0.25">
      <c r="A3928" t="s">
        <v>21466</v>
      </c>
      <c r="B3928" t="s">
        <v>5342</v>
      </c>
      <c r="C3928" t="str">
        <f>HYPERLINK("https://nematode.unl.edu/eusoda21.jpg")</f>
        <v>https://nematode.unl.edu/eusoda21.jpg</v>
      </c>
      <c r="D3928" t="s">
        <v>43</v>
      </c>
      <c r="G3928" t="s">
        <v>28</v>
      </c>
      <c r="M3928" t="s">
        <v>5329</v>
      </c>
      <c r="N3928" t="s">
        <v>5329</v>
      </c>
      <c r="O3928" t="s">
        <v>73</v>
      </c>
      <c r="P3928" t="s">
        <v>81</v>
      </c>
      <c r="Q3928" t="s">
        <v>82</v>
      </c>
      <c r="R3928" t="s">
        <v>1016</v>
      </c>
    </row>
    <row r="3929" spans="1:18" x14ac:dyDescent="0.25">
      <c r="A3929" t="s">
        <v>21440</v>
      </c>
      <c r="B3929" t="s">
        <v>5343</v>
      </c>
      <c r="C3929" t="str">
        <f>HYPERLINK("https://nematode.unl.edu/eusoda22.jpg")</f>
        <v>https://nematode.unl.edu/eusoda22.jpg</v>
      </c>
      <c r="D3929" t="s">
        <v>43</v>
      </c>
      <c r="G3929" t="s">
        <v>34</v>
      </c>
      <c r="H3929" t="s">
        <v>18</v>
      </c>
      <c r="I3929" t="s">
        <v>19</v>
      </c>
      <c r="J3929" t="s">
        <v>20</v>
      </c>
      <c r="M3929" t="s">
        <v>5329</v>
      </c>
      <c r="N3929" t="s">
        <v>5329</v>
      </c>
      <c r="O3929" t="s">
        <v>73</v>
      </c>
      <c r="P3929" t="s">
        <v>81</v>
      </c>
      <c r="Q3929" t="s">
        <v>82</v>
      </c>
      <c r="R3929" t="s">
        <v>1016</v>
      </c>
    </row>
    <row r="3930" spans="1:18" x14ac:dyDescent="0.25">
      <c r="A3930" t="s">
        <v>21452</v>
      </c>
      <c r="B3930" t="s">
        <v>5344</v>
      </c>
      <c r="C3930" t="str">
        <f>HYPERLINK("https://nematode.unl.edu/eusoda23.jpg")</f>
        <v>https://nematode.unl.edu/eusoda23.jpg</v>
      </c>
      <c r="D3930" t="s">
        <v>43</v>
      </c>
      <c r="G3930" t="s">
        <v>87</v>
      </c>
      <c r="I3930" t="s">
        <v>19</v>
      </c>
      <c r="J3930" t="s">
        <v>20</v>
      </c>
      <c r="L3930" t="s">
        <v>29</v>
      </c>
      <c r="M3930" t="s">
        <v>5329</v>
      </c>
      <c r="N3930" t="s">
        <v>5329</v>
      </c>
      <c r="O3930" t="s">
        <v>73</v>
      </c>
      <c r="P3930" t="s">
        <v>81</v>
      </c>
      <c r="Q3930" t="s">
        <v>82</v>
      </c>
      <c r="R3930" t="s">
        <v>1016</v>
      </c>
    </row>
    <row r="3931" spans="1:18" x14ac:dyDescent="0.25">
      <c r="A3931" t="s">
        <v>21467</v>
      </c>
      <c r="B3931" t="s">
        <v>5345</v>
      </c>
      <c r="C3931" t="str">
        <f>HYPERLINK("https://nematode.unl.edu/eusoda24.jpg")</f>
        <v>https://nematode.unl.edu/eusoda24.jpg</v>
      </c>
      <c r="D3931" t="s">
        <v>43</v>
      </c>
      <c r="G3931" t="s">
        <v>28</v>
      </c>
      <c r="I3931" t="s">
        <v>19</v>
      </c>
      <c r="M3931" t="s">
        <v>5329</v>
      </c>
      <c r="N3931" t="s">
        <v>5329</v>
      </c>
      <c r="O3931" t="s">
        <v>73</v>
      </c>
      <c r="P3931" t="s">
        <v>81</v>
      </c>
      <c r="Q3931" t="s">
        <v>82</v>
      </c>
      <c r="R3931" t="s">
        <v>1016</v>
      </c>
    </row>
    <row r="3932" spans="1:18" x14ac:dyDescent="0.25">
      <c r="A3932" t="s">
        <v>21458</v>
      </c>
      <c r="B3932" t="s">
        <v>5346</v>
      </c>
      <c r="C3932" t="str">
        <f>HYPERLINK("https://nematode.unl.edu/eusoda25.jpg")</f>
        <v>https://nematode.unl.edu/eusoda25.jpg</v>
      </c>
      <c r="D3932" t="s">
        <v>16</v>
      </c>
      <c r="G3932" t="s">
        <v>44</v>
      </c>
      <c r="I3932" t="s">
        <v>45</v>
      </c>
      <c r="J3932" t="s">
        <v>20</v>
      </c>
      <c r="L3932" t="s">
        <v>78</v>
      </c>
      <c r="M3932" t="s">
        <v>5329</v>
      </c>
      <c r="N3932" t="s">
        <v>5329</v>
      </c>
      <c r="O3932" t="s">
        <v>73</v>
      </c>
      <c r="P3932" t="s">
        <v>81</v>
      </c>
      <c r="Q3932" t="s">
        <v>82</v>
      </c>
      <c r="R3932" t="s">
        <v>1016</v>
      </c>
    </row>
    <row r="3933" spans="1:18" x14ac:dyDescent="0.25">
      <c r="A3933" t="s">
        <v>21441</v>
      </c>
      <c r="B3933" t="s">
        <v>5347</v>
      </c>
      <c r="C3933" t="str">
        <f>HYPERLINK("https://nematode.unl.edu/eusoda26.jpg")</f>
        <v>https://nematode.unl.edu/eusoda26.jpg</v>
      </c>
      <c r="D3933" t="s">
        <v>16</v>
      </c>
      <c r="G3933" t="s">
        <v>34</v>
      </c>
      <c r="H3933" t="s">
        <v>18</v>
      </c>
      <c r="J3933" t="s">
        <v>20</v>
      </c>
      <c r="L3933" t="s">
        <v>78</v>
      </c>
      <c r="M3933" t="s">
        <v>5329</v>
      </c>
      <c r="N3933" t="s">
        <v>5329</v>
      </c>
      <c r="O3933" t="s">
        <v>73</v>
      </c>
      <c r="P3933" t="s">
        <v>81</v>
      </c>
      <c r="Q3933" t="s">
        <v>82</v>
      </c>
      <c r="R3933" t="s">
        <v>1016</v>
      </c>
    </row>
    <row r="3934" spans="1:18" x14ac:dyDescent="0.25">
      <c r="A3934" t="s">
        <v>21433</v>
      </c>
      <c r="B3934" t="s">
        <v>5348</v>
      </c>
      <c r="C3934" t="str">
        <f>HYPERLINK("https://nematode.unl.edu/eusoda27.jpg")</f>
        <v>https://nematode.unl.edu/eusoda27.jpg</v>
      </c>
      <c r="D3934" t="s">
        <v>16</v>
      </c>
      <c r="G3934" t="s">
        <v>96</v>
      </c>
      <c r="H3934" t="s">
        <v>18</v>
      </c>
      <c r="I3934" t="s">
        <v>19</v>
      </c>
      <c r="J3934" t="s">
        <v>20</v>
      </c>
      <c r="L3934" t="s">
        <v>78</v>
      </c>
      <c r="M3934" t="s">
        <v>5329</v>
      </c>
      <c r="N3934" t="s">
        <v>5329</v>
      </c>
      <c r="O3934" t="s">
        <v>73</v>
      </c>
      <c r="P3934" t="s">
        <v>81</v>
      </c>
      <c r="Q3934" t="s">
        <v>82</v>
      </c>
      <c r="R3934" t="s">
        <v>1016</v>
      </c>
    </row>
    <row r="3935" spans="1:18" x14ac:dyDescent="0.25">
      <c r="A3935" t="s">
        <v>21453</v>
      </c>
      <c r="B3935" t="s">
        <v>5349</v>
      </c>
      <c r="C3935" t="str">
        <f>HYPERLINK("https://nematode.unl.edu/eusoda28.jpg")</f>
        <v>https://nematode.unl.edu/eusoda28.jpg</v>
      </c>
      <c r="D3935" t="s">
        <v>16</v>
      </c>
      <c r="G3935" t="s">
        <v>87</v>
      </c>
      <c r="I3935" t="s">
        <v>19</v>
      </c>
      <c r="J3935" t="s">
        <v>20</v>
      </c>
      <c r="L3935" t="s">
        <v>85</v>
      </c>
      <c r="M3935" t="s">
        <v>5329</v>
      </c>
      <c r="N3935" t="s">
        <v>5329</v>
      </c>
      <c r="O3935" t="s">
        <v>73</v>
      </c>
      <c r="P3935" t="s">
        <v>81</v>
      </c>
      <c r="Q3935" t="s">
        <v>82</v>
      </c>
      <c r="R3935" t="s">
        <v>1016</v>
      </c>
    </row>
    <row r="3936" spans="1:18" x14ac:dyDescent="0.25">
      <c r="A3936" t="s">
        <v>21468</v>
      </c>
      <c r="B3936" t="s">
        <v>5350</v>
      </c>
      <c r="C3936" t="str">
        <f>HYPERLINK("https://nematode.unl.edu/eusoda29.jpg")</f>
        <v>https://nematode.unl.edu/eusoda29.jpg</v>
      </c>
      <c r="D3936" t="s">
        <v>16</v>
      </c>
      <c r="G3936" t="s">
        <v>28</v>
      </c>
      <c r="I3936" t="s">
        <v>19</v>
      </c>
      <c r="J3936" t="s">
        <v>20</v>
      </c>
      <c r="L3936" t="s">
        <v>64</v>
      </c>
      <c r="M3936" t="s">
        <v>5329</v>
      </c>
      <c r="N3936" t="s">
        <v>5329</v>
      </c>
      <c r="O3936" t="s">
        <v>73</v>
      </c>
      <c r="P3936" t="s">
        <v>81</v>
      </c>
      <c r="Q3936" t="s">
        <v>82</v>
      </c>
      <c r="R3936" t="s">
        <v>1016</v>
      </c>
    </row>
    <row r="3937" spans="1:18" x14ac:dyDescent="0.25">
      <c r="A3937" t="s">
        <v>21442</v>
      </c>
      <c r="B3937" t="s">
        <v>5351</v>
      </c>
      <c r="C3937" t="str">
        <f>HYPERLINK("https://nematode.unl.edu/eusoda3.jpg")</f>
        <v>https://nematode.unl.edu/eusoda3.jpg</v>
      </c>
      <c r="D3937" t="s">
        <v>43</v>
      </c>
      <c r="G3937" t="s">
        <v>34</v>
      </c>
      <c r="H3937" t="s">
        <v>18</v>
      </c>
      <c r="J3937" t="s">
        <v>20</v>
      </c>
      <c r="M3937" t="s">
        <v>5329</v>
      </c>
      <c r="N3937" t="s">
        <v>5329</v>
      </c>
      <c r="O3937" t="s">
        <v>73</v>
      </c>
      <c r="P3937" t="s">
        <v>81</v>
      </c>
      <c r="Q3937" t="s">
        <v>82</v>
      </c>
      <c r="R3937" t="s">
        <v>1016</v>
      </c>
    </row>
    <row r="3938" spans="1:18" x14ac:dyDescent="0.25">
      <c r="A3938" t="s">
        <v>21459</v>
      </c>
      <c r="B3938" t="s">
        <v>5352</v>
      </c>
      <c r="C3938" t="str">
        <f>HYPERLINK("https://nematode.unl.edu/eusoda30.jpg")</f>
        <v>https://nematode.unl.edu/eusoda30.jpg</v>
      </c>
      <c r="D3938" t="s">
        <v>43</v>
      </c>
      <c r="G3938" t="s">
        <v>44</v>
      </c>
      <c r="I3938" t="s">
        <v>45</v>
      </c>
      <c r="J3938" t="s">
        <v>20</v>
      </c>
      <c r="L3938" t="s">
        <v>85</v>
      </c>
      <c r="M3938" t="s">
        <v>5329</v>
      </c>
      <c r="N3938" t="s">
        <v>5329</v>
      </c>
      <c r="O3938" t="s">
        <v>73</v>
      </c>
      <c r="P3938" t="s">
        <v>81</v>
      </c>
      <c r="Q3938" t="s">
        <v>82</v>
      </c>
      <c r="R3938" t="s">
        <v>1016</v>
      </c>
    </row>
    <row r="3939" spans="1:18" x14ac:dyDescent="0.25">
      <c r="A3939" t="s">
        <v>21469</v>
      </c>
      <c r="B3939" t="s">
        <v>5353</v>
      </c>
      <c r="C3939" t="str">
        <f>HYPERLINK("https://nematode.unl.edu/eusoda31.jpg")</f>
        <v>https://nematode.unl.edu/eusoda31.jpg</v>
      </c>
      <c r="D3939" t="s">
        <v>43</v>
      </c>
      <c r="G3939" t="s">
        <v>28</v>
      </c>
      <c r="J3939" t="s">
        <v>20</v>
      </c>
      <c r="M3939" t="s">
        <v>5329</v>
      </c>
      <c r="N3939" t="s">
        <v>5329</v>
      </c>
      <c r="O3939" t="s">
        <v>73</v>
      </c>
      <c r="P3939" t="s">
        <v>81</v>
      </c>
      <c r="Q3939" t="s">
        <v>82</v>
      </c>
      <c r="R3939" t="s">
        <v>1016</v>
      </c>
    </row>
    <row r="3940" spans="1:18" x14ac:dyDescent="0.25">
      <c r="A3940" t="s">
        <v>21474</v>
      </c>
      <c r="B3940" t="s">
        <v>5354</v>
      </c>
      <c r="C3940" t="str">
        <f>HYPERLINK("https://nematode.unl.edu/eusoda32.jpg")</f>
        <v>https://nematode.unl.edu/eusoda32.jpg</v>
      </c>
      <c r="D3940" t="s">
        <v>43</v>
      </c>
      <c r="G3940" t="s">
        <v>51</v>
      </c>
      <c r="I3940" t="s">
        <v>19</v>
      </c>
      <c r="J3940" t="s">
        <v>20</v>
      </c>
      <c r="L3940" t="s">
        <v>85</v>
      </c>
      <c r="M3940" t="s">
        <v>5329</v>
      </c>
      <c r="N3940" t="s">
        <v>5329</v>
      </c>
      <c r="O3940" t="s">
        <v>73</v>
      </c>
      <c r="P3940" t="s">
        <v>81</v>
      </c>
      <c r="Q3940" t="s">
        <v>82</v>
      </c>
      <c r="R3940" t="s">
        <v>1016</v>
      </c>
    </row>
    <row r="3941" spans="1:18" x14ac:dyDescent="0.25">
      <c r="A3941" t="s">
        <v>21454</v>
      </c>
      <c r="B3941" t="s">
        <v>5355</v>
      </c>
      <c r="C3941" t="str">
        <f>HYPERLINK("https://nematode.unl.edu/eusoda33.jpg")</f>
        <v>https://nematode.unl.edu/eusoda33.jpg</v>
      </c>
      <c r="D3941" t="s">
        <v>43</v>
      </c>
      <c r="G3941" t="s">
        <v>87</v>
      </c>
      <c r="I3941" t="s">
        <v>19</v>
      </c>
      <c r="J3941" t="s">
        <v>20</v>
      </c>
      <c r="M3941" t="s">
        <v>5329</v>
      </c>
      <c r="N3941" t="s">
        <v>5329</v>
      </c>
      <c r="O3941" t="s">
        <v>73</v>
      </c>
      <c r="P3941" t="s">
        <v>81</v>
      </c>
      <c r="Q3941" t="s">
        <v>82</v>
      </c>
      <c r="R3941" t="s">
        <v>1016</v>
      </c>
    </row>
    <row r="3942" spans="1:18" x14ac:dyDescent="0.25">
      <c r="A3942" t="s">
        <v>21443</v>
      </c>
      <c r="B3942" t="s">
        <v>5356</v>
      </c>
      <c r="C3942" t="str">
        <f>HYPERLINK("https://nematode.unl.edu/eusoda34.jpg")</f>
        <v>https://nematode.unl.edu/eusoda34.jpg</v>
      </c>
      <c r="D3942" t="s">
        <v>43</v>
      </c>
      <c r="G3942" t="s">
        <v>34</v>
      </c>
      <c r="H3942" t="s">
        <v>18</v>
      </c>
      <c r="M3942" t="s">
        <v>5329</v>
      </c>
      <c r="N3942" t="s">
        <v>5329</v>
      </c>
      <c r="O3942" t="s">
        <v>73</v>
      </c>
      <c r="P3942" t="s">
        <v>81</v>
      </c>
      <c r="Q3942" t="s">
        <v>82</v>
      </c>
      <c r="R3942" t="s">
        <v>1016</v>
      </c>
    </row>
    <row r="3943" spans="1:18" x14ac:dyDescent="0.25">
      <c r="A3943" t="s">
        <v>21444</v>
      </c>
      <c r="B3943" t="s">
        <v>5357</v>
      </c>
      <c r="C3943" t="str">
        <f>HYPERLINK("https://nematode.unl.edu/eusoda35.jpg")</f>
        <v>https://nematode.unl.edu/eusoda35.jpg</v>
      </c>
      <c r="D3943" t="s">
        <v>16</v>
      </c>
      <c r="G3943" t="s">
        <v>34</v>
      </c>
      <c r="H3943" t="s">
        <v>18</v>
      </c>
      <c r="I3943" t="s">
        <v>19</v>
      </c>
      <c r="J3943" t="s">
        <v>20</v>
      </c>
      <c r="L3943" t="s">
        <v>64</v>
      </c>
      <c r="M3943" t="s">
        <v>5329</v>
      </c>
      <c r="N3943" t="s">
        <v>5329</v>
      </c>
      <c r="O3943" t="s">
        <v>73</v>
      </c>
      <c r="P3943" t="s">
        <v>81</v>
      </c>
      <c r="Q3943" t="s">
        <v>82</v>
      </c>
      <c r="R3943" t="s">
        <v>1016</v>
      </c>
    </row>
    <row r="3944" spans="1:18" x14ac:dyDescent="0.25">
      <c r="A3944" t="s">
        <v>21434</v>
      </c>
      <c r="B3944" t="s">
        <v>5358</v>
      </c>
      <c r="C3944" t="str">
        <f>HYPERLINK("https://nematode.unl.edu/eusoda36.jpg")</f>
        <v>https://nematode.unl.edu/eusoda36.jpg</v>
      </c>
      <c r="D3944" t="s">
        <v>16</v>
      </c>
      <c r="G3944" t="s">
        <v>96</v>
      </c>
      <c r="H3944" t="s">
        <v>18</v>
      </c>
      <c r="I3944" t="s">
        <v>19</v>
      </c>
      <c r="J3944" t="s">
        <v>20</v>
      </c>
      <c r="M3944" t="s">
        <v>5329</v>
      </c>
      <c r="N3944" t="s">
        <v>5329</v>
      </c>
      <c r="O3944" t="s">
        <v>73</v>
      </c>
      <c r="P3944" t="s">
        <v>81</v>
      </c>
      <c r="Q3944" t="s">
        <v>82</v>
      </c>
      <c r="R3944" t="s">
        <v>1016</v>
      </c>
    </row>
    <row r="3945" spans="1:18" x14ac:dyDescent="0.25">
      <c r="A3945" t="s">
        <v>21470</v>
      </c>
      <c r="B3945" t="s">
        <v>5359</v>
      </c>
      <c r="C3945" t="str">
        <f>HYPERLINK("https://nematode.unl.edu/eusoda39.jpg")</f>
        <v>https://nematode.unl.edu/eusoda39.jpg</v>
      </c>
      <c r="D3945" t="s">
        <v>43</v>
      </c>
      <c r="G3945" t="s">
        <v>28</v>
      </c>
      <c r="J3945" t="s">
        <v>20</v>
      </c>
      <c r="M3945" t="s">
        <v>5329</v>
      </c>
      <c r="N3945" t="s">
        <v>5329</v>
      </c>
      <c r="O3945" t="s">
        <v>73</v>
      </c>
      <c r="P3945" t="s">
        <v>81</v>
      </c>
      <c r="Q3945" t="s">
        <v>82</v>
      </c>
      <c r="R3945" t="s">
        <v>1016</v>
      </c>
    </row>
    <row r="3946" spans="1:18" x14ac:dyDescent="0.25">
      <c r="A3946" t="s">
        <v>21455</v>
      </c>
      <c r="B3946" t="s">
        <v>5360</v>
      </c>
      <c r="C3946" t="str">
        <f>HYPERLINK("https://nematode.unl.edu/eusoda4.jpg")</f>
        <v>https://nematode.unl.edu/eusoda4.jpg</v>
      </c>
      <c r="D3946" t="s">
        <v>43</v>
      </c>
      <c r="G3946" t="s">
        <v>87</v>
      </c>
      <c r="I3946" t="s">
        <v>19</v>
      </c>
      <c r="J3946" t="s">
        <v>20</v>
      </c>
      <c r="M3946" t="s">
        <v>5329</v>
      </c>
      <c r="N3946" t="s">
        <v>5329</v>
      </c>
      <c r="O3946" t="s">
        <v>73</v>
      </c>
      <c r="P3946" t="s">
        <v>81</v>
      </c>
      <c r="Q3946" t="s">
        <v>82</v>
      </c>
      <c r="R3946" t="s">
        <v>1016</v>
      </c>
    </row>
    <row r="3947" spans="1:18" x14ac:dyDescent="0.25">
      <c r="A3947" t="s">
        <v>21445</v>
      </c>
      <c r="B3947" t="s">
        <v>5361</v>
      </c>
      <c r="C3947" t="str">
        <f>HYPERLINK("https://nematode.unl.edu/eusoda40.jpg")</f>
        <v>https://nematode.unl.edu/eusoda40.jpg</v>
      </c>
      <c r="D3947" t="s">
        <v>43</v>
      </c>
      <c r="G3947" t="s">
        <v>34</v>
      </c>
      <c r="H3947" t="s">
        <v>18</v>
      </c>
      <c r="I3947" t="s">
        <v>19</v>
      </c>
      <c r="M3947" t="s">
        <v>5329</v>
      </c>
      <c r="N3947" t="s">
        <v>5329</v>
      </c>
      <c r="O3947" t="s">
        <v>73</v>
      </c>
      <c r="P3947" t="s">
        <v>81</v>
      </c>
      <c r="Q3947" t="s">
        <v>82</v>
      </c>
      <c r="R3947" t="s">
        <v>1016</v>
      </c>
    </row>
    <row r="3948" spans="1:18" x14ac:dyDescent="0.25">
      <c r="A3948" t="s">
        <v>21456</v>
      </c>
      <c r="B3948" t="s">
        <v>5362</v>
      </c>
      <c r="C3948" t="str">
        <f>HYPERLINK("https://nematode.unl.edu/eusoda41.jpg")</f>
        <v>https://nematode.unl.edu/eusoda41.jpg</v>
      </c>
      <c r="D3948" t="s">
        <v>43</v>
      </c>
      <c r="G3948" t="s">
        <v>87</v>
      </c>
      <c r="I3948" t="s">
        <v>19</v>
      </c>
      <c r="J3948" t="s">
        <v>20</v>
      </c>
      <c r="L3948" t="s">
        <v>29</v>
      </c>
      <c r="M3948" t="s">
        <v>5329</v>
      </c>
      <c r="N3948" t="s">
        <v>5329</v>
      </c>
      <c r="O3948" t="s">
        <v>73</v>
      </c>
      <c r="P3948" t="s">
        <v>81</v>
      </c>
      <c r="Q3948" t="s">
        <v>82</v>
      </c>
      <c r="R3948" t="s">
        <v>1016</v>
      </c>
    </row>
    <row r="3949" spans="1:18" x14ac:dyDescent="0.25">
      <c r="A3949" t="s">
        <v>21475</v>
      </c>
      <c r="B3949" t="s">
        <v>5363</v>
      </c>
      <c r="C3949" t="str">
        <f>HYPERLINK("https://nematode.unl.edu/eusoda42.jpg")</f>
        <v>https://nematode.unl.edu/eusoda42.jpg</v>
      </c>
      <c r="D3949" t="s">
        <v>43</v>
      </c>
      <c r="G3949" t="s">
        <v>51</v>
      </c>
      <c r="I3949" t="s">
        <v>19</v>
      </c>
      <c r="J3949" t="s">
        <v>20</v>
      </c>
      <c r="L3949" t="s">
        <v>29</v>
      </c>
      <c r="M3949" t="s">
        <v>5329</v>
      </c>
      <c r="N3949" t="s">
        <v>5329</v>
      </c>
      <c r="O3949" t="s">
        <v>73</v>
      </c>
      <c r="P3949" t="s">
        <v>81</v>
      </c>
      <c r="Q3949" t="s">
        <v>82</v>
      </c>
      <c r="R3949" t="s">
        <v>1016</v>
      </c>
    </row>
    <row r="3950" spans="1:18" x14ac:dyDescent="0.25">
      <c r="A3950" t="s">
        <v>21446</v>
      </c>
      <c r="B3950" t="s">
        <v>5364</v>
      </c>
      <c r="C3950" t="str">
        <f>HYPERLINK("https://nematode.unl.edu/eusoda43.jpg")</f>
        <v>https://nematode.unl.edu/eusoda43.jpg</v>
      </c>
      <c r="D3950" t="s">
        <v>43</v>
      </c>
      <c r="G3950" t="s">
        <v>34</v>
      </c>
      <c r="H3950" t="s">
        <v>18</v>
      </c>
      <c r="J3950" t="s">
        <v>20</v>
      </c>
      <c r="L3950" t="s">
        <v>217</v>
      </c>
      <c r="M3950" t="s">
        <v>5329</v>
      </c>
      <c r="N3950" t="s">
        <v>5329</v>
      </c>
      <c r="O3950" t="s">
        <v>73</v>
      </c>
      <c r="P3950" t="s">
        <v>81</v>
      </c>
      <c r="Q3950" t="s">
        <v>82</v>
      </c>
      <c r="R3950" t="s">
        <v>1016</v>
      </c>
    </row>
    <row r="3951" spans="1:18" x14ac:dyDescent="0.25">
      <c r="A3951" t="s">
        <v>21457</v>
      </c>
      <c r="B3951" t="s">
        <v>5365</v>
      </c>
      <c r="C3951" t="str">
        <f>HYPERLINK("https://nematode.unl.edu/eusoda44.jpg")</f>
        <v>https://nematode.unl.edu/eusoda44.jpg</v>
      </c>
      <c r="D3951" t="s">
        <v>77</v>
      </c>
      <c r="G3951" t="s">
        <v>87</v>
      </c>
      <c r="J3951" t="s">
        <v>20</v>
      </c>
      <c r="L3951" t="s">
        <v>141</v>
      </c>
      <c r="M3951" t="s">
        <v>5329</v>
      </c>
      <c r="N3951" t="s">
        <v>5329</v>
      </c>
      <c r="O3951" t="s">
        <v>73</v>
      </c>
      <c r="P3951" t="s">
        <v>81</v>
      </c>
      <c r="Q3951" t="s">
        <v>82</v>
      </c>
      <c r="R3951" t="s">
        <v>1016</v>
      </c>
    </row>
    <row r="3952" spans="1:18" x14ac:dyDescent="0.25">
      <c r="A3952" t="s">
        <v>21476</v>
      </c>
      <c r="B3952" t="s">
        <v>5366</v>
      </c>
      <c r="C3952" t="str">
        <f>HYPERLINK("https://nematode.unl.edu/eusoda45.jpg")</f>
        <v>https://nematode.unl.edu/eusoda45.jpg</v>
      </c>
      <c r="D3952" t="s">
        <v>43</v>
      </c>
      <c r="G3952" t="s">
        <v>51</v>
      </c>
      <c r="J3952" t="s">
        <v>20</v>
      </c>
      <c r="L3952" t="s">
        <v>141</v>
      </c>
      <c r="M3952" t="s">
        <v>5329</v>
      </c>
      <c r="N3952" t="s">
        <v>5329</v>
      </c>
      <c r="O3952" t="s">
        <v>73</v>
      </c>
      <c r="P3952" t="s">
        <v>81</v>
      </c>
      <c r="Q3952" t="s">
        <v>82</v>
      </c>
      <c r="R3952" t="s">
        <v>1016</v>
      </c>
    </row>
    <row r="3953" spans="1:18" x14ac:dyDescent="0.25">
      <c r="A3953" t="s">
        <v>21471</v>
      </c>
      <c r="B3953" t="s">
        <v>5367</v>
      </c>
      <c r="C3953" t="str">
        <f>HYPERLINK("https://nematode.unl.edu/eusoda46.jpg")</f>
        <v>https://nematode.unl.edu/eusoda46.jpg</v>
      </c>
      <c r="D3953" t="s">
        <v>43</v>
      </c>
      <c r="G3953" t="s">
        <v>28</v>
      </c>
      <c r="J3953" t="s">
        <v>20</v>
      </c>
      <c r="L3953" t="s">
        <v>141</v>
      </c>
      <c r="M3953" t="s">
        <v>5329</v>
      </c>
      <c r="N3953" t="s">
        <v>5329</v>
      </c>
      <c r="O3953" t="s">
        <v>73</v>
      </c>
      <c r="P3953" t="s">
        <v>81</v>
      </c>
      <c r="Q3953" t="s">
        <v>82</v>
      </c>
      <c r="R3953" t="s">
        <v>1016</v>
      </c>
    </row>
    <row r="3954" spans="1:18" x14ac:dyDescent="0.25">
      <c r="A3954" t="s">
        <v>21462</v>
      </c>
      <c r="B3954" t="s">
        <v>5368</v>
      </c>
      <c r="C3954" t="str">
        <f>HYPERLINK("https://nematode.unl.edu/eusoda47.jpg")</f>
        <v>https://nematode.unl.edu/eusoda47.jpg</v>
      </c>
      <c r="D3954" t="s">
        <v>43</v>
      </c>
      <c r="G3954" t="s">
        <v>243</v>
      </c>
      <c r="M3954" t="s">
        <v>5329</v>
      </c>
      <c r="N3954" t="s">
        <v>5329</v>
      </c>
      <c r="O3954" t="s">
        <v>73</v>
      </c>
      <c r="P3954" t="s">
        <v>81</v>
      </c>
      <c r="Q3954" t="s">
        <v>82</v>
      </c>
      <c r="R3954" t="s">
        <v>1016</v>
      </c>
    </row>
    <row r="3955" spans="1:18" x14ac:dyDescent="0.25">
      <c r="A3955" t="s">
        <v>21447</v>
      </c>
      <c r="B3955" t="s">
        <v>5369</v>
      </c>
      <c r="C3955" t="str">
        <f>HYPERLINK("https://nematode.unl.edu/eusoda48.jpg")</f>
        <v>https://nematode.unl.edu/eusoda48.jpg</v>
      </c>
      <c r="D3955" t="s">
        <v>43</v>
      </c>
      <c r="G3955" t="s">
        <v>34</v>
      </c>
      <c r="H3955" t="s">
        <v>18</v>
      </c>
      <c r="I3955" t="s">
        <v>41</v>
      </c>
      <c r="J3955" t="s">
        <v>20</v>
      </c>
      <c r="L3955" t="s">
        <v>217</v>
      </c>
      <c r="M3955" t="s">
        <v>5329</v>
      </c>
      <c r="N3955" t="s">
        <v>5329</v>
      </c>
      <c r="O3955" t="s">
        <v>73</v>
      </c>
      <c r="P3955" t="s">
        <v>81</v>
      </c>
      <c r="Q3955" t="s">
        <v>82</v>
      </c>
      <c r="R3955" t="s">
        <v>1016</v>
      </c>
    </row>
    <row r="3956" spans="1:18" x14ac:dyDescent="0.25">
      <c r="A3956" t="s">
        <v>21460</v>
      </c>
      <c r="B3956" t="s">
        <v>5370</v>
      </c>
      <c r="C3956" t="str">
        <f>HYPERLINK("https://nematode.unl.edu/eusoda5.jpg")</f>
        <v>https://nematode.unl.edu/eusoda5.jpg</v>
      </c>
      <c r="D3956" t="s">
        <v>43</v>
      </c>
      <c r="G3956" t="s">
        <v>44</v>
      </c>
      <c r="I3956" t="s">
        <v>91</v>
      </c>
      <c r="J3956" t="s">
        <v>20</v>
      </c>
      <c r="L3956" t="s">
        <v>5371</v>
      </c>
      <c r="M3956" t="s">
        <v>5329</v>
      </c>
      <c r="N3956" t="s">
        <v>5329</v>
      </c>
      <c r="O3956" t="s">
        <v>73</v>
      </c>
      <c r="P3956" t="s">
        <v>81</v>
      </c>
      <c r="Q3956" t="s">
        <v>82</v>
      </c>
      <c r="R3956" t="s">
        <v>1016</v>
      </c>
    </row>
    <row r="3957" spans="1:18" x14ac:dyDescent="0.25">
      <c r="A3957" t="s">
        <v>21448</v>
      </c>
      <c r="B3957" t="s">
        <v>5372</v>
      </c>
      <c r="C3957" t="str">
        <f>HYPERLINK("https://nematode.unl.edu/eusoda6.jpg")</f>
        <v>https://nematode.unl.edu/eusoda6.jpg</v>
      </c>
      <c r="D3957" t="s">
        <v>43</v>
      </c>
      <c r="G3957" t="s">
        <v>34</v>
      </c>
      <c r="H3957" t="s">
        <v>18</v>
      </c>
      <c r="I3957" t="s">
        <v>19</v>
      </c>
      <c r="J3957" t="s">
        <v>20</v>
      </c>
      <c r="M3957" t="s">
        <v>5329</v>
      </c>
      <c r="N3957" t="s">
        <v>5329</v>
      </c>
      <c r="O3957" t="s">
        <v>73</v>
      </c>
      <c r="P3957" t="s">
        <v>81</v>
      </c>
      <c r="Q3957" t="s">
        <v>82</v>
      </c>
      <c r="R3957" t="s">
        <v>1016</v>
      </c>
    </row>
    <row r="3958" spans="1:18" x14ac:dyDescent="0.25">
      <c r="A3958" t="s">
        <v>21435</v>
      </c>
      <c r="B3958" t="s">
        <v>5373</v>
      </c>
      <c r="C3958" t="str">
        <f>HYPERLINK("https://nematode.unl.edu/eusoda7.jpg")</f>
        <v>https://nematode.unl.edu/eusoda7.jpg</v>
      </c>
      <c r="D3958" t="s">
        <v>43</v>
      </c>
      <c r="G3958" t="s">
        <v>17</v>
      </c>
      <c r="H3958" t="s">
        <v>18</v>
      </c>
      <c r="J3958" t="s">
        <v>20</v>
      </c>
      <c r="M3958" t="s">
        <v>5329</v>
      </c>
      <c r="N3958" t="s">
        <v>5329</v>
      </c>
      <c r="O3958" t="s">
        <v>73</v>
      </c>
      <c r="P3958" t="s">
        <v>81</v>
      </c>
      <c r="Q3958" t="s">
        <v>82</v>
      </c>
      <c r="R3958" t="s">
        <v>1016</v>
      </c>
    </row>
    <row r="3959" spans="1:18" x14ac:dyDescent="0.25">
      <c r="A3959" t="s">
        <v>21449</v>
      </c>
      <c r="B3959" t="s">
        <v>5374</v>
      </c>
      <c r="C3959" t="str">
        <f>HYPERLINK("https://nematode.unl.edu/eusoda8.jpg")</f>
        <v>https://nematode.unl.edu/eusoda8.jpg</v>
      </c>
      <c r="D3959" t="s">
        <v>43</v>
      </c>
      <c r="G3959" t="s">
        <v>5375</v>
      </c>
      <c r="I3959" t="s">
        <v>19</v>
      </c>
      <c r="J3959" t="s">
        <v>20</v>
      </c>
      <c r="L3959" t="s">
        <v>5371</v>
      </c>
      <c r="M3959" t="s">
        <v>5329</v>
      </c>
      <c r="N3959" t="s">
        <v>5329</v>
      </c>
      <c r="O3959" t="s">
        <v>73</v>
      </c>
      <c r="P3959" t="s">
        <v>81</v>
      </c>
      <c r="Q3959" t="s">
        <v>82</v>
      </c>
      <c r="R3959" t="s">
        <v>1016</v>
      </c>
    </row>
    <row r="3960" spans="1:18" x14ac:dyDescent="0.25">
      <c r="A3960" t="s">
        <v>21477</v>
      </c>
      <c r="B3960" t="s">
        <v>5376</v>
      </c>
      <c r="C3960" t="str">
        <f>HYPERLINK("https://nematode.unl.edu/eusoda9.jpg")</f>
        <v>https://nematode.unl.edu/eusoda9.jpg</v>
      </c>
      <c r="D3960" t="s">
        <v>43</v>
      </c>
      <c r="G3960" t="s">
        <v>51</v>
      </c>
      <c r="I3960" t="s">
        <v>19</v>
      </c>
      <c r="J3960" t="s">
        <v>20</v>
      </c>
      <c r="M3960" t="s">
        <v>5329</v>
      </c>
      <c r="N3960" t="s">
        <v>5329</v>
      </c>
      <c r="O3960" t="s">
        <v>73</v>
      </c>
      <c r="P3960" t="s">
        <v>81</v>
      </c>
      <c r="Q3960" t="s">
        <v>82</v>
      </c>
      <c r="R3960" t="s">
        <v>1016</v>
      </c>
    </row>
    <row r="3961" spans="1:18" x14ac:dyDescent="0.25">
      <c r="A3961" t="s">
        <v>13473</v>
      </c>
      <c r="B3961" t="s">
        <v>4970</v>
      </c>
      <c r="C3961" t="str">
        <f>HYPERLINK("https://nematode.unl.edu/euspp1.jpg")</f>
        <v>https://nematode.unl.edu/euspp1.jpg</v>
      </c>
      <c r="D3961" t="s">
        <v>16</v>
      </c>
      <c r="G3961" t="s">
        <v>34</v>
      </c>
      <c r="H3961" t="s">
        <v>18</v>
      </c>
      <c r="I3961" t="s">
        <v>19</v>
      </c>
      <c r="J3961" t="s">
        <v>20</v>
      </c>
      <c r="L3961" t="s">
        <v>64</v>
      </c>
      <c r="M3961" t="s">
        <v>4963</v>
      </c>
      <c r="N3961" t="s">
        <v>4963</v>
      </c>
      <c r="O3961" t="s">
        <v>23</v>
      </c>
      <c r="P3961" t="s">
        <v>24</v>
      </c>
      <c r="Q3961" t="s">
        <v>25</v>
      </c>
      <c r="R3961" t="s">
        <v>4917</v>
      </c>
    </row>
    <row r="3962" spans="1:18" x14ac:dyDescent="0.25">
      <c r="A3962" t="s">
        <v>13493</v>
      </c>
      <c r="B3962" t="s">
        <v>4971</v>
      </c>
      <c r="C3962" t="str">
        <f>HYPERLINK("https://nematode.unl.edu/euspp2.jpg")</f>
        <v>https://nematode.unl.edu/euspp2.jpg</v>
      </c>
      <c r="D3962" t="s">
        <v>16</v>
      </c>
      <c r="G3962" t="s">
        <v>28</v>
      </c>
      <c r="I3962" t="s">
        <v>19</v>
      </c>
      <c r="J3962" t="s">
        <v>20</v>
      </c>
      <c r="L3962" t="s">
        <v>64</v>
      </c>
      <c r="M3962" t="s">
        <v>4963</v>
      </c>
      <c r="N3962" t="s">
        <v>4963</v>
      </c>
      <c r="O3962" t="s">
        <v>23</v>
      </c>
      <c r="P3962" t="s">
        <v>24</v>
      </c>
      <c r="Q3962" t="s">
        <v>25</v>
      </c>
      <c r="R3962" t="s">
        <v>4917</v>
      </c>
    </row>
    <row r="3963" spans="1:18" x14ac:dyDescent="0.25">
      <c r="A3963" t="s">
        <v>12234</v>
      </c>
      <c r="B3963" t="s">
        <v>5459</v>
      </c>
      <c r="C3963" t="str">
        <f>HYPERLINK("https://nematode.unl.edu/eustica1.jpg")</f>
        <v>https://nematode.unl.edu/eustica1.jpg</v>
      </c>
      <c r="D3963" t="s">
        <v>43</v>
      </c>
      <c r="G3963" t="s">
        <v>386</v>
      </c>
      <c r="H3963" t="s">
        <v>18</v>
      </c>
      <c r="I3963" t="s">
        <v>41</v>
      </c>
      <c r="J3963" t="s">
        <v>20</v>
      </c>
      <c r="L3963" t="s">
        <v>183</v>
      </c>
      <c r="M3963" t="s">
        <v>5460</v>
      </c>
      <c r="N3963" t="s">
        <v>5460</v>
      </c>
      <c r="O3963" t="s">
        <v>23</v>
      </c>
      <c r="P3963" t="s">
        <v>1024</v>
      </c>
      <c r="Q3963" t="s">
        <v>1025</v>
      </c>
      <c r="R3963" t="s">
        <v>1026</v>
      </c>
    </row>
    <row r="3964" spans="1:18" x14ac:dyDescent="0.25">
      <c r="A3964" t="s">
        <v>12236</v>
      </c>
      <c r="B3964" s="1" t="s">
        <v>5461</v>
      </c>
      <c r="C3964" s="1" t="str">
        <f>HYPERLINK("https://nematode.unl.edu/eustica10.jpg")</f>
        <v>https://nematode.unl.edu/eustica10.jpg</v>
      </c>
      <c r="D3964" t="s">
        <v>43</v>
      </c>
      <c r="G3964" t="s">
        <v>34</v>
      </c>
      <c r="H3964" t="s">
        <v>18</v>
      </c>
      <c r="I3964" t="s">
        <v>41</v>
      </c>
      <c r="J3964" t="s">
        <v>20</v>
      </c>
      <c r="L3964" t="s">
        <v>85</v>
      </c>
      <c r="M3964" t="s">
        <v>5460</v>
      </c>
      <c r="N3964" t="s">
        <v>5460</v>
      </c>
      <c r="O3964" t="s">
        <v>23</v>
      </c>
      <c r="P3964" t="s">
        <v>1024</v>
      </c>
      <c r="Q3964" t="s">
        <v>1025</v>
      </c>
      <c r="R3964" t="s">
        <v>1026</v>
      </c>
    </row>
    <row r="3965" spans="1:18" x14ac:dyDescent="0.25">
      <c r="A3965" t="s">
        <v>12243</v>
      </c>
      <c r="B3965" t="s">
        <v>5462</v>
      </c>
      <c r="C3965" t="str">
        <f>HYPERLINK("https://nematode.unl.edu/eustica11.jpg")</f>
        <v>https://nematode.unl.edu/eustica11.jpg</v>
      </c>
      <c r="D3965" t="s">
        <v>43</v>
      </c>
      <c r="G3965" t="s">
        <v>51</v>
      </c>
      <c r="J3965" t="s">
        <v>20</v>
      </c>
      <c r="M3965" t="s">
        <v>5460</v>
      </c>
      <c r="N3965" t="s">
        <v>5460</v>
      </c>
      <c r="O3965" t="s">
        <v>23</v>
      </c>
      <c r="P3965" t="s">
        <v>1024</v>
      </c>
      <c r="Q3965" t="s">
        <v>1025</v>
      </c>
      <c r="R3965" t="s">
        <v>1026</v>
      </c>
    </row>
    <row r="3966" spans="1:18" x14ac:dyDescent="0.25">
      <c r="A3966" t="s">
        <v>12240</v>
      </c>
      <c r="B3966" t="s">
        <v>5463</v>
      </c>
      <c r="C3966" t="str">
        <f>HYPERLINK("https://nematode.unl.edu/eustica12.jpg")</f>
        <v>https://nematode.unl.edu/eustica12.jpg</v>
      </c>
      <c r="D3966" t="s">
        <v>43</v>
      </c>
      <c r="G3966" t="s">
        <v>905</v>
      </c>
      <c r="I3966" t="s">
        <v>41</v>
      </c>
      <c r="M3966" t="s">
        <v>5460</v>
      </c>
      <c r="N3966" t="s">
        <v>5460</v>
      </c>
      <c r="O3966" t="s">
        <v>23</v>
      </c>
      <c r="P3966" t="s">
        <v>1024</v>
      </c>
      <c r="Q3966" t="s">
        <v>1025</v>
      </c>
      <c r="R3966" t="s">
        <v>1026</v>
      </c>
    </row>
    <row r="3967" spans="1:18" x14ac:dyDescent="0.25">
      <c r="A3967" t="s">
        <v>12237</v>
      </c>
      <c r="B3967" s="1" t="s">
        <v>5464</v>
      </c>
      <c r="C3967" s="1" t="str">
        <f>HYPERLINK("https://nematode.unl.edu/eustica2.jpg")</f>
        <v>https://nematode.unl.edu/eustica2.jpg</v>
      </c>
      <c r="D3967" t="s">
        <v>43</v>
      </c>
      <c r="G3967" t="s">
        <v>34</v>
      </c>
      <c r="H3967" t="s">
        <v>18</v>
      </c>
      <c r="I3967" t="s">
        <v>41</v>
      </c>
      <c r="J3967" t="s">
        <v>20</v>
      </c>
      <c r="L3967" t="s">
        <v>29</v>
      </c>
      <c r="M3967" t="s">
        <v>5460</v>
      </c>
      <c r="N3967" t="s">
        <v>5460</v>
      </c>
      <c r="O3967" t="s">
        <v>23</v>
      </c>
      <c r="P3967" t="s">
        <v>1024</v>
      </c>
      <c r="Q3967" t="s">
        <v>1025</v>
      </c>
      <c r="R3967" t="s">
        <v>1026</v>
      </c>
    </row>
    <row r="3968" spans="1:18" x14ac:dyDescent="0.25">
      <c r="A3968" t="s">
        <v>12244</v>
      </c>
      <c r="B3968" t="s">
        <v>5465</v>
      </c>
      <c r="C3968" t="str">
        <f>HYPERLINK("https://nematode.unl.edu/eustica3.jpg")</f>
        <v>https://nematode.unl.edu/eustica3.jpg</v>
      </c>
      <c r="D3968" t="s">
        <v>43</v>
      </c>
      <c r="G3968" t="s">
        <v>51</v>
      </c>
      <c r="I3968" t="s">
        <v>41</v>
      </c>
      <c r="J3968" t="s">
        <v>20</v>
      </c>
      <c r="M3968" t="s">
        <v>5460</v>
      </c>
      <c r="N3968" t="s">
        <v>5460</v>
      </c>
      <c r="O3968" t="s">
        <v>23</v>
      </c>
      <c r="P3968" t="s">
        <v>1024</v>
      </c>
      <c r="Q3968" t="s">
        <v>1025</v>
      </c>
      <c r="R3968" t="s">
        <v>1026</v>
      </c>
    </row>
    <row r="3969" spans="1:18" x14ac:dyDescent="0.25">
      <c r="A3969" t="s">
        <v>12241</v>
      </c>
      <c r="B3969" t="s">
        <v>5466</v>
      </c>
      <c r="C3969" t="str">
        <f>HYPERLINK("https://nematode.unl.edu/eustica4.jpg")</f>
        <v>https://nematode.unl.edu/eustica4.jpg</v>
      </c>
      <c r="D3969" t="s">
        <v>43</v>
      </c>
      <c r="G3969" t="s">
        <v>28</v>
      </c>
      <c r="I3969" t="s">
        <v>41</v>
      </c>
      <c r="M3969" t="s">
        <v>5460</v>
      </c>
      <c r="N3969" t="s">
        <v>5460</v>
      </c>
      <c r="O3969" t="s">
        <v>23</v>
      </c>
      <c r="P3969" t="s">
        <v>1024</v>
      </c>
      <c r="Q3969" t="s">
        <v>1025</v>
      </c>
      <c r="R3969" t="s">
        <v>1026</v>
      </c>
    </row>
    <row r="3970" spans="1:18" x14ac:dyDescent="0.25">
      <c r="A3970" t="s">
        <v>12238</v>
      </c>
      <c r="B3970" t="s">
        <v>5467</v>
      </c>
      <c r="C3970" t="str">
        <f>HYPERLINK("https://nematode.unl.edu/eustica5.jpg")</f>
        <v>https://nematode.unl.edu/eustica5.jpg</v>
      </c>
      <c r="D3970" t="s">
        <v>43</v>
      </c>
      <c r="G3970" t="s">
        <v>34</v>
      </c>
      <c r="H3970" t="s">
        <v>18</v>
      </c>
      <c r="I3970" t="s">
        <v>41</v>
      </c>
      <c r="J3970" t="s">
        <v>20</v>
      </c>
      <c r="M3970" t="s">
        <v>5460</v>
      </c>
      <c r="N3970" t="s">
        <v>5460</v>
      </c>
      <c r="O3970" t="s">
        <v>23</v>
      </c>
      <c r="P3970" t="s">
        <v>1024</v>
      </c>
      <c r="Q3970" t="s">
        <v>1025</v>
      </c>
      <c r="R3970" t="s">
        <v>1026</v>
      </c>
    </row>
    <row r="3971" spans="1:18" x14ac:dyDescent="0.25">
      <c r="A3971" t="s">
        <v>12239</v>
      </c>
      <c r="B3971" t="s">
        <v>5468</v>
      </c>
      <c r="C3971" t="str">
        <f>HYPERLINK("https://nematode.unl.edu/eustica6.jpg")</f>
        <v>https://nematode.unl.edu/eustica6.jpg</v>
      </c>
      <c r="D3971" t="s">
        <v>43</v>
      </c>
      <c r="G3971" t="s">
        <v>34</v>
      </c>
      <c r="H3971" t="s">
        <v>18</v>
      </c>
      <c r="J3971" t="s">
        <v>20</v>
      </c>
      <c r="M3971" t="s">
        <v>5460</v>
      </c>
      <c r="N3971" t="s">
        <v>5460</v>
      </c>
      <c r="O3971" t="s">
        <v>23</v>
      </c>
      <c r="P3971" t="s">
        <v>1024</v>
      </c>
      <c r="Q3971" t="s">
        <v>1025</v>
      </c>
      <c r="R3971" t="s">
        <v>1026</v>
      </c>
    </row>
    <row r="3972" spans="1:18" x14ac:dyDescent="0.25">
      <c r="A3972" t="s">
        <v>12245</v>
      </c>
      <c r="B3972" t="s">
        <v>5469</v>
      </c>
      <c r="C3972" t="str">
        <f>HYPERLINK("https://nematode.unl.edu/eustica7.jpg")</f>
        <v>https://nematode.unl.edu/eustica7.jpg</v>
      </c>
      <c r="D3972" t="s">
        <v>43</v>
      </c>
      <c r="G3972" t="s">
        <v>51</v>
      </c>
      <c r="I3972" t="s">
        <v>19</v>
      </c>
      <c r="M3972" t="s">
        <v>5460</v>
      </c>
      <c r="N3972" t="s">
        <v>5460</v>
      </c>
      <c r="O3972" t="s">
        <v>23</v>
      </c>
      <c r="P3972" t="s">
        <v>1024</v>
      </c>
      <c r="Q3972" t="s">
        <v>1025</v>
      </c>
      <c r="R3972" t="s">
        <v>1026</v>
      </c>
    </row>
    <row r="3973" spans="1:18" x14ac:dyDescent="0.25">
      <c r="A3973" t="s">
        <v>12242</v>
      </c>
      <c r="B3973" t="s">
        <v>5470</v>
      </c>
      <c r="C3973" t="str">
        <f>HYPERLINK("https://nematode.unl.edu/eustica8.jpg")</f>
        <v>https://nematode.unl.edu/eustica8.jpg</v>
      </c>
      <c r="D3973" t="s">
        <v>43</v>
      </c>
      <c r="G3973" t="s">
        <v>28</v>
      </c>
      <c r="L3973" t="s">
        <v>85</v>
      </c>
      <c r="M3973" t="s">
        <v>5460</v>
      </c>
      <c r="N3973" t="s">
        <v>5460</v>
      </c>
      <c r="O3973" t="s">
        <v>23</v>
      </c>
      <c r="P3973" t="s">
        <v>1024</v>
      </c>
      <c r="Q3973" t="s">
        <v>1025</v>
      </c>
      <c r="R3973" t="s">
        <v>1026</v>
      </c>
    </row>
    <row r="3974" spans="1:18" x14ac:dyDescent="0.25">
      <c r="A3974" t="s">
        <v>12235</v>
      </c>
      <c r="B3974" t="s">
        <v>5471</v>
      </c>
      <c r="C3974" t="str">
        <f>HYPERLINK("https://nematode.unl.edu/eustica9.jpg")</f>
        <v>https://nematode.unl.edu/eustica9.jpg</v>
      </c>
      <c r="D3974" t="s">
        <v>43</v>
      </c>
      <c r="G3974" t="s">
        <v>386</v>
      </c>
      <c r="H3974" t="s">
        <v>18</v>
      </c>
      <c r="I3974" t="s">
        <v>41</v>
      </c>
      <c r="J3974" t="s">
        <v>20</v>
      </c>
      <c r="L3974" t="s">
        <v>85</v>
      </c>
      <c r="M3974" t="s">
        <v>5460</v>
      </c>
      <c r="N3974" t="s">
        <v>5460</v>
      </c>
      <c r="O3974" t="s">
        <v>23</v>
      </c>
      <c r="P3974" t="s">
        <v>1024</v>
      </c>
      <c r="Q3974" t="s">
        <v>1025</v>
      </c>
      <c r="R3974" t="s">
        <v>1026</v>
      </c>
    </row>
    <row r="3975" spans="1:18" x14ac:dyDescent="0.25">
      <c r="A3975" t="s">
        <v>13474</v>
      </c>
      <c r="B3975" t="s">
        <v>4972</v>
      </c>
      <c r="C3975" t="str">
        <f>HYPERLINK("https://nematode.unl.edu/eustri1.jpg")</f>
        <v>https://nematode.unl.edu/eustri1.jpg</v>
      </c>
      <c r="D3975" t="s">
        <v>77</v>
      </c>
      <c r="G3975" t="s">
        <v>34</v>
      </c>
      <c r="H3975" t="s">
        <v>18</v>
      </c>
      <c r="I3975" t="s">
        <v>19</v>
      </c>
      <c r="J3975" t="s">
        <v>20</v>
      </c>
      <c r="L3975" t="s">
        <v>183</v>
      </c>
      <c r="M3975" t="s">
        <v>4963</v>
      </c>
      <c r="N3975" t="s">
        <v>4963</v>
      </c>
      <c r="O3975" t="s">
        <v>23</v>
      </c>
      <c r="P3975" t="s">
        <v>24</v>
      </c>
      <c r="Q3975" t="s">
        <v>25</v>
      </c>
      <c r="R3975" t="s">
        <v>4917</v>
      </c>
    </row>
    <row r="3976" spans="1:18" x14ac:dyDescent="0.25">
      <c r="A3976" t="s">
        <v>13475</v>
      </c>
      <c r="B3976" t="s">
        <v>4973</v>
      </c>
      <c r="C3976" t="str">
        <f>HYPERLINK("https://nematode.unl.edu/eustri10.jpg")</f>
        <v>https://nematode.unl.edu/eustri10.jpg</v>
      </c>
      <c r="D3976" t="s">
        <v>77</v>
      </c>
      <c r="G3976" t="s">
        <v>34</v>
      </c>
      <c r="H3976" t="s">
        <v>18</v>
      </c>
      <c r="I3976" t="s">
        <v>41</v>
      </c>
      <c r="J3976" t="s">
        <v>20</v>
      </c>
      <c r="L3976" t="s">
        <v>64</v>
      </c>
      <c r="M3976" t="s">
        <v>4963</v>
      </c>
      <c r="N3976" t="s">
        <v>4963</v>
      </c>
      <c r="O3976" t="s">
        <v>23</v>
      </c>
      <c r="P3976" t="s">
        <v>24</v>
      </c>
      <c r="Q3976" t="s">
        <v>25</v>
      </c>
      <c r="R3976" t="s">
        <v>4917</v>
      </c>
    </row>
    <row r="3977" spans="1:18" x14ac:dyDescent="0.25">
      <c r="A3977" t="s">
        <v>13494</v>
      </c>
      <c r="B3977" t="s">
        <v>4974</v>
      </c>
      <c r="C3977" t="str">
        <f>HYPERLINK("https://nematode.unl.edu/eustri11.jpg")</f>
        <v>https://nematode.unl.edu/eustri11.jpg</v>
      </c>
      <c r="D3977" t="s">
        <v>77</v>
      </c>
      <c r="G3977" t="s">
        <v>28</v>
      </c>
      <c r="J3977" t="s">
        <v>20</v>
      </c>
      <c r="L3977" t="s">
        <v>64</v>
      </c>
      <c r="M3977" t="s">
        <v>4963</v>
      </c>
      <c r="N3977" t="s">
        <v>4963</v>
      </c>
      <c r="O3977" t="s">
        <v>23</v>
      </c>
      <c r="P3977" t="s">
        <v>24</v>
      </c>
      <c r="Q3977" t="s">
        <v>25</v>
      </c>
      <c r="R3977" t="s">
        <v>4917</v>
      </c>
    </row>
    <row r="3978" spans="1:18" x14ac:dyDescent="0.25">
      <c r="A3978" t="s">
        <v>13476</v>
      </c>
      <c r="B3978" t="s">
        <v>4975</v>
      </c>
      <c r="C3978" t="str">
        <f>HYPERLINK("https://nematode.unl.edu/eustri12.jpg")</f>
        <v>https://nematode.unl.edu/eustri12.jpg</v>
      </c>
      <c r="D3978" t="s">
        <v>77</v>
      </c>
      <c r="G3978" t="s">
        <v>34</v>
      </c>
      <c r="H3978" t="s">
        <v>18</v>
      </c>
      <c r="I3978" t="s">
        <v>19</v>
      </c>
      <c r="J3978" t="s">
        <v>20</v>
      </c>
      <c r="L3978" t="s">
        <v>64</v>
      </c>
      <c r="M3978" t="s">
        <v>4963</v>
      </c>
      <c r="N3978" t="s">
        <v>4963</v>
      </c>
      <c r="O3978" t="s">
        <v>23</v>
      </c>
      <c r="P3978" t="s">
        <v>24</v>
      </c>
      <c r="Q3978" t="s">
        <v>25</v>
      </c>
      <c r="R3978" t="s">
        <v>4917</v>
      </c>
    </row>
    <row r="3979" spans="1:18" x14ac:dyDescent="0.25">
      <c r="A3979" t="s">
        <v>13477</v>
      </c>
      <c r="B3979" t="s">
        <v>4976</v>
      </c>
      <c r="C3979" t="str">
        <f>HYPERLINK("https://nematode.unl.edu/eustri13.jpg")</f>
        <v>https://nematode.unl.edu/eustri13.jpg</v>
      </c>
      <c r="D3979" t="s">
        <v>43</v>
      </c>
      <c r="G3979" t="s">
        <v>34</v>
      </c>
      <c r="H3979" t="s">
        <v>18</v>
      </c>
      <c r="I3979" t="s">
        <v>19</v>
      </c>
      <c r="J3979" t="s">
        <v>20</v>
      </c>
      <c r="M3979" t="s">
        <v>4963</v>
      </c>
      <c r="N3979" t="s">
        <v>4963</v>
      </c>
      <c r="O3979" t="s">
        <v>23</v>
      </c>
      <c r="P3979" t="s">
        <v>24</v>
      </c>
      <c r="Q3979" t="s">
        <v>25</v>
      </c>
      <c r="R3979" t="s">
        <v>4917</v>
      </c>
    </row>
    <row r="3980" spans="1:18" x14ac:dyDescent="0.25">
      <c r="A3980" t="s">
        <v>13504</v>
      </c>
      <c r="B3980" t="s">
        <v>4977</v>
      </c>
      <c r="C3980" t="str">
        <f>HYPERLINK("https://nematode.unl.edu/eustri14.jpg")</f>
        <v>https://nematode.unl.edu/eustri14.jpg</v>
      </c>
      <c r="D3980" t="s">
        <v>43</v>
      </c>
      <c r="G3980" t="s">
        <v>51</v>
      </c>
      <c r="I3980" t="s">
        <v>19</v>
      </c>
      <c r="J3980" t="s">
        <v>20</v>
      </c>
      <c r="M3980" t="s">
        <v>4963</v>
      </c>
      <c r="N3980" t="s">
        <v>4963</v>
      </c>
      <c r="O3980" t="s">
        <v>23</v>
      </c>
      <c r="P3980" t="s">
        <v>24</v>
      </c>
      <c r="Q3980" t="s">
        <v>25</v>
      </c>
      <c r="R3980" t="s">
        <v>4917</v>
      </c>
    </row>
    <row r="3981" spans="1:18" x14ac:dyDescent="0.25">
      <c r="A3981" t="s">
        <v>13495</v>
      </c>
      <c r="B3981" t="s">
        <v>4978</v>
      </c>
      <c r="C3981" t="str">
        <f>HYPERLINK("https://nematode.unl.edu/eustri15.jpg")</f>
        <v>https://nematode.unl.edu/eustri15.jpg</v>
      </c>
      <c r="D3981" t="s">
        <v>43</v>
      </c>
      <c r="G3981" t="s">
        <v>28</v>
      </c>
      <c r="I3981" t="s">
        <v>19</v>
      </c>
      <c r="J3981" t="s">
        <v>20</v>
      </c>
      <c r="M3981" t="s">
        <v>4963</v>
      </c>
      <c r="N3981" t="s">
        <v>4963</v>
      </c>
      <c r="O3981" t="s">
        <v>23</v>
      </c>
      <c r="P3981" t="s">
        <v>24</v>
      </c>
      <c r="Q3981" t="s">
        <v>25</v>
      </c>
      <c r="R3981" t="s">
        <v>4917</v>
      </c>
    </row>
    <row r="3982" spans="1:18" x14ac:dyDescent="0.25">
      <c r="A3982" t="s">
        <v>13478</v>
      </c>
      <c r="B3982" t="s">
        <v>4979</v>
      </c>
      <c r="C3982" t="str">
        <f>HYPERLINK("https://nematode.unl.edu/eustri16.jpg")</f>
        <v>https://nematode.unl.edu/eustri16.jpg</v>
      </c>
      <c r="D3982" t="s">
        <v>16</v>
      </c>
      <c r="G3982" t="s">
        <v>34</v>
      </c>
      <c r="H3982" t="s">
        <v>18</v>
      </c>
      <c r="J3982" t="s">
        <v>20</v>
      </c>
      <c r="L3982" t="s">
        <v>29</v>
      </c>
      <c r="M3982" t="s">
        <v>4963</v>
      </c>
      <c r="N3982" t="s">
        <v>4963</v>
      </c>
      <c r="O3982" t="s">
        <v>23</v>
      </c>
      <c r="P3982" t="s">
        <v>24</v>
      </c>
      <c r="Q3982" t="s">
        <v>25</v>
      </c>
      <c r="R3982" t="s">
        <v>4917</v>
      </c>
    </row>
    <row r="3983" spans="1:18" x14ac:dyDescent="0.25">
      <c r="A3983" t="s">
        <v>13496</v>
      </c>
      <c r="B3983" t="s">
        <v>4980</v>
      </c>
      <c r="C3983" t="str">
        <f>HYPERLINK("https://nematode.unl.edu/eustri17.jpg")</f>
        <v>https://nematode.unl.edu/eustri17.jpg</v>
      </c>
      <c r="D3983" t="s">
        <v>16</v>
      </c>
      <c r="G3983" t="s">
        <v>28</v>
      </c>
      <c r="I3983" t="s">
        <v>19</v>
      </c>
      <c r="J3983" t="s">
        <v>20</v>
      </c>
      <c r="L3983" t="s">
        <v>183</v>
      </c>
      <c r="M3983" t="s">
        <v>4963</v>
      </c>
      <c r="N3983" t="s">
        <v>4963</v>
      </c>
      <c r="O3983" t="s">
        <v>23</v>
      </c>
      <c r="P3983" t="s">
        <v>24</v>
      </c>
      <c r="Q3983" t="s">
        <v>25</v>
      </c>
      <c r="R3983" t="s">
        <v>4917</v>
      </c>
    </row>
    <row r="3984" spans="1:18" x14ac:dyDescent="0.25">
      <c r="A3984" t="s">
        <v>13485</v>
      </c>
      <c r="B3984" t="s">
        <v>4981</v>
      </c>
      <c r="C3984" t="str">
        <f>HYPERLINK("https://nematode.unl.edu/eustri18.jpg")</f>
        <v>https://nematode.unl.edu/eustri18.jpg</v>
      </c>
      <c r="D3984" t="s">
        <v>77</v>
      </c>
      <c r="G3984" t="s">
        <v>44</v>
      </c>
      <c r="I3984" t="s">
        <v>45</v>
      </c>
      <c r="J3984" t="s">
        <v>20</v>
      </c>
      <c r="L3984" t="s">
        <v>38</v>
      </c>
      <c r="M3984" t="s">
        <v>4963</v>
      </c>
      <c r="N3984" t="s">
        <v>4963</v>
      </c>
      <c r="O3984" t="s">
        <v>23</v>
      </c>
      <c r="P3984" t="s">
        <v>24</v>
      </c>
      <c r="Q3984" t="s">
        <v>25</v>
      </c>
      <c r="R3984" t="s">
        <v>4917</v>
      </c>
    </row>
    <row r="3985" spans="1:18" x14ac:dyDescent="0.25">
      <c r="A3985" t="s">
        <v>13479</v>
      </c>
      <c r="B3985" t="s">
        <v>4982</v>
      </c>
      <c r="C3985" t="str">
        <f>HYPERLINK("https://nematode.unl.edu/eustri19.jpg")</f>
        <v>https://nematode.unl.edu/eustri19.jpg</v>
      </c>
      <c r="D3985" t="s">
        <v>77</v>
      </c>
      <c r="G3985" t="s">
        <v>34</v>
      </c>
      <c r="H3985" t="s">
        <v>18</v>
      </c>
      <c r="I3985" t="s">
        <v>19</v>
      </c>
      <c r="J3985" t="s">
        <v>20</v>
      </c>
      <c r="L3985" t="s">
        <v>38</v>
      </c>
      <c r="M3985" t="s">
        <v>4963</v>
      </c>
      <c r="N3985" t="s">
        <v>4963</v>
      </c>
      <c r="O3985" t="s">
        <v>23</v>
      </c>
      <c r="P3985" t="s">
        <v>24</v>
      </c>
      <c r="Q3985" t="s">
        <v>25</v>
      </c>
      <c r="R3985" t="s">
        <v>4917</v>
      </c>
    </row>
    <row r="3986" spans="1:18" x14ac:dyDescent="0.25">
      <c r="A3986" t="s">
        <v>13469</v>
      </c>
      <c r="B3986" t="s">
        <v>4983</v>
      </c>
      <c r="C3986" t="str">
        <f>HYPERLINK("https://nematode.unl.edu/eustri2.jpg")</f>
        <v>https://nematode.unl.edu/eustri2.jpg</v>
      </c>
      <c r="D3986" t="s">
        <v>77</v>
      </c>
      <c r="G3986" t="s">
        <v>17</v>
      </c>
      <c r="H3986" t="s">
        <v>18</v>
      </c>
      <c r="I3986" t="s">
        <v>19</v>
      </c>
      <c r="J3986" t="s">
        <v>20</v>
      </c>
      <c r="M3986" t="s">
        <v>4963</v>
      </c>
      <c r="N3986" t="s">
        <v>4963</v>
      </c>
      <c r="O3986" t="s">
        <v>23</v>
      </c>
      <c r="P3986" t="s">
        <v>24</v>
      </c>
      <c r="Q3986" t="s">
        <v>25</v>
      </c>
      <c r="R3986" t="s">
        <v>4917</v>
      </c>
    </row>
    <row r="3987" spans="1:18" x14ac:dyDescent="0.25">
      <c r="A3987" t="s">
        <v>13487</v>
      </c>
      <c r="B3987" t="s">
        <v>4984</v>
      </c>
      <c r="C3987" t="str">
        <f>HYPERLINK("https://nematode.unl.edu/eustri20.jpg")</f>
        <v>https://nematode.unl.edu/eustri20.jpg</v>
      </c>
      <c r="D3987" t="s">
        <v>77</v>
      </c>
      <c r="G3987" t="s">
        <v>53</v>
      </c>
      <c r="I3987" t="s">
        <v>529</v>
      </c>
      <c r="J3987" t="s">
        <v>20</v>
      </c>
      <c r="L3987" t="s">
        <v>38</v>
      </c>
      <c r="M3987" t="s">
        <v>4963</v>
      </c>
      <c r="N3987" t="s">
        <v>4963</v>
      </c>
      <c r="O3987" t="s">
        <v>23</v>
      </c>
      <c r="P3987" t="s">
        <v>24</v>
      </c>
      <c r="Q3987" t="s">
        <v>25</v>
      </c>
      <c r="R3987" t="s">
        <v>4917</v>
      </c>
    </row>
    <row r="3988" spans="1:18" x14ac:dyDescent="0.25">
      <c r="A3988" t="s">
        <v>13480</v>
      </c>
      <c r="B3988" t="s">
        <v>4985</v>
      </c>
      <c r="C3988" t="str">
        <f>HYPERLINK("https://nematode.unl.edu/eustri21.jpg")</f>
        <v>https://nematode.unl.edu/eustri21.jpg</v>
      </c>
      <c r="D3988" t="s">
        <v>77</v>
      </c>
      <c r="G3988" t="s">
        <v>34</v>
      </c>
      <c r="H3988" t="s">
        <v>18</v>
      </c>
      <c r="I3988" t="s">
        <v>41</v>
      </c>
      <c r="J3988" t="s">
        <v>20</v>
      </c>
      <c r="L3988" t="s">
        <v>38</v>
      </c>
      <c r="M3988" t="s">
        <v>4963</v>
      </c>
      <c r="N3988" t="s">
        <v>4963</v>
      </c>
      <c r="O3988" t="s">
        <v>23</v>
      </c>
      <c r="P3988" t="s">
        <v>24</v>
      </c>
      <c r="Q3988" t="s">
        <v>25</v>
      </c>
      <c r="R3988" t="s">
        <v>4917</v>
      </c>
    </row>
    <row r="3989" spans="1:18" x14ac:dyDescent="0.25">
      <c r="A3989" t="s">
        <v>13481</v>
      </c>
      <c r="B3989" t="s">
        <v>4986</v>
      </c>
      <c r="C3989" t="str">
        <f>HYPERLINK("https://nematode.unl.edu/eustri22.jpg")</f>
        <v>https://nematode.unl.edu/eustri22.jpg</v>
      </c>
      <c r="D3989" t="s">
        <v>77</v>
      </c>
      <c r="G3989" t="s">
        <v>34</v>
      </c>
      <c r="H3989" t="s">
        <v>18</v>
      </c>
      <c r="I3989" t="s">
        <v>137</v>
      </c>
      <c r="J3989" t="s">
        <v>20</v>
      </c>
      <c r="L3989" t="s">
        <v>138</v>
      </c>
      <c r="M3989" t="s">
        <v>4963</v>
      </c>
      <c r="N3989" t="s">
        <v>4963</v>
      </c>
      <c r="O3989" t="s">
        <v>23</v>
      </c>
      <c r="P3989" t="s">
        <v>24</v>
      </c>
      <c r="Q3989" t="s">
        <v>25</v>
      </c>
      <c r="R3989" t="s">
        <v>4917</v>
      </c>
    </row>
    <row r="3990" spans="1:18" x14ac:dyDescent="0.25">
      <c r="A3990" t="s">
        <v>13497</v>
      </c>
      <c r="B3990" t="s">
        <v>4987</v>
      </c>
      <c r="C3990" t="str">
        <f>HYPERLINK("https://nematode.unl.edu/eustri23.jpg")</f>
        <v>https://nematode.unl.edu/eustri23.jpg</v>
      </c>
      <c r="D3990" t="s">
        <v>77</v>
      </c>
      <c r="G3990" t="s">
        <v>28</v>
      </c>
      <c r="I3990" t="s">
        <v>137</v>
      </c>
      <c r="L3990" t="s">
        <v>220</v>
      </c>
      <c r="M3990" t="s">
        <v>4963</v>
      </c>
      <c r="N3990" t="s">
        <v>4963</v>
      </c>
      <c r="O3990" t="s">
        <v>23</v>
      </c>
      <c r="P3990" t="s">
        <v>24</v>
      </c>
      <c r="Q3990" t="s">
        <v>25</v>
      </c>
      <c r="R3990" t="s">
        <v>4917</v>
      </c>
    </row>
    <row r="3991" spans="1:18" x14ac:dyDescent="0.25">
      <c r="A3991" t="s">
        <v>13482</v>
      </c>
      <c r="B3991" t="s">
        <v>4988</v>
      </c>
      <c r="C3991" t="str">
        <f>HYPERLINK("https://nematode.unl.edu/eustri24.jpg")</f>
        <v>https://nematode.unl.edu/eustri24.jpg</v>
      </c>
      <c r="D3991" t="s">
        <v>77</v>
      </c>
      <c r="G3991" t="s">
        <v>34</v>
      </c>
      <c r="H3991" t="s">
        <v>18</v>
      </c>
      <c r="M3991" t="s">
        <v>4963</v>
      </c>
      <c r="N3991" t="s">
        <v>4963</v>
      </c>
      <c r="O3991" t="s">
        <v>23</v>
      </c>
      <c r="P3991" t="s">
        <v>24</v>
      </c>
      <c r="Q3991" t="s">
        <v>25</v>
      </c>
      <c r="R3991" t="s">
        <v>4917</v>
      </c>
    </row>
    <row r="3992" spans="1:18" x14ac:dyDescent="0.25">
      <c r="A3992" t="s">
        <v>13483</v>
      </c>
      <c r="B3992" t="s">
        <v>4989</v>
      </c>
      <c r="C3992" t="str">
        <f>HYPERLINK("https://nematode.unl.edu/eustri25.jpg")</f>
        <v>https://nematode.unl.edu/eustri25.jpg</v>
      </c>
      <c r="D3992" t="s">
        <v>77</v>
      </c>
      <c r="G3992" t="s">
        <v>34</v>
      </c>
      <c r="H3992" t="s">
        <v>18</v>
      </c>
      <c r="M3992" t="s">
        <v>4963</v>
      </c>
      <c r="N3992" t="s">
        <v>4963</v>
      </c>
      <c r="O3992" t="s">
        <v>23</v>
      </c>
      <c r="P3992" t="s">
        <v>24</v>
      </c>
      <c r="Q3992" t="s">
        <v>25</v>
      </c>
      <c r="R3992" t="s">
        <v>4917</v>
      </c>
    </row>
    <row r="3993" spans="1:18" x14ac:dyDescent="0.25">
      <c r="A3993" t="s">
        <v>13498</v>
      </c>
      <c r="B3993" t="s">
        <v>4990</v>
      </c>
      <c r="C3993" t="str">
        <f>HYPERLINK("https://nematode.unl.edu/eustri26.jpg")</f>
        <v>https://nematode.unl.edu/eustri26.jpg</v>
      </c>
      <c r="D3993" t="s">
        <v>77</v>
      </c>
      <c r="G3993" t="s">
        <v>28</v>
      </c>
      <c r="I3993" t="s">
        <v>19</v>
      </c>
      <c r="J3993" t="s">
        <v>20</v>
      </c>
      <c r="M3993" t="s">
        <v>4963</v>
      </c>
      <c r="N3993" t="s">
        <v>4963</v>
      </c>
      <c r="O3993" t="s">
        <v>23</v>
      </c>
      <c r="P3993" t="s">
        <v>24</v>
      </c>
      <c r="Q3993" t="s">
        <v>25</v>
      </c>
      <c r="R3993" t="s">
        <v>4917</v>
      </c>
    </row>
    <row r="3994" spans="1:18" x14ac:dyDescent="0.25">
      <c r="A3994" t="s">
        <v>13499</v>
      </c>
      <c r="B3994" t="s">
        <v>4991</v>
      </c>
      <c r="C3994" t="str">
        <f>HYPERLINK("https://nematode.unl.edu/eustri27.jpg")</f>
        <v>https://nematode.unl.edu/eustri27.jpg</v>
      </c>
      <c r="D3994" t="s">
        <v>77</v>
      </c>
      <c r="G3994" t="s">
        <v>28</v>
      </c>
      <c r="M3994" t="s">
        <v>4963</v>
      </c>
      <c r="N3994" t="s">
        <v>4963</v>
      </c>
      <c r="O3994" t="s">
        <v>23</v>
      </c>
      <c r="P3994" t="s">
        <v>24</v>
      </c>
      <c r="Q3994" t="s">
        <v>25</v>
      </c>
      <c r="R3994" t="s">
        <v>4917</v>
      </c>
    </row>
    <row r="3995" spans="1:18" x14ac:dyDescent="0.25">
      <c r="A3995" t="s">
        <v>13500</v>
      </c>
      <c r="B3995" t="s">
        <v>4992</v>
      </c>
      <c r="C3995" t="str">
        <f>HYPERLINK("https://nematode.unl.edu/eustri3.jpg")</f>
        <v>https://nematode.unl.edu/eustri3.jpg</v>
      </c>
      <c r="D3995" t="s">
        <v>77</v>
      </c>
      <c r="G3995" t="s">
        <v>28</v>
      </c>
      <c r="J3995" t="s">
        <v>20</v>
      </c>
      <c r="M3995" t="s">
        <v>4963</v>
      </c>
      <c r="N3995" t="s">
        <v>4963</v>
      </c>
      <c r="O3995" t="s">
        <v>23</v>
      </c>
      <c r="P3995" t="s">
        <v>24</v>
      </c>
      <c r="Q3995" t="s">
        <v>25</v>
      </c>
      <c r="R3995" t="s">
        <v>4917</v>
      </c>
    </row>
    <row r="3996" spans="1:18" x14ac:dyDescent="0.25">
      <c r="A3996" t="s">
        <v>13484</v>
      </c>
      <c r="B3996" t="s">
        <v>4993</v>
      </c>
      <c r="C3996" t="str">
        <f>HYPERLINK("https://nematode.unl.edu/eustri4.jpg")</f>
        <v>https://nematode.unl.edu/eustri4.jpg</v>
      </c>
      <c r="D3996" t="s">
        <v>77</v>
      </c>
      <c r="G3996" t="s">
        <v>34</v>
      </c>
      <c r="H3996" t="s">
        <v>18</v>
      </c>
      <c r="I3996" t="s">
        <v>41</v>
      </c>
      <c r="J3996" t="s">
        <v>20</v>
      </c>
      <c r="M3996" t="s">
        <v>4963</v>
      </c>
      <c r="N3996" t="s">
        <v>4963</v>
      </c>
      <c r="O3996" t="s">
        <v>23</v>
      </c>
      <c r="P3996" t="s">
        <v>24</v>
      </c>
      <c r="Q3996" t="s">
        <v>25</v>
      </c>
      <c r="R3996" t="s">
        <v>4917</v>
      </c>
    </row>
    <row r="3997" spans="1:18" x14ac:dyDescent="0.25">
      <c r="A3997" t="s">
        <v>13490</v>
      </c>
      <c r="B3997" t="s">
        <v>4994</v>
      </c>
      <c r="C3997" t="str">
        <f>HYPERLINK("https://nematode.unl.edu/eustri5.jpg")</f>
        <v>https://nematode.unl.edu/eustri5.jpg</v>
      </c>
      <c r="D3997" t="s">
        <v>77</v>
      </c>
      <c r="G3997" t="s">
        <v>112</v>
      </c>
      <c r="I3997" t="s">
        <v>41</v>
      </c>
      <c r="J3997" t="s">
        <v>20</v>
      </c>
      <c r="M3997" t="s">
        <v>4963</v>
      </c>
      <c r="N3997" t="s">
        <v>4963</v>
      </c>
      <c r="O3997" t="s">
        <v>23</v>
      </c>
      <c r="P3997" t="s">
        <v>24</v>
      </c>
      <c r="Q3997" t="s">
        <v>25</v>
      </c>
      <c r="R3997" t="s">
        <v>4917</v>
      </c>
    </row>
    <row r="3998" spans="1:18" x14ac:dyDescent="0.25">
      <c r="A3998" t="s">
        <v>13501</v>
      </c>
      <c r="B3998" t="s">
        <v>4995</v>
      </c>
      <c r="C3998" t="str">
        <f>HYPERLINK("https://nematode.unl.edu/eustri6.jpg")</f>
        <v>https://nematode.unl.edu/eustri6.jpg</v>
      </c>
      <c r="D3998" t="s">
        <v>77</v>
      </c>
      <c r="G3998" t="s">
        <v>28</v>
      </c>
      <c r="I3998" t="s">
        <v>41</v>
      </c>
      <c r="J3998" t="s">
        <v>20</v>
      </c>
      <c r="L3998" t="s">
        <v>29</v>
      </c>
      <c r="M3998" t="s">
        <v>4963</v>
      </c>
      <c r="N3998" t="s">
        <v>4963</v>
      </c>
      <c r="O3998" t="s">
        <v>23</v>
      </c>
      <c r="P3998" t="s">
        <v>24</v>
      </c>
      <c r="Q3998" t="s">
        <v>25</v>
      </c>
      <c r="R3998" t="s">
        <v>4917</v>
      </c>
    </row>
    <row r="3999" spans="1:18" x14ac:dyDescent="0.25">
      <c r="A3999" t="s">
        <v>13502</v>
      </c>
      <c r="B3999" t="s">
        <v>4996</v>
      </c>
      <c r="C3999" t="str">
        <f>HYPERLINK("https://nematode.unl.edu/eustri7.jpg")</f>
        <v>https://nematode.unl.edu/eustri7.jpg</v>
      </c>
      <c r="D3999" t="s">
        <v>77</v>
      </c>
      <c r="G3999" t="s">
        <v>28</v>
      </c>
      <c r="I3999" t="s">
        <v>41</v>
      </c>
      <c r="J3999" t="s">
        <v>20</v>
      </c>
      <c r="L3999" t="s">
        <v>64</v>
      </c>
      <c r="M3999" t="s">
        <v>4963</v>
      </c>
      <c r="N3999" t="s">
        <v>4963</v>
      </c>
      <c r="O3999" t="s">
        <v>23</v>
      </c>
      <c r="P3999" t="s">
        <v>24</v>
      </c>
      <c r="Q3999" t="s">
        <v>25</v>
      </c>
      <c r="R3999" t="s">
        <v>4917</v>
      </c>
    </row>
    <row r="4000" spans="1:18" x14ac:dyDescent="0.25">
      <c r="A4000" t="s">
        <v>13488</v>
      </c>
      <c r="B4000" t="s">
        <v>4997</v>
      </c>
      <c r="C4000" t="str">
        <f>HYPERLINK("https://nematode.unl.edu/eustri8.jpg")</f>
        <v>https://nematode.unl.edu/eustri8.jpg</v>
      </c>
      <c r="D4000" t="s">
        <v>77</v>
      </c>
      <c r="G4000" t="s">
        <v>53</v>
      </c>
      <c r="I4000" t="s">
        <v>41</v>
      </c>
      <c r="J4000" t="s">
        <v>20</v>
      </c>
      <c r="L4000" t="s">
        <v>64</v>
      </c>
      <c r="M4000" t="s">
        <v>4963</v>
      </c>
      <c r="N4000" t="s">
        <v>4963</v>
      </c>
      <c r="O4000" t="s">
        <v>23</v>
      </c>
      <c r="P4000" t="s">
        <v>24</v>
      </c>
      <c r="Q4000" t="s">
        <v>25</v>
      </c>
      <c r="R4000" t="s">
        <v>4917</v>
      </c>
    </row>
    <row r="4001" spans="1:18" x14ac:dyDescent="0.25">
      <c r="A4001" t="s">
        <v>13503</v>
      </c>
      <c r="B4001" t="s">
        <v>4998</v>
      </c>
      <c r="C4001" t="str">
        <f>HYPERLINK("https://nematode.unl.edu/eustri9.jpg")</f>
        <v>https://nematode.unl.edu/eustri9.jpg</v>
      </c>
      <c r="D4001" t="s">
        <v>77</v>
      </c>
      <c r="G4001" t="s">
        <v>28</v>
      </c>
      <c r="I4001" t="s">
        <v>41</v>
      </c>
      <c r="J4001" t="s">
        <v>20</v>
      </c>
      <c r="L4001" t="s">
        <v>64</v>
      </c>
      <c r="M4001" t="s">
        <v>4963</v>
      </c>
      <c r="N4001" t="s">
        <v>4963</v>
      </c>
      <c r="O4001" t="s">
        <v>23</v>
      </c>
      <c r="P4001" t="s">
        <v>24</v>
      </c>
      <c r="Q4001" t="s">
        <v>25</v>
      </c>
      <c r="R4001" t="s">
        <v>4917</v>
      </c>
    </row>
    <row r="4002" spans="1:18" x14ac:dyDescent="0.25">
      <c r="A4002" t="s">
        <v>21479</v>
      </c>
      <c r="B4002" t="s">
        <v>5408</v>
      </c>
      <c r="C4002" t="str">
        <f>HYPERLINK("https://nematode.unl.edu/eusub1.jpg")</f>
        <v>https://nematode.unl.edu/eusub1.jpg</v>
      </c>
      <c r="D4002" t="s">
        <v>43</v>
      </c>
      <c r="G4002" t="s">
        <v>96</v>
      </c>
      <c r="H4002" t="s">
        <v>18</v>
      </c>
      <c r="I4002" t="s">
        <v>19</v>
      </c>
      <c r="J4002" t="s">
        <v>46</v>
      </c>
      <c r="L4002" t="s">
        <v>105</v>
      </c>
      <c r="M4002" t="s">
        <v>5378</v>
      </c>
      <c r="N4002" t="s">
        <v>5378</v>
      </c>
      <c r="O4002" t="s">
        <v>73</v>
      </c>
      <c r="P4002" t="s">
        <v>81</v>
      </c>
      <c r="Q4002" t="s">
        <v>82</v>
      </c>
      <c r="R4002" t="s">
        <v>1016</v>
      </c>
    </row>
    <row r="4003" spans="1:18" x14ac:dyDescent="0.25">
      <c r="A4003" t="s">
        <v>21505</v>
      </c>
      <c r="B4003" t="s">
        <v>5409</v>
      </c>
      <c r="C4003" t="str">
        <f>HYPERLINK("https://nematode.unl.edu/eusubis1.jpg")</f>
        <v>https://nematode.unl.edu/eusubis1.jpg</v>
      </c>
      <c r="D4003" t="s">
        <v>43</v>
      </c>
      <c r="G4003" t="s">
        <v>44</v>
      </c>
      <c r="I4003" t="s">
        <v>91</v>
      </c>
      <c r="J4003" t="s">
        <v>20</v>
      </c>
      <c r="L4003" t="s">
        <v>64</v>
      </c>
      <c r="M4003" t="s">
        <v>5378</v>
      </c>
      <c r="N4003" t="s">
        <v>5378</v>
      </c>
      <c r="O4003" t="s">
        <v>73</v>
      </c>
      <c r="P4003" t="s">
        <v>81</v>
      </c>
      <c r="Q4003" t="s">
        <v>82</v>
      </c>
      <c r="R4003" t="s">
        <v>1016</v>
      </c>
    </row>
    <row r="4004" spans="1:18" x14ac:dyDescent="0.25">
      <c r="A4004" t="s">
        <v>21500</v>
      </c>
      <c r="B4004" t="s">
        <v>5410</v>
      </c>
      <c r="C4004" t="str">
        <f>HYPERLINK("https://nematode.unl.edu/eusubis10.jpg")</f>
        <v>https://nematode.unl.edu/eusubis10.jpg</v>
      </c>
      <c r="D4004" t="s">
        <v>43</v>
      </c>
      <c r="G4004" t="s">
        <v>87</v>
      </c>
      <c r="L4004" t="s">
        <v>141</v>
      </c>
      <c r="M4004" t="s">
        <v>5378</v>
      </c>
      <c r="N4004" t="s">
        <v>5378</v>
      </c>
      <c r="O4004" t="s">
        <v>73</v>
      </c>
      <c r="P4004" t="s">
        <v>81</v>
      </c>
      <c r="Q4004" t="s">
        <v>82</v>
      </c>
      <c r="R4004" t="s">
        <v>1016</v>
      </c>
    </row>
    <row r="4005" spans="1:18" x14ac:dyDescent="0.25">
      <c r="A4005" t="s">
        <v>21489</v>
      </c>
      <c r="B4005" t="s">
        <v>5411</v>
      </c>
      <c r="C4005" t="str">
        <f>HYPERLINK("https://nematode.unl.edu/eusubis11.jpg")</f>
        <v>https://nematode.unl.edu/eusubis11.jpg</v>
      </c>
      <c r="D4005" t="s">
        <v>43</v>
      </c>
      <c r="G4005" t="s">
        <v>34</v>
      </c>
      <c r="H4005" t="s">
        <v>18</v>
      </c>
      <c r="L4005" t="s">
        <v>141</v>
      </c>
      <c r="M4005" t="s">
        <v>5378</v>
      </c>
      <c r="N4005" t="s">
        <v>5378</v>
      </c>
      <c r="O4005" t="s">
        <v>73</v>
      </c>
      <c r="P4005" t="s">
        <v>81</v>
      </c>
      <c r="Q4005" t="s">
        <v>82</v>
      </c>
      <c r="R4005" t="s">
        <v>1016</v>
      </c>
    </row>
    <row r="4006" spans="1:18" x14ac:dyDescent="0.25">
      <c r="A4006" t="s">
        <v>21522</v>
      </c>
      <c r="B4006" t="s">
        <v>5412</v>
      </c>
      <c r="C4006" t="str">
        <f>HYPERLINK("https://nematode.unl.edu/eusubis12.jpg")</f>
        <v>https://nematode.unl.edu/eusubis12.jpg</v>
      </c>
      <c r="D4006" t="s">
        <v>43</v>
      </c>
      <c r="G4006" t="s">
        <v>28</v>
      </c>
      <c r="I4006" t="s">
        <v>19</v>
      </c>
      <c r="J4006" t="s">
        <v>20</v>
      </c>
      <c r="L4006" t="s">
        <v>173</v>
      </c>
      <c r="M4006" t="s">
        <v>5378</v>
      </c>
      <c r="N4006" t="s">
        <v>5378</v>
      </c>
      <c r="O4006" t="s">
        <v>73</v>
      </c>
      <c r="P4006" t="s">
        <v>81</v>
      </c>
      <c r="Q4006" t="s">
        <v>82</v>
      </c>
      <c r="R4006" t="s">
        <v>1016</v>
      </c>
    </row>
    <row r="4007" spans="1:18" x14ac:dyDescent="0.25">
      <c r="A4007" t="s">
        <v>21537</v>
      </c>
      <c r="B4007" t="s">
        <v>5413</v>
      </c>
      <c r="C4007" t="str">
        <f>HYPERLINK("https://nematode.unl.edu/eusubis13.jpg")</f>
        <v>https://nematode.unl.edu/eusubis13.jpg</v>
      </c>
      <c r="D4007" t="s">
        <v>43</v>
      </c>
      <c r="G4007" t="s">
        <v>51</v>
      </c>
      <c r="I4007" t="s">
        <v>19</v>
      </c>
      <c r="M4007" t="s">
        <v>5378</v>
      </c>
      <c r="N4007" t="s">
        <v>5378</v>
      </c>
      <c r="O4007" t="s">
        <v>73</v>
      </c>
      <c r="P4007" t="s">
        <v>81</v>
      </c>
      <c r="Q4007" t="s">
        <v>82</v>
      </c>
      <c r="R4007" t="s">
        <v>1016</v>
      </c>
    </row>
    <row r="4008" spans="1:18" x14ac:dyDescent="0.25">
      <c r="A4008" t="s">
        <v>21490</v>
      </c>
      <c r="B4008" t="s">
        <v>5414</v>
      </c>
      <c r="C4008" t="str">
        <f>HYPERLINK("https://nematode.unl.edu/eusubis14.jpg")</f>
        <v>https://nematode.unl.edu/eusubis14.jpg</v>
      </c>
      <c r="D4008" t="s">
        <v>43</v>
      </c>
      <c r="G4008" t="s">
        <v>34</v>
      </c>
      <c r="H4008" t="s">
        <v>18</v>
      </c>
      <c r="J4008" t="s">
        <v>20</v>
      </c>
      <c r="L4008" t="s">
        <v>141</v>
      </c>
      <c r="M4008" t="s">
        <v>5378</v>
      </c>
      <c r="N4008" t="s">
        <v>5378</v>
      </c>
      <c r="O4008" t="s">
        <v>73</v>
      </c>
      <c r="P4008" t="s">
        <v>81</v>
      </c>
      <c r="Q4008" t="s">
        <v>82</v>
      </c>
      <c r="R4008" t="s">
        <v>1016</v>
      </c>
    </row>
    <row r="4009" spans="1:18" x14ac:dyDescent="0.25">
      <c r="A4009" t="s">
        <v>21491</v>
      </c>
      <c r="B4009" t="s">
        <v>5415</v>
      </c>
      <c r="C4009" t="str">
        <f>HYPERLINK("https://nematode.unl.edu/eusubis15.jpg")</f>
        <v>https://nematode.unl.edu/eusubis15.jpg</v>
      </c>
      <c r="D4009" t="s">
        <v>43</v>
      </c>
      <c r="G4009" t="s">
        <v>34</v>
      </c>
      <c r="H4009" t="s">
        <v>18</v>
      </c>
      <c r="J4009" t="s">
        <v>20</v>
      </c>
      <c r="L4009" t="s">
        <v>141</v>
      </c>
      <c r="M4009" t="s">
        <v>5378</v>
      </c>
      <c r="N4009" t="s">
        <v>5378</v>
      </c>
      <c r="O4009" t="s">
        <v>73</v>
      </c>
      <c r="P4009" t="s">
        <v>81</v>
      </c>
      <c r="Q4009" t="s">
        <v>82</v>
      </c>
      <c r="R4009" t="s">
        <v>1016</v>
      </c>
    </row>
    <row r="4010" spans="1:18" x14ac:dyDescent="0.25">
      <c r="A4010" t="s">
        <v>21492</v>
      </c>
      <c r="B4010" t="s">
        <v>5416</v>
      </c>
      <c r="C4010" t="str">
        <f>HYPERLINK("https://nematode.unl.edu/eusubis16.jpg")</f>
        <v>https://nematode.unl.edu/eusubis16.jpg</v>
      </c>
      <c r="D4010" t="s">
        <v>43</v>
      </c>
      <c r="G4010" t="s">
        <v>34</v>
      </c>
      <c r="H4010" t="s">
        <v>18</v>
      </c>
      <c r="J4010" t="s">
        <v>20</v>
      </c>
      <c r="M4010" t="s">
        <v>5378</v>
      </c>
      <c r="N4010" t="s">
        <v>5378</v>
      </c>
      <c r="O4010" t="s">
        <v>73</v>
      </c>
      <c r="P4010" t="s">
        <v>81</v>
      </c>
      <c r="Q4010" t="s">
        <v>82</v>
      </c>
      <c r="R4010" t="s">
        <v>1016</v>
      </c>
    </row>
    <row r="4011" spans="1:18" x14ac:dyDescent="0.25">
      <c r="A4011" t="s">
        <v>21501</v>
      </c>
      <c r="B4011" t="s">
        <v>5417</v>
      </c>
      <c r="C4011" t="str">
        <f>HYPERLINK("https://nematode.unl.edu/eusubis17.jpg")</f>
        <v>https://nematode.unl.edu/eusubis17.jpg</v>
      </c>
      <c r="D4011" t="s">
        <v>43</v>
      </c>
      <c r="G4011" t="s">
        <v>87</v>
      </c>
      <c r="J4011" t="s">
        <v>20</v>
      </c>
      <c r="L4011" t="s">
        <v>352</v>
      </c>
      <c r="M4011" t="s">
        <v>5378</v>
      </c>
      <c r="N4011" t="s">
        <v>5378</v>
      </c>
      <c r="O4011" t="s">
        <v>73</v>
      </c>
      <c r="P4011" t="s">
        <v>81</v>
      </c>
      <c r="Q4011" t="s">
        <v>82</v>
      </c>
      <c r="R4011" t="s">
        <v>1016</v>
      </c>
    </row>
    <row r="4012" spans="1:18" x14ac:dyDescent="0.25">
      <c r="A4012" t="s">
        <v>21510</v>
      </c>
      <c r="B4012" t="s">
        <v>5418</v>
      </c>
      <c r="C4012" t="str">
        <f>HYPERLINK("https://nematode.unl.edu/eusubis18.jpg")</f>
        <v>https://nematode.unl.edu/eusubis18.jpg</v>
      </c>
      <c r="D4012" t="s">
        <v>43</v>
      </c>
      <c r="G4012" t="s">
        <v>243</v>
      </c>
      <c r="M4012" t="s">
        <v>5378</v>
      </c>
      <c r="N4012" t="s">
        <v>5378</v>
      </c>
      <c r="O4012" t="s">
        <v>73</v>
      </c>
      <c r="P4012" t="s">
        <v>81</v>
      </c>
      <c r="Q4012" t="s">
        <v>82</v>
      </c>
      <c r="R4012" t="s">
        <v>1016</v>
      </c>
    </row>
    <row r="4013" spans="1:18" x14ac:dyDescent="0.25">
      <c r="A4013" t="s">
        <v>21523</v>
      </c>
      <c r="B4013" t="s">
        <v>5419</v>
      </c>
      <c r="C4013" t="str">
        <f>HYPERLINK("https://nematode.unl.edu/eusubis19.jpg")</f>
        <v>https://nematode.unl.edu/eusubis19.jpg</v>
      </c>
      <c r="D4013" t="s">
        <v>43</v>
      </c>
      <c r="G4013" t="s">
        <v>28</v>
      </c>
      <c r="J4013" t="s">
        <v>20</v>
      </c>
      <c r="L4013" t="s">
        <v>193</v>
      </c>
      <c r="M4013" t="s">
        <v>5378</v>
      </c>
      <c r="N4013" t="s">
        <v>5378</v>
      </c>
      <c r="O4013" t="s">
        <v>73</v>
      </c>
      <c r="P4013" t="s">
        <v>81</v>
      </c>
      <c r="Q4013" t="s">
        <v>82</v>
      </c>
      <c r="R4013" t="s">
        <v>1016</v>
      </c>
    </row>
    <row r="4014" spans="1:18" x14ac:dyDescent="0.25">
      <c r="A4014" t="s">
        <v>21480</v>
      </c>
      <c r="B4014" t="s">
        <v>5420</v>
      </c>
      <c r="C4014" t="str">
        <f>HYPERLINK("https://nematode.unl.edu/eusubis2.jpg")</f>
        <v>https://nematode.unl.edu/eusubis2.jpg</v>
      </c>
      <c r="D4014" t="s">
        <v>43</v>
      </c>
      <c r="G4014" t="s">
        <v>96</v>
      </c>
      <c r="H4014" t="s">
        <v>18</v>
      </c>
      <c r="I4014" t="s">
        <v>45</v>
      </c>
      <c r="J4014" t="s">
        <v>20</v>
      </c>
      <c r="L4014" t="s">
        <v>64</v>
      </c>
      <c r="M4014" t="s">
        <v>5378</v>
      </c>
      <c r="N4014" t="s">
        <v>5378</v>
      </c>
      <c r="O4014" t="s">
        <v>73</v>
      </c>
      <c r="P4014" t="s">
        <v>81</v>
      </c>
      <c r="Q4014" t="s">
        <v>82</v>
      </c>
      <c r="R4014" t="s">
        <v>1016</v>
      </c>
    </row>
    <row r="4015" spans="1:18" x14ac:dyDescent="0.25">
      <c r="A4015" t="s">
        <v>21506</v>
      </c>
      <c r="B4015" t="s">
        <v>5421</v>
      </c>
      <c r="C4015" t="str">
        <f>HYPERLINK("https://nematode.unl.edu/eusubis20.jpg")</f>
        <v>https://nematode.unl.edu/eusubis20.jpg</v>
      </c>
      <c r="D4015" t="s">
        <v>43</v>
      </c>
      <c r="G4015" t="s">
        <v>44</v>
      </c>
      <c r="I4015" t="s">
        <v>1008</v>
      </c>
      <c r="J4015" t="s">
        <v>20</v>
      </c>
      <c r="L4015" t="s">
        <v>141</v>
      </c>
      <c r="M4015" t="s">
        <v>5378</v>
      </c>
      <c r="N4015" t="s">
        <v>5378</v>
      </c>
      <c r="O4015" t="s">
        <v>73</v>
      </c>
      <c r="P4015" t="s">
        <v>81</v>
      </c>
      <c r="Q4015" t="s">
        <v>82</v>
      </c>
      <c r="R4015" t="s">
        <v>1016</v>
      </c>
    </row>
    <row r="4016" spans="1:18" x14ac:dyDescent="0.25">
      <c r="A4016" t="s">
        <v>21493</v>
      </c>
      <c r="B4016" t="s">
        <v>5422</v>
      </c>
      <c r="C4016" t="str">
        <f>HYPERLINK("https://nematode.unl.edu/eusubis21.jpg")</f>
        <v>https://nematode.unl.edu/eusubis21.jpg</v>
      </c>
      <c r="D4016" t="s">
        <v>43</v>
      </c>
      <c r="G4016" t="s">
        <v>34</v>
      </c>
      <c r="H4016" t="s">
        <v>18</v>
      </c>
      <c r="J4016" t="s">
        <v>20</v>
      </c>
      <c r="L4016" t="s">
        <v>141</v>
      </c>
      <c r="M4016" t="s">
        <v>5378</v>
      </c>
      <c r="N4016" t="s">
        <v>5378</v>
      </c>
      <c r="O4016" t="s">
        <v>73</v>
      </c>
      <c r="P4016" t="s">
        <v>81</v>
      </c>
      <c r="Q4016" t="s">
        <v>82</v>
      </c>
      <c r="R4016" t="s">
        <v>1016</v>
      </c>
    </row>
    <row r="4017" spans="1:18" x14ac:dyDescent="0.25">
      <c r="A4017" t="s">
        <v>21511</v>
      </c>
      <c r="B4017" t="s">
        <v>5423</v>
      </c>
      <c r="C4017" t="str">
        <f>HYPERLINK("https://nematode.unl.edu/eusubis22.jpg")</f>
        <v>https://nematode.unl.edu/eusubis22.jpg</v>
      </c>
      <c r="D4017" t="s">
        <v>43</v>
      </c>
      <c r="G4017" t="s">
        <v>243</v>
      </c>
      <c r="J4017" t="s">
        <v>20</v>
      </c>
      <c r="M4017" t="s">
        <v>5378</v>
      </c>
      <c r="N4017" t="s">
        <v>5378</v>
      </c>
      <c r="O4017" t="s">
        <v>73</v>
      </c>
      <c r="P4017" t="s">
        <v>81</v>
      </c>
      <c r="Q4017" t="s">
        <v>82</v>
      </c>
      <c r="R4017" t="s">
        <v>1016</v>
      </c>
    </row>
    <row r="4018" spans="1:18" x14ac:dyDescent="0.25">
      <c r="A4018" t="s">
        <v>21538</v>
      </c>
      <c r="B4018" t="s">
        <v>5424</v>
      </c>
      <c r="C4018" t="str">
        <f>HYPERLINK("https://nematode.unl.edu/eusubis23.jpg")</f>
        <v>https://nematode.unl.edu/eusubis23.jpg</v>
      </c>
      <c r="D4018" t="s">
        <v>43</v>
      </c>
      <c r="G4018" t="s">
        <v>51</v>
      </c>
      <c r="I4018" t="s">
        <v>19</v>
      </c>
      <c r="J4018" t="s">
        <v>20</v>
      </c>
      <c r="M4018" t="s">
        <v>5378</v>
      </c>
      <c r="N4018" t="s">
        <v>5378</v>
      </c>
      <c r="O4018" t="s">
        <v>73</v>
      </c>
      <c r="P4018" t="s">
        <v>81</v>
      </c>
      <c r="Q4018" t="s">
        <v>82</v>
      </c>
      <c r="R4018" t="s">
        <v>1016</v>
      </c>
    </row>
    <row r="4019" spans="1:18" x14ac:dyDescent="0.25">
      <c r="A4019" t="s">
        <v>21524</v>
      </c>
      <c r="B4019" t="s">
        <v>5425</v>
      </c>
      <c r="C4019" t="str">
        <f>HYPERLINK("https://nematode.unl.edu/eusubis24.jpg")</f>
        <v>https://nematode.unl.edu/eusubis24.jpg</v>
      </c>
      <c r="D4019" t="s">
        <v>43</v>
      </c>
      <c r="G4019" t="s">
        <v>28</v>
      </c>
      <c r="J4019" t="s">
        <v>20</v>
      </c>
      <c r="L4019" t="s">
        <v>141</v>
      </c>
      <c r="M4019" t="s">
        <v>5378</v>
      </c>
      <c r="N4019" t="s">
        <v>5378</v>
      </c>
      <c r="O4019" t="s">
        <v>73</v>
      </c>
      <c r="P4019" t="s">
        <v>81</v>
      </c>
      <c r="Q4019" t="s">
        <v>82</v>
      </c>
      <c r="R4019" t="s">
        <v>1016</v>
      </c>
    </row>
    <row r="4020" spans="1:18" x14ac:dyDescent="0.25">
      <c r="A4020" t="s">
        <v>21494</v>
      </c>
      <c r="B4020" t="s">
        <v>5426</v>
      </c>
      <c r="C4020" t="str">
        <f>HYPERLINK("https://nematode.unl.edu/eusubis25.jpg")</f>
        <v>https://nematode.unl.edu/eusubis25.jpg</v>
      </c>
      <c r="D4020" t="s">
        <v>16</v>
      </c>
      <c r="G4020" t="s">
        <v>34</v>
      </c>
      <c r="H4020" t="s">
        <v>18</v>
      </c>
      <c r="J4020" t="s">
        <v>20</v>
      </c>
      <c r="L4020" t="s">
        <v>141</v>
      </c>
      <c r="M4020" t="s">
        <v>5378</v>
      </c>
      <c r="N4020" t="s">
        <v>5378</v>
      </c>
      <c r="O4020" t="s">
        <v>73</v>
      </c>
      <c r="P4020" t="s">
        <v>81</v>
      </c>
      <c r="Q4020" t="s">
        <v>82</v>
      </c>
      <c r="R4020" t="s">
        <v>1016</v>
      </c>
    </row>
    <row r="4021" spans="1:18" x14ac:dyDescent="0.25">
      <c r="A4021" t="s">
        <v>21525</v>
      </c>
      <c r="B4021" t="s">
        <v>5427</v>
      </c>
      <c r="C4021" t="str">
        <f>HYPERLINK("https://nematode.unl.edu/eusubis26.jpg")</f>
        <v>https://nematode.unl.edu/eusubis26.jpg</v>
      </c>
      <c r="D4021" t="s">
        <v>16</v>
      </c>
      <c r="G4021" t="s">
        <v>28</v>
      </c>
      <c r="I4021" t="s">
        <v>19</v>
      </c>
      <c r="J4021" t="s">
        <v>20</v>
      </c>
      <c r="L4021" t="s">
        <v>141</v>
      </c>
      <c r="M4021" t="s">
        <v>5378</v>
      </c>
      <c r="N4021" t="s">
        <v>5378</v>
      </c>
      <c r="O4021" t="s">
        <v>73</v>
      </c>
      <c r="P4021" t="s">
        <v>81</v>
      </c>
      <c r="Q4021" t="s">
        <v>82</v>
      </c>
      <c r="R4021" t="s">
        <v>1016</v>
      </c>
    </row>
    <row r="4022" spans="1:18" x14ac:dyDescent="0.25">
      <c r="A4022" t="s">
        <v>21526</v>
      </c>
      <c r="B4022" t="s">
        <v>5428</v>
      </c>
      <c r="C4022" t="str">
        <f>HYPERLINK("https://nematode.unl.edu/eusubis27.jpg")</f>
        <v>https://nematode.unl.edu/eusubis27.jpg</v>
      </c>
      <c r="D4022" t="s">
        <v>43</v>
      </c>
      <c r="G4022" t="s">
        <v>28</v>
      </c>
      <c r="J4022" t="s">
        <v>20</v>
      </c>
      <c r="L4022" t="s">
        <v>64</v>
      </c>
      <c r="M4022" t="s">
        <v>5378</v>
      </c>
      <c r="N4022" t="s">
        <v>5378</v>
      </c>
      <c r="O4022" t="s">
        <v>73</v>
      </c>
      <c r="P4022" t="s">
        <v>81</v>
      </c>
      <c r="Q4022" t="s">
        <v>82</v>
      </c>
      <c r="R4022" t="s">
        <v>1016</v>
      </c>
    </row>
    <row r="4023" spans="1:18" x14ac:dyDescent="0.25">
      <c r="A4023" t="s">
        <v>21507</v>
      </c>
      <c r="B4023" t="s">
        <v>5429</v>
      </c>
      <c r="C4023" t="str">
        <f>HYPERLINK("https://nematode.unl.edu/eusubis28.jpg")</f>
        <v>https://nematode.unl.edu/eusubis28.jpg</v>
      </c>
      <c r="D4023" t="s">
        <v>43</v>
      </c>
      <c r="G4023" t="s">
        <v>44</v>
      </c>
      <c r="I4023" t="s">
        <v>45</v>
      </c>
      <c r="J4023" t="s">
        <v>20</v>
      </c>
      <c r="L4023" t="s">
        <v>173</v>
      </c>
      <c r="M4023" t="s">
        <v>5378</v>
      </c>
      <c r="N4023" t="s">
        <v>5378</v>
      </c>
      <c r="O4023" t="s">
        <v>73</v>
      </c>
      <c r="P4023" t="s">
        <v>81</v>
      </c>
      <c r="Q4023" t="s">
        <v>82</v>
      </c>
      <c r="R4023" t="s">
        <v>1016</v>
      </c>
    </row>
    <row r="4024" spans="1:18" x14ac:dyDescent="0.25">
      <c r="A4024" t="s">
        <v>21495</v>
      </c>
      <c r="B4024" t="s">
        <v>5430</v>
      </c>
      <c r="C4024" t="str">
        <f>HYPERLINK("https://nematode.unl.edu/eusubis29.jpg")</f>
        <v>https://nematode.unl.edu/eusubis29.jpg</v>
      </c>
      <c r="D4024" t="s">
        <v>43</v>
      </c>
      <c r="G4024" t="s">
        <v>34</v>
      </c>
      <c r="H4024" t="s">
        <v>18</v>
      </c>
      <c r="I4024" t="s">
        <v>19</v>
      </c>
      <c r="J4024" t="s">
        <v>20</v>
      </c>
      <c r="L4024" t="s">
        <v>141</v>
      </c>
      <c r="M4024" t="s">
        <v>5378</v>
      </c>
      <c r="N4024" t="s">
        <v>5378</v>
      </c>
      <c r="O4024" t="s">
        <v>73</v>
      </c>
      <c r="P4024" t="s">
        <v>81</v>
      </c>
      <c r="Q4024" t="s">
        <v>82</v>
      </c>
      <c r="R4024" t="s">
        <v>1016</v>
      </c>
    </row>
    <row r="4025" spans="1:18" x14ac:dyDescent="0.25">
      <c r="A4025" t="s">
        <v>21513</v>
      </c>
      <c r="B4025" t="s">
        <v>5431</v>
      </c>
      <c r="C4025" t="str">
        <f>HYPERLINK("https://nematode.unl.edu/eusubis3.jpg")</f>
        <v>https://nematode.unl.edu/eusubis3.jpg</v>
      </c>
      <c r="D4025" t="s">
        <v>43</v>
      </c>
      <c r="G4025" t="s">
        <v>181</v>
      </c>
      <c r="J4025" t="s">
        <v>20</v>
      </c>
      <c r="L4025" t="s">
        <v>64</v>
      </c>
      <c r="M4025" t="s">
        <v>5378</v>
      </c>
      <c r="N4025" t="s">
        <v>5378</v>
      </c>
      <c r="O4025" t="s">
        <v>73</v>
      </c>
      <c r="P4025" t="s">
        <v>81</v>
      </c>
      <c r="Q4025" t="s">
        <v>82</v>
      </c>
      <c r="R4025" t="s">
        <v>1016</v>
      </c>
    </row>
    <row r="4026" spans="1:18" x14ac:dyDescent="0.25">
      <c r="A4026" t="s">
        <v>21539</v>
      </c>
      <c r="B4026" t="s">
        <v>5432</v>
      </c>
      <c r="C4026" t="str">
        <f>HYPERLINK("https://nematode.unl.edu/eusubis30.jpg")</f>
        <v>https://nematode.unl.edu/eusubis30.jpg</v>
      </c>
      <c r="D4026" t="s">
        <v>43</v>
      </c>
      <c r="G4026" t="s">
        <v>51</v>
      </c>
      <c r="I4026" t="s">
        <v>19</v>
      </c>
      <c r="M4026" t="s">
        <v>5378</v>
      </c>
      <c r="N4026" t="s">
        <v>5378</v>
      </c>
      <c r="O4026" t="s">
        <v>73</v>
      </c>
      <c r="P4026" t="s">
        <v>81</v>
      </c>
      <c r="Q4026" t="s">
        <v>82</v>
      </c>
      <c r="R4026" t="s">
        <v>1016</v>
      </c>
    </row>
    <row r="4027" spans="1:18" x14ac:dyDescent="0.25">
      <c r="A4027" t="s">
        <v>21527</v>
      </c>
      <c r="B4027" t="s">
        <v>5433</v>
      </c>
      <c r="C4027" t="str">
        <f>HYPERLINK("https://nematode.unl.edu/eusubis31.jpg")</f>
        <v>https://nematode.unl.edu/eusubis31.jpg</v>
      </c>
      <c r="D4027" t="s">
        <v>43</v>
      </c>
      <c r="G4027" t="s">
        <v>28</v>
      </c>
      <c r="I4027" t="s">
        <v>19</v>
      </c>
      <c r="J4027" t="s">
        <v>20</v>
      </c>
      <c r="L4027" t="s">
        <v>141</v>
      </c>
      <c r="M4027" t="s">
        <v>5378</v>
      </c>
      <c r="N4027" t="s">
        <v>5378</v>
      </c>
      <c r="O4027" t="s">
        <v>73</v>
      </c>
      <c r="P4027" t="s">
        <v>81</v>
      </c>
      <c r="Q4027" t="s">
        <v>82</v>
      </c>
      <c r="R4027" t="s">
        <v>1016</v>
      </c>
    </row>
    <row r="4028" spans="1:18" x14ac:dyDescent="0.25">
      <c r="A4028" t="s">
        <v>21496</v>
      </c>
      <c r="B4028" t="s">
        <v>5434</v>
      </c>
      <c r="C4028" t="str">
        <f>HYPERLINK("https://nematode.unl.edu/eusubis32.jpg")</f>
        <v>https://nematode.unl.edu/eusubis32.jpg</v>
      </c>
      <c r="D4028" t="s">
        <v>43</v>
      </c>
      <c r="G4028" t="s">
        <v>34</v>
      </c>
      <c r="H4028" t="s">
        <v>18</v>
      </c>
      <c r="I4028" t="s">
        <v>41</v>
      </c>
      <c r="J4028" t="s">
        <v>20</v>
      </c>
      <c r="L4028" t="s">
        <v>85</v>
      </c>
      <c r="M4028" t="s">
        <v>5378</v>
      </c>
      <c r="N4028" t="s">
        <v>5378</v>
      </c>
      <c r="O4028" t="s">
        <v>73</v>
      </c>
      <c r="P4028" t="s">
        <v>81</v>
      </c>
      <c r="Q4028" t="s">
        <v>82</v>
      </c>
      <c r="R4028" t="s">
        <v>1016</v>
      </c>
    </row>
    <row r="4029" spans="1:18" x14ac:dyDescent="0.25">
      <c r="A4029" t="s">
        <v>21540</v>
      </c>
      <c r="B4029" t="s">
        <v>5435</v>
      </c>
      <c r="C4029" t="str">
        <f>HYPERLINK("https://nematode.unl.edu/eusubis33.jpg")</f>
        <v>https://nematode.unl.edu/eusubis33.jpg</v>
      </c>
      <c r="D4029" t="s">
        <v>43</v>
      </c>
      <c r="G4029" t="s">
        <v>51</v>
      </c>
      <c r="M4029" t="s">
        <v>5378</v>
      </c>
      <c r="N4029" t="s">
        <v>5378</v>
      </c>
      <c r="O4029" t="s">
        <v>73</v>
      </c>
      <c r="P4029" t="s">
        <v>81</v>
      </c>
      <c r="Q4029" t="s">
        <v>82</v>
      </c>
      <c r="R4029" t="s">
        <v>1016</v>
      </c>
    </row>
    <row r="4030" spans="1:18" x14ac:dyDescent="0.25">
      <c r="A4030" t="s">
        <v>21528</v>
      </c>
      <c r="B4030" t="s">
        <v>5436</v>
      </c>
      <c r="C4030" t="str">
        <f>HYPERLINK("https://nematode.unl.edu/eusubis34.jpg")</f>
        <v>https://nematode.unl.edu/eusubis34.jpg</v>
      </c>
      <c r="D4030" t="s">
        <v>43</v>
      </c>
      <c r="G4030" t="s">
        <v>28</v>
      </c>
      <c r="I4030" t="s">
        <v>41</v>
      </c>
      <c r="M4030" t="s">
        <v>5378</v>
      </c>
      <c r="N4030" t="s">
        <v>5378</v>
      </c>
      <c r="O4030" t="s">
        <v>73</v>
      </c>
      <c r="P4030" t="s">
        <v>81</v>
      </c>
      <c r="Q4030" t="s">
        <v>82</v>
      </c>
      <c r="R4030" t="s">
        <v>1016</v>
      </c>
    </row>
    <row r="4031" spans="1:18" x14ac:dyDescent="0.25">
      <c r="A4031" t="s">
        <v>21497</v>
      </c>
      <c r="B4031" t="s">
        <v>5437</v>
      </c>
      <c r="C4031" t="str">
        <f>HYPERLINK("https://nematode.unl.edu/eusubis4.jpg")</f>
        <v>https://nematode.unl.edu/eusubis4.jpg</v>
      </c>
      <c r="D4031" t="s">
        <v>43</v>
      </c>
      <c r="G4031" t="s">
        <v>34</v>
      </c>
      <c r="H4031" t="s">
        <v>18</v>
      </c>
      <c r="J4031" t="s">
        <v>20</v>
      </c>
      <c r="L4031" t="s">
        <v>64</v>
      </c>
      <c r="M4031" t="s">
        <v>5378</v>
      </c>
      <c r="N4031" t="s">
        <v>5378</v>
      </c>
      <c r="O4031" t="s">
        <v>73</v>
      </c>
      <c r="P4031" t="s">
        <v>81</v>
      </c>
      <c r="Q4031" t="s">
        <v>82</v>
      </c>
      <c r="R4031" t="s">
        <v>1016</v>
      </c>
    </row>
    <row r="4032" spans="1:18" x14ac:dyDescent="0.25">
      <c r="A4032" t="s">
        <v>21502</v>
      </c>
      <c r="B4032" t="s">
        <v>5438</v>
      </c>
      <c r="C4032" t="str">
        <f>HYPERLINK("https://nematode.unl.edu/eusubis5.jpg")</f>
        <v>https://nematode.unl.edu/eusubis5.jpg</v>
      </c>
      <c r="D4032" t="s">
        <v>43</v>
      </c>
      <c r="G4032" t="s">
        <v>87</v>
      </c>
      <c r="J4032" t="s">
        <v>20</v>
      </c>
      <c r="L4032" t="s">
        <v>64</v>
      </c>
      <c r="M4032" t="s">
        <v>5378</v>
      </c>
      <c r="N4032" t="s">
        <v>5378</v>
      </c>
      <c r="O4032" t="s">
        <v>73</v>
      </c>
      <c r="P4032" t="s">
        <v>81</v>
      </c>
      <c r="Q4032" t="s">
        <v>82</v>
      </c>
      <c r="R4032" t="s">
        <v>1016</v>
      </c>
    </row>
    <row r="4033" spans="1:18" x14ac:dyDescent="0.25">
      <c r="A4033" t="s">
        <v>21541</v>
      </c>
      <c r="B4033" t="s">
        <v>5439</v>
      </c>
      <c r="C4033" t="str">
        <f>HYPERLINK("https://nematode.unl.edu/eusubis6.jpg")</f>
        <v>https://nematode.unl.edu/eusubis6.jpg</v>
      </c>
      <c r="D4033" t="s">
        <v>43</v>
      </c>
      <c r="G4033" t="s">
        <v>51</v>
      </c>
      <c r="I4033" t="s">
        <v>19</v>
      </c>
      <c r="J4033" t="s">
        <v>20</v>
      </c>
      <c r="L4033" t="s">
        <v>64</v>
      </c>
      <c r="M4033" t="s">
        <v>5378</v>
      </c>
      <c r="N4033" t="s">
        <v>5378</v>
      </c>
      <c r="O4033" t="s">
        <v>73</v>
      </c>
      <c r="P4033" t="s">
        <v>81</v>
      </c>
      <c r="Q4033" t="s">
        <v>82</v>
      </c>
      <c r="R4033" t="s">
        <v>1016</v>
      </c>
    </row>
    <row r="4034" spans="1:18" x14ac:dyDescent="0.25">
      <c r="A4034" t="s">
        <v>21508</v>
      </c>
      <c r="B4034" t="s">
        <v>5440</v>
      </c>
      <c r="C4034" t="str">
        <f>HYPERLINK("https://nematode.unl.edu/eusubis7.jpg")</f>
        <v>https://nematode.unl.edu/eusubis7.jpg</v>
      </c>
      <c r="D4034" t="s">
        <v>77</v>
      </c>
      <c r="G4034" t="s">
        <v>44</v>
      </c>
      <c r="I4034" t="s">
        <v>499</v>
      </c>
      <c r="J4034" t="s">
        <v>20</v>
      </c>
      <c r="L4034" t="s">
        <v>138</v>
      </c>
      <c r="M4034" t="s">
        <v>5378</v>
      </c>
      <c r="N4034" t="s">
        <v>5378</v>
      </c>
      <c r="O4034" t="s">
        <v>73</v>
      </c>
      <c r="P4034" t="s">
        <v>81</v>
      </c>
      <c r="Q4034" t="s">
        <v>82</v>
      </c>
      <c r="R4034" t="s">
        <v>1016</v>
      </c>
    </row>
    <row r="4035" spans="1:18" x14ac:dyDescent="0.25">
      <c r="A4035" t="s">
        <v>21529</v>
      </c>
      <c r="B4035" t="s">
        <v>5441</v>
      </c>
      <c r="C4035" t="str">
        <f>HYPERLINK("https://nematode.unl.edu/eusubis8.jpg")</f>
        <v>https://nematode.unl.edu/eusubis8.jpg</v>
      </c>
      <c r="D4035" t="s">
        <v>43</v>
      </c>
      <c r="G4035" t="s">
        <v>28</v>
      </c>
      <c r="J4035" t="s">
        <v>20</v>
      </c>
      <c r="L4035" t="s">
        <v>141</v>
      </c>
      <c r="M4035" t="s">
        <v>5378</v>
      </c>
      <c r="N4035" t="s">
        <v>5378</v>
      </c>
      <c r="O4035" t="s">
        <v>73</v>
      </c>
      <c r="P4035" t="s">
        <v>81</v>
      </c>
      <c r="Q4035" t="s">
        <v>82</v>
      </c>
      <c r="R4035" t="s">
        <v>1016</v>
      </c>
    </row>
    <row r="4036" spans="1:18" x14ac:dyDescent="0.25">
      <c r="A4036" t="s">
        <v>21542</v>
      </c>
      <c r="B4036" t="s">
        <v>5442</v>
      </c>
      <c r="C4036" t="str">
        <f>HYPERLINK("https://nematode.unl.edu/eusubis9.jpg")</f>
        <v>https://nematode.unl.edu/eusubis9.jpg</v>
      </c>
      <c r="D4036" t="s">
        <v>43</v>
      </c>
      <c r="G4036" t="s">
        <v>51</v>
      </c>
      <c r="I4036" t="s">
        <v>19</v>
      </c>
      <c r="M4036" t="s">
        <v>5378</v>
      </c>
      <c r="N4036" t="s">
        <v>5378</v>
      </c>
      <c r="O4036" t="s">
        <v>73</v>
      </c>
      <c r="P4036" t="s">
        <v>81</v>
      </c>
      <c r="Q4036" t="s">
        <v>82</v>
      </c>
      <c r="R4036" t="s">
        <v>1016</v>
      </c>
    </row>
    <row r="4037" spans="1:18" x14ac:dyDescent="0.25">
      <c r="A4037" t="s">
        <v>13536</v>
      </c>
      <c r="B4037" t="s">
        <v>1738</v>
      </c>
      <c r="C4037" t="str">
        <f>HYPERLINK("https://nematode.unl.edu/euter1.jpg")</f>
        <v>https://nematode.unl.edu/euter1.jpg</v>
      </c>
      <c r="D4037" t="s">
        <v>16</v>
      </c>
      <c r="G4037" t="s">
        <v>34</v>
      </c>
      <c r="H4037" t="s">
        <v>18</v>
      </c>
      <c r="I4037" t="s">
        <v>19</v>
      </c>
      <c r="J4037" t="s">
        <v>20</v>
      </c>
      <c r="L4037" t="s">
        <v>220</v>
      </c>
      <c r="M4037" t="s">
        <v>1696</v>
      </c>
      <c r="N4037" t="s">
        <v>1697</v>
      </c>
      <c r="O4037" t="s">
        <v>23</v>
      </c>
      <c r="P4037" t="s">
        <v>24</v>
      </c>
      <c r="Q4037" t="s">
        <v>25</v>
      </c>
      <c r="R4037" t="s">
        <v>1679</v>
      </c>
    </row>
    <row r="4038" spans="1:18" x14ac:dyDescent="0.25">
      <c r="A4038" t="s">
        <v>13537</v>
      </c>
      <c r="B4038" t="s">
        <v>1739</v>
      </c>
      <c r="C4038" t="str">
        <f>HYPERLINK("https://nematode.unl.edu/euter10.jpg")</f>
        <v>https://nematode.unl.edu/euter10.jpg</v>
      </c>
      <c r="D4038" t="s">
        <v>43</v>
      </c>
      <c r="G4038" t="s">
        <v>34</v>
      </c>
      <c r="H4038" t="s">
        <v>18</v>
      </c>
      <c r="I4038" t="s">
        <v>19</v>
      </c>
      <c r="J4038" t="s">
        <v>20</v>
      </c>
      <c r="L4038" t="s">
        <v>206</v>
      </c>
      <c r="M4038" t="s">
        <v>1696</v>
      </c>
      <c r="N4038" t="s">
        <v>1697</v>
      </c>
      <c r="O4038" t="s">
        <v>23</v>
      </c>
      <c r="P4038" t="s">
        <v>24</v>
      </c>
      <c r="Q4038" t="s">
        <v>25</v>
      </c>
      <c r="R4038" t="s">
        <v>1679</v>
      </c>
    </row>
    <row r="4039" spans="1:18" x14ac:dyDescent="0.25">
      <c r="A4039" t="s">
        <v>13538</v>
      </c>
      <c r="B4039" t="s">
        <v>1740</v>
      </c>
      <c r="C4039" t="str">
        <f>HYPERLINK("https://nematode.unl.edu/euter11.jpg")</f>
        <v>https://nematode.unl.edu/euter11.jpg</v>
      </c>
      <c r="D4039" t="s">
        <v>43</v>
      </c>
      <c r="G4039" t="s">
        <v>34</v>
      </c>
      <c r="H4039" t="s">
        <v>18</v>
      </c>
      <c r="I4039" t="s">
        <v>41</v>
      </c>
      <c r="M4039" t="s">
        <v>1696</v>
      </c>
      <c r="N4039" t="s">
        <v>1697</v>
      </c>
      <c r="O4039" t="s">
        <v>23</v>
      </c>
      <c r="P4039" t="s">
        <v>24</v>
      </c>
      <c r="Q4039" t="s">
        <v>25</v>
      </c>
      <c r="R4039" t="s">
        <v>1679</v>
      </c>
    </row>
    <row r="4040" spans="1:18" x14ac:dyDescent="0.25">
      <c r="A4040" t="s">
        <v>13561</v>
      </c>
      <c r="B4040" t="s">
        <v>1741</v>
      </c>
      <c r="C4040" t="str">
        <f>HYPERLINK("https://nematode.unl.edu/euter12.jpg")</f>
        <v>https://nematode.unl.edu/euter12.jpg</v>
      </c>
      <c r="D4040" t="s">
        <v>43</v>
      </c>
      <c r="G4040" t="s">
        <v>1742</v>
      </c>
      <c r="I4040" t="s">
        <v>41</v>
      </c>
      <c r="J4040" t="s">
        <v>20</v>
      </c>
      <c r="L4040" t="s">
        <v>206</v>
      </c>
      <c r="M4040" t="s">
        <v>1696</v>
      </c>
      <c r="N4040" t="s">
        <v>1697</v>
      </c>
      <c r="O4040" t="s">
        <v>23</v>
      </c>
      <c r="P4040" t="s">
        <v>24</v>
      </c>
      <c r="Q4040" t="s">
        <v>25</v>
      </c>
      <c r="R4040" t="s">
        <v>1679</v>
      </c>
    </row>
    <row r="4041" spans="1:18" x14ac:dyDescent="0.25">
      <c r="A4041" t="s">
        <v>13576</v>
      </c>
      <c r="B4041" t="s">
        <v>1743</v>
      </c>
      <c r="C4041" t="str">
        <f>HYPERLINK("https://nematode.unl.edu/euter13.jpg")</f>
        <v>https://nematode.unl.edu/euter13.jpg</v>
      </c>
      <c r="D4041" t="s">
        <v>43</v>
      </c>
      <c r="G4041" t="s">
        <v>28</v>
      </c>
      <c r="I4041" t="s">
        <v>19</v>
      </c>
      <c r="J4041" t="s">
        <v>20</v>
      </c>
      <c r="L4041" t="s">
        <v>64</v>
      </c>
      <c r="M4041" t="s">
        <v>1696</v>
      </c>
      <c r="N4041" t="s">
        <v>1697</v>
      </c>
      <c r="O4041" t="s">
        <v>23</v>
      </c>
      <c r="P4041" t="s">
        <v>24</v>
      </c>
      <c r="Q4041" t="s">
        <v>25</v>
      </c>
      <c r="R4041" t="s">
        <v>1679</v>
      </c>
    </row>
    <row r="4042" spans="1:18" x14ac:dyDescent="0.25">
      <c r="A4042" t="s">
        <v>13539</v>
      </c>
      <c r="B4042" t="s">
        <v>1744</v>
      </c>
      <c r="C4042" t="str">
        <f>HYPERLINK("https://nematode.unl.edu/euter14.jpg")</f>
        <v>https://nematode.unl.edu/euter14.jpg</v>
      </c>
      <c r="D4042" t="s">
        <v>43</v>
      </c>
      <c r="G4042" t="s">
        <v>34</v>
      </c>
      <c r="H4042" t="s">
        <v>18</v>
      </c>
      <c r="I4042" t="s">
        <v>19</v>
      </c>
      <c r="J4042" t="s">
        <v>20</v>
      </c>
      <c r="L4042" t="s">
        <v>141</v>
      </c>
      <c r="M4042" t="s">
        <v>1696</v>
      </c>
      <c r="N4042" t="s">
        <v>1697</v>
      </c>
      <c r="O4042" t="s">
        <v>23</v>
      </c>
      <c r="P4042" t="s">
        <v>24</v>
      </c>
      <c r="Q4042" t="s">
        <v>25</v>
      </c>
      <c r="R4042" t="s">
        <v>1679</v>
      </c>
    </row>
    <row r="4043" spans="1:18" x14ac:dyDescent="0.25">
      <c r="A4043" t="s">
        <v>13557</v>
      </c>
      <c r="B4043" t="s">
        <v>1745</v>
      </c>
      <c r="C4043" t="str">
        <f>HYPERLINK("https://nematode.unl.edu/euter15.jpg")</f>
        <v>https://nematode.unl.edu/euter15.jpg</v>
      </c>
      <c r="D4043" t="s">
        <v>43</v>
      </c>
      <c r="G4043" t="s">
        <v>44</v>
      </c>
      <c r="I4043" t="s">
        <v>45</v>
      </c>
      <c r="J4043" t="s">
        <v>20</v>
      </c>
      <c r="L4043" t="s">
        <v>29</v>
      </c>
      <c r="M4043" t="s">
        <v>1696</v>
      </c>
      <c r="N4043" t="s">
        <v>1697</v>
      </c>
      <c r="O4043" t="s">
        <v>23</v>
      </c>
      <c r="P4043" t="s">
        <v>24</v>
      </c>
      <c r="Q4043" t="s">
        <v>25</v>
      </c>
      <c r="R4043" t="s">
        <v>1679</v>
      </c>
    </row>
    <row r="4044" spans="1:18" x14ac:dyDescent="0.25">
      <c r="A4044" t="s">
        <v>13540</v>
      </c>
      <c r="B4044" t="s">
        <v>1746</v>
      </c>
      <c r="C4044" t="str">
        <f>HYPERLINK("https://nematode.unl.edu/euter16.jpg")</f>
        <v>https://nematode.unl.edu/euter16.jpg</v>
      </c>
      <c r="D4044" t="s">
        <v>77</v>
      </c>
      <c r="G4044" t="s">
        <v>34</v>
      </c>
      <c r="H4044" t="s">
        <v>18</v>
      </c>
      <c r="I4044" t="s">
        <v>41</v>
      </c>
      <c r="J4044" t="s">
        <v>20</v>
      </c>
      <c r="M4044" t="s">
        <v>1696</v>
      </c>
      <c r="N4044" t="s">
        <v>1697</v>
      </c>
      <c r="O4044" t="s">
        <v>23</v>
      </c>
      <c r="P4044" t="s">
        <v>24</v>
      </c>
      <c r="Q4044" t="s">
        <v>25</v>
      </c>
      <c r="R4044" t="s">
        <v>1679</v>
      </c>
    </row>
    <row r="4045" spans="1:18" x14ac:dyDescent="0.25">
      <c r="A4045" t="s">
        <v>13589</v>
      </c>
      <c r="B4045" t="s">
        <v>1747</v>
      </c>
      <c r="C4045" t="str">
        <f>HYPERLINK("https://nematode.unl.edu/euter17.jpg")</f>
        <v>https://nematode.unl.edu/euter17.jpg</v>
      </c>
      <c r="D4045" t="s">
        <v>43</v>
      </c>
      <c r="G4045" t="s">
        <v>51</v>
      </c>
      <c r="I4045" t="s">
        <v>19</v>
      </c>
      <c r="J4045" t="s">
        <v>20</v>
      </c>
      <c r="L4045" t="s">
        <v>38</v>
      </c>
      <c r="M4045" t="s">
        <v>1696</v>
      </c>
      <c r="N4045" t="s">
        <v>1697</v>
      </c>
      <c r="O4045" t="s">
        <v>23</v>
      </c>
      <c r="P4045" t="s">
        <v>24</v>
      </c>
      <c r="Q4045" t="s">
        <v>25</v>
      </c>
      <c r="R4045" t="s">
        <v>1679</v>
      </c>
    </row>
    <row r="4046" spans="1:18" x14ac:dyDescent="0.25">
      <c r="A4046" t="s">
        <v>13558</v>
      </c>
      <c r="B4046" t="s">
        <v>1748</v>
      </c>
      <c r="C4046" t="str">
        <f>HYPERLINK("https://nematode.unl.edu/euter18.jpg")</f>
        <v>https://nematode.unl.edu/euter18.jpg</v>
      </c>
      <c r="D4046" t="s">
        <v>43</v>
      </c>
      <c r="G4046" t="s">
        <v>44</v>
      </c>
      <c r="I4046" t="s">
        <v>45</v>
      </c>
      <c r="J4046" t="s">
        <v>20</v>
      </c>
      <c r="L4046" t="s">
        <v>78</v>
      </c>
      <c r="M4046" t="s">
        <v>1696</v>
      </c>
      <c r="N4046" t="s">
        <v>1697</v>
      </c>
      <c r="O4046" t="s">
        <v>23</v>
      </c>
      <c r="P4046" t="s">
        <v>24</v>
      </c>
      <c r="Q4046" t="s">
        <v>25</v>
      </c>
      <c r="R4046" t="s">
        <v>1679</v>
      </c>
    </row>
    <row r="4047" spans="1:18" x14ac:dyDescent="0.25">
      <c r="A4047" t="s">
        <v>13590</v>
      </c>
      <c r="B4047" t="s">
        <v>1749</v>
      </c>
      <c r="C4047" t="str">
        <f>HYPERLINK("https://nematode.unl.edu/euter19.jpg")</f>
        <v>https://nematode.unl.edu/euter19.jpg</v>
      </c>
      <c r="D4047" t="s">
        <v>43</v>
      </c>
      <c r="G4047" t="s">
        <v>51</v>
      </c>
      <c r="I4047" t="s">
        <v>19</v>
      </c>
      <c r="M4047" t="s">
        <v>1696</v>
      </c>
      <c r="N4047" t="s">
        <v>1697</v>
      </c>
      <c r="O4047" t="s">
        <v>23</v>
      </c>
      <c r="P4047" t="s">
        <v>24</v>
      </c>
      <c r="Q4047" t="s">
        <v>25</v>
      </c>
      <c r="R4047" t="s">
        <v>1679</v>
      </c>
    </row>
    <row r="4048" spans="1:18" x14ac:dyDescent="0.25">
      <c r="A4048" t="s">
        <v>13577</v>
      </c>
      <c r="B4048" t="s">
        <v>1750</v>
      </c>
      <c r="C4048" t="str">
        <f>HYPERLINK("https://nematode.unl.edu/euter2.jpg")</f>
        <v>https://nematode.unl.edu/euter2.jpg</v>
      </c>
      <c r="D4048" t="s">
        <v>16</v>
      </c>
      <c r="G4048" t="s">
        <v>28</v>
      </c>
      <c r="I4048" t="s">
        <v>19</v>
      </c>
      <c r="J4048" t="s">
        <v>20</v>
      </c>
      <c r="M4048" t="s">
        <v>1696</v>
      </c>
      <c r="N4048" t="s">
        <v>1697</v>
      </c>
      <c r="O4048" t="s">
        <v>23</v>
      </c>
      <c r="P4048" t="s">
        <v>24</v>
      </c>
      <c r="Q4048" t="s">
        <v>25</v>
      </c>
      <c r="R4048" t="s">
        <v>1679</v>
      </c>
    </row>
    <row r="4049" spans="1:18" x14ac:dyDescent="0.25">
      <c r="A4049" t="s">
        <v>13541</v>
      </c>
      <c r="B4049" t="s">
        <v>1751</v>
      </c>
      <c r="C4049" t="str">
        <f>HYPERLINK("https://nematode.unl.edu/euter20.jpg")</f>
        <v>https://nematode.unl.edu/euter20.jpg</v>
      </c>
      <c r="D4049" t="s">
        <v>43</v>
      </c>
      <c r="G4049" t="s">
        <v>34</v>
      </c>
      <c r="H4049" t="s">
        <v>18</v>
      </c>
      <c r="J4049" t="s">
        <v>20</v>
      </c>
      <c r="L4049" t="s">
        <v>35</v>
      </c>
      <c r="M4049" t="s">
        <v>1696</v>
      </c>
      <c r="N4049" t="s">
        <v>1697</v>
      </c>
      <c r="O4049" t="s">
        <v>23</v>
      </c>
      <c r="P4049" t="s">
        <v>24</v>
      </c>
      <c r="Q4049" t="s">
        <v>25</v>
      </c>
      <c r="R4049" t="s">
        <v>1679</v>
      </c>
    </row>
    <row r="4050" spans="1:18" x14ac:dyDescent="0.25">
      <c r="A4050" t="s">
        <v>13542</v>
      </c>
      <c r="B4050" t="s">
        <v>1752</v>
      </c>
      <c r="C4050" t="str">
        <f>HYPERLINK("https://nematode.unl.edu/euter21.jpg")</f>
        <v>https://nematode.unl.edu/euter21.jpg</v>
      </c>
      <c r="D4050" t="s">
        <v>77</v>
      </c>
      <c r="G4050" t="s">
        <v>34</v>
      </c>
      <c r="H4050" t="s">
        <v>18</v>
      </c>
      <c r="J4050" t="s">
        <v>20</v>
      </c>
      <c r="M4050" t="s">
        <v>1696</v>
      </c>
      <c r="N4050" t="s">
        <v>1697</v>
      </c>
      <c r="O4050" t="s">
        <v>23</v>
      </c>
      <c r="P4050" t="s">
        <v>24</v>
      </c>
      <c r="Q4050" t="s">
        <v>25</v>
      </c>
      <c r="R4050" t="s">
        <v>1679</v>
      </c>
    </row>
    <row r="4051" spans="1:18" x14ac:dyDescent="0.25">
      <c r="A4051" t="s">
        <v>13578</v>
      </c>
      <c r="B4051" t="s">
        <v>1753</v>
      </c>
      <c r="C4051" t="str">
        <f>HYPERLINK("https://nematode.unl.edu/euter22.jpg")</f>
        <v>https://nematode.unl.edu/euter22.jpg</v>
      </c>
      <c r="D4051" t="s">
        <v>77</v>
      </c>
      <c r="G4051" t="s">
        <v>28</v>
      </c>
      <c r="I4051" t="s">
        <v>19</v>
      </c>
      <c r="M4051" t="s">
        <v>1696</v>
      </c>
      <c r="N4051" t="s">
        <v>1697</v>
      </c>
      <c r="O4051" t="s">
        <v>23</v>
      </c>
      <c r="P4051" t="s">
        <v>24</v>
      </c>
      <c r="Q4051" t="s">
        <v>25</v>
      </c>
      <c r="R4051" t="s">
        <v>1679</v>
      </c>
    </row>
    <row r="4052" spans="1:18" x14ac:dyDescent="0.25">
      <c r="A4052" t="s">
        <v>13543</v>
      </c>
      <c r="B4052" t="s">
        <v>1754</v>
      </c>
      <c r="C4052" t="str">
        <f>HYPERLINK("https://nematode.unl.edu/euter23.jpg")</f>
        <v>https://nematode.unl.edu/euter23.jpg</v>
      </c>
      <c r="D4052" t="s">
        <v>77</v>
      </c>
      <c r="G4052" t="s">
        <v>34</v>
      </c>
      <c r="H4052" t="s">
        <v>18</v>
      </c>
      <c r="J4052" t="s">
        <v>20</v>
      </c>
      <c r="L4052" t="s">
        <v>85</v>
      </c>
      <c r="M4052" t="s">
        <v>1696</v>
      </c>
      <c r="N4052" t="s">
        <v>1697</v>
      </c>
      <c r="O4052" t="s">
        <v>23</v>
      </c>
      <c r="P4052" t="s">
        <v>24</v>
      </c>
      <c r="Q4052" t="s">
        <v>25</v>
      </c>
      <c r="R4052" t="s">
        <v>1679</v>
      </c>
    </row>
    <row r="4053" spans="1:18" x14ac:dyDescent="0.25">
      <c r="A4053" t="s">
        <v>13563</v>
      </c>
      <c r="B4053" t="s">
        <v>1755</v>
      </c>
      <c r="C4053" t="str">
        <f>HYPERLINK("https://nematode.unl.edu/euter24.jpg")</f>
        <v>https://nematode.unl.edu/euter24.jpg</v>
      </c>
      <c r="D4053" t="s">
        <v>77</v>
      </c>
      <c r="G4053" t="s">
        <v>112</v>
      </c>
      <c r="J4053" t="s">
        <v>20</v>
      </c>
      <c r="L4053" t="s">
        <v>85</v>
      </c>
      <c r="M4053" t="s">
        <v>1696</v>
      </c>
      <c r="N4053" t="s">
        <v>1697</v>
      </c>
      <c r="O4053" t="s">
        <v>23</v>
      </c>
      <c r="P4053" t="s">
        <v>24</v>
      </c>
      <c r="Q4053" t="s">
        <v>25</v>
      </c>
      <c r="R4053" t="s">
        <v>1679</v>
      </c>
    </row>
    <row r="4054" spans="1:18" x14ac:dyDescent="0.25">
      <c r="A4054" t="s">
        <v>13579</v>
      </c>
      <c r="B4054" t="s">
        <v>1756</v>
      </c>
      <c r="C4054" t="str">
        <f>HYPERLINK("https://nematode.unl.edu/euter25.jpg")</f>
        <v>https://nematode.unl.edu/euter25.jpg</v>
      </c>
      <c r="D4054" t="s">
        <v>77</v>
      </c>
      <c r="G4054" t="s">
        <v>28</v>
      </c>
      <c r="I4054" t="s">
        <v>19</v>
      </c>
      <c r="J4054" t="s">
        <v>20</v>
      </c>
      <c r="L4054" t="s">
        <v>64</v>
      </c>
      <c r="M4054" t="s">
        <v>1696</v>
      </c>
      <c r="N4054" t="s">
        <v>1697</v>
      </c>
      <c r="O4054" t="s">
        <v>23</v>
      </c>
      <c r="P4054" t="s">
        <v>24</v>
      </c>
      <c r="Q4054" t="s">
        <v>25</v>
      </c>
      <c r="R4054" t="s">
        <v>1679</v>
      </c>
    </row>
    <row r="4055" spans="1:18" x14ac:dyDescent="0.25">
      <c r="A4055" t="s">
        <v>13544</v>
      </c>
      <c r="B4055" t="s">
        <v>1757</v>
      </c>
      <c r="C4055" t="str">
        <f>HYPERLINK("https://nematode.unl.edu/euter26.jpg")</f>
        <v>https://nematode.unl.edu/euter26.jpg</v>
      </c>
      <c r="D4055" t="s">
        <v>77</v>
      </c>
      <c r="G4055" t="s">
        <v>34</v>
      </c>
      <c r="H4055" t="s">
        <v>18</v>
      </c>
      <c r="J4055" t="s">
        <v>20</v>
      </c>
      <c r="L4055" t="s">
        <v>141</v>
      </c>
      <c r="M4055" t="s">
        <v>1696</v>
      </c>
      <c r="N4055" t="s">
        <v>1697</v>
      </c>
      <c r="O4055" t="s">
        <v>23</v>
      </c>
      <c r="P4055" t="s">
        <v>24</v>
      </c>
      <c r="Q4055" t="s">
        <v>25</v>
      </c>
      <c r="R4055" t="s">
        <v>1679</v>
      </c>
    </row>
    <row r="4056" spans="1:18" x14ac:dyDescent="0.25">
      <c r="A4056" t="s">
        <v>13580</v>
      </c>
      <c r="B4056" t="s">
        <v>1758</v>
      </c>
      <c r="C4056" t="str">
        <f>HYPERLINK("https://nematode.unl.edu/euter27.jpg")</f>
        <v>https://nematode.unl.edu/euter27.jpg</v>
      </c>
      <c r="D4056" t="s">
        <v>77</v>
      </c>
      <c r="G4056" t="s">
        <v>28</v>
      </c>
      <c r="I4056" t="s">
        <v>19</v>
      </c>
      <c r="J4056" t="s">
        <v>20</v>
      </c>
      <c r="L4056" t="s">
        <v>138</v>
      </c>
      <c r="M4056" t="s">
        <v>1696</v>
      </c>
      <c r="N4056" t="s">
        <v>1697</v>
      </c>
      <c r="O4056" t="s">
        <v>23</v>
      </c>
      <c r="P4056" t="s">
        <v>24</v>
      </c>
      <c r="Q4056" t="s">
        <v>25</v>
      </c>
      <c r="R4056" t="s">
        <v>1679</v>
      </c>
    </row>
    <row r="4057" spans="1:18" x14ac:dyDescent="0.25">
      <c r="A4057" t="s">
        <v>13551</v>
      </c>
      <c r="B4057" t="s">
        <v>1759</v>
      </c>
      <c r="C4057" t="str">
        <f>HYPERLINK("https://nematode.unl.edu/euter28.jpg")</f>
        <v>https://nematode.unl.edu/euter28.jpg</v>
      </c>
      <c r="D4057" t="s">
        <v>77</v>
      </c>
      <c r="G4057" t="s">
        <v>87</v>
      </c>
      <c r="I4057" t="s">
        <v>19</v>
      </c>
      <c r="J4057" t="s">
        <v>20</v>
      </c>
      <c r="L4057" t="s">
        <v>35</v>
      </c>
      <c r="M4057" t="s">
        <v>1696</v>
      </c>
      <c r="N4057" t="s">
        <v>1697</v>
      </c>
      <c r="O4057" t="s">
        <v>23</v>
      </c>
      <c r="P4057" t="s">
        <v>24</v>
      </c>
      <c r="Q4057" t="s">
        <v>25</v>
      </c>
      <c r="R4057" t="s">
        <v>1679</v>
      </c>
    </row>
    <row r="4058" spans="1:18" x14ac:dyDescent="0.25">
      <c r="A4058" t="s">
        <v>13545</v>
      </c>
      <c r="B4058" t="s">
        <v>1760</v>
      </c>
      <c r="C4058" t="str">
        <f>HYPERLINK("https://nematode.unl.edu/euter29.jpg")</f>
        <v>https://nematode.unl.edu/euter29.jpg</v>
      </c>
      <c r="D4058" t="s">
        <v>77</v>
      </c>
      <c r="G4058" t="s">
        <v>34</v>
      </c>
      <c r="H4058" t="s">
        <v>18</v>
      </c>
      <c r="J4058" t="s">
        <v>20</v>
      </c>
      <c r="L4058" t="s">
        <v>85</v>
      </c>
      <c r="M4058" t="s">
        <v>1696</v>
      </c>
      <c r="N4058" t="s">
        <v>1697</v>
      </c>
      <c r="O4058" t="s">
        <v>23</v>
      </c>
      <c r="P4058" t="s">
        <v>24</v>
      </c>
      <c r="Q4058" t="s">
        <v>25</v>
      </c>
      <c r="R4058" t="s">
        <v>1679</v>
      </c>
    </row>
    <row r="4059" spans="1:18" x14ac:dyDescent="0.25">
      <c r="A4059" t="s">
        <v>13546</v>
      </c>
      <c r="B4059" t="s">
        <v>1761</v>
      </c>
      <c r="C4059" t="str">
        <f>HYPERLINK("https://nematode.unl.edu/euter3.jpg")</f>
        <v>https://nematode.unl.edu/euter3.jpg</v>
      </c>
      <c r="D4059" t="s">
        <v>16</v>
      </c>
      <c r="G4059" t="s">
        <v>34</v>
      </c>
      <c r="H4059" t="s">
        <v>18</v>
      </c>
      <c r="I4059" t="s">
        <v>41</v>
      </c>
      <c r="J4059" t="s">
        <v>20</v>
      </c>
      <c r="M4059" t="s">
        <v>1696</v>
      </c>
      <c r="N4059" t="s">
        <v>1697</v>
      </c>
      <c r="O4059" t="s">
        <v>23</v>
      </c>
      <c r="P4059" t="s">
        <v>24</v>
      </c>
      <c r="Q4059" t="s">
        <v>25</v>
      </c>
      <c r="R4059" t="s">
        <v>1679</v>
      </c>
    </row>
    <row r="4060" spans="1:18" x14ac:dyDescent="0.25">
      <c r="A4060" t="s">
        <v>13581</v>
      </c>
      <c r="B4060" t="s">
        <v>1762</v>
      </c>
      <c r="C4060" t="str">
        <f>HYPERLINK("https://nematode.unl.edu/euter30.jpg")</f>
        <v>https://nematode.unl.edu/euter30.jpg</v>
      </c>
      <c r="D4060" t="s">
        <v>77</v>
      </c>
      <c r="G4060" t="s">
        <v>28</v>
      </c>
      <c r="J4060" t="s">
        <v>20</v>
      </c>
      <c r="M4060" t="s">
        <v>1696</v>
      </c>
      <c r="N4060" t="s">
        <v>1697</v>
      </c>
      <c r="O4060" t="s">
        <v>23</v>
      </c>
      <c r="P4060" t="s">
        <v>24</v>
      </c>
      <c r="Q4060" t="s">
        <v>25</v>
      </c>
      <c r="R4060" t="s">
        <v>1679</v>
      </c>
    </row>
    <row r="4061" spans="1:18" x14ac:dyDescent="0.25">
      <c r="A4061" t="s">
        <v>13547</v>
      </c>
      <c r="B4061" t="s">
        <v>1763</v>
      </c>
      <c r="C4061" t="str">
        <f>HYPERLINK("https://nematode.unl.edu/euter4.jpg")</f>
        <v>https://nematode.unl.edu/euter4.jpg</v>
      </c>
      <c r="D4061" t="s">
        <v>16</v>
      </c>
      <c r="G4061" t="s">
        <v>34</v>
      </c>
      <c r="H4061" t="s">
        <v>18</v>
      </c>
      <c r="I4061" t="s">
        <v>41</v>
      </c>
      <c r="J4061" t="s">
        <v>20</v>
      </c>
      <c r="M4061" t="s">
        <v>1696</v>
      </c>
      <c r="N4061" t="s">
        <v>1697</v>
      </c>
      <c r="O4061" t="s">
        <v>23</v>
      </c>
      <c r="P4061" t="s">
        <v>24</v>
      </c>
      <c r="Q4061" t="s">
        <v>25</v>
      </c>
      <c r="R4061" t="s">
        <v>1679</v>
      </c>
    </row>
    <row r="4062" spans="1:18" x14ac:dyDescent="0.25">
      <c r="A4062" t="s">
        <v>13562</v>
      </c>
      <c r="B4062" t="s">
        <v>1764</v>
      </c>
      <c r="C4062" t="str">
        <f>HYPERLINK("https://nematode.unl.edu/euter5.jpg")</f>
        <v>https://nematode.unl.edu/euter5.jpg</v>
      </c>
      <c r="D4062" t="s">
        <v>16</v>
      </c>
      <c r="G4062" t="s">
        <v>1742</v>
      </c>
      <c r="I4062" t="s">
        <v>41</v>
      </c>
      <c r="J4062" t="s">
        <v>20</v>
      </c>
      <c r="L4062" t="s">
        <v>85</v>
      </c>
      <c r="M4062" t="s">
        <v>1696</v>
      </c>
      <c r="N4062" t="s">
        <v>1697</v>
      </c>
      <c r="O4062" t="s">
        <v>23</v>
      </c>
      <c r="P4062" t="s">
        <v>24</v>
      </c>
      <c r="Q4062" t="s">
        <v>25</v>
      </c>
      <c r="R4062" t="s">
        <v>1679</v>
      </c>
    </row>
    <row r="4063" spans="1:18" x14ac:dyDescent="0.25">
      <c r="A4063" t="s">
        <v>13548</v>
      </c>
      <c r="B4063" t="s">
        <v>1765</v>
      </c>
      <c r="C4063" t="str">
        <f>HYPERLINK("https://nematode.unl.edu/euter6.jpg")</f>
        <v>https://nematode.unl.edu/euter6.jpg</v>
      </c>
      <c r="D4063" t="s">
        <v>16</v>
      </c>
      <c r="G4063" t="s">
        <v>34</v>
      </c>
      <c r="H4063" t="s">
        <v>18</v>
      </c>
      <c r="I4063" t="s">
        <v>19</v>
      </c>
      <c r="J4063" t="s">
        <v>20</v>
      </c>
      <c r="L4063" t="s">
        <v>64</v>
      </c>
      <c r="M4063" t="s">
        <v>1696</v>
      </c>
      <c r="N4063" t="s">
        <v>1697</v>
      </c>
      <c r="O4063" t="s">
        <v>23</v>
      </c>
      <c r="P4063" t="s">
        <v>24</v>
      </c>
      <c r="Q4063" t="s">
        <v>25</v>
      </c>
      <c r="R4063" t="s">
        <v>1679</v>
      </c>
    </row>
    <row r="4064" spans="1:18" x14ac:dyDescent="0.25">
      <c r="A4064" t="s">
        <v>13549</v>
      </c>
      <c r="B4064" t="s">
        <v>1766</v>
      </c>
      <c r="C4064" t="str">
        <f>HYPERLINK("https://nematode.unl.edu/euter7.jpg")</f>
        <v>https://nematode.unl.edu/euter7.jpg</v>
      </c>
      <c r="D4064" t="s">
        <v>16</v>
      </c>
      <c r="G4064" t="s">
        <v>34</v>
      </c>
      <c r="H4064" t="s">
        <v>18</v>
      </c>
      <c r="J4064" t="s">
        <v>20</v>
      </c>
      <c r="L4064" t="s">
        <v>141</v>
      </c>
      <c r="M4064" t="s">
        <v>1696</v>
      </c>
      <c r="N4064" t="s">
        <v>1697</v>
      </c>
      <c r="O4064" t="s">
        <v>23</v>
      </c>
      <c r="P4064" t="s">
        <v>24</v>
      </c>
      <c r="Q4064" t="s">
        <v>25</v>
      </c>
      <c r="R4064" t="s">
        <v>1679</v>
      </c>
    </row>
    <row r="4065" spans="1:18" x14ac:dyDescent="0.25">
      <c r="A4065" t="s">
        <v>13582</v>
      </c>
      <c r="B4065" t="s">
        <v>1767</v>
      </c>
      <c r="C4065" t="str">
        <f>HYPERLINK("https://nematode.unl.edu/euter8.jpg")</f>
        <v>https://nematode.unl.edu/euter8.jpg</v>
      </c>
      <c r="D4065" t="s">
        <v>16</v>
      </c>
      <c r="G4065" t="s">
        <v>28</v>
      </c>
      <c r="I4065" t="s">
        <v>516</v>
      </c>
      <c r="J4065" t="s">
        <v>20</v>
      </c>
      <c r="L4065" t="s">
        <v>1768</v>
      </c>
      <c r="M4065" t="s">
        <v>1696</v>
      </c>
      <c r="N4065" t="s">
        <v>1697</v>
      </c>
      <c r="O4065" t="s">
        <v>23</v>
      </c>
      <c r="P4065" t="s">
        <v>24</v>
      </c>
      <c r="Q4065" t="s">
        <v>25</v>
      </c>
      <c r="R4065" t="s">
        <v>1679</v>
      </c>
    </row>
    <row r="4066" spans="1:18" x14ac:dyDescent="0.25">
      <c r="A4066" t="s">
        <v>13583</v>
      </c>
      <c r="B4066" t="s">
        <v>1769</v>
      </c>
      <c r="C4066" t="str">
        <f>HYPERLINK("https://nematode.unl.edu/euter9.jpg")</f>
        <v>https://nematode.unl.edu/euter9.jpg</v>
      </c>
      <c r="D4066" t="s">
        <v>16</v>
      </c>
      <c r="G4066" t="s">
        <v>28</v>
      </c>
      <c r="I4066" t="s">
        <v>516</v>
      </c>
      <c r="J4066" t="s">
        <v>20</v>
      </c>
      <c r="L4066" t="s">
        <v>38</v>
      </c>
      <c r="M4066" t="s">
        <v>1696</v>
      </c>
      <c r="N4066" t="s">
        <v>1697</v>
      </c>
      <c r="O4066" t="s">
        <v>23</v>
      </c>
      <c r="P4066" t="s">
        <v>24</v>
      </c>
      <c r="Q4066" t="s">
        <v>25</v>
      </c>
      <c r="R4066" t="s">
        <v>1679</v>
      </c>
    </row>
    <row r="4067" spans="1:18" x14ac:dyDescent="0.25">
      <c r="A4067" t="s">
        <v>21550</v>
      </c>
      <c r="B4067" t="s">
        <v>5449</v>
      </c>
      <c r="C4067" t="str">
        <f>HYPERLINK("https://nematode.unl.edu/eutrun1.jpg")</f>
        <v>https://nematode.unl.edu/eutrun1.jpg</v>
      </c>
      <c r="D4067" t="s">
        <v>77</v>
      </c>
      <c r="G4067" t="s">
        <v>44</v>
      </c>
      <c r="I4067" t="s">
        <v>45</v>
      </c>
      <c r="J4067" t="s">
        <v>20</v>
      </c>
      <c r="L4067" t="s">
        <v>141</v>
      </c>
      <c r="M4067" t="s">
        <v>5444</v>
      </c>
      <c r="N4067" t="s">
        <v>5444</v>
      </c>
      <c r="O4067" t="s">
        <v>73</v>
      </c>
      <c r="P4067" t="s">
        <v>81</v>
      </c>
      <c r="Q4067" t="s">
        <v>82</v>
      </c>
      <c r="R4067" t="s">
        <v>1016</v>
      </c>
    </row>
    <row r="4068" spans="1:18" x14ac:dyDescent="0.25">
      <c r="A4068" t="s">
        <v>21554</v>
      </c>
      <c r="B4068" t="s">
        <v>5450</v>
      </c>
      <c r="C4068" t="str">
        <f>HYPERLINK("https://nematode.unl.edu/eutrun2.jpg")</f>
        <v>https://nematode.unl.edu/eutrun2.jpg</v>
      </c>
      <c r="D4068" t="s">
        <v>43</v>
      </c>
      <c r="G4068" t="s">
        <v>51</v>
      </c>
      <c r="I4068" t="s">
        <v>19</v>
      </c>
      <c r="L4068" t="s">
        <v>352</v>
      </c>
      <c r="M4068" t="s">
        <v>5444</v>
      </c>
      <c r="N4068" t="s">
        <v>5444</v>
      </c>
      <c r="O4068" t="s">
        <v>73</v>
      </c>
      <c r="P4068" t="s">
        <v>81</v>
      </c>
      <c r="Q4068" t="s">
        <v>82</v>
      </c>
      <c r="R4068" t="s">
        <v>1016</v>
      </c>
    </row>
    <row r="4069" spans="1:18" x14ac:dyDescent="0.25">
      <c r="A4069" t="s">
        <v>21547</v>
      </c>
      <c r="B4069" t="s">
        <v>5451</v>
      </c>
      <c r="C4069" t="str">
        <f>HYPERLINK("https://nematode.unl.edu/eutrun3.jpg")</f>
        <v>https://nematode.unl.edu/eutrun3.jpg</v>
      </c>
      <c r="D4069" t="s">
        <v>43</v>
      </c>
      <c r="G4069" t="s">
        <v>87</v>
      </c>
      <c r="J4069" t="s">
        <v>20</v>
      </c>
      <c r="L4069" t="s">
        <v>141</v>
      </c>
      <c r="M4069" t="s">
        <v>5444</v>
      </c>
      <c r="N4069" t="s">
        <v>5444</v>
      </c>
      <c r="O4069" t="s">
        <v>73</v>
      </c>
      <c r="P4069" t="s">
        <v>81</v>
      </c>
      <c r="Q4069" t="s">
        <v>82</v>
      </c>
      <c r="R4069" t="s">
        <v>1016</v>
      </c>
    </row>
    <row r="4070" spans="1:18" x14ac:dyDescent="0.25">
      <c r="A4070" t="s">
        <v>21545</v>
      </c>
      <c r="B4070" t="s">
        <v>5452</v>
      </c>
      <c r="C4070" t="str">
        <f>HYPERLINK("https://nematode.unl.edu/eutrun4.jpg")</f>
        <v>https://nematode.unl.edu/eutrun4.jpg</v>
      </c>
      <c r="D4070" t="s">
        <v>43</v>
      </c>
      <c r="G4070" t="s">
        <v>34</v>
      </c>
      <c r="H4070" t="s">
        <v>18</v>
      </c>
      <c r="I4070" t="s">
        <v>19</v>
      </c>
      <c r="J4070" t="s">
        <v>20</v>
      </c>
      <c r="L4070" t="s">
        <v>141</v>
      </c>
      <c r="M4070" t="s">
        <v>5444</v>
      </c>
      <c r="N4070" t="s">
        <v>5444</v>
      </c>
      <c r="O4070" t="s">
        <v>73</v>
      </c>
      <c r="P4070" t="s">
        <v>81</v>
      </c>
      <c r="Q4070" t="s">
        <v>82</v>
      </c>
      <c r="R4070" t="s">
        <v>1016</v>
      </c>
    </row>
    <row r="4071" spans="1:18" x14ac:dyDescent="0.25">
      <c r="A4071" t="s">
        <v>21552</v>
      </c>
      <c r="B4071" t="s">
        <v>5453</v>
      </c>
      <c r="C4071" t="str">
        <f>HYPERLINK("https://nematode.unl.edu/eutrun5.jpg")</f>
        <v>https://nematode.unl.edu/eutrun5.jpg</v>
      </c>
      <c r="D4071" t="s">
        <v>43</v>
      </c>
      <c r="G4071" t="s">
        <v>28</v>
      </c>
      <c r="J4071" t="s">
        <v>20</v>
      </c>
      <c r="M4071" t="s">
        <v>5444</v>
      </c>
      <c r="N4071" t="s">
        <v>5444</v>
      </c>
      <c r="O4071" t="s">
        <v>73</v>
      </c>
      <c r="P4071" t="s">
        <v>81</v>
      </c>
      <c r="Q4071" t="s">
        <v>82</v>
      </c>
      <c r="R4071" t="s">
        <v>1016</v>
      </c>
    </row>
    <row r="4072" spans="1:18" x14ac:dyDescent="0.25">
      <c r="A4072" t="s">
        <v>21555</v>
      </c>
      <c r="B4072" t="s">
        <v>5454</v>
      </c>
      <c r="C4072" t="str">
        <f>HYPERLINK("https://nematode.unl.edu/eutrun6.jpg")</f>
        <v>https://nematode.unl.edu/eutrun6.jpg</v>
      </c>
      <c r="D4072" t="s">
        <v>43</v>
      </c>
      <c r="G4072" t="s">
        <v>51</v>
      </c>
      <c r="I4072" t="s">
        <v>19</v>
      </c>
      <c r="M4072" t="s">
        <v>5444</v>
      </c>
      <c r="N4072" t="s">
        <v>5444</v>
      </c>
      <c r="O4072" t="s">
        <v>73</v>
      </c>
      <c r="P4072" t="s">
        <v>81</v>
      </c>
      <c r="Q4072" t="s">
        <v>82</v>
      </c>
      <c r="R4072" t="s">
        <v>1016</v>
      </c>
    </row>
    <row r="4073" spans="1:18" x14ac:dyDescent="0.25">
      <c r="A4073" t="s">
        <v>21548</v>
      </c>
      <c r="B4073" t="s">
        <v>5455</v>
      </c>
      <c r="C4073" t="str">
        <f>HYPERLINK("https://nematode.unl.edu/eutrun7.jpg")</f>
        <v>https://nematode.unl.edu/eutrun7.jpg</v>
      </c>
      <c r="D4073" t="s">
        <v>43</v>
      </c>
      <c r="G4073" t="s">
        <v>87</v>
      </c>
      <c r="J4073" t="s">
        <v>20</v>
      </c>
      <c r="L4073" t="s">
        <v>29</v>
      </c>
      <c r="M4073" t="s">
        <v>5444</v>
      </c>
      <c r="N4073" t="s">
        <v>5444</v>
      </c>
      <c r="O4073" t="s">
        <v>73</v>
      </c>
      <c r="P4073" t="s">
        <v>81</v>
      </c>
      <c r="Q4073" t="s">
        <v>82</v>
      </c>
      <c r="R4073" t="s">
        <v>1016</v>
      </c>
    </row>
    <row r="4074" spans="1:18" x14ac:dyDescent="0.25">
      <c r="A4074" t="s">
        <v>21546</v>
      </c>
      <c r="B4074" t="s">
        <v>5456</v>
      </c>
      <c r="C4074" t="str">
        <f>HYPERLINK("https://nematode.unl.edu/eutrun8.jpg")</f>
        <v>https://nematode.unl.edu/eutrun8.jpg</v>
      </c>
      <c r="D4074" t="s">
        <v>43</v>
      </c>
      <c r="G4074" t="s">
        <v>34</v>
      </c>
      <c r="H4074" t="s">
        <v>18</v>
      </c>
      <c r="J4074" t="s">
        <v>20</v>
      </c>
      <c r="M4074" t="s">
        <v>5444</v>
      </c>
      <c r="N4074" t="s">
        <v>5444</v>
      </c>
      <c r="O4074" t="s">
        <v>73</v>
      </c>
      <c r="P4074" t="s">
        <v>81</v>
      </c>
      <c r="Q4074" t="s">
        <v>82</v>
      </c>
      <c r="R4074" t="s">
        <v>1016</v>
      </c>
    </row>
    <row r="4075" spans="1:18" x14ac:dyDescent="0.25">
      <c r="A4075" t="s">
        <v>18029</v>
      </c>
      <c r="B4075" t="s">
        <v>5493</v>
      </c>
      <c r="C4075" t="str">
        <f>HYPERLINK("https://nematode.unl.edu/facut1.jpg")</f>
        <v>https://nematode.unl.edu/facut1.jpg</v>
      </c>
      <c r="D4075" t="s">
        <v>43</v>
      </c>
      <c r="G4075" t="s">
        <v>44</v>
      </c>
      <c r="I4075" t="s">
        <v>45</v>
      </c>
      <c r="J4075" t="s">
        <v>20</v>
      </c>
      <c r="L4075" t="s">
        <v>141</v>
      </c>
      <c r="M4075" t="s">
        <v>5494</v>
      </c>
      <c r="N4075" t="s">
        <v>5494</v>
      </c>
      <c r="O4075" t="s">
        <v>23</v>
      </c>
      <c r="P4075" t="s">
        <v>24</v>
      </c>
      <c r="Q4075" t="s">
        <v>69</v>
      </c>
      <c r="R4075" t="s">
        <v>1030</v>
      </c>
    </row>
    <row r="4076" spans="1:18" x14ac:dyDescent="0.25">
      <c r="A4076" t="s">
        <v>18030</v>
      </c>
      <c r="B4076" t="s">
        <v>5495</v>
      </c>
      <c r="C4076" t="str">
        <f>HYPERLINK("https://nematode.unl.edu/facut10.jpg")</f>
        <v>https://nematode.unl.edu/facut10.jpg</v>
      </c>
      <c r="D4076" t="s">
        <v>43</v>
      </c>
      <c r="G4076" t="s">
        <v>44</v>
      </c>
      <c r="I4076" t="s">
        <v>45</v>
      </c>
      <c r="J4076" t="s">
        <v>20</v>
      </c>
      <c r="L4076" t="s">
        <v>1768</v>
      </c>
      <c r="M4076" t="s">
        <v>5494</v>
      </c>
      <c r="N4076" t="s">
        <v>5494</v>
      </c>
      <c r="O4076" t="s">
        <v>23</v>
      </c>
      <c r="P4076" t="s">
        <v>24</v>
      </c>
      <c r="Q4076" t="s">
        <v>69</v>
      </c>
      <c r="R4076" t="s">
        <v>1030</v>
      </c>
    </row>
    <row r="4077" spans="1:18" x14ac:dyDescent="0.25">
      <c r="A4077" t="s">
        <v>18023</v>
      </c>
      <c r="B4077" t="s">
        <v>5496</v>
      </c>
      <c r="C4077" t="str">
        <f>HYPERLINK("https://nematode.unl.edu/facut11.jpg")</f>
        <v>https://nematode.unl.edu/facut11.jpg</v>
      </c>
      <c r="D4077" t="s">
        <v>43</v>
      </c>
      <c r="G4077" t="s">
        <v>34</v>
      </c>
      <c r="H4077" t="s">
        <v>18</v>
      </c>
      <c r="L4077" t="s">
        <v>141</v>
      </c>
      <c r="M4077" t="s">
        <v>5494</v>
      </c>
      <c r="N4077" t="s">
        <v>5494</v>
      </c>
      <c r="O4077" t="s">
        <v>23</v>
      </c>
      <c r="P4077" t="s">
        <v>24</v>
      </c>
      <c r="Q4077" t="s">
        <v>69</v>
      </c>
      <c r="R4077" t="s">
        <v>1030</v>
      </c>
    </row>
    <row r="4078" spans="1:18" x14ac:dyDescent="0.25">
      <c r="A4078" t="s">
        <v>18036</v>
      </c>
      <c r="B4078" t="s">
        <v>5497</v>
      </c>
      <c r="C4078" t="str">
        <f>HYPERLINK("https://nematode.unl.edu/facut12.jpg")</f>
        <v>https://nematode.unl.edu/facut12.jpg</v>
      </c>
      <c r="D4078" t="s">
        <v>43</v>
      </c>
      <c r="G4078" t="s">
        <v>51</v>
      </c>
      <c r="I4078" t="s">
        <v>19</v>
      </c>
      <c r="L4078" t="s">
        <v>352</v>
      </c>
      <c r="M4078" t="s">
        <v>5494</v>
      </c>
      <c r="N4078" t="s">
        <v>5494</v>
      </c>
      <c r="O4078" t="s">
        <v>23</v>
      </c>
      <c r="P4078" t="s">
        <v>24</v>
      </c>
      <c r="Q4078" t="s">
        <v>69</v>
      </c>
      <c r="R4078" t="s">
        <v>1030</v>
      </c>
    </row>
    <row r="4079" spans="1:18" x14ac:dyDescent="0.25">
      <c r="A4079" t="s">
        <v>18031</v>
      </c>
      <c r="B4079" t="s">
        <v>5498</v>
      </c>
      <c r="C4079" t="str">
        <f>HYPERLINK("https://nematode.unl.edu/facut13.jpg")</f>
        <v>https://nematode.unl.edu/facut13.jpg</v>
      </c>
      <c r="D4079" t="s">
        <v>43</v>
      </c>
      <c r="G4079" t="s">
        <v>28</v>
      </c>
      <c r="I4079" t="s">
        <v>19</v>
      </c>
      <c r="J4079" t="s">
        <v>20</v>
      </c>
      <c r="L4079" t="s">
        <v>141</v>
      </c>
      <c r="M4079" t="s">
        <v>5494</v>
      </c>
      <c r="N4079" t="s">
        <v>5494</v>
      </c>
      <c r="O4079" t="s">
        <v>23</v>
      </c>
      <c r="P4079" t="s">
        <v>24</v>
      </c>
      <c r="Q4079" t="s">
        <v>69</v>
      </c>
      <c r="R4079" t="s">
        <v>1030</v>
      </c>
    </row>
    <row r="4080" spans="1:18" x14ac:dyDescent="0.25">
      <c r="A4080" t="s">
        <v>18024</v>
      </c>
      <c r="B4080" t="s">
        <v>5499</v>
      </c>
      <c r="C4080" t="str">
        <f>HYPERLINK("https://nematode.unl.edu/facut14.jpg")</f>
        <v>https://nematode.unl.edu/facut14.jpg</v>
      </c>
      <c r="D4080" t="s">
        <v>16</v>
      </c>
      <c r="G4080" t="s">
        <v>34</v>
      </c>
      <c r="H4080" t="s">
        <v>18</v>
      </c>
      <c r="I4080" t="s">
        <v>19</v>
      </c>
      <c r="J4080" t="s">
        <v>20</v>
      </c>
      <c r="L4080" t="s">
        <v>29</v>
      </c>
      <c r="M4080" t="s">
        <v>5494</v>
      </c>
      <c r="N4080" t="s">
        <v>5494</v>
      </c>
      <c r="O4080" t="s">
        <v>23</v>
      </c>
      <c r="P4080" t="s">
        <v>24</v>
      </c>
      <c r="Q4080" t="s">
        <v>69</v>
      </c>
      <c r="R4080" t="s">
        <v>1030</v>
      </c>
    </row>
    <row r="4081" spans="1:18" x14ac:dyDescent="0.25">
      <c r="A4081" t="s">
        <v>18032</v>
      </c>
      <c r="B4081" t="s">
        <v>5500</v>
      </c>
      <c r="C4081" t="str">
        <f>HYPERLINK("https://nematode.unl.edu/facut15.jpg")</f>
        <v>https://nematode.unl.edu/facut15.jpg</v>
      </c>
      <c r="D4081" t="s">
        <v>16</v>
      </c>
      <c r="G4081" t="s">
        <v>28</v>
      </c>
      <c r="J4081" t="s">
        <v>20</v>
      </c>
      <c r="L4081" t="s">
        <v>352</v>
      </c>
      <c r="M4081" t="s">
        <v>5494</v>
      </c>
      <c r="N4081" t="s">
        <v>5494</v>
      </c>
      <c r="O4081" t="s">
        <v>23</v>
      </c>
      <c r="P4081" t="s">
        <v>24</v>
      </c>
      <c r="Q4081" t="s">
        <v>69</v>
      </c>
      <c r="R4081" t="s">
        <v>1030</v>
      </c>
    </row>
    <row r="4082" spans="1:18" x14ac:dyDescent="0.25">
      <c r="A4082" t="s">
        <v>18025</v>
      </c>
      <c r="B4082" t="s">
        <v>5501</v>
      </c>
      <c r="C4082" t="str">
        <f>HYPERLINK("https://nematode.unl.edu/facut2.jpg")</f>
        <v>https://nematode.unl.edu/facut2.jpg</v>
      </c>
      <c r="D4082" t="s">
        <v>43</v>
      </c>
      <c r="G4082" t="s">
        <v>34</v>
      </c>
      <c r="H4082" t="s">
        <v>18</v>
      </c>
      <c r="I4082" t="s">
        <v>19</v>
      </c>
      <c r="J4082" t="s">
        <v>20</v>
      </c>
      <c r="L4082" t="s">
        <v>352</v>
      </c>
      <c r="M4082" t="s">
        <v>5494</v>
      </c>
      <c r="N4082" t="s">
        <v>5494</v>
      </c>
      <c r="O4082" t="s">
        <v>23</v>
      </c>
      <c r="P4082" t="s">
        <v>24</v>
      </c>
      <c r="Q4082" t="s">
        <v>69</v>
      </c>
      <c r="R4082" t="s">
        <v>1030</v>
      </c>
    </row>
    <row r="4083" spans="1:18" x14ac:dyDescent="0.25">
      <c r="A4083" t="s">
        <v>18033</v>
      </c>
      <c r="B4083" t="s">
        <v>5502</v>
      </c>
      <c r="C4083" t="str">
        <f>HYPERLINK("https://nematode.unl.edu/facut3.jpg")</f>
        <v>https://nematode.unl.edu/facut3.jpg</v>
      </c>
      <c r="D4083" t="s">
        <v>43</v>
      </c>
      <c r="G4083" t="s">
        <v>28</v>
      </c>
      <c r="J4083" t="s">
        <v>20</v>
      </c>
      <c r="L4083" t="s">
        <v>141</v>
      </c>
      <c r="M4083" t="s">
        <v>5494</v>
      </c>
      <c r="N4083" t="s">
        <v>5494</v>
      </c>
      <c r="O4083" t="s">
        <v>23</v>
      </c>
      <c r="P4083" t="s">
        <v>24</v>
      </c>
      <c r="Q4083" t="s">
        <v>69</v>
      </c>
      <c r="R4083" t="s">
        <v>1030</v>
      </c>
    </row>
    <row r="4084" spans="1:18" x14ac:dyDescent="0.25">
      <c r="A4084" t="s">
        <v>18026</v>
      </c>
      <c r="B4084" t="s">
        <v>5503</v>
      </c>
      <c r="C4084" t="str">
        <f>HYPERLINK("https://nematode.unl.edu/facut4.jpg")</f>
        <v>https://nematode.unl.edu/facut4.jpg</v>
      </c>
      <c r="D4084" t="s">
        <v>43</v>
      </c>
      <c r="G4084" t="s">
        <v>34</v>
      </c>
      <c r="H4084" t="s">
        <v>18</v>
      </c>
      <c r="I4084" t="s">
        <v>41</v>
      </c>
      <c r="J4084" t="s">
        <v>20</v>
      </c>
      <c r="L4084" t="s">
        <v>141</v>
      </c>
      <c r="M4084" t="s">
        <v>5494</v>
      </c>
      <c r="N4084" t="s">
        <v>5494</v>
      </c>
      <c r="O4084" t="s">
        <v>23</v>
      </c>
      <c r="P4084" t="s">
        <v>24</v>
      </c>
      <c r="Q4084" t="s">
        <v>69</v>
      </c>
      <c r="R4084" t="s">
        <v>1030</v>
      </c>
    </row>
    <row r="4085" spans="1:18" x14ac:dyDescent="0.25">
      <c r="A4085" t="s">
        <v>18037</v>
      </c>
      <c r="B4085" t="s">
        <v>5504</v>
      </c>
      <c r="C4085" t="str">
        <f>HYPERLINK("https://nematode.unl.edu/facut5.jpg")</f>
        <v>https://nematode.unl.edu/facut5.jpg</v>
      </c>
      <c r="D4085" t="s">
        <v>43</v>
      </c>
      <c r="G4085" t="s">
        <v>51</v>
      </c>
      <c r="I4085" t="s">
        <v>41</v>
      </c>
      <c r="J4085" t="s">
        <v>20</v>
      </c>
      <c r="L4085" t="s">
        <v>141</v>
      </c>
      <c r="M4085" t="s">
        <v>5494</v>
      </c>
      <c r="N4085" t="s">
        <v>5494</v>
      </c>
      <c r="O4085" t="s">
        <v>23</v>
      </c>
      <c r="P4085" t="s">
        <v>24</v>
      </c>
      <c r="Q4085" t="s">
        <v>69</v>
      </c>
      <c r="R4085" t="s">
        <v>1030</v>
      </c>
    </row>
    <row r="4086" spans="1:18" x14ac:dyDescent="0.25">
      <c r="A4086" t="s">
        <v>18034</v>
      </c>
      <c r="B4086" t="s">
        <v>5505</v>
      </c>
      <c r="C4086" t="str">
        <f>HYPERLINK("https://nematode.unl.edu/facut6.jpg")</f>
        <v>https://nematode.unl.edu/facut6.jpg</v>
      </c>
      <c r="D4086" t="s">
        <v>43</v>
      </c>
      <c r="G4086" t="s">
        <v>28</v>
      </c>
      <c r="J4086" t="s">
        <v>20</v>
      </c>
      <c r="M4086" t="s">
        <v>5494</v>
      </c>
      <c r="N4086" t="s">
        <v>5494</v>
      </c>
      <c r="O4086" t="s">
        <v>23</v>
      </c>
      <c r="P4086" t="s">
        <v>24</v>
      </c>
      <c r="Q4086" t="s">
        <v>69</v>
      </c>
      <c r="R4086" t="s">
        <v>1030</v>
      </c>
    </row>
    <row r="4087" spans="1:18" x14ac:dyDescent="0.25">
      <c r="A4087" t="s">
        <v>18027</v>
      </c>
      <c r="B4087" t="s">
        <v>5506</v>
      </c>
      <c r="C4087" t="str">
        <f>HYPERLINK("https://nematode.unl.edu/facut7.jpg")</f>
        <v>https://nematode.unl.edu/facut7.jpg</v>
      </c>
      <c r="D4087" t="s">
        <v>43</v>
      </c>
      <c r="G4087" t="s">
        <v>34</v>
      </c>
      <c r="H4087" t="s">
        <v>18</v>
      </c>
      <c r="I4087" t="s">
        <v>19</v>
      </c>
      <c r="J4087" t="s">
        <v>20</v>
      </c>
      <c r="L4087" t="s">
        <v>141</v>
      </c>
      <c r="M4087" t="s">
        <v>5494</v>
      </c>
      <c r="N4087" t="s">
        <v>5494</v>
      </c>
      <c r="O4087" t="s">
        <v>23</v>
      </c>
      <c r="P4087" t="s">
        <v>24</v>
      </c>
      <c r="Q4087" t="s">
        <v>69</v>
      </c>
      <c r="R4087" t="s">
        <v>1030</v>
      </c>
    </row>
    <row r="4088" spans="1:18" x14ac:dyDescent="0.25">
      <c r="A4088" t="s">
        <v>18028</v>
      </c>
      <c r="B4088" t="s">
        <v>5507</v>
      </c>
      <c r="C4088" t="str">
        <f>HYPERLINK("https://nematode.unl.edu/facut8.jpg")</f>
        <v>https://nematode.unl.edu/facut8.jpg</v>
      </c>
      <c r="D4088" t="s">
        <v>43</v>
      </c>
      <c r="G4088" t="s">
        <v>34</v>
      </c>
      <c r="H4088" t="s">
        <v>18</v>
      </c>
      <c r="I4088" t="s">
        <v>41</v>
      </c>
      <c r="J4088" t="s">
        <v>20</v>
      </c>
      <c r="M4088" t="s">
        <v>5494</v>
      </c>
      <c r="N4088" t="s">
        <v>5494</v>
      </c>
      <c r="O4088" t="s">
        <v>23</v>
      </c>
      <c r="P4088" t="s">
        <v>24</v>
      </c>
      <c r="Q4088" t="s">
        <v>69</v>
      </c>
      <c r="R4088" t="s">
        <v>1030</v>
      </c>
    </row>
    <row r="4089" spans="1:18" x14ac:dyDescent="0.25">
      <c r="A4089" t="s">
        <v>18035</v>
      </c>
      <c r="B4089" t="s">
        <v>5508</v>
      </c>
      <c r="C4089" t="str">
        <f>HYPERLINK("https://nematode.unl.edu/facut9.jpg")</f>
        <v>https://nematode.unl.edu/facut9.jpg</v>
      </c>
      <c r="D4089" t="s">
        <v>43</v>
      </c>
      <c r="G4089" t="s">
        <v>28</v>
      </c>
      <c r="I4089" t="s">
        <v>41</v>
      </c>
      <c r="J4089" t="s">
        <v>20</v>
      </c>
      <c r="L4089" t="s">
        <v>141</v>
      </c>
      <c r="M4089" t="s">
        <v>5494</v>
      </c>
      <c r="N4089" t="s">
        <v>5494</v>
      </c>
      <c r="O4089" t="s">
        <v>23</v>
      </c>
      <c r="P4089" t="s">
        <v>24</v>
      </c>
      <c r="Q4089" t="s">
        <v>69</v>
      </c>
      <c r="R4089" t="s">
        <v>1030</v>
      </c>
    </row>
    <row r="4090" spans="1:18" x14ac:dyDescent="0.25">
      <c r="A4090" t="s">
        <v>18063</v>
      </c>
      <c r="B4090" t="s">
        <v>5536</v>
      </c>
      <c r="C4090" t="str">
        <f>HYPERLINK("https://nematode.unl.edu/fannul1.jpg")</f>
        <v>https://nematode.unl.edu/fannul1.jpg</v>
      </c>
      <c r="D4090" t="s">
        <v>43</v>
      </c>
      <c r="G4090" t="s">
        <v>34</v>
      </c>
      <c r="H4090" t="s">
        <v>18</v>
      </c>
      <c r="I4090" t="s">
        <v>19</v>
      </c>
      <c r="J4090" t="s">
        <v>20</v>
      </c>
      <c r="M4090" t="s">
        <v>5537</v>
      </c>
      <c r="N4090" t="s">
        <v>5537</v>
      </c>
      <c r="O4090" t="s">
        <v>23</v>
      </c>
      <c r="P4090" t="s">
        <v>24</v>
      </c>
      <c r="Q4090" t="s">
        <v>69</v>
      </c>
      <c r="R4090" t="s">
        <v>1030</v>
      </c>
    </row>
    <row r="4091" spans="1:18" x14ac:dyDescent="0.25">
      <c r="A4091" t="s">
        <v>18071</v>
      </c>
      <c r="B4091" t="s">
        <v>5538</v>
      </c>
      <c r="C4091" t="str">
        <f>HYPERLINK("https://nematode.unl.edu/fannul2.jpg")</f>
        <v>https://nematode.unl.edu/fannul2.jpg</v>
      </c>
      <c r="D4091" t="s">
        <v>43</v>
      </c>
      <c r="G4091" t="s">
        <v>51</v>
      </c>
      <c r="J4091" t="s">
        <v>20</v>
      </c>
      <c r="M4091" t="s">
        <v>5537</v>
      </c>
      <c r="N4091" t="s">
        <v>5537</v>
      </c>
      <c r="O4091" t="s">
        <v>23</v>
      </c>
      <c r="P4091" t="s">
        <v>24</v>
      </c>
      <c r="Q4091" t="s">
        <v>69</v>
      </c>
      <c r="R4091" t="s">
        <v>1030</v>
      </c>
    </row>
    <row r="4092" spans="1:18" x14ac:dyDescent="0.25">
      <c r="A4092" t="s">
        <v>18069</v>
      </c>
      <c r="B4092" t="s">
        <v>5539</v>
      </c>
      <c r="C4092" t="str">
        <f>HYPERLINK("https://nematode.unl.edu/fannul3.jpg")</f>
        <v>https://nematode.unl.edu/fannul3.jpg</v>
      </c>
      <c r="D4092" t="s">
        <v>43</v>
      </c>
      <c r="G4092" t="s">
        <v>28</v>
      </c>
      <c r="L4092" t="s">
        <v>29</v>
      </c>
      <c r="M4092" t="s">
        <v>5537</v>
      </c>
      <c r="N4092" t="s">
        <v>5537</v>
      </c>
      <c r="O4092" t="s">
        <v>23</v>
      </c>
      <c r="P4092" t="s">
        <v>24</v>
      </c>
      <c r="Q4092" t="s">
        <v>69</v>
      </c>
      <c r="R4092" t="s">
        <v>1030</v>
      </c>
    </row>
    <row r="4093" spans="1:18" x14ac:dyDescent="0.25">
      <c r="A4093" t="s">
        <v>18064</v>
      </c>
      <c r="B4093" t="s">
        <v>5540</v>
      </c>
      <c r="C4093" t="str">
        <f>HYPERLINK("https://nematode.unl.edu/fannul4.jpg")</f>
        <v>https://nematode.unl.edu/fannul4.jpg</v>
      </c>
      <c r="D4093" t="s">
        <v>43</v>
      </c>
      <c r="G4093" t="s">
        <v>34</v>
      </c>
      <c r="H4093" t="s">
        <v>18</v>
      </c>
      <c r="I4093" t="s">
        <v>41</v>
      </c>
      <c r="M4093" t="s">
        <v>5537</v>
      </c>
      <c r="N4093" t="s">
        <v>5537</v>
      </c>
      <c r="O4093" t="s">
        <v>23</v>
      </c>
      <c r="P4093" t="s">
        <v>24</v>
      </c>
      <c r="Q4093" t="s">
        <v>69</v>
      </c>
      <c r="R4093" t="s">
        <v>1030</v>
      </c>
    </row>
    <row r="4094" spans="1:18" x14ac:dyDescent="0.25">
      <c r="A4094" t="s">
        <v>18065</v>
      </c>
      <c r="B4094" t="s">
        <v>5541</v>
      </c>
      <c r="C4094" t="str">
        <f>HYPERLINK("https://nematode.unl.edu/fannul5.jpg")</f>
        <v>https://nematode.unl.edu/fannul5.jpg</v>
      </c>
      <c r="D4094" t="s">
        <v>43</v>
      </c>
      <c r="G4094" t="s">
        <v>34</v>
      </c>
      <c r="H4094" t="s">
        <v>18</v>
      </c>
      <c r="I4094" t="s">
        <v>41</v>
      </c>
      <c r="J4094" t="s">
        <v>20</v>
      </c>
      <c r="L4094" t="s">
        <v>64</v>
      </c>
      <c r="M4094" t="s">
        <v>5537</v>
      </c>
      <c r="N4094" t="s">
        <v>5537</v>
      </c>
      <c r="O4094" t="s">
        <v>23</v>
      </c>
      <c r="P4094" t="s">
        <v>24</v>
      </c>
      <c r="Q4094" t="s">
        <v>69</v>
      </c>
      <c r="R4094" t="s">
        <v>1030</v>
      </c>
    </row>
    <row r="4095" spans="1:18" x14ac:dyDescent="0.25">
      <c r="A4095" t="s">
        <v>18068</v>
      </c>
      <c r="B4095" t="s">
        <v>5542</v>
      </c>
      <c r="C4095" t="str">
        <f>HYPERLINK("https://nematode.unl.edu/fannul6.jpg")</f>
        <v>https://nematode.unl.edu/fannul6.jpg</v>
      </c>
      <c r="D4095" t="s">
        <v>43</v>
      </c>
      <c r="G4095" t="s">
        <v>53</v>
      </c>
      <c r="J4095" t="s">
        <v>20</v>
      </c>
      <c r="L4095" t="s">
        <v>141</v>
      </c>
      <c r="M4095" t="s">
        <v>5537</v>
      </c>
      <c r="N4095" t="s">
        <v>5537</v>
      </c>
      <c r="O4095" t="s">
        <v>23</v>
      </c>
      <c r="P4095" t="s">
        <v>24</v>
      </c>
      <c r="Q4095" t="s">
        <v>69</v>
      </c>
      <c r="R4095" t="s">
        <v>1030</v>
      </c>
    </row>
    <row r="4096" spans="1:18" x14ac:dyDescent="0.25">
      <c r="A4096" t="s">
        <v>18066</v>
      </c>
      <c r="B4096" t="s">
        <v>5543</v>
      </c>
      <c r="C4096" t="str">
        <f>HYPERLINK("https://nematode.unl.edu/fannul7.jpg")</f>
        <v>https://nematode.unl.edu/fannul7.jpg</v>
      </c>
      <c r="D4096" t="s">
        <v>43</v>
      </c>
      <c r="G4096" t="s">
        <v>34</v>
      </c>
      <c r="H4096" t="s">
        <v>18</v>
      </c>
      <c r="I4096" t="s">
        <v>41</v>
      </c>
      <c r="J4096" t="s">
        <v>20</v>
      </c>
      <c r="L4096" t="s">
        <v>141</v>
      </c>
      <c r="M4096" t="s">
        <v>5537</v>
      </c>
      <c r="N4096" t="s">
        <v>5537</v>
      </c>
      <c r="O4096" t="s">
        <v>23</v>
      </c>
      <c r="P4096" t="s">
        <v>24</v>
      </c>
      <c r="Q4096" t="s">
        <v>69</v>
      </c>
      <c r="R4096" t="s">
        <v>1030</v>
      </c>
    </row>
    <row r="4097" spans="1:18" x14ac:dyDescent="0.25">
      <c r="A4097" t="s">
        <v>18067</v>
      </c>
      <c r="B4097" t="s">
        <v>5544</v>
      </c>
      <c r="C4097" t="str">
        <f>HYPERLINK("https://nematode.unl.edu/fannul8.jpg")</f>
        <v>https://nematode.unl.edu/fannul8.jpg</v>
      </c>
      <c r="D4097" t="s">
        <v>43</v>
      </c>
      <c r="G4097" t="s">
        <v>34</v>
      </c>
      <c r="H4097" t="s">
        <v>18</v>
      </c>
      <c r="J4097" t="s">
        <v>20</v>
      </c>
      <c r="L4097" t="s">
        <v>352</v>
      </c>
      <c r="M4097" t="s">
        <v>5537</v>
      </c>
      <c r="N4097" t="s">
        <v>5537</v>
      </c>
      <c r="O4097" t="s">
        <v>23</v>
      </c>
      <c r="P4097" t="s">
        <v>24</v>
      </c>
      <c r="Q4097" t="s">
        <v>69</v>
      </c>
      <c r="R4097" t="s">
        <v>1030</v>
      </c>
    </row>
    <row r="4098" spans="1:18" x14ac:dyDescent="0.25">
      <c r="A4098" t="s">
        <v>18070</v>
      </c>
      <c r="B4098" t="s">
        <v>5545</v>
      </c>
      <c r="C4098" t="str">
        <f>HYPERLINK("https://nematode.unl.edu/fannul9.jpg")</f>
        <v>https://nematode.unl.edu/fannul9.jpg</v>
      </c>
      <c r="D4098" t="s">
        <v>43</v>
      </c>
      <c r="G4098" t="s">
        <v>28</v>
      </c>
      <c r="I4098" t="s">
        <v>45</v>
      </c>
      <c r="J4098" t="s">
        <v>20</v>
      </c>
      <c r="L4098" t="s">
        <v>141</v>
      </c>
      <c r="M4098" t="s">
        <v>5537</v>
      </c>
      <c r="N4098" t="s">
        <v>5537</v>
      </c>
      <c r="O4098" t="s">
        <v>23</v>
      </c>
      <c r="P4098" t="s">
        <v>24</v>
      </c>
      <c r="Q4098" t="s">
        <v>69</v>
      </c>
      <c r="R4098" t="s">
        <v>1030</v>
      </c>
    </row>
    <row r="4099" spans="1:18" x14ac:dyDescent="0.25">
      <c r="A4099" t="s">
        <v>18072</v>
      </c>
      <c r="B4099" t="s">
        <v>5546</v>
      </c>
      <c r="C4099" t="str">
        <f>HYPERLINK("https://nematode.unl.edu/faquil1.jpg")</f>
        <v>https://nematode.unl.edu/faquil1.jpg</v>
      </c>
      <c r="D4099" t="s">
        <v>16</v>
      </c>
      <c r="G4099" t="s">
        <v>34</v>
      </c>
      <c r="H4099" t="s">
        <v>18</v>
      </c>
      <c r="I4099" t="s">
        <v>41</v>
      </c>
      <c r="M4099" t="s">
        <v>5547</v>
      </c>
      <c r="N4099" t="s">
        <v>5547</v>
      </c>
      <c r="O4099" t="s">
        <v>23</v>
      </c>
      <c r="P4099" t="s">
        <v>24</v>
      </c>
      <c r="Q4099" t="s">
        <v>69</v>
      </c>
      <c r="R4099" t="s">
        <v>1030</v>
      </c>
    </row>
    <row r="4100" spans="1:18" x14ac:dyDescent="0.25">
      <c r="A4100" t="s">
        <v>18148</v>
      </c>
      <c r="B4100" t="s">
        <v>1027</v>
      </c>
      <c r="C4100" t="str">
        <f>HYPERLINK("https://nematode.unl.edu/fcyco1.jpg")</f>
        <v>https://nematode.unl.edu/fcyco1.jpg</v>
      </c>
      <c r="D4100" t="s">
        <v>43</v>
      </c>
      <c r="G4100" t="s">
        <v>34</v>
      </c>
      <c r="H4100" t="s">
        <v>18</v>
      </c>
      <c r="I4100" t="s">
        <v>41</v>
      </c>
      <c r="J4100" t="s">
        <v>20</v>
      </c>
      <c r="L4100" t="s">
        <v>141</v>
      </c>
      <c r="M4100" t="s">
        <v>1028</v>
      </c>
      <c r="N4100" t="s">
        <v>1029</v>
      </c>
      <c r="O4100" t="s">
        <v>23</v>
      </c>
      <c r="P4100" t="s">
        <v>24</v>
      </c>
      <c r="Q4100" t="s">
        <v>69</v>
      </c>
      <c r="R4100" t="s">
        <v>1030</v>
      </c>
    </row>
    <row r="4101" spans="1:18" x14ac:dyDescent="0.25">
      <c r="A4101" t="s">
        <v>18149</v>
      </c>
      <c r="B4101" t="s">
        <v>1031</v>
      </c>
      <c r="C4101" t="str">
        <f>HYPERLINK("https://nematode.unl.edu/fcyco10.jpg")</f>
        <v>https://nematode.unl.edu/fcyco10.jpg</v>
      </c>
      <c r="D4101" t="s">
        <v>77</v>
      </c>
      <c r="G4101" t="s">
        <v>34</v>
      </c>
      <c r="H4101" t="s">
        <v>18</v>
      </c>
      <c r="I4101" t="s">
        <v>516</v>
      </c>
      <c r="J4101" t="s">
        <v>20</v>
      </c>
      <c r="L4101" t="s">
        <v>38</v>
      </c>
      <c r="M4101" t="s">
        <v>1028</v>
      </c>
      <c r="N4101" t="s">
        <v>1029</v>
      </c>
      <c r="O4101" t="s">
        <v>23</v>
      </c>
      <c r="P4101" t="s">
        <v>24</v>
      </c>
      <c r="Q4101" t="s">
        <v>69</v>
      </c>
      <c r="R4101" t="s">
        <v>1030</v>
      </c>
    </row>
    <row r="4102" spans="1:18" x14ac:dyDescent="0.25">
      <c r="A4102" t="s">
        <v>18158</v>
      </c>
      <c r="B4102" t="s">
        <v>1032</v>
      </c>
      <c r="C4102" t="str">
        <f>HYPERLINK("https://nematode.unl.edu/fcyco11.jpg")</f>
        <v>https://nematode.unl.edu/fcyco11.jpg</v>
      </c>
      <c r="D4102" t="s">
        <v>77</v>
      </c>
      <c r="G4102" t="s">
        <v>112</v>
      </c>
      <c r="J4102" t="s">
        <v>20</v>
      </c>
      <c r="L4102" t="s">
        <v>38</v>
      </c>
      <c r="M4102" t="s">
        <v>1028</v>
      </c>
      <c r="N4102" t="s">
        <v>1029</v>
      </c>
      <c r="O4102" t="s">
        <v>23</v>
      </c>
      <c r="P4102" t="s">
        <v>24</v>
      </c>
      <c r="Q4102" t="s">
        <v>69</v>
      </c>
      <c r="R4102" t="s">
        <v>1030</v>
      </c>
    </row>
    <row r="4103" spans="1:18" x14ac:dyDescent="0.25">
      <c r="A4103" t="s">
        <v>18161</v>
      </c>
      <c r="B4103" t="s">
        <v>1033</v>
      </c>
      <c r="C4103" t="str">
        <f>HYPERLINK("https://nematode.unl.edu/fcyco12.jpg")</f>
        <v>https://nematode.unl.edu/fcyco12.jpg</v>
      </c>
      <c r="D4103" t="s">
        <v>77</v>
      </c>
      <c r="G4103" t="s">
        <v>28</v>
      </c>
      <c r="J4103" t="s">
        <v>20</v>
      </c>
      <c r="L4103" t="s">
        <v>38</v>
      </c>
      <c r="M4103" t="s">
        <v>1028</v>
      </c>
      <c r="N4103" t="s">
        <v>1029</v>
      </c>
      <c r="O4103" t="s">
        <v>23</v>
      </c>
      <c r="P4103" t="s">
        <v>24</v>
      </c>
      <c r="Q4103" t="s">
        <v>69</v>
      </c>
      <c r="R4103" t="s">
        <v>1030</v>
      </c>
    </row>
    <row r="4104" spans="1:18" x14ac:dyDescent="0.25">
      <c r="A4104" t="s">
        <v>18153</v>
      </c>
      <c r="B4104" t="s">
        <v>1034</v>
      </c>
      <c r="C4104" t="str">
        <f>HYPERLINK("https://nematode.unl.edu/fcyco2.jpg")</f>
        <v>https://nematode.unl.edu/fcyco2.jpg</v>
      </c>
      <c r="D4104" t="s">
        <v>43</v>
      </c>
      <c r="G4104" t="s">
        <v>384</v>
      </c>
      <c r="I4104" t="s">
        <v>41</v>
      </c>
      <c r="J4104" t="s">
        <v>20</v>
      </c>
      <c r="L4104" t="s">
        <v>141</v>
      </c>
      <c r="M4104" t="s">
        <v>1028</v>
      </c>
      <c r="N4104" t="s">
        <v>1029</v>
      </c>
      <c r="O4104" t="s">
        <v>23</v>
      </c>
      <c r="P4104" t="s">
        <v>24</v>
      </c>
      <c r="Q4104" t="s">
        <v>69</v>
      </c>
      <c r="R4104" t="s">
        <v>1030</v>
      </c>
    </row>
    <row r="4105" spans="1:18" x14ac:dyDescent="0.25">
      <c r="A4105" t="s">
        <v>18162</v>
      </c>
      <c r="B4105" t="s">
        <v>1035</v>
      </c>
      <c r="C4105" t="str">
        <f>HYPERLINK("https://nematode.unl.edu/fcyco3.jpg")</f>
        <v>https://nematode.unl.edu/fcyco3.jpg</v>
      </c>
      <c r="D4105" t="s">
        <v>43</v>
      </c>
      <c r="G4105" t="s">
        <v>28</v>
      </c>
      <c r="I4105" t="s">
        <v>41</v>
      </c>
      <c r="J4105" t="s">
        <v>20</v>
      </c>
      <c r="L4105" t="s">
        <v>220</v>
      </c>
      <c r="M4105" t="s">
        <v>1028</v>
      </c>
      <c r="N4105" t="s">
        <v>1029</v>
      </c>
      <c r="O4105" t="s">
        <v>23</v>
      </c>
      <c r="P4105" t="s">
        <v>24</v>
      </c>
      <c r="Q4105" t="s">
        <v>69</v>
      </c>
      <c r="R4105" t="s">
        <v>1030</v>
      </c>
    </row>
    <row r="4106" spans="1:18" x14ac:dyDescent="0.25">
      <c r="A4106" t="s">
        <v>18154</v>
      </c>
      <c r="B4106" t="s">
        <v>1036</v>
      </c>
      <c r="C4106" t="str">
        <f>HYPERLINK("https://nematode.unl.edu/fcyco4.jpg")</f>
        <v>https://nematode.unl.edu/fcyco4.jpg</v>
      </c>
      <c r="D4106" t="s">
        <v>77</v>
      </c>
      <c r="G4106" t="s">
        <v>44</v>
      </c>
      <c r="I4106" t="s">
        <v>91</v>
      </c>
      <c r="J4106" t="s">
        <v>20</v>
      </c>
      <c r="L4106" t="s">
        <v>752</v>
      </c>
      <c r="M4106" t="s">
        <v>1028</v>
      </c>
      <c r="N4106" t="s">
        <v>1029</v>
      </c>
      <c r="O4106" t="s">
        <v>23</v>
      </c>
      <c r="P4106" t="s">
        <v>24</v>
      </c>
      <c r="Q4106" t="s">
        <v>69</v>
      </c>
      <c r="R4106" t="s">
        <v>1030</v>
      </c>
    </row>
    <row r="4107" spans="1:18" x14ac:dyDescent="0.25">
      <c r="A4107" t="s">
        <v>18159</v>
      </c>
      <c r="B4107" t="s">
        <v>1037</v>
      </c>
      <c r="C4107" t="str">
        <f>HYPERLINK("https://nematode.unl.edu/fcyco5.jpg")</f>
        <v>https://nematode.unl.edu/fcyco5.jpg</v>
      </c>
      <c r="D4107" t="s">
        <v>77</v>
      </c>
      <c r="G4107" t="s">
        <v>112</v>
      </c>
      <c r="I4107" t="s">
        <v>19</v>
      </c>
      <c r="J4107" t="s">
        <v>20</v>
      </c>
      <c r="L4107" t="s">
        <v>752</v>
      </c>
      <c r="M4107" t="s">
        <v>1028</v>
      </c>
      <c r="N4107" t="s">
        <v>1029</v>
      </c>
      <c r="O4107" t="s">
        <v>23</v>
      </c>
      <c r="P4107" t="s">
        <v>24</v>
      </c>
      <c r="Q4107" t="s">
        <v>69</v>
      </c>
      <c r="R4107" t="s">
        <v>1030</v>
      </c>
    </row>
    <row r="4108" spans="1:18" x14ac:dyDescent="0.25">
      <c r="A4108" t="s">
        <v>18160</v>
      </c>
      <c r="B4108" t="s">
        <v>1038</v>
      </c>
      <c r="C4108" t="str">
        <f>HYPERLINK("https://nematode.unl.edu/fcyco6.jpg")</f>
        <v>https://nematode.unl.edu/fcyco6.jpg</v>
      </c>
      <c r="D4108" t="s">
        <v>77</v>
      </c>
      <c r="G4108" t="s">
        <v>112</v>
      </c>
      <c r="I4108" t="s">
        <v>41</v>
      </c>
      <c r="J4108" t="s">
        <v>20</v>
      </c>
      <c r="L4108" t="s">
        <v>752</v>
      </c>
      <c r="M4108" t="s">
        <v>1028</v>
      </c>
      <c r="N4108" t="s">
        <v>1029</v>
      </c>
      <c r="O4108" t="s">
        <v>23</v>
      </c>
      <c r="P4108" t="s">
        <v>24</v>
      </c>
      <c r="Q4108" t="s">
        <v>69</v>
      </c>
      <c r="R4108" t="s">
        <v>1030</v>
      </c>
    </row>
    <row r="4109" spans="1:18" x14ac:dyDescent="0.25">
      <c r="A4109" t="s">
        <v>18157</v>
      </c>
      <c r="B4109" t="s">
        <v>1039</v>
      </c>
      <c r="C4109" t="str">
        <f>HYPERLINK("https://nematode.unl.edu/fcyco7.jpg")</f>
        <v>https://nematode.unl.edu/fcyco7.jpg</v>
      </c>
      <c r="D4109" t="s">
        <v>77</v>
      </c>
      <c r="G4109" t="s">
        <v>53</v>
      </c>
      <c r="I4109" t="s">
        <v>529</v>
      </c>
      <c r="J4109" t="s">
        <v>20</v>
      </c>
      <c r="L4109" t="s">
        <v>752</v>
      </c>
      <c r="M4109" t="s">
        <v>1028</v>
      </c>
      <c r="N4109" t="s">
        <v>1029</v>
      </c>
      <c r="O4109" t="s">
        <v>23</v>
      </c>
      <c r="P4109" t="s">
        <v>24</v>
      </c>
      <c r="Q4109" t="s">
        <v>69</v>
      </c>
      <c r="R4109" t="s">
        <v>1030</v>
      </c>
    </row>
    <row r="4110" spans="1:18" x14ac:dyDescent="0.25">
      <c r="A4110" t="s">
        <v>18150</v>
      </c>
      <c r="B4110" t="s">
        <v>1040</v>
      </c>
      <c r="C4110" t="str">
        <f>HYPERLINK("https://nematode.unl.edu/fcyco8.jpg")</f>
        <v>https://nematode.unl.edu/fcyco8.jpg</v>
      </c>
      <c r="D4110" t="s">
        <v>77</v>
      </c>
      <c r="G4110" t="s">
        <v>34</v>
      </c>
      <c r="H4110" t="s">
        <v>18</v>
      </c>
      <c r="I4110" t="s">
        <v>41</v>
      </c>
      <c r="J4110" t="s">
        <v>20</v>
      </c>
      <c r="L4110" t="s">
        <v>752</v>
      </c>
      <c r="M4110" t="s">
        <v>1028</v>
      </c>
      <c r="N4110" t="s">
        <v>1029</v>
      </c>
      <c r="O4110" t="s">
        <v>23</v>
      </c>
      <c r="P4110" t="s">
        <v>24</v>
      </c>
      <c r="Q4110" t="s">
        <v>69</v>
      </c>
      <c r="R4110" t="s">
        <v>1030</v>
      </c>
    </row>
    <row r="4111" spans="1:18" x14ac:dyDescent="0.25">
      <c r="A4111" t="s">
        <v>18155</v>
      </c>
      <c r="B4111" t="s">
        <v>1041</v>
      </c>
      <c r="C4111" t="str">
        <f>HYPERLINK("https://nematode.unl.edu/fcyco9.jpg")</f>
        <v>https://nematode.unl.edu/fcyco9.jpg</v>
      </c>
      <c r="D4111" t="s">
        <v>77</v>
      </c>
      <c r="G4111" t="s">
        <v>44</v>
      </c>
      <c r="I4111" t="s">
        <v>499</v>
      </c>
      <c r="J4111" t="s">
        <v>20</v>
      </c>
      <c r="L4111" t="s">
        <v>38</v>
      </c>
      <c r="M4111" t="s">
        <v>1028</v>
      </c>
      <c r="N4111" t="s">
        <v>1029</v>
      </c>
      <c r="O4111" t="s">
        <v>23</v>
      </c>
      <c r="P4111" t="s">
        <v>24</v>
      </c>
      <c r="Q4111" t="s">
        <v>69</v>
      </c>
      <c r="R4111" t="s">
        <v>1030</v>
      </c>
    </row>
    <row r="4112" spans="1:18" x14ac:dyDescent="0.25">
      <c r="A4112" t="s">
        <v>18146</v>
      </c>
      <c r="B4112" t="s">
        <v>1042</v>
      </c>
      <c r="C4112" t="str">
        <f>HYPERLINK("https://nematode.unl.edu/fcylcmp.jpg")</f>
        <v>https://nematode.unl.edu/fcylcmp.jpg</v>
      </c>
      <c r="D4112" t="s">
        <v>77</v>
      </c>
      <c r="G4112" t="s">
        <v>96</v>
      </c>
      <c r="H4112" t="s">
        <v>18</v>
      </c>
      <c r="M4112" t="s">
        <v>1028</v>
      </c>
      <c r="N4112" t="s">
        <v>1029</v>
      </c>
      <c r="O4112" t="s">
        <v>23</v>
      </c>
      <c r="P4112" t="s">
        <v>24</v>
      </c>
      <c r="Q4112" t="s">
        <v>69</v>
      </c>
      <c r="R4112" t="s">
        <v>1030</v>
      </c>
    </row>
    <row r="4113" spans="1:18" x14ac:dyDescent="0.25">
      <c r="A4113" t="s">
        <v>18243</v>
      </c>
      <c r="B4113" t="s">
        <v>5678</v>
      </c>
      <c r="C4113" t="str">
        <f>HYPERLINK("https://nematode.unl.edu/fditcmp.jpg")</f>
        <v>https://nematode.unl.edu/fditcmp.jpg</v>
      </c>
      <c r="D4113" t="s">
        <v>43</v>
      </c>
      <c r="G4113" t="s">
        <v>28</v>
      </c>
      <c r="M4113" t="s">
        <v>5679</v>
      </c>
      <c r="N4113" t="s">
        <v>5679</v>
      </c>
      <c r="O4113" t="s">
        <v>23</v>
      </c>
      <c r="P4113" t="s">
        <v>24</v>
      </c>
      <c r="Q4113" t="s">
        <v>69</v>
      </c>
      <c r="R4113" t="s">
        <v>1030</v>
      </c>
    </row>
    <row r="4114" spans="1:18" x14ac:dyDescent="0.25">
      <c r="A4114" t="s">
        <v>18583</v>
      </c>
      <c r="B4114" t="s">
        <v>1911</v>
      </c>
      <c r="C4114" t="str">
        <f>HYPERLINK("https://nematode.unl.edu/fexi1.jpg")</f>
        <v>https://nematode.unl.edu/fexi1.jpg</v>
      </c>
      <c r="D4114" t="s">
        <v>16</v>
      </c>
      <c r="G4114" t="s">
        <v>44</v>
      </c>
      <c r="I4114" t="s">
        <v>45</v>
      </c>
      <c r="J4114" t="s">
        <v>20</v>
      </c>
      <c r="L4114" t="s">
        <v>85</v>
      </c>
      <c r="M4114" t="s">
        <v>1912</v>
      </c>
      <c r="N4114" t="s">
        <v>1913</v>
      </c>
      <c r="O4114" t="s">
        <v>23</v>
      </c>
      <c r="P4114" t="s">
        <v>24</v>
      </c>
      <c r="Q4114" t="s">
        <v>69</v>
      </c>
      <c r="R4114" t="s">
        <v>1883</v>
      </c>
    </row>
    <row r="4115" spans="1:18" x14ac:dyDescent="0.25">
      <c r="A4115" t="s">
        <v>18584</v>
      </c>
      <c r="B4115" t="s">
        <v>1914</v>
      </c>
      <c r="C4115" t="str">
        <f>HYPERLINK("https://nematode.unl.edu/fexi10.jpg")</f>
        <v>https://nematode.unl.edu/fexi10.jpg</v>
      </c>
      <c r="D4115" t="s">
        <v>43</v>
      </c>
      <c r="G4115" t="s">
        <v>44</v>
      </c>
      <c r="I4115" t="s">
        <v>45</v>
      </c>
      <c r="J4115" t="s">
        <v>20</v>
      </c>
      <c r="L4115" t="s">
        <v>85</v>
      </c>
      <c r="M4115" t="s">
        <v>1912</v>
      </c>
      <c r="N4115" t="s">
        <v>1913</v>
      </c>
      <c r="O4115" t="s">
        <v>23</v>
      </c>
      <c r="P4115" t="s">
        <v>24</v>
      </c>
      <c r="Q4115" t="s">
        <v>69</v>
      </c>
      <c r="R4115" t="s">
        <v>1883</v>
      </c>
    </row>
    <row r="4116" spans="1:18" x14ac:dyDescent="0.25">
      <c r="A4116" t="s">
        <v>18573</v>
      </c>
      <c r="B4116" t="s">
        <v>1915</v>
      </c>
      <c r="C4116" t="str">
        <f>HYPERLINK("https://nematode.unl.edu/fexi11.jpg")</f>
        <v>https://nematode.unl.edu/fexi11.jpg</v>
      </c>
      <c r="D4116" t="s">
        <v>43</v>
      </c>
      <c r="G4116" t="s">
        <v>34</v>
      </c>
      <c r="H4116" t="s">
        <v>18</v>
      </c>
      <c r="M4116" t="s">
        <v>1912</v>
      </c>
      <c r="N4116" t="s">
        <v>1913</v>
      </c>
      <c r="O4116" t="s">
        <v>23</v>
      </c>
      <c r="P4116" t="s">
        <v>24</v>
      </c>
      <c r="Q4116" t="s">
        <v>69</v>
      </c>
      <c r="R4116" t="s">
        <v>1883</v>
      </c>
    </row>
    <row r="4117" spans="1:18" x14ac:dyDescent="0.25">
      <c r="A4117" t="s">
        <v>18574</v>
      </c>
      <c r="B4117" t="s">
        <v>1916</v>
      </c>
      <c r="C4117" t="str">
        <f>HYPERLINK("https://nematode.unl.edu/fexi2.jpg")</f>
        <v>https://nematode.unl.edu/fexi2.jpg</v>
      </c>
      <c r="D4117" t="s">
        <v>16</v>
      </c>
      <c r="G4117" t="s">
        <v>34</v>
      </c>
      <c r="H4117" t="s">
        <v>18</v>
      </c>
      <c r="J4117" t="s">
        <v>20</v>
      </c>
      <c r="L4117" t="s">
        <v>85</v>
      </c>
      <c r="M4117" t="s">
        <v>1912</v>
      </c>
      <c r="N4117" t="s">
        <v>1913</v>
      </c>
      <c r="O4117" t="s">
        <v>23</v>
      </c>
      <c r="P4117" t="s">
        <v>24</v>
      </c>
      <c r="Q4117" t="s">
        <v>69</v>
      </c>
      <c r="R4117" t="s">
        <v>1883</v>
      </c>
    </row>
    <row r="4118" spans="1:18" x14ac:dyDescent="0.25">
      <c r="A4118" t="s">
        <v>18585</v>
      </c>
      <c r="B4118" t="s">
        <v>1917</v>
      </c>
      <c r="C4118" t="str">
        <f>HYPERLINK("https://nematode.unl.edu/fexi3.jpg")</f>
        <v>https://nematode.unl.edu/fexi3.jpg</v>
      </c>
      <c r="D4118" t="s">
        <v>43</v>
      </c>
      <c r="G4118" t="s">
        <v>44</v>
      </c>
      <c r="I4118" t="s">
        <v>499</v>
      </c>
      <c r="J4118" t="s">
        <v>20</v>
      </c>
      <c r="L4118" t="s">
        <v>85</v>
      </c>
      <c r="M4118" t="s">
        <v>1912</v>
      </c>
      <c r="N4118" t="s">
        <v>1913</v>
      </c>
      <c r="O4118" t="s">
        <v>23</v>
      </c>
      <c r="P4118" t="s">
        <v>24</v>
      </c>
      <c r="Q4118" t="s">
        <v>69</v>
      </c>
      <c r="R4118" t="s">
        <v>1883</v>
      </c>
    </row>
    <row r="4119" spans="1:18" x14ac:dyDescent="0.25">
      <c r="A4119" t="s">
        <v>18575</v>
      </c>
      <c r="B4119" t="s">
        <v>1918</v>
      </c>
      <c r="C4119" t="str">
        <f>HYPERLINK("https://nematode.unl.edu/fexi4.jpg")</f>
        <v>https://nematode.unl.edu/fexi4.jpg</v>
      </c>
      <c r="D4119" t="s">
        <v>43</v>
      </c>
      <c r="G4119" t="s">
        <v>34</v>
      </c>
      <c r="H4119" t="s">
        <v>18</v>
      </c>
      <c r="J4119" t="s">
        <v>20</v>
      </c>
      <c r="M4119" t="s">
        <v>1912</v>
      </c>
      <c r="N4119" t="s">
        <v>1913</v>
      </c>
      <c r="O4119" t="s">
        <v>23</v>
      </c>
      <c r="P4119" t="s">
        <v>24</v>
      </c>
      <c r="Q4119" t="s">
        <v>69</v>
      </c>
      <c r="R4119" t="s">
        <v>1883</v>
      </c>
    </row>
    <row r="4120" spans="1:18" x14ac:dyDescent="0.25">
      <c r="A4120" t="s">
        <v>18586</v>
      </c>
      <c r="B4120" t="s">
        <v>1919</v>
      </c>
      <c r="C4120" t="str">
        <f>HYPERLINK("https://nematode.unl.edu/fexi5.jpg")</f>
        <v>https://nematode.unl.edu/fexi5.jpg</v>
      </c>
      <c r="D4120" t="s">
        <v>77</v>
      </c>
      <c r="G4120" t="s">
        <v>44</v>
      </c>
      <c r="I4120" t="s">
        <v>499</v>
      </c>
      <c r="J4120" t="s">
        <v>20</v>
      </c>
      <c r="L4120" t="s">
        <v>85</v>
      </c>
      <c r="M4120" t="s">
        <v>1912</v>
      </c>
      <c r="N4120" t="s">
        <v>1913</v>
      </c>
      <c r="O4120" t="s">
        <v>23</v>
      </c>
      <c r="P4120" t="s">
        <v>24</v>
      </c>
      <c r="Q4120" t="s">
        <v>69</v>
      </c>
      <c r="R4120" t="s">
        <v>1883</v>
      </c>
    </row>
    <row r="4121" spans="1:18" x14ac:dyDescent="0.25">
      <c r="A4121" t="s">
        <v>18576</v>
      </c>
      <c r="B4121" t="s">
        <v>1920</v>
      </c>
      <c r="C4121" t="str">
        <f>HYPERLINK("https://nematode.unl.edu/fexi6.jpg")</f>
        <v>https://nematode.unl.edu/fexi6.jpg</v>
      </c>
      <c r="D4121" t="s">
        <v>77</v>
      </c>
      <c r="G4121" t="s">
        <v>34</v>
      </c>
      <c r="H4121" t="s">
        <v>18</v>
      </c>
      <c r="J4121" t="s">
        <v>20</v>
      </c>
      <c r="M4121" t="s">
        <v>1912</v>
      </c>
      <c r="N4121" t="s">
        <v>1913</v>
      </c>
      <c r="O4121" t="s">
        <v>23</v>
      </c>
      <c r="P4121" t="s">
        <v>24</v>
      </c>
      <c r="Q4121" t="s">
        <v>69</v>
      </c>
      <c r="R4121" t="s">
        <v>1883</v>
      </c>
    </row>
    <row r="4122" spans="1:18" x14ac:dyDescent="0.25">
      <c r="A4122" t="s">
        <v>18592</v>
      </c>
      <c r="B4122" t="s">
        <v>1921</v>
      </c>
      <c r="C4122" t="str">
        <f>HYPERLINK("https://nematode.unl.edu/fexi7.jpg")</f>
        <v>https://nematode.unl.edu/fexi7.jpg</v>
      </c>
      <c r="D4122" t="s">
        <v>77</v>
      </c>
      <c r="G4122" t="s">
        <v>112</v>
      </c>
      <c r="J4122" t="s">
        <v>20</v>
      </c>
      <c r="L4122" t="s">
        <v>85</v>
      </c>
      <c r="M4122" t="s">
        <v>1912</v>
      </c>
      <c r="N4122" t="s">
        <v>1913</v>
      </c>
      <c r="O4122" t="s">
        <v>23</v>
      </c>
      <c r="P4122" t="s">
        <v>24</v>
      </c>
      <c r="Q4122" t="s">
        <v>69</v>
      </c>
      <c r="R4122" t="s">
        <v>1883</v>
      </c>
    </row>
    <row r="4123" spans="1:18" x14ac:dyDescent="0.25">
      <c r="A4123" t="s">
        <v>18587</v>
      </c>
      <c r="B4123" t="s">
        <v>1922</v>
      </c>
      <c r="C4123" t="str">
        <f>HYPERLINK("https://nematode.unl.edu/fexi8.jpg")</f>
        <v>https://nematode.unl.edu/fexi8.jpg</v>
      </c>
      <c r="D4123" t="s">
        <v>16</v>
      </c>
      <c r="G4123" t="s">
        <v>44</v>
      </c>
      <c r="I4123" t="s">
        <v>499</v>
      </c>
      <c r="J4123" t="s">
        <v>20</v>
      </c>
      <c r="L4123" t="s">
        <v>85</v>
      </c>
      <c r="M4123" t="s">
        <v>1912</v>
      </c>
      <c r="N4123" t="s">
        <v>1913</v>
      </c>
      <c r="O4123" t="s">
        <v>23</v>
      </c>
      <c r="P4123" t="s">
        <v>24</v>
      </c>
      <c r="Q4123" t="s">
        <v>69</v>
      </c>
      <c r="R4123" t="s">
        <v>1883</v>
      </c>
    </row>
    <row r="4124" spans="1:18" x14ac:dyDescent="0.25">
      <c r="A4124" t="s">
        <v>18577</v>
      </c>
      <c r="B4124" t="s">
        <v>1923</v>
      </c>
      <c r="C4124" t="str">
        <f>HYPERLINK("https://nematode.unl.edu/fexi9.jpg")</f>
        <v>https://nematode.unl.edu/fexi9.jpg</v>
      </c>
      <c r="D4124" t="s">
        <v>16</v>
      </c>
      <c r="G4124" t="s">
        <v>34</v>
      </c>
      <c r="H4124" t="s">
        <v>18</v>
      </c>
      <c r="I4124" t="s">
        <v>19</v>
      </c>
      <c r="M4124" t="s">
        <v>1912</v>
      </c>
      <c r="N4124" t="s">
        <v>1913</v>
      </c>
      <c r="O4124" t="s">
        <v>23</v>
      </c>
      <c r="P4124" t="s">
        <v>24</v>
      </c>
      <c r="Q4124" t="s">
        <v>69</v>
      </c>
      <c r="R4124" t="s">
        <v>1883</v>
      </c>
    </row>
    <row r="4125" spans="1:18" x14ac:dyDescent="0.25">
      <c r="A4125" t="s">
        <v>18269</v>
      </c>
      <c r="B4125" t="s">
        <v>5724</v>
      </c>
      <c r="C4125" t="str">
        <f>HYPERLINK("https://nematode.unl.edu/fham1.jpg")</f>
        <v>https://nematode.unl.edu/fham1.jpg</v>
      </c>
      <c r="D4125" t="s">
        <v>43</v>
      </c>
      <c r="G4125" t="s">
        <v>44</v>
      </c>
      <c r="I4125" t="s">
        <v>45</v>
      </c>
      <c r="J4125" t="s">
        <v>46</v>
      </c>
      <c r="L4125" t="s">
        <v>105</v>
      </c>
      <c r="M4125" t="s">
        <v>5725</v>
      </c>
      <c r="N4125" t="s">
        <v>5725</v>
      </c>
      <c r="O4125" t="s">
        <v>23</v>
      </c>
      <c r="P4125" t="s">
        <v>24</v>
      </c>
      <c r="Q4125" t="s">
        <v>69</v>
      </c>
      <c r="R4125" t="s">
        <v>1030</v>
      </c>
    </row>
    <row r="4126" spans="1:18" x14ac:dyDescent="0.25">
      <c r="A4126" t="s">
        <v>18260</v>
      </c>
      <c r="B4126" t="s">
        <v>5726</v>
      </c>
      <c r="C4126" t="str">
        <f>HYPERLINK("https://nematode.unl.edu/fham2.jpg")</f>
        <v>https://nematode.unl.edu/fham2.jpg</v>
      </c>
      <c r="D4126" t="s">
        <v>43</v>
      </c>
      <c r="G4126" t="s">
        <v>34</v>
      </c>
      <c r="H4126" t="s">
        <v>18</v>
      </c>
      <c r="I4126" t="s">
        <v>19</v>
      </c>
      <c r="J4126" t="s">
        <v>46</v>
      </c>
      <c r="L4126" t="s">
        <v>727</v>
      </c>
      <c r="M4126" t="s">
        <v>5725</v>
      </c>
      <c r="N4126" t="s">
        <v>5725</v>
      </c>
      <c r="O4126" t="s">
        <v>23</v>
      </c>
      <c r="P4126" t="s">
        <v>24</v>
      </c>
      <c r="Q4126" t="s">
        <v>69</v>
      </c>
      <c r="R4126" t="s">
        <v>1030</v>
      </c>
    </row>
    <row r="4127" spans="1:18" x14ac:dyDescent="0.25">
      <c r="A4127" t="s">
        <v>18272</v>
      </c>
      <c r="B4127" t="s">
        <v>5727</v>
      </c>
      <c r="C4127" t="str">
        <f>HYPERLINK("https://nematode.unl.edu/fham3.jpg")</f>
        <v>https://nematode.unl.edu/fham3.jpg</v>
      </c>
      <c r="D4127" t="s">
        <v>43</v>
      </c>
      <c r="G4127" t="s">
        <v>414</v>
      </c>
      <c r="I4127" t="s">
        <v>19</v>
      </c>
      <c r="J4127" t="s">
        <v>46</v>
      </c>
      <c r="L4127" t="s">
        <v>727</v>
      </c>
      <c r="M4127" t="s">
        <v>5725</v>
      </c>
      <c r="N4127" t="s">
        <v>5725</v>
      </c>
      <c r="O4127" t="s">
        <v>23</v>
      </c>
      <c r="P4127" t="s">
        <v>24</v>
      </c>
      <c r="Q4127" t="s">
        <v>69</v>
      </c>
      <c r="R4127" t="s">
        <v>1030</v>
      </c>
    </row>
    <row r="4128" spans="1:18" x14ac:dyDescent="0.25">
      <c r="A4128" t="s">
        <v>18279</v>
      </c>
      <c r="B4128" t="s">
        <v>5728</v>
      </c>
      <c r="C4128" t="str">
        <f>HYPERLINK("https://nematode.unl.edu/fham4.jpg")</f>
        <v>https://nematode.unl.edu/fham4.jpg</v>
      </c>
      <c r="D4128" t="s">
        <v>43</v>
      </c>
      <c r="G4128" t="s">
        <v>51</v>
      </c>
      <c r="I4128" t="s">
        <v>19</v>
      </c>
      <c r="J4128" t="s">
        <v>46</v>
      </c>
      <c r="L4128" t="s">
        <v>727</v>
      </c>
      <c r="M4128" t="s">
        <v>5725</v>
      </c>
      <c r="N4128" t="s">
        <v>5725</v>
      </c>
      <c r="O4128" t="s">
        <v>23</v>
      </c>
      <c r="P4128" t="s">
        <v>24</v>
      </c>
      <c r="Q4128" t="s">
        <v>69</v>
      </c>
      <c r="R4128" t="s">
        <v>1030</v>
      </c>
    </row>
    <row r="4129" spans="1:18" x14ac:dyDescent="0.25">
      <c r="A4129" t="s">
        <v>18273</v>
      </c>
      <c r="B4129" t="s">
        <v>5729</v>
      </c>
      <c r="C4129" t="str">
        <f>HYPERLINK("https://nematode.unl.edu/fham5.jpg")</f>
        <v>https://nematode.unl.edu/fham5.jpg</v>
      </c>
      <c r="D4129" t="s">
        <v>43</v>
      </c>
      <c r="G4129" t="s">
        <v>28</v>
      </c>
      <c r="I4129" t="s">
        <v>516</v>
      </c>
      <c r="J4129" t="s">
        <v>46</v>
      </c>
      <c r="L4129" t="s">
        <v>727</v>
      </c>
      <c r="M4129" t="s">
        <v>5725</v>
      </c>
      <c r="N4129" t="s">
        <v>5725</v>
      </c>
      <c r="O4129" t="s">
        <v>23</v>
      </c>
      <c r="P4129" t="s">
        <v>24</v>
      </c>
      <c r="Q4129" t="s">
        <v>69</v>
      </c>
      <c r="R4129" t="s">
        <v>1030</v>
      </c>
    </row>
    <row r="4130" spans="1:18" x14ac:dyDescent="0.25">
      <c r="A4130" t="s">
        <v>18259</v>
      </c>
      <c r="B4130" t="s">
        <v>5730</v>
      </c>
      <c r="C4130" t="str">
        <f>HYPERLINK("https://nematode.unl.edu/fhamcmp.jpg")</f>
        <v>https://nematode.unl.edu/fhamcmp.jpg</v>
      </c>
      <c r="D4130" t="s">
        <v>77</v>
      </c>
      <c r="G4130" t="s">
        <v>96</v>
      </c>
      <c r="H4130" t="s">
        <v>18</v>
      </c>
      <c r="M4130" t="s">
        <v>5725</v>
      </c>
      <c r="N4130" t="s">
        <v>5725</v>
      </c>
      <c r="O4130" t="s">
        <v>23</v>
      </c>
      <c r="P4130" t="s">
        <v>24</v>
      </c>
      <c r="Q4130" t="s">
        <v>69</v>
      </c>
      <c r="R4130" t="s">
        <v>1030</v>
      </c>
    </row>
    <row r="4131" spans="1:18" x14ac:dyDescent="0.25">
      <c r="A4131" t="s">
        <v>18282</v>
      </c>
      <c r="B4131" t="s">
        <v>5748</v>
      </c>
      <c r="C4131" t="str">
        <f>HYPERLINK("https://nematode.unl.edu/fhel1.jpg")</f>
        <v>https://nematode.unl.edu/fhel1.jpg</v>
      </c>
      <c r="D4131" t="s">
        <v>43</v>
      </c>
      <c r="G4131" t="s">
        <v>34</v>
      </c>
      <c r="H4131" t="s">
        <v>18</v>
      </c>
      <c r="I4131" t="s">
        <v>19</v>
      </c>
      <c r="J4131" t="s">
        <v>20</v>
      </c>
      <c r="L4131" t="s">
        <v>193</v>
      </c>
      <c r="M4131" t="s">
        <v>5749</v>
      </c>
      <c r="N4131" t="s">
        <v>5749</v>
      </c>
      <c r="O4131" t="s">
        <v>23</v>
      </c>
      <c r="P4131" t="s">
        <v>24</v>
      </c>
      <c r="Q4131" t="s">
        <v>69</v>
      </c>
      <c r="R4131" t="s">
        <v>1030</v>
      </c>
    </row>
    <row r="4132" spans="1:18" x14ac:dyDescent="0.25">
      <c r="A4132" t="s">
        <v>18296</v>
      </c>
      <c r="B4132" t="s">
        <v>5750</v>
      </c>
      <c r="C4132" t="str">
        <f>HYPERLINK("https://nematode.unl.edu/fhel10.jpg")</f>
        <v>https://nematode.unl.edu/fhel10.jpg</v>
      </c>
      <c r="D4132" t="s">
        <v>43</v>
      </c>
      <c r="G4132" t="s">
        <v>51</v>
      </c>
      <c r="I4132" t="s">
        <v>19</v>
      </c>
      <c r="J4132" t="s">
        <v>20</v>
      </c>
      <c r="L4132" t="s">
        <v>752</v>
      </c>
      <c r="M4132" t="s">
        <v>5749</v>
      </c>
      <c r="N4132" t="s">
        <v>5749</v>
      </c>
      <c r="O4132" t="s">
        <v>23</v>
      </c>
      <c r="P4132" t="s">
        <v>24</v>
      </c>
      <c r="Q4132" t="s">
        <v>69</v>
      </c>
      <c r="R4132" t="s">
        <v>1030</v>
      </c>
    </row>
    <row r="4133" spans="1:18" x14ac:dyDescent="0.25">
      <c r="A4133" t="s">
        <v>18283</v>
      </c>
      <c r="B4133" t="s">
        <v>5751</v>
      </c>
      <c r="C4133" t="str">
        <f>HYPERLINK("https://nematode.unl.edu/fhel11.jpg")</f>
        <v>https://nematode.unl.edu/fhel11.jpg</v>
      </c>
      <c r="D4133" t="s">
        <v>16</v>
      </c>
      <c r="G4133" t="s">
        <v>34</v>
      </c>
      <c r="H4133" t="s">
        <v>18</v>
      </c>
      <c r="J4133" t="s">
        <v>20</v>
      </c>
      <c r="L4133" t="s">
        <v>752</v>
      </c>
      <c r="M4133" t="s">
        <v>5749</v>
      </c>
      <c r="N4133" t="s">
        <v>5749</v>
      </c>
      <c r="O4133" t="s">
        <v>23</v>
      </c>
      <c r="P4133" t="s">
        <v>24</v>
      </c>
      <c r="Q4133" t="s">
        <v>69</v>
      </c>
      <c r="R4133" t="s">
        <v>1030</v>
      </c>
    </row>
    <row r="4134" spans="1:18" x14ac:dyDescent="0.25">
      <c r="A4134" t="s">
        <v>18284</v>
      </c>
      <c r="B4134" t="s">
        <v>5752</v>
      </c>
      <c r="C4134" t="str">
        <f>HYPERLINK("https://nematode.unl.edu/fhel12.jpg")</f>
        <v>https://nematode.unl.edu/fhel12.jpg</v>
      </c>
      <c r="D4134" t="s">
        <v>16</v>
      </c>
      <c r="G4134" t="s">
        <v>34</v>
      </c>
      <c r="H4134" t="s">
        <v>18</v>
      </c>
      <c r="I4134" t="s">
        <v>19</v>
      </c>
      <c r="J4134" t="s">
        <v>20</v>
      </c>
      <c r="L4134" t="s">
        <v>35</v>
      </c>
      <c r="M4134" t="s">
        <v>5749</v>
      </c>
      <c r="N4134" t="s">
        <v>5749</v>
      </c>
      <c r="O4134" t="s">
        <v>23</v>
      </c>
      <c r="P4134" t="s">
        <v>24</v>
      </c>
      <c r="Q4134" t="s">
        <v>69</v>
      </c>
      <c r="R4134" t="s">
        <v>1030</v>
      </c>
    </row>
    <row r="4135" spans="1:18" x14ac:dyDescent="0.25">
      <c r="A4135" t="s">
        <v>18293</v>
      </c>
      <c r="B4135" t="s">
        <v>5753</v>
      </c>
      <c r="C4135" t="str">
        <f>HYPERLINK("https://nematode.unl.edu/fhel13.jpg")</f>
        <v>https://nematode.unl.edu/fhel13.jpg</v>
      </c>
      <c r="D4135" t="s">
        <v>43</v>
      </c>
      <c r="G4135" t="s">
        <v>28</v>
      </c>
      <c r="I4135" t="s">
        <v>19</v>
      </c>
      <c r="J4135" t="s">
        <v>20</v>
      </c>
      <c r="L4135" t="s">
        <v>752</v>
      </c>
      <c r="M4135" t="s">
        <v>5749</v>
      </c>
      <c r="N4135" t="s">
        <v>5749</v>
      </c>
      <c r="O4135" t="s">
        <v>23</v>
      </c>
      <c r="P4135" t="s">
        <v>24</v>
      </c>
      <c r="Q4135" t="s">
        <v>69</v>
      </c>
      <c r="R4135" t="s">
        <v>1030</v>
      </c>
    </row>
    <row r="4136" spans="1:18" x14ac:dyDescent="0.25">
      <c r="A4136" t="s">
        <v>18292</v>
      </c>
      <c r="B4136" t="s">
        <v>5754</v>
      </c>
      <c r="C4136" t="str">
        <f>HYPERLINK("https://nematode.unl.edu/fhel14.jpg")</f>
        <v>https://nematode.unl.edu/fhel14.jpg</v>
      </c>
      <c r="D4136" t="s">
        <v>43</v>
      </c>
      <c r="G4136" t="s">
        <v>4510</v>
      </c>
      <c r="I4136" t="s">
        <v>41</v>
      </c>
      <c r="J4136" t="s">
        <v>20</v>
      </c>
      <c r="L4136" t="s">
        <v>752</v>
      </c>
      <c r="M4136" t="s">
        <v>5749</v>
      </c>
      <c r="N4136" t="s">
        <v>5749</v>
      </c>
      <c r="O4136" t="s">
        <v>23</v>
      </c>
      <c r="P4136" t="s">
        <v>24</v>
      </c>
      <c r="Q4136" t="s">
        <v>69</v>
      </c>
      <c r="R4136" t="s">
        <v>1030</v>
      </c>
    </row>
    <row r="4137" spans="1:18" x14ac:dyDescent="0.25">
      <c r="A4137" t="s">
        <v>18285</v>
      </c>
      <c r="B4137" t="s">
        <v>5755</v>
      </c>
      <c r="C4137" t="str">
        <f>HYPERLINK("https://nematode.unl.edu/fhel15.jpg")</f>
        <v>https://nematode.unl.edu/fhel15.jpg</v>
      </c>
      <c r="D4137" t="s">
        <v>43</v>
      </c>
      <c r="G4137" t="s">
        <v>34</v>
      </c>
      <c r="H4137" t="s">
        <v>18</v>
      </c>
      <c r="J4137" t="s">
        <v>20</v>
      </c>
      <c r="L4137" t="s">
        <v>752</v>
      </c>
      <c r="M4137" t="s">
        <v>5749</v>
      </c>
      <c r="N4137" t="s">
        <v>5749</v>
      </c>
      <c r="O4137" t="s">
        <v>23</v>
      </c>
      <c r="P4137" t="s">
        <v>24</v>
      </c>
      <c r="Q4137" t="s">
        <v>69</v>
      </c>
      <c r="R4137" t="s">
        <v>1030</v>
      </c>
    </row>
    <row r="4138" spans="1:18" x14ac:dyDescent="0.25">
      <c r="A4138" t="s">
        <v>18297</v>
      </c>
      <c r="B4138" t="s">
        <v>5756</v>
      </c>
      <c r="C4138" t="str">
        <f>HYPERLINK("https://nematode.unl.edu/fhel16.jpg")</f>
        <v>https://nematode.unl.edu/fhel16.jpg</v>
      </c>
      <c r="D4138" t="s">
        <v>43</v>
      </c>
      <c r="G4138" t="s">
        <v>51</v>
      </c>
      <c r="I4138" t="s">
        <v>19</v>
      </c>
      <c r="J4138" t="s">
        <v>20</v>
      </c>
      <c r="L4138" t="s">
        <v>752</v>
      </c>
      <c r="M4138" t="s">
        <v>5749</v>
      </c>
      <c r="N4138" t="s">
        <v>5749</v>
      </c>
      <c r="O4138" t="s">
        <v>23</v>
      </c>
      <c r="P4138" t="s">
        <v>24</v>
      </c>
      <c r="Q4138" t="s">
        <v>69</v>
      </c>
      <c r="R4138" t="s">
        <v>1030</v>
      </c>
    </row>
    <row r="4139" spans="1:18" x14ac:dyDescent="0.25">
      <c r="A4139" t="s">
        <v>18294</v>
      </c>
      <c r="B4139" t="s">
        <v>5757</v>
      </c>
      <c r="C4139" t="str">
        <f>HYPERLINK("https://nematode.unl.edu/fhel17.jpg")</f>
        <v>https://nematode.unl.edu/fhel17.jpg</v>
      </c>
      <c r="D4139" t="s">
        <v>43</v>
      </c>
      <c r="G4139" t="s">
        <v>28</v>
      </c>
      <c r="J4139" t="s">
        <v>20</v>
      </c>
      <c r="M4139" t="s">
        <v>5749</v>
      </c>
      <c r="N4139" t="s">
        <v>5749</v>
      </c>
      <c r="O4139" t="s">
        <v>23</v>
      </c>
      <c r="P4139" t="s">
        <v>24</v>
      </c>
      <c r="Q4139" t="s">
        <v>69</v>
      </c>
      <c r="R4139" t="s">
        <v>1030</v>
      </c>
    </row>
    <row r="4140" spans="1:18" x14ac:dyDescent="0.25">
      <c r="A4140" t="s">
        <v>18286</v>
      </c>
      <c r="B4140" t="s">
        <v>5758</v>
      </c>
      <c r="C4140" t="str">
        <f>HYPERLINK("https://nematode.unl.edu/fhel18.jpg")</f>
        <v>https://nematode.unl.edu/fhel18.jpg</v>
      </c>
      <c r="D4140" t="s">
        <v>43</v>
      </c>
      <c r="G4140" t="s">
        <v>34</v>
      </c>
      <c r="H4140" t="s">
        <v>18</v>
      </c>
      <c r="I4140" t="s">
        <v>41</v>
      </c>
      <c r="L4140" t="s">
        <v>752</v>
      </c>
      <c r="M4140" t="s">
        <v>5749</v>
      </c>
      <c r="N4140" t="s">
        <v>5749</v>
      </c>
      <c r="O4140" t="s">
        <v>23</v>
      </c>
      <c r="P4140" t="s">
        <v>24</v>
      </c>
      <c r="Q4140" t="s">
        <v>69</v>
      </c>
      <c r="R4140" t="s">
        <v>1030</v>
      </c>
    </row>
    <row r="4141" spans="1:18" x14ac:dyDescent="0.25">
      <c r="A4141" t="s">
        <v>18289</v>
      </c>
      <c r="B4141" t="s">
        <v>5759</v>
      </c>
      <c r="C4141" t="str">
        <f>HYPERLINK("https://nematode.unl.edu/fhel19.jpg")</f>
        <v>https://nematode.unl.edu/fhel19.jpg</v>
      </c>
      <c r="D4141" t="s">
        <v>43</v>
      </c>
      <c r="G4141" t="s">
        <v>44</v>
      </c>
      <c r="I4141" t="s">
        <v>45</v>
      </c>
      <c r="J4141" t="s">
        <v>20</v>
      </c>
      <c r="L4141" t="s">
        <v>752</v>
      </c>
      <c r="M4141" t="s">
        <v>5749</v>
      </c>
      <c r="N4141" t="s">
        <v>5749</v>
      </c>
      <c r="O4141" t="s">
        <v>23</v>
      </c>
      <c r="P4141" t="s">
        <v>24</v>
      </c>
      <c r="Q4141" t="s">
        <v>69</v>
      </c>
      <c r="R4141" t="s">
        <v>1030</v>
      </c>
    </row>
    <row r="4142" spans="1:18" x14ac:dyDescent="0.25">
      <c r="A4142" t="s">
        <v>18287</v>
      </c>
      <c r="B4142" t="s">
        <v>5760</v>
      </c>
      <c r="C4142" t="str">
        <f>HYPERLINK("https://nematode.unl.edu/fhel2.jpg")</f>
        <v>https://nematode.unl.edu/fhel2.jpg</v>
      </c>
      <c r="D4142" t="s">
        <v>43</v>
      </c>
      <c r="G4142" t="s">
        <v>34</v>
      </c>
      <c r="H4142" t="s">
        <v>18</v>
      </c>
      <c r="I4142" t="s">
        <v>41</v>
      </c>
      <c r="J4142" t="s">
        <v>20</v>
      </c>
      <c r="L4142" t="s">
        <v>193</v>
      </c>
      <c r="M4142" t="s">
        <v>5749</v>
      </c>
      <c r="N4142" t="s">
        <v>5749</v>
      </c>
      <c r="O4142" t="s">
        <v>23</v>
      </c>
      <c r="P4142" t="s">
        <v>24</v>
      </c>
      <c r="Q4142" t="s">
        <v>69</v>
      </c>
      <c r="R4142" t="s">
        <v>1030</v>
      </c>
    </row>
    <row r="4143" spans="1:18" x14ac:dyDescent="0.25">
      <c r="A4143" t="s">
        <v>18288</v>
      </c>
      <c r="B4143" t="s">
        <v>5761</v>
      </c>
      <c r="C4143" t="str">
        <f>HYPERLINK("https://nematode.unl.edu/fhel20.jpg")</f>
        <v>https://nematode.unl.edu/fhel20.jpg</v>
      </c>
      <c r="D4143" t="s">
        <v>43</v>
      </c>
      <c r="G4143" t="s">
        <v>34</v>
      </c>
      <c r="H4143" t="s">
        <v>18</v>
      </c>
      <c r="I4143" t="s">
        <v>41</v>
      </c>
      <c r="J4143" t="s">
        <v>20</v>
      </c>
      <c r="L4143" t="s">
        <v>752</v>
      </c>
      <c r="M4143" t="s">
        <v>5749</v>
      </c>
      <c r="N4143" t="s">
        <v>5749</v>
      </c>
      <c r="O4143" t="s">
        <v>23</v>
      </c>
      <c r="P4143" t="s">
        <v>24</v>
      </c>
      <c r="Q4143" t="s">
        <v>69</v>
      </c>
      <c r="R4143" t="s">
        <v>1030</v>
      </c>
    </row>
    <row r="4144" spans="1:18" x14ac:dyDescent="0.25">
      <c r="A4144" t="s">
        <v>18298</v>
      </c>
      <c r="B4144" t="s">
        <v>5762</v>
      </c>
      <c r="C4144" t="str">
        <f>HYPERLINK("https://nematode.unl.edu/fhel3.jpg")</f>
        <v>https://nematode.unl.edu/fhel3.jpg</v>
      </c>
      <c r="D4144" t="s">
        <v>43</v>
      </c>
      <c r="G4144" t="s">
        <v>51</v>
      </c>
      <c r="I4144" t="s">
        <v>41</v>
      </c>
      <c r="J4144" t="s">
        <v>20</v>
      </c>
      <c r="L4144" t="s">
        <v>141</v>
      </c>
      <c r="M4144" t="s">
        <v>5749</v>
      </c>
      <c r="N4144" t="s">
        <v>5749</v>
      </c>
      <c r="O4144" t="s">
        <v>23</v>
      </c>
      <c r="P4144" t="s">
        <v>24</v>
      </c>
      <c r="Q4144" t="s">
        <v>69</v>
      </c>
      <c r="R4144" t="s">
        <v>1030</v>
      </c>
    </row>
    <row r="4145" spans="1:18" x14ac:dyDescent="0.25">
      <c r="A4145" t="s">
        <v>18291</v>
      </c>
      <c r="B4145" t="s">
        <v>5763</v>
      </c>
      <c r="C4145" t="str">
        <f>HYPERLINK("https://nematode.unl.edu/fhel4.jpg")</f>
        <v>https://nematode.unl.edu/fhel4.jpg</v>
      </c>
      <c r="D4145" t="s">
        <v>43</v>
      </c>
      <c r="G4145" t="s">
        <v>53</v>
      </c>
      <c r="I4145" t="s">
        <v>41</v>
      </c>
      <c r="J4145" t="s">
        <v>20</v>
      </c>
      <c r="L4145" t="s">
        <v>217</v>
      </c>
      <c r="M4145" t="s">
        <v>5749</v>
      </c>
      <c r="N4145" t="s">
        <v>5749</v>
      </c>
      <c r="O4145" t="s">
        <v>23</v>
      </c>
      <c r="P4145" t="s">
        <v>24</v>
      </c>
      <c r="Q4145" t="s">
        <v>69</v>
      </c>
      <c r="R4145" t="s">
        <v>1030</v>
      </c>
    </row>
    <row r="4146" spans="1:18" x14ac:dyDescent="0.25">
      <c r="A4146" t="s">
        <v>18295</v>
      </c>
      <c r="B4146" t="s">
        <v>5764</v>
      </c>
      <c r="C4146" t="str">
        <f>HYPERLINK("https://nematode.unl.edu/fhel5.jpg")</f>
        <v>https://nematode.unl.edu/fhel5.jpg</v>
      </c>
      <c r="D4146" t="s">
        <v>43</v>
      </c>
      <c r="G4146" t="s">
        <v>28</v>
      </c>
      <c r="I4146" t="s">
        <v>41</v>
      </c>
      <c r="J4146" t="s">
        <v>20</v>
      </c>
      <c r="L4146" t="s">
        <v>193</v>
      </c>
      <c r="M4146" t="s">
        <v>5749</v>
      </c>
      <c r="N4146" t="s">
        <v>5749</v>
      </c>
      <c r="O4146" t="s">
        <v>23</v>
      </c>
      <c r="P4146" t="s">
        <v>24</v>
      </c>
      <c r="Q4146" t="s">
        <v>69</v>
      </c>
      <c r="R4146" t="s">
        <v>1030</v>
      </c>
    </row>
    <row r="4147" spans="1:18" x14ac:dyDescent="0.25">
      <c r="A4147" t="s">
        <v>18290</v>
      </c>
      <c r="B4147" t="s">
        <v>5765</v>
      </c>
      <c r="C4147" t="str">
        <f>HYPERLINK("https://nematode.unl.edu/fhel6.jpg")</f>
        <v>https://nematode.unl.edu/fhel6.jpg</v>
      </c>
      <c r="D4147" t="s">
        <v>43</v>
      </c>
      <c r="G4147" t="s">
        <v>44</v>
      </c>
      <c r="I4147" t="s">
        <v>45</v>
      </c>
      <c r="J4147" t="s">
        <v>20</v>
      </c>
      <c r="L4147" t="s">
        <v>5766</v>
      </c>
      <c r="M4147" t="s">
        <v>5749</v>
      </c>
      <c r="N4147" t="s">
        <v>5749</v>
      </c>
      <c r="O4147" t="s">
        <v>23</v>
      </c>
      <c r="P4147" t="s">
        <v>24</v>
      </c>
      <c r="Q4147" t="s">
        <v>69</v>
      </c>
      <c r="R4147" t="s">
        <v>1030</v>
      </c>
    </row>
    <row r="4148" spans="1:18" x14ac:dyDescent="0.25">
      <c r="A4148" t="s">
        <v>18073</v>
      </c>
      <c r="B4148" t="s">
        <v>5548</v>
      </c>
      <c r="C4148" t="str">
        <f>HYPERLINK("https://nematode.unl.edu/fibal1.jpg")</f>
        <v>https://nematode.unl.edu/fibal1.jpg</v>
      </c>
      <c r="D4148" t="s">
        <v>16</v>
      </c>
      <c r="G4148" t="s">
        <v>34</v>
      </c>
      <c r="H4148" t="s">
        <v>18</v>
      </c>
      <c r="I4148" t="s">
        <v>41</v>
      </c>
      <c r="J4148" t="s">
        <v>20</v>
      </c>
      <c r="M4148" t="s">
        <v>5549</v>
      </c>
      <c r="N4148" t="s">
        <v>5549</v>
      </c>
      <c r="O4148" t="s">
        <v>23</v>
      </c>
      <c r="P4148" t="s">
        <v>24</v>
      </c>
      <c r="Q4148" t="s">
        <v>69</v>
      </c>
      <c r="R4148" t="s">
        <v>1030</v>
      </c>
    </row>
    <row r="4149" spans="1:18" x14ac:dyDescent="0.25">
      <c r="A4149" t="s">
        <v>18084</v>
      </c>
      <c r="B4149" t="s">
        <v>5550</v>
      </c>
      <c r="C4149" t="str">
        <f>HYPERLINK("https://nematode.unl.edu/fibal10.jpg")</f>
        <v>https://nematode.unl.edu/fibal10.jpg</v>
      </c>
      <c r="D4149" t="s">
        <v>77</v>
      </c>
      <c r="G4149" t="s">
        <v>28</v>
      </c>
      <c r="J4149" t="s">
        <v>20</v>
      </c>
      <c r="M4149" t="s">
        <v>5549</v>
      </c>
      <c r="N4149" t="s">
        <v>5549</v>
      </c>
      <c r="O4149" t="s">
        <v>23</v>
      </c>
      <c r="P4149" t="s">
        <v>24</v>
      </c>
      <c r="Q4149" t="s">
        <v>69</v>
      </c>
      <c r="R4149" t="s">
        <v>1030</v>
      </c>
    </row>
    <row r="4150" spans="1:18" x14ac:dyDescent="0.25">
      <c r="A4150" t="s">
        <v>18082</v>
      </c>
      <c r="B4150" t="s">
        <v>5551</v>
      </c>
      <c r="C4150" t="str">
        <f>HYPERLINK("https://nematode.unl.edu/fibal11.jpg")</f>
        <v>https://nematode.unl.edu/fibal11.jpg</v>
      </c>
      <c r="D4150" t="s">
        <v>77</v>
      </c>
      <c r="G4150" t="s">
        <v>112</v>
      </c>
      <c r="M4150" t="s">
        <v>5549</v>
      </c>
      <c r="N4150" t="s">
        <v>5549</v>
      </c>
      <c r="O4150" t="s">
        <v>23</v>
      </c>
      <c r="P4150" t="s">
        <v>24</v>
      </c>
      <c r="Q4150" t="s">
        <v>69</v>
      </c>
      <c r="R4150" t="s">
        <v>1030</v>
      </c>
    </row>
    <row r="4151" spans="1:18" x14ac:dyDescent="0.25">
      <c r="A4151" t="s">
        <v>18078</v>
      </c>
      <c r="B4151" t="s">
        <v>5552</v>
      </c>
      <c r="C4151" t="str">
        <f>HYPERLINK("https://nematode.unl.edu/fibal12.jpg")</f>
        <v>https://nematode.unl.edu/fibal12.jpg</v>
      </c>
      <c r="D4151" t="s">
        <v>77</v>
      </c>
      <c r="G4151" t="s">
        <v>3942</v>
      </c>
      <c r="I4151" t="s">
        <v>41</v>
      </c>
      <c r="J4151" t="s">
        <v>20</v>
      </c>
      <c r="L4151" t="s">
        <v>206</v>
      </c>
      <c r="M4151" t="s">
        <v>5549</v>
      </c>
      <c r="N4151" t="s">
        <v>5549</v>
      </c>
      <c r="O4151" t="s">
        <v>23</v>
      </c>
      <c r="P4151" t="s">
        <v>24</v>
      </c>
      <c r="Q4151" t="s">
        <v>69</v>
      </c>
      <c r="R4151" t="s">
        <v>1030</v>
      </c>
    </row>
    <row r="4152" spans="1:18" x14ac:dyDescent="0.25">
      <c r="A4152" t="s">
        <v>18079</v>
      </c>
      <c r="B4152" t="s">
        <v>5553</v>
      </c>
      <c r="C4152" t="str">
        <f>HYPERLINK("https://nematode.unl.edu/fibal13.jpg")</f>
        <v>https://nematode.unl.edu/fibal13.jpg</v>
      </c>
      <c r="D4152" t="s">
        <v>43</v>
      </c>
      <c r="G4152" t="s">
        <v>44</v>
      </c>
      <c r="I4152" t="s">
        <v>499</v>
      </c>
      <c r="J4152" t="s">
        <v>20</v>
      </c>
      <c r="L4152" t="s">
        <v>206</v>
      </c>
      <c r="M4152" t="s">
        <v>5549</v>
      </c>
      <c r="N4152" t="s">
        <v>5549</v>
      </c>
      <c r="O4152" t="s">
        <v>23</v>
      </c>
      <c r="P4152" t="s">
        <v>24</v>
      </c>
      <c r="Q4152" t="s">
        <v>69</v>
      </c>
      <c r="R4152" t="s">
        <v>1030</v>
      </c>
    </row>
    <row r="4153" spans="1:18" x14ac:dyDescent="0.25">
      <c r="A4153" t="s">
        <v>18085</v>
      </c>
      <c r="B4153" t="s">
        <v>5554</v>
      </c>
      <c r="C4153" t="str">
        <f>HYPERLINK("https://nematode.unl.edu/fibal14.jpg")</f>
        <v>https://nematode.unl.edu/fibal14.jpg</v>
      </c>
      <c r="D4153" t="s">
        <v>43</v>
      </c>
      <c r="G4153" t="s">
        <v>28</v>
      </c>
      <c r="J4153" t="s">
        <v>20</v>
      </c>
      <c r="M4153" t="s">
        <v>5549</v>
      </c>
      <c r="N4153" t="s">
        <v>5549</v>
      </c>
      <c r="O4153" t="s">
        <v>23</v>
      </c>
      <c r="P4153" t="s">
        <v>24</v>
      </c>
      <c r="Q4153" t="s">
        <v>69</v>
      </c>
      <c r="R4153" t="s">
        <v>1030</v>
      </c>
    </row>
    <row r="4154" spans="1:18" x14ac:dyDescent="0.25">
      <c r="A4154" t="s">
        <v>18088</v>
      </c>
      <c r="B4154" t="s">
        <v>5555</v>
      </c>
      <c r="C4154" t="str">
        <f>HYPERLINK("https://nematode.unl.edu/fibal15.jpg")</f>
        <v>https://nematode.unl.edu/fibal15.jpg</v>
      </c>
      <c r="D4154" t="s">
        <v>43</v>
      </c>
      <c r="G4154" t="s">
        <v>51</v>
      </c>
      <c r="I4154" t="s">
        <v>19</v>
      </c>
      <c r="M4154" t="s">
        <v>5549</v>
      </c>
      <c r="N4154" t="s">
        <v>5549</v>
      </c>
      <c r="O4154" t="s">
        <v>23</v>
      </c>
      <c r="P4154" t="s">
        <v>24</v>
      </c>
      <c r="Q4154" t="s">
        <v>69</v>
      </c>
      <c r="R4154" t="s">
        <v>1030</v>
      </c>
    </row>
    <row r="4155" spans="1:18" x14ac:dyDescent="0.25">
      <c r="A4155" t="s">
        <v>18074</v>
      </c>
      <c r="B4155" t="s">
        <v>5556</v>
      </c>
      <c r="C4155" t="str">
        <f>HYPERLINK("https://nematode.unl.edu/fibal16.jpg")</f>
        <v>https://nematode.unl.edu/fibal16.jpg</v>
      </c>
      <c r="D4155" t="s">
        <v>43</v>
      </c>
      <c r="G4155" t="s">
        <v>34</v>
      </c>
      <c r="H4155" t="s">
        <v>18</v>
      </c>
      <c r="M4155" t="s">
        <v>5549</v>
      </c>
      <c r="N4155" t="s">
        <v>5549</v>
      </c>
      <c r="O4155" t="s">
        <v>23</v>
      </c>
      <c r="P4155" t="s">
        <v>24</v>
      </c>
      <c r="Q4155" t="s">
        <v>69</v>
      </c>
      <c r="R4155" t="s">
        <v>1030</v>
      </c>
    </row>
    <row r="4156" spans="1:18" x14ac:dyDescent="0.25">
      <c r="A4156" t="s">
        <v>18075</v>
      </c>
      <c r="B4156" t="s">
        <v>5557</v>
      </c>
      <c r="C4156" t="str">
        <f>HYPERLINK("https://nematode.unl.edu/fibal17.jpg")</f>
        <v>https://nematode.unl.edu/fibal17.jpg</v>
      </c>
      <c r="D4156" t="s">
        <v>43</v>
      </c>
      <c r="G4156" t="s">
        <v>34</v>
      </c>
      <c r="H4156" t="s">
        <v>18</v>
      </c>
      <c r="I4156" t="s">
        <v>41</v>
      </c>
      <c r="J4156" t="s">
        <v>20</v>
      </c>
      <c r="L4156" t="s">
        <v>206</v>
      </c>
      <c r="M4156" t="s">
        <v>5549</v>
      </c>
      <c r="N4156" t="s">
        <v>5549</v>
      </c>
      <c r="O4156" t="s">
        <v>23</v>
      </c>
      <c r="P4156" t="s">
        <v>24</v>
      </c>
      <c r="Q4156" t="s">
        <v>69</v>
      </c>
      <c r="R4156" t="s">
        <v>1030</v>
      </c>
    </row>
    <row r="4157" spans="1:18" x14ac:dyDescent="0.25">
      <c r="A4157" t="s">
        <v>18089</v>
      </c>
      <c r="B4157" t="s">
        <v>5558</v>
      </c>
      <c r="C4157" t="str">
        <f>HYPERLINK("https://nematode.unl.edu/fibal18.jpg")</f>
        <v>https://nematode.unl.edu/fibal18.jpg</v>
      </c>
      <c r="D4157" t="s">
        <v>43</v>
      </c>
      <c r="G4157" t="s">
        <v>51</v>
      </c>
      <c r="I4157" t="s">
        <v>41</v>
      </c>
      <c r="J4157" t="s">
        <v>20</v>
      </c>
      <c r="M4157" t="s">
        <v>5549</v>
      </c>
      <c r="N4157" t="s">
        <v>5549</v>
      </c>
      <c r="O4157" t="s">
        <v>23</v>
      </c>
      <c r="P4157" t="s">
        <v>24</v>
      </c>
      <c r="Q4157" t="s">
        <v>69</v>
      </c>
      <c r="R4157" t="s">
        <v>1030</v>
      </c>
    </row>
    <row r="4158" spans="1:18" x14ac:dyDescent="0.25">
      <c r="A4158" t="s">
        <v>18086</v>
      </c>
      <c r="B4158" t="s">
        <v>5559</v>
      </c>
      <c r="C4158" t="str">
        <f>HYPERLINK("https://nematode.unl.edu/fibal19.jpg")</f>
        <v>https://nematode.unl.edu/fibal19.jpg</v>
      </c>
      <c r="D4158" t="s">
        <v>43</v>
      </c>
      <c r="G4158" t="s">
        <v>28</v>
      </c>
      <c r="I4158" t="s">
        <v>41</v>
      </c>
      <c r="J4158" t="s">
        <v>20</v>
      </c>
      <c r="L4158" t="s">
        <v>206</v>
      </c>
      <c r="M4158" t="s">
        <v>5549</v>
      </c>
      <c r="N4158" t="s">
        <v>5549</v>
      </c>
      <c r="O4158" t="s">
        <v>23</v>
      </c>
      <c r="P4158" t="s">
        <v>24</v>
      </c>
      <c r="Q4158" t="s">
        <v>69</v>
      </c>
      <c r="R4158" t="s">
        <v>1030</v>
      </c>
    </row>
    <row r="4159" spans="1:18" x14ac:dyDescent="0.25">
      <c r="A4159" t="s">
        <v>18087</v>
      </c>
      <c r="B4159" t="s">
        <v>5560</v>
      </c>
      <c r="C4159" t="str">
        <f>HYPERLINK("https://nematode.unl.edu/fibal2.jpg")</f>
        <v>https://nematode.unl.edu/fibal2.jpg</v>
      </c>
      <c r="D4159" t="s">
        <v>16</v>
      </c>
      <c r="G4159" t="s">
        <v>422</v>
      </c>
      <c r="I4159" t="s">
        <v>41</v>
      </c>
      <c r="J4159" t="s">
        <v>20</v>
      </c>
      <c r="L4159" t="s">
        <v>217</v>
      </c>
      <c r="M4159" t="s">
        <v>5549</v>
      </c>
      <c r="N4159" t="s">
        <v>5549</v>
      </c>
      <c r="O4159" t="s">
        <v>23</v>
      </c>
      <c r="P4159" t="s">
        <v>24</v>
      </c>
      <c r="Q4159" t="s">
        <v>69</v>
      </c>
      <c r="R4159" t="s">
        <v>1030</v>
      </c>
    </row>
    <row r="4160" spans="1:18" x14ac:dyDescent="0.25">
      <c r="A4160" t="s">
        <v>18080</v>
      </c>
      <c r="B4160" t="s">
        <v>5561</v>
      </c>
      <c r="C4160" t="str">
        <f>HYPERLINK("https://nematode.unl.edu/fibal5.jpg")</f>
        <v>https://nematode.unl.edu/fibal5.jpg</v>
      </c>
      <c r="D4160" t="s">
        <v>77</v>
      </c>
      <c r="G4160" t="s">
        <v>44</v>
      </c>
      <c r="I4160" t="s">
        <v>45</v>
      </c>
      <c r="J4160" t="s">
        <v>20</v>
      </c>
      <c r="L4160" t="s">
        <v>206</v>
      </c>
      <c r="M4160" t="s">
        <v>5549</v>
      </c>
      <c r="N4160" t="s">
        <v>5549</v>
      </c>
      <c r="O4160" t="s">
        <v>23</v>
      </c>
      <c r="P4160" t="s">
        <v>24</v>
      </c>
      <c r="Q4160" t="s">
        <v>69</v>
      </c>
      <c r="R4160" t="s">
        <v>1030</v>
      </c>
    </row>
    <row r="4161" spans="1:18" x14ac:dyDescent="0.25">
      <c r="A4161" t="s">
        <v>18083</v>
      </c>
      <c r="B4161" t="s">
        <v>5562</v>
      </c>
      <c r="C4161" t="str">
        <f>HYPERLINK("https://nematode.unl.edu/fibal6.jpg")</f>
        <v>https://nematode.unl.edu/fibal6.jpg</v>
      </c>
      <c r="D4161" t="s">
        <v>77</v>
      </c>
      <c r="G4161" t="s">
        <v>112</v>
      </c>
      <c r="I4161" t="s">
        <v>19</v>
      </c>
      <c r="M4161" t="s">
        <v>5549</v>
      </c>
      <c r="N4161" t="s">
        <v>5549</v>
      </c>
      <c r="O4161" t="s">
        <v>23</v>
      </c>
      <c r="P4161" t="s">
        <v>24</v>
      </c>
      <c r="Q4161" t="s">
        <v>69</v>
      </c>
      <c r="R4161" t="s">
        <v>1030</v>
      </c>
    </row>
    <row r="4162" spans="1:18" x14ac:dyDescent="0.25">
      <c r="A4162" t="s">
        <v>18076</v>
      </c>
      <c r="B4162" t="s">
        <v>5563</v>
      </c>
      <c r="C4162" t="str">
        <f>HYPERLINK("https://nematode.unl.edu/fibal7.jpg")</f>
        <v>https://nematode.unl.edu/fibal7.jpg</v>
      </c>
      <c r="D4162" t="s">
        <v>77</v>
      </c>
      <c r="G4162" t="s">
        <v>34</v>
      </c>
      <c r="H4162" t="s">
        <v>18</v>
      </c>
      <c r="J4162" t="s">
        <v>20</v>
      </c>
      <c r="M4162" t="s">
        <v>5549</v>
      </c>
      <c r="N4162" t="s">
        <v>5549</v>
      </c>
      <c r="O4162" t="s">
        <v>23</v>
      </c>
      <c r="P4162" t="s">
        <v>24</v>
      </c>
      <c r="Q4162" t="s">
        <v>69</v>
      </c>
      <c r="R4162" t="s">
        <v>1030</v>
      </c>
    </row>
    <row r="4163" spans="1:18" x14ac:dyDescent="0.25">
      <c r="A4163" t="s">
        <v>18077</v>
      </c>
      <c r="B4163" t="s">
        <v>5564</v>
      </c>
      <c r="C4163" t="str">
        <f>HYPERLINK("https://nematode.unl.edu/fibal8.jpg")</f>
        <v>https://nematode.unl.edu/fibal8.jpg</v>
      </c>
      <c r="D4163" t="s">
        <v>77</v>
      </c>
      <c r="G4163" t="s">
        <v>34</v>
      </c>
      <c r="H4163" t="s">
        <v>18</v>
      </c>
      <c r="M4163" t="s">
        <v>5549</v>
      </c>
      <c r="N4163" t="s">
        <v>5549</v>
      </c>
      <c r="O4163" t="s">
        <v>23</v>
      </c>
      <c r="P4163" t="s">
        <v>24</v>
      </c>
      <c r="Q4163" t="s">
        <v>69</v>
      </c>
      <c r="R4163" t="s">
        <v>1030</v>
      </c>
    </row>
    <row r="4164" spans="1:18" x14ac:dyDescent="0.25">
      <c r="A4164" t="s">
        <v>18081</v>
      </c>
      <c r="B4164" t="s">
        <v>5565</v>
      </c>
      <c r="C4164" t="str">
        <f>HYPERLINK("https://nematode.unl.edu/fibal9.jpg")</f>
        <v>https://nematode.unl.edu/fibal9.jpg</v>
      </c>
      <c r="D4164" t="s">
        <v>77</v>
      </c>
      <c r="G4164" t="s">
        <v>53</v>
      </c>
      <c r="I4164" t="s">
        <v>529</v>
      </c>
      <c r="J4164" t="s">
        <v>20</v>
      </c>
      <c r="L4164" t="s">
        <v>206</v>
      </c>
      <c r="M4164" t="s">
        <v>5549</v>
      </c>
      <c r="N4164" t="s">
        <v>5549</v>
      </c>
      <c r="O4164" t="s">
        <v>23</v>
      </c>
      <c r="P4164" t="s">
        <v>24</v>
      </c>
      <c r="Q4164" t="s">
        <v>69</v>
      </c>
      <c r="R4164" t="s">
        <v>1030</v>
      </c>
    </row>
    <row r="4165" spans="1:18" x14ac:dyDescent="0.25">
      <c r="A4165" t="s">
        <v>18109</v>
      </c>
      <c r="B4165" t="s">
        <v>5586</v>
      </c>
      <c r="C4165" t="str">
        <f>HYPERLINK("https://nematode.unl.edu/ficaudus1.jpg")</f>
        <v>https://nematode.unl.edu/ficaudus1.jpg</v>
      </c>
      <c r="D4165" t="s">
        <v>77</v>
      </c>
      <c r="G4165" t="s">
        <v>34</v>
      </c>
      <c r="H4165" t="s">
        <v>18</v>
      </c>
      <c r="I4165" t="s">
        <v>19</v>
      </c>
      <c r="J4165" t="s">
        <v>20</v>
      </c>
      <c r="L4165" t="s">
        <v>85</v>
      </c>
      <c r="M4165" t="s">
        <v>5587</v>
      </c>
      <c r="N4165" t="s">
        <v>5587</v>
      </c>
      <c r="O4165" t="s">
        <v>23</v>
      </c>
      <c r="P4165" t="s">
        <v>24</v>
      </c>
      <c r="Q4165" t="s">
        <v>69</v>
      </c>
      <c r="R4165" t="s">
        <v>1030</v>
      </c>
    </row>
    <row r="4166" spans="1:18" x14ac:dyDescent="0.25">
      <c r="A4166" t="s">
        <v>18129</v>
      </c>
      <c r="B4166" t="s">
        <v>5588</v>
      </c>
      <c r="C4166" t="str">
        <f>HYPERLINK("https://nematode.unl.edu/ficaudus10.jpg")</f>
        <v>https://nematode.unl.edu/ficaudus10.jpg</v>
      </c>
      <c r="D4166" t="s">
        <v>77</v>
      </c>
      <c r="G4166" t="s">
        <v>1906</v>
      </c>
      <c r="I4166" t="s">
        <v>41</v>
      </c>
      <c r="J4166" t="s">
        <v>20</v>
      </c>
      <c r="L4166" t="s">
        <v>85</v>
      </c>
      <c r="M4166" t="s">
        <v>5587</v>
      </c>
      <c r="N4166" t="s">
        <v>5587</v>
      </c>
      <c r="O4166" t="s">
        <v>23</v>
      </c>
      <c r="P4166" t="s">
        <v>24</v>
      </c>
      <c r="Q4166" t="s">
        <v>69</v>
      </c>
      <c r="R4166" t="s">
        <v>1030</v>
      </c>
    </row>
    <row r="4167" spans="1:18" x14ac:dyDescent="0.25">
      <c r="A4167" t="s">
        <v>18110</v>
      </c>
      <c r="B4167" t="s">
        <v>5589</v>
      </c>
      <c r="C4167" t="str">
        <f>HYPERLINK("https://nematode.unl.edu/ficaudus11.jpg")</f>
        <v>https://nematode.unl.edu/ficaudus11.jpg</v>
      </c>
      <c r="D4167" t="s">
        <v>16</v>
      </c>
      <c r="G4167" t="s">
        <v>34</v>
      </c>
      <c r="H4167" t="s">
        <v>18</v>
      </c>
      <c r="J4167" t="s">
        <v>20</v>
      </c>
      <c r="L4167" t="s">
        <v>752</v>
      </c>
      <c r="M4167" t="s">
        <v>5587</v>
      </c>
      <c r="N4167" t="s">
        <v>5587</v>
      </c>
      <c r="O4167" t="s">
        <v>23</v>
      </c>
      <c r="P4167" t="s">
        <v>24</v>
      </c>
      <c r="Q4167" t="s">
        <v>69</v>
      </c>
      <c r="R4167" t="s">
        <v>1030</v>
      </c>
    </row>
    <row r="4168" spans="1:18" x14ac:dyDescent="0.25">
      <c r="A4168" t="s">
        <v>18111</v>
      </c>
      <c r="B4168" t="s">
        <v>5590</v>
      </c>
      <c r="C4168" t="str">
        <f>HYPERLINK("https://nematode.unl.edu/ficaudus12.jpg")</f>
        <v>https://nematode.unl.edu/ficaudus12.jpg</v>
      </c>
      <c r="D4168" t="s">
        <v>16</v>
      </c>
      <c r="G4168" t="s">
        <v>34</v>
      </c>
      <c r="H4168" t="s">
        <v>18</v>
      </c>
      <c r="I4168" t="s">
        <v>41</v>
      </c>
      <c r="J4168" t="s">
        <v>20</v>
      </c>
      <c r="L4168" t="s">
        <v>64</v>
      </c>
      <c r="M4168" t="s">
        <v>5587</v>
      </c>
      <c r="N4168" t="s">
        <v>5587</v>
      </c>
      <c r="O4168" t="s">
        <v>23</v>
      </c>
      <c r="P4168" t="s">
        <v>24</v>
      </c>
      <c r="Q4168" t="s">
        <v>69</v>
      </c>
      <c r="R4168" t="s">
        <v>1030</v>
      </c>
    </row>
    <row r="4169" spans="1:18" x14ac:dyDescent="0.25">
      <c r="A4169" t="s">
        <v>18136</v>
      </c>
      <c r="B4169" t="s">
        <v>5591</v>
      </c>
      <c r="C4169" t="str">
        <f>HYPERLINK("https://nematode.unl.edu/ficaudus13.jpg")</f>
        <v>https://nematode.unl.edu/ficaudus13.jpg</v>
      </c>
      <c r="D4169" t="s">
        <v>16</v>
      </c>
      <c r="G4169" t="s">
        <v>28</v>
      </c>
      <c r="I4169" t="s">
        <v>41</v>
      </c>
      <c r="J4169" t="s">
        <v>20</v>
      </c>
      <c r="L4169" t="s">
        <v>64</v>
      </c>
      <c r="M4169" t="s">
        <v>5587</v>
      </c>
      <c r="N4169" t="s">
        <v>5587</v>
      </c>
      <c r="O4169" t="s">
        <v>23</v>
      </c>
      <c r="P4169" t="s">
        <v>24</v>
      </c>
      <c r="Q4169" t="s">
        <v>69</v>
      </c>
      <c r="R4169" t="s">
        <v>1030</v>
      </c>
    </row>
    <row r="4170" spans="1:18" x14ac:dyDescent="0.25">
      <c r="A4170" t="s">
        <v>18126</v>
      </c>
      <c r="B4170" t="s">
        <v>5592</v>
      </c>
      <c r="C4170" t="str">
        <f>HYPERLINK("https://nematode.unl.edu/ficaudus14.jpg")</f>
        <v>https://nematode.unl.edu/ficaudus14.jpg</v>
      </c>
      <c r="D4170" t="s">
        <v>16</v>
      </c>
      <c r="G4170" t="s">
        <v>44</v>
      </c>
      <c r="I4170" t="s">
        <v>45</v>
      </c>
      <c r="J4170" t="s">
        <v>20</v>
      </c>
      <c r="L4170" t="s">
        <v>206</v>
      </c>
      <c r="M4170" t="s">
        <v>5587</v>
      </c>
      <c r="N4170" t="s">
        <v>5587</v>
      </c>
      <c r="O4170" t="s">
        <v>23</v>
      </c>
      <c r="P4170" t="s">
        <v>24</v>
      </c>
      <c r="Q4170" t="s">
        <v>69</v>
      </c>
      <c r="R4170" t="s">
        <v>1030</v>
      </c>
    </row>
    <row r="4171" spans="1:18" x14ac:dyDescent="0.25">
      <c r="A4171" t="s">
        <v>18112</v>
      </c>
      <c r="B4171" t="s">
        <v>5593</v>
      </c>
      <c r="C4171" t="str">
        <f>HYPERLINK("https://nematode.unl.edu/ficaudus15.jpg")</f>
        <v>https://nematode.unl.edu/ficaudus15.jpg</v>
      </c>
      <c r="D4171" t="s">
        <v>16</v>
      </c>
      <c r="G4171" t="s">
        <v>34</v>
      </c>
      <c r="H4171" t="s">
        <v>18</v>
      </c>
      <c r="J4171" t="s">
        <v>20</v>
      </c>
      <c r="M4171" t="s">
        <v>5587</v>
      </c>
      <c r="N4171" t="s">
        <v>5587</v>
      </c>
      <c r="O4171" t="s">
        <v>23</v>
      </c>
      <c r="P4171" t="s">
        <v>24</v>
      </c>
      <c r="Q4171" t="s">
        <v>69</v>
      </c>
      <c r="R4171" t="s">
        <v>1030</v>
      </c>
    </row>
    <row r="4172" spans="1:18" x14ac:dyDescent="0.25">
      <c r="A4172" t="s">
        <v>18137</v>
      </c>
      <c r="B4172" t="s">
        <v>5594</v>
      </c>
      <c r="C4172" t="str">
        <f>HYPERLINK("https://nematode.unl.edu/ficaudus16.jpg")</f>
        <v>https://nematode.unl.edu/ficaudus16.jpg</v>
      </c>
      <c r="D4172" t="s">
        <v>16</v>
      </c>
      <c r="G4172" t="s">
        <v>28</v>
      </c>
      <c r="I4172" t="s">
        <v>19</v>
      </c>
      <c r="J4172" t="s">
        <v>20</v>
      </c>
      <c r="M4172" t="s">
        <v>5587</v>
      </c>
      <c r="N4172" t="s">
        <v>5587</v>
      </c>
      <c r="O4172" t="s">
        <v>23</v>
      </c>
      <c r="P4172" t="s">
        <v>24</v>
      </c>
      <c r="Q4172" t="s">
        <v>69</v>
      </c>
      <c r="R4172" t="s">
        <v>1030</v>
      </c>
    </row>
    <row r="4173" spans="1:18" x14ac:dyDescent="0.25">
      <c r="A4173" t="s">
        <v>18113</v>
      </c>
      <c r="B4173" t="s">
        <v>5595</v>
      </c>
      <c r="C4173" t="str">
        <f>HYPERLINK("https://nematode.unl.edu/ficaudus17.jpg")</f>
        <v>https://nematode.unl.edu/ficaudus17.jpg</v>
      </c>
      <c r="D4173" t="s">
        <v>43</v>
      </c>
      <c r="G4173" t="s">
        <v>34</v>
      </c>
      <c r="H4173" t="s">
        <v>18</v>
      </c>
      <c r="I4173" t="s">
        <v>41</v>
      </c>
      <c r="J4173" t="s">
        <v>20</v>
      </c>
      <c r="M4173" t="s">
        <v>5587</v>
      </c>
      <c r="N4173" t="s">
        <v>5587</v>
      </c>
      <c r="O4173" t="s">
        <v>23</v>
      </c>
      <c r="P4173" t="s">
        <v>24</v>
      </c>
      <c r="Q4173" t="s">
        <v>69</v>
      </c>
      <c r="R4173" t="s">
        <v>1030</v>
      </c>
    </row>
    <row r="4174" spans="1:18" x14ac:dyDescent="0.25">
      <c r="A4174" t="s">
        <v>18142</v>
      </c>
      <c r="B4174" t="s">
        <v>5596</v>
      </c>
      <c r="C4174" t="str">
        <f>HYPERLINK("https://nematode.unl.edu/ficaudus18.jpg")</f>
        <v>https://nematode.unl.edu/ficaudus18.jpg</v>
      </c>
      <c r="D4174" t="s">
        <v>43</v>
      </c>
      <c r="G4174" t="s">
        <v>51</v>
      </c>
      <c r="J4174" t="s">
        <v>20</v>
      </c>
      <c r="M4174" t="s">
        <v>5587</v>
      </c>
      <c r="N4174" t="s">
        <v>5587</v>
      </c>
      <c r="O4174" t="s">
        <v>23</v>
      </c>
      <c r="P4174" t="s">
        <v>24</v>
      </c>
      <c r="Q4174" t="s">
        <v>69</v>
      </c>
      <c r="R4174" t="s">
        <v>1030</v>
      </c>
    </row>
    <row r="4175" spans="1:18" x14ac:dyDescent="0.25">
      <c r="A4175" t="s">
        <v>18138</v>
      </c>
      <c r="B4175" t="s">
        <v>5597</v>
      </c>
      <c r="C4175" t="str">
        <f>HYPERLINK("https://nematode.unl.edu/ficaudus19.jpg")</f>
        <v>https://nematode.unl.edu/ficaudus19.jpg</v>
      </c>
      <c r="D4175" t="s">
        <v>43</v>
      </c>
      <c r="G4175" t="s">
        <v>28</v>
      </c>
      <c r="J4175" t="s">
        <v>20</v>
      </c>
      <c r="M4175" t="s">
        <v>5587</v>
      </c>
      <c r="N4175" t="s">
        <v>5587</v>
      </c>
      <c r="O4175" t="s">
        <v>23</v>
      </c>
      <c r="P4175" t="s">
        <v>24</v>
      </c>
      <c r="Q4175" t="s">
        <v>69</v>
      </c>
      <c r="R4175" t="s">
        <v>1030</v>
      </c>
    </row>
    <row r="4176" spans="1:18" x14ac:dyDescent="0.25">
      <c r="A4176" t="s">
        <v>18133</v>
      </c>
      <c r="B4176" t="s">
        <v>5598</v>
      </c>
      <c r="C4176" t="str">
        <f>HYPERLINK("https://nematode.unl.edu/ficaudus2.jpg")</f>
        <v>https://nematode.unl.edu/ficaudus2.jpg</v>
      </c>
      <c r="D4176" t="s">
        <v>77</v>
      </c>
      <c r="G4176" t="s">
        <v>112</v>
      </c>
      <c r="M4176" t="s">
        <v>5587</v>
      </c>
      <c r="N4176" t="s">
        <v>5587</v>
      </c>
      <c r="O4176" t="s">
        <v>23</v>
      </c>
      <c r="P4176" t="s">
        <v>24</v>
      </c>
      <c r="Q4176" t="s">
        <v>69</v>
      </c>
      <c r="R4176" t="s">
        <v>1030</v>
      </c>
    </row>
    <row r="4177" spans="1:18" x14ac:dyDescent="0.25">
      <c r="A4177" t="s">
        <v>18130</v>
      </c>
      <c r="B4177" t="s">
        <v>5599</v>
      </c>
      <c r="C4177" t="str">
        <f>HYPERLINK("https://nematode.unl.edu/ficaudus20.jpg")</f>
        <v>https://nematode.unl.edu/ficaudus20.jpg</v>
      </c>
      <c r="D4177" t="s">
        <v>43</v>
      </c>
      <c r="G4177" t="s">
        <v>53</v>
      </c>
      <c r="I4177" t="s">
        <v>41</v>
      </c>
      <c r="L4177" t="s">
        <v>64</v>
      </c>
      <c r="M4177" t="s">
        <v>5587</v>
      </c>
      <c r="N4177" t="s">
        <v>5587</v>
      </c>
      <c r="O4177" t="s">
        <v>23</v>
      </c>
      <c r="P4177" t="s">
        <v>24</v>
      </c>
      <c r="Q4177" t="s">
        <v>69</v>
      </c>
      <c r="R4177" t="s">
        <v>1030</v>
      </c>
    </row>
    <row r="4178" spans="1:18" x14ac:dyDescent="0.25">
      <c r="A4178" t="s">
        <v>18132</v>
      </c>
      <c r="B4178" t="s">
        <v>5600</v>
      </c>
      <c r="C4178" t="str">
        <f>HYPERLINK("https://nematode.unl.edu/ficaudus21.jpg")</f>
        <v>https://nematode.unl.edu/ficaudus21.jpg</v>
      </c>
      <c r="D4178" t="s">
        <v>43</v>
      </c>
      <c r="G4178" t="s">
        <v>414</v>
      </c>
      <c r="I4178" t="s">
        <v>41</v>
      </c>
      <c r="J4178" t="s">
        <v>20</v>
      </c>
      <c r="L4178" t="s">
        <v>64</v>
      </c>
      <c r="M4178" t="s">
        <v>5587</v>
      </c>
      <c r="N4178" t="s">
        <v>5587</v>
      </c>
      <c r="O4178" t="s">
        <v>23</v>
      </c>
      <c r="P4178" t="s">
        <v>24</v>
      </c>
      <c r="Q4178" t="s">
        <v>69</v>
      </c>
      <c r="R4178" t="s">
        <v>1030</v>
      </c>
    </row>
    <row r="4179" spans="1:18" x14ac:dyDescent="0.25">
      <c r="A4179" t="s">
        <v>18139</v>
      </c>
      <c r="B4179" t="s">
        <v>5601</v>
      </c>
      <c r="C4179" t="str">
        <f>HYPERLINK("https://nematode.unl.edu/ficaudus22.jpg")</f>
        <v>https://nematode.unl.edu/ficaudus22.jpg</v>
      </c>
      <c r="D4179" t="s">
        <v>43</v>
      </c>
      <c r="G4179" t="s">
        <v>28</v>
      </c>
      <c r="J4179" t="s">
        <v>20</v>
      </c>
      <c r="L4179" t="s">
        <v>64</v>
      </c>
      <c r="M4179" t="s">
        <v>5587</v>
      </c>
      <c r="N4179" t="s">
        <v>5587</v>
      </c>
      <c r="O4179" t="s">
        <v>23</v>
      </c>
      <c r="P4179" t="s">
        <v>24</v>
      </c>
      <c r="Q4179" t="s">
        <v>69</v>
      </c>
      <c r="R4179" t="s">
        <v>1030</v>
      </c>
    </row>
    <row r="4180" spans="1:18" x14ac:dyDescent="0.25">
      <c r="A4180" t="s">
        <v>18143</v>
      </c>
      <c r="B4180" t="s">
        <v>5602</v>
      </c>
      <c r="C4180" t="str">
        <f>HYPERLINK("https://nematode.unl.edu/ficaudus23.jpg")</f>
        <v>https://nematode.unl.edu/ficaudus23.jpg</v>
      </c>
      <c r="D4180" t="s">
        <v>43</v>
      </c>
      <c r="G4180" t="s">
        <v>51</v>
      </c>
      <c r="I4180" t="s">
        <v>19</v>
      </c>
      <c r="J4180" t="s">
        <v>20</v>
      </c>
      <c r="L4180" t="s">
        <v>64</v>
      </c>
      <c r="M4180" t="s">
        <v>5587</v>
      </c>
      <c r="N4180" t="s">
        <v>5587</v>
      </c>
      <c r="O4180" t="s">
        <v>23</v>
      </c>
      <c r="P4180" t="s">
        <v>24</v>
      </c>
      <c r="Q4180" t="s">
        <v>69</v>
      </c>
      <c r="R4180" t="s">
        <v>1030</v>
      </c>
    </row>
    <row r="4181" spans="1:18" x14ac:dyDescent="0.25">
      <c r="A4181" t="s">
        <v>18140</v>
      </c>
      <c r="B4181" t="s">
        <v>5603</v>
      </c>
      <c r="C4181" t="str">
        <f>HYPERLINK("https://nematode.unl.edu/ficaudus24.jpg")</f>
        <v>https://nematode.unl.edu/ficaudus24.jpg</v>
      </c>
      <c r="D4181" t="s">
        <v>43</v>
      </c>
      <c r="G4181" t="s">
        <v>28</v>
      </c>
      <c r="J4181" t="s">
        <v>20</v>
      </c>
      <c r="M4181" t="s">
        <v>5587</v>
      </c>
      <c r="N4181" t="s">
        <v>5587</v>
      </c>
      <c r="O4181" t="s">
        <v>23</v>
      </c>
      <c r="P4181" t="s">
        <v>24</v>
      </c>
      <c r="Q4181" t="s">
        <v>69</v>
      </c>
      <c r="R4181" t="s">
        <v>1030</v>
      </c>
    </row>
    <row r="4182" spans="1:18" x14ac:dyDescent="0.25">
      <c r="A4182" t="s">
        <v>18114</v>
      </c>
      <c r="B4182" t="s">
        <v>5604</v>
      </c>
      <c r="C4182" t="str">
        <f>HYPERLINK("https://nematode.unl.edu/ficaudus25.jpg")</f>
        <v>https://nematode.unl.edu/ficaudus25.jpg</v>
      </c>
      <c r="D4182" t="s">
        <v>43</v>
      </c>
      <c r="G4182" t="s">
        <v>34</v>
      </c>
      <c r="H4182" t="s">
        <v>18</v>
      </c>
      <c r="I4182" t="s">
        <v>41</v>
      </c>
      <c r="L4182" t="s">
        <v>352</v>
      </c>
      <c r="M4182" t="s">
        <v>5587</v>
      </c>
      <c r="N4182" t="s">
        <v>5587</v>
      </c>
      <c r="O4182" t="s">
        <v>23</v>
      </c>
      <c r="P4182" t="s">
        <v>24</v>
      </c>
      <c r="Q4182" t="s">
        <v>69</v>
      </c>
      <c r="R4182" t="s">
        <v>1030</v>
      </c>
    </row>
    <row r="4183" spans="1:18" x14ac:dyDescent="0.25">
      <c r="A4183" t="s">
        <v>18131</v>
      </c>
      <c r="B4183" t="s">
        <v>5605</v>
      </c>
      <c r="C4183" t="str">
        <f>HYPERLINK("https://nematode.unl.edu/ficaudus26.jpg")</f>
        <v>https://nematode.unl.edu/ficaudus26.jpg</v>
      </c>
      <c r="D4183" t="s">
        <v>43</v>
      </c>
      <c r="G4183" t="s">
        <v>53</v>
      </c>
      <c r="I4183" t="s">
        <v>41</v>
      </c>
      <c r="M4183" t="s">
        <v>5587</v>
      </c>
      <c r="N4183" t="s">
        <v>5587</v>
      </c>
      <c r="O4183" t="s">
        <v>23</v>
      </c>
      <c r="P4183" t="s">
        <v>24</v>
      </c>
      <c r="Q4183" t="s">
        <v>69</v>
      </c>
      <c r="R4183" t="s">
        <v>1030</v>
      </c>
    </row>
    <row r="4184" spans="1:18" x14ac:dyDescent="0.25">
      <c r="A4184" t="s">
        <v>18127</v>
      </c>
      <c r="B4184" t="s">
        <v>5606</v>
      </c>
      <c r="C4184" t="str">
        <f>HYPERLINK("https://nematode.unl.edu/ficaudus27.jpg")</f>
        <v>https://nematode.unl.edu/ficaudus27.jpg</v>
      </c>
      <c r="D4184" t="s">
        <v>43</v>
      </c>
      <c r="G4184" t="s">
        <v>44</v>
      </c>
      <c r="I4184" t="s">
        <v>45</v>
      </c>
      <c r="J4184" t="s">
        <v>20</v>
      </c>
      <c r="L4184" t="s">
        <v>78</v>
      </c>
      <c r="M4184" t="s">
        <v>5587</v>
      </c>
      <c r="N4184" t="s">
        <v>5587</v>
      </c>
      <c r="O4184" t="s">
        <v>23</v>
      </c>
      <c r="P4184" t="s">
        <v>24</v>
      </c>
      <c r="Q4184" t="s">
        <v>69</v>
      </c>
      <c r="R4184" t="s">
        <v>1030</v>
      </c>
    </row>
    <row r="4185" spans="1:18" x14ac:dyDescent="0.25">
      <c r="A4185" t="s">
        <v>18115</v>
      </c>
      <c r="B4185" t="s">
        <v>5607</v>
      </c>
      <c r="C4185" t="str">
        <f>HYPERLINK("https://nematode.unl.edu/ficaudus28.jpg")</f>
        <v>https://nematode.unl.edu/ficaudus28.jpg</v>
      </c>
      <c r="D4185" t="s">
        <v>43</v>
      </c>
      <c r="G4185" t="s">
        <v>34</v>
      </c>
      <c r="H4185" t="s">
        <v>18</v>
      </c>
      <c r="I4185" t="s">
        <v>41</v>
      </c>
      <c r="M4185" t="s">
        <v>5587</v>
      </c>
      <c r="N4185" t="s">
        <v>5587</v>
      </c>
      <c r="O4185" t="s">
        <v>23</v>
      </c>
      <c r="P4185" t="s">
        <v>24</v>
      </c>
      <c r="Q4185" t="s">
        <v>69</v>
      </c>
      <c r="R4185" t="s">
        <v>1030</v>
      </c>
    </row>
    <row r="4186" spans="1:18" x14ac:dyDescent="0.25">
      <c r="A4186" t="s">
        <v>18144</v>
      </c>
      <c r="B4186" t="s">
        <v>5608</v>
      </c>
      <c r="C4186" t="str">
        <f>HYPERLINK("https://nematode.unl.edu/ficaudus29.jpg")</f>
        <v>https://nematode.unl.edu/ficaudus29.jpg</v>
      </c>
      <c r="D4186" t="s">
        <v>43</v>
      </c>
      <c r="G4186" t="s">
        <v>51</v>
      </c>
      <c r="I4186" t="s">
        <v>41</v>
      </c>
      <c r="J4186" t="s">
        <v>20</v>
      </c>
      <c r="L4186" t="s">
        <v>35</v>
      </c>
      <c r="M4186" t="s">
        <v>5587</v>
      </c>
      <c r="N4186" t="s">
        <v>5587</v>
      </c>
      <c r="O4186" t="s">
        <v>23</v>
      </c>
      <c r="P4186" t="s">
        <v>24</v>
      </c>
      <c r="Q4186" t="s">
        <v>69</v>
      </c>
      <c r="R4186" t="s">
        <v>1030</v>
      </c>
    </row>
    <row r="4187" spans="1:18" x14ac:dyDescent="0.25">
      <c r="A4187" t="s">
        <v>18116</v>
      </c>
      <c r="B4187" t="s">
        <v>5609</v>
      </c>
      <c r="C4187" t="str">
        <f>HYPERLINK("https://nematode.unl.edu/ficaudus3.jpg")</f>
        <v>https://nematode.unl.edu/ficaudus3.jpg</v>
      </c>
      <c r="D4187" t="s">
        <v>77</v>
      </c>
      <c r="G4187" t="s">
        <v>34</v>
      </c>
      <c r="H4187" t="s">
        <v>18</v>
      </c>
      <c r="I4187" t="s">
        <v>41</v>
      </c>
      <c r="J4187" t="s">
        <v>20</v>
      </c>
      <c r="L4187" t="s">
        <v>64</v>
      </c>
      <c r="M4187" t="s">
        <v>5587</v>
      </c>
      <c r="N4187" t="s">
        <v>5587</v>
      </c>
      <c r="O4187" t="s">
        <v>23</v>
      </c>
      <c r="P4187" t="s">
        <v>24</v>
      </c>
      <c r="Q4187" t="s">
        <v>69</v>
      </c>
      <c r="R4187" t="s">
        <v>1030</v>
      </c>
    </row>
    <row r="4188" spans="1:18" x14ac:dyDescent="0.25">
      <c r="A4188" t="s">
        <v>18124</v>
      </c>
      <c r="B4188" t="s">
        <v>5610</v>
      </c>
      <c r="C4188" t="str">
        <f>HYPERLINK("https://nematode.unl.edu/ficaudus30.jpg")</f>
        <v>https://nematode.unl.edu/ficaudus30.jpg</v>
      </c>
      <c r="D4188" t="s">
        <v>43</v>
      </c>
      <c r="G4188" t="s">
        <v>905</v>
      </c>
      <c r="J4188" t="s">
        <v>20</v>
      </c>
      <c r="L4188" t="s">
        <v>64</v>
      </c>
      <c r="M4188" t="s">
        <v>5587</v>
      </c>
      <c r="N4188" t="s">
        <v>5587</v>
      </c>
      <c r="O4188" t="s">
        <v>23</v>
      </c>
      <c r="P4188" t="s">
        <v>24</v>
      </c>
      <c r="Q4188" t="s">
        <v>69</v>
      </c>
      <c r="R4188" t="s">
        <v>1030</v>
      </c>
    </row>
    <row r="4189" spans="1:18" x14ac:dyDescent="0.25">
      <c r="A4189" t="s">
        <v>18117</v>
      </c>
      <c r="B4189" t="s">
        <v>5611</v>
      </c>
      <c r="C4189" t="str">
        <f>HYPERLINK("https://nematode.unl.edu/ficaudus31.jpg")</f>
        <v>https://nematode.unl.edu/ficaudus31.jpg</v>
      </c>
      <c r="D4189" t="s">
        <v>43</v>
      </c>
      <c r="G4189" t="s">
        <v>34</v>
      </c>
      <c r="H4189" t="s">
        <v>18</v>
      </c>
      <c r="I4189" t="s">
        <v>19</v>
      </c>
      <c r="J4189" t="s">
        <v>20</v>
      </c>
      <c r="L4189" t="s">
        <v>85</v>
      </c>
      <c r="M4189" t="s">
        <v>5587</v>
      </c>
      <c r="N4189" t="s">
        <v>5587</v>
      </c>
      <c r="O4189" t="s">
        <v>23</v>
      </c>
      <c r="P4189" t="s">
        <v>24</v>
      </c>
      <c r="Q4189" t="s">
        <v>69</v>
      </c>
      <c r="R4189" t="s">
        <v>1030</v>
      </c>
    </row>
    <row r="4190" spans="1:18" x14ac:dyDescent="0.25">
      <c r="A4190" t="s">
        <v>18141</v>
      </c>
      <c r="B4190" t="s">
        <v>5612</v>
      </c>
      <c r="C4190" t="str">
        <f>HYPERLINK("https://nematode.unl.edu/ficaudus32.jpg")</f>
        <v>https://nematode.unl.edu/ficaudus32.jpg</v>
      </c>
      <c r="D4190" t="s">
        <v>43</v>
      </c>
      <c r="G4190" t="s">
        <v>28</v>
      </c>
      <c r="M4190" t="s">
        <v>5587</v>
      </c>
      <c r="N4190" t="s">
        <v>5587</v>
      </c>
      <c r="O4190" t="s">
        <v>23</v>
      </c>
      <c r="P4190" t="s">
        <v>24</v>
      </c>
      <c r="Q4190" t="s">
        <v>69</v>
      </c>
      <c r="R4190" t="s">
        <v>1030</v>
      </c>
    </row>
    <row r="4191" spans="1:18" x14ac:dyDescent="0.25">
      <c r="A4191" t="s">
        <v>18125</v>
      </c>
      <c r="B4191" t="s">
        <v>5613</v>
      </c>
      <c r="C4191" t="str">
        <f>HYPERLINK("https://nematode.unl.edu/ficaudus33.jpg")</f>
        <v>https://nematode.unl.edu/ficaudus33.jpg</v>
      </c>
      <c r="D4191" t="s">
        <v>43</v>
      </c>
      <c r="G4191" t="s">
        <v>384</v>
      </c>
      <c r="I4191" t="s">
        <v>529</v>
      </c>
      <c r="J4191" t="s">
        <v>20</v>
      </c>
      <c r="L4191" t="s">
        <v>183</v>
      </c>
      <c r="M4191" t="s">
        <v>5587</v>
      </c>
      <c r="N4191" t="s">
        <v>5587</v>
      </c>
      <c r="O4191" t="s">
        <v>23</v>
      </c>
      <c r="P4191" t="s">
        <v>24</v>
      </c>
      <c r="Q4191" t="s">
        <v>69</v>
      </c>
      <c r="R4191" t="s">
        <v>1030</v>
      </c>
    </row>
    <row r="4192" spans="1:18" x14ac:dyDescent="0.25">
      <c r="A4192" t="s">
        <v>18118</v>
      </c>
      <c r="B4192" t="s">
        <v>5614</v>
      </c>
      <c r="C4192" t="str">
        <f>HYPERLINK("https://nematode.unl.edu/ficaudus34.jpg")</f>
        <v>https://nematode.unl.edu/ficaudus34.jpg</v>
      </c>
      <c r="D4192" t="s">
        <v>43</v>
      </c>
      <c r="G4192" t="s">
        <v>34</v>
      </c>
      <c r="H4192" t="s">
        <v>18</v>
      </c>
      <c r="I4192" t="s">
        <v>19</v>
      </c>
      <c r="M4192" t="s">
        <v>5587</v>
      </c>
      <c r="N4192" t="s">
        <v>5587</v>
      </c>
      <c r="O4192" t="s">
        <v>23</v>
      </c>
      <c r="P4192" t="s">
        <v>24</v>
      </c>
      <c r="Q4192" t="s">
        <v>69</v>
      </c>
      <c r="R4192" t="s">
        <v>1030</v>
      </c>
    </row>
    <row r="4193" spans="1:18" x14ac:dyDescent="0.25">
      <c r="A4193" t="s">
        <v>18119</v>
      </c>
      <c r="B4193" t="s">
        <v>5615</v>
      </c>
      <c r="C4193" t="str">
        <f>HYPERLINK("https://nematode.unl.edu/ficaudus35.jpg")</f>
        <v>https://nematode.unl.edu/ficaudus35.jpg</v>
      </c>
      <c r="D4193" t="s">
        <v>43</v>
      </c>
      <c r="G4193" t="s">
        <v>34</v>
      </c>
      <c r="H4193" t="s">
        <v>18</v>
      </c>
      <c r="I4193" t="s">
        <v>41</v>
      </c>
      <c r="L4193" t="s">
        <v>29</v>
      </c>
      <c r="M4193" t="s">
        <v>5587</v>
      </c>
      <c r="N4193" t="s">
        <v>5587</v>
      </c>
      <c r="O4193" t="s">
        <v>23</v>
      </c>
      <c r="P4193" t="s">
        <v>24</v>
      </c>
      <c r="Q4193" t="s">
        <v>69</v>
      </c>
      <c r="R4193" t="s">
        <v>1030</v>
      </c>
    </row>
    <row r="4194" spans="1:18" x14ac:dyDescent="0.25">
      <c r="A4194" t="s">
        <v>18120</v>
      </c>
      <c r="B4194" t="s">
        <v>5616</v>
      </c>
      <c r="C4194" t="str">
        <f>HYPERLINK("https://nematode.unl.edu/ficaudus36.jpg")</f>
        <v>https://nematode.unl.edu/ficaudus36.jpg</v>
      </c>
      <c r="D4194" t="s">
        <v>43</v>
      </c>
      <c r="G4194" t="s">
        <v>34</v>
      </c>
      <c r="H4194" t="s">
        <v>18</v>
      </c>
      <c r="I4194" t="s">
        <v>19</v>
      </c>
      <c r="J4194" t="s">
        <v>20</v>
      </c>
      <c r="M4194" t="s">
        <v>5587</v>
      </c>
      <c r="N4194" t="s">
        <v>5587</v>
      </c>
      <c r="O4194" t="s">
        <v>23</v>
      </c>
      <c r="P4194" t="s">
        <v>24</v>
      </c>
      <c r="Q4194" t="s">
        <v>69</v>
      </c>
      <c r="R4194" t="s">
        <v>1030</v>
      </c>
    </row>
    <row r="4195" spans="1:18" x14ac:dyDescent="0.25">
      <c r="A4195" t="s">
        <v>18145</v>
      </c>
      <c r="B4195" t="s">
        <v>5617</v>
      </c>
      <c r="C4195" t="str">
        <f>HYPERLINK("https://nematode.unl.edu/ficaudus37.jpg")</f>
        <v>https://nematode.unl.edu/ficaudus37.jpg</v>
      </c>
      <c r="D4195" t="s">
        <v>43</v>
      </c>
      <c r="G4195" t="s">
        <v>51</v>
      </c>
      <c r="I4195" t="s">
        <v>19</v>
      </c>
      <c r="J4195" t="s">
        <v>20</v>
      </c>
      <c r="L4195" t="s">
        <v>183</v>
      </c>
      <c r="M4195" t="s">
        <v>5587</v>
      </c>
      <c r="N4195" t="s">
        <v>5587</v>
      </c>
      <c r="O4195" t="s">
        <v>23</v>
      </c>
      <c r="P4195" t="s">
        <v>24</v>
      </c>
      <c r="Q4195" t="s">
        <v>69</v>
      </c>
      <c r="R4195" t="s">
        <v>1030</v>
      </c>
    </row>
    <row r="4196" spans="1:18" x14ac:dyDescent="0.25">
      <c r="A4196" t="s">
        <v>18134</v>
      </c>
      <c r="B4196" t="s">
        <v>5618</v>
      </c>
      <c r="C4196" t="str">
        <f>HYPERLINK("https://nematode.unl.edu/ficaudus4.jpg")</f>
        <v>https://nematode.unl.edu/ficaudus4.jpg</v>
      </c>
      <c r="D4196" t="s">
        <v>77</v>
      </c>
      <c r="G4196" t="s">
        <v>112</v>
      </c>
      <c r="I4196" t="s">
        <v>41</v>
      </c>
      <c r="J4196" t="s">
        <v>20</v>
      </c>
      <c r="L4196" t="s">
        <v>64</v>
      </c>
      <c r="M4196" t="s">
        <v>5587</v>
      </c>
      <c r="N4196" t="s">
        <v>5587</v>
      </c>
      <c r="O4196" t="s">
        <v>23</v>
      </c>
      <c r="P4196" t="s">
        <v>24</v>
      </c>
      <c r="Q4196" t="s">
        <v>69</v>
      </c>
      <c r="R4196" t="s">
        <v>1030</v>
      </c>
    </row>
    <row r="4197" spans="1:18" x14ac:dyDescent="0.25">
      <c r="A4197" t="s">
        <v>18128</v>
      </c>
      <c r="B4197" t="s">
        <v>5619</v>
      </c>
      <c r="C4197" t="str">
        <f>HYPERLINK("https://nematode.unl.edu/ficaudus5.jpg")</f>
        <v>https://nematode.unl.edu/ficaudus5.jpg</v>
      </c>
      <c r="D4197" t="s">
        <v>77</v>
      </c>
      <c r="G4197" t="s">
        <v>44</v>
      </c>
      <c r="I4197" t="s">
        <v>1008</v>
      </c>
      <c r="J4197" t="s">
        <v>20</v>
      </c>
      <c r="L4197" t="s">
        <v>752</v>
      </c>
      <c r="M4197" t="s">
        <v>5587</v>
      </c>
      <c r="N4197" t="s">
        <v>5587</v>
      </c>
      <c r="O4197" t="s">
        <v>23</v>
      </c>
      <c r="P4197" t="s">
        <v>24</v>
      </c>
      <c r="Q4197" t="s">
        <v>69</v>
      </c>
      <c r="R4197" t="s">
        <v>1030</v>
      </c>
    </row>
    <row r="4198" spans="1:18" x14ac:dyDescent="0.25">
      <c r="A4198" t="s">
        <v>18135</v>
      </c>
      <c r="B4198" t="s">
        <v>5620</v>
      </c>
      <c r="C4198" t="str">
        <f>HYPERLINK("https://nematode.unl.edu/ficaudus6.jpg")</f>
        <v>https://nematode.unl.edu/ficaudus6.jpg</v>
      </c>
      <c r="D4198" t="s">
        <v>77</v>
      </c>
      <c r="G4198" t="s">
        <v>112</v>
      </c>
      <c r="I4198" t="s">
        <v>19</v>
      </c>
      <c r="J4198" t="s">
        <v>20</v>
      </c>
      <c r="L4198" t="s">
        <v>752</v>
      </c>
      <c r="M4198" t="s">
        <v>5587</v>
      </c>
      <c r="N4198" t="s">
        <v>5587</v>
      </c>
      <c r="O4198" t="s">
        <v>23</v>
      </c>
      <c r="P4198" t="s">
        <v>24</v>
      </c>
      <c r="Q4198" t="s">
        <v>69</v>
      </c>
      <c r="R4198" t="s">
        <v>1030</v>
      </c>
    </row>
    <row r="4199" spans="1:18" x14ac:dyDescent="0.25">
      <c r="A4199" t="s">
        <v>18121</v>
      </c>
      <c r="B4199" t="s">
        <v>5621</v>
      </c>
      <c r="C4199" t="str">
        <f>HYPERLINK("https://nematode.unl.edu/ficaudus7.jpg")</f>
        <v>https://nematode.unl.edu/ficaudus7.jpg</v>
      </c>
      <c r="D4199" t="s">
        <v>77</v>
      </c>
      <c r="G4199" t="s">
        <v>34</v>
      </c>
      <c r="H4199" t="s">
        <v>18</v>
      </c>
      <c r="I4199" t="s">
        <v>19</v>
      </c>
      <c r="J4199" t="s">
        <v>20</v>
      </c>
      <c r="L4199" t="s">
        <v>752</v>
      </c>
      <c r="M4199" t="s">
        <v>5587</v>
      </c>
      <c r="N4199" t="s">
        <v>5587</v>
      </c>
      <c r="O4199" t="s">
        <v>23</v>
      </c>
      <c r="P4199" t="s">
        <v>24</v>
      </c>
      <c r="Q4199" t="s">
        <v>69</v>
      </c>
      <c r="R4199" t="s">
        <v>1030</v>
      </c>
    </row>
    <row r="4200" spans="1:18" x14ac:dyDescent="0.25">
      <c r="A4200" t="s">
        <v>18122</v>
      </c>
      <c r="B4200" t="s">
        <v>5622</v>
      </c>
      <c r="C4200" t="str">
        <f>HYPERLINK("https://nematode.unl.edu/ficaudus8.jpg")</f>
        <v>https://nematode.unl.edu/ficaudus8.jpg</v>
      </c>
      <c r="D4200" t="s">
        <v>77</v>
      </c>
      <c r="G4200" t="s">
        <v>34</v>
      </c>
      <c r="H4200" t="s">
        <v>18</v>
      </c>
      <c r="I4200" t="s">
        <v>41</v>
      </c>
      <c r="J4200" t="s">
        <v>20</v>
      </c>
      <c r="L4200" t="s">
        <v>752</v>
      </c>
      <c r="M4200" t="s">
        <v>5587</v>
      </c>
      <c r="N4200" t="s">
        <v>5587</v>
      </c>
      <c r="O4200" t="s">
        <v>23</v>
      </c>
      <c r="P4200" t="s">
        <v>24</v>
      </c>
      <c r="Q4200" t="s">
        <v>69</v>
      </c>
      <c r="R4200" t="s">
        <v>1030</v>
      </c>
    </row>
    <row r="4201" spans="1:18" x14ac:dyDescent="0.25">
      <c r="A4201" t="s">
        <v>18123</v>
      </c>
      <c r="B4201" t="s">
        <v>5623</v>
      </c>
      <c r="C4201" t="str">
        <f>HYPERLINK("https://nematode.unl.edu/ficaudus9.jpg")</f>
        <v>https://nematode.unl.edu/ficaudus9.jpg</v>
      </c>
      <c r="D4201" t="s">
        <v>77</v>
      </c>
      <c r="G4201" t="s">
        <v>34</v>
      </c>
      <c r="H4201" t="s">
        <v>18</v>
      </c>
      <c r="I4201" t="s">
        <v>41</v>
      </c>
      <c r="M4201" t="s">
        <v>5587</v>
      </c>
      <c r="N4201" t="s">
        <v>5587</v>
      </c>
      <c r="O4201" t="s">
        <v>23</v>
      </c>
      <c r="P4201" t="s">
        <v>24</v>
      </c>
      <c r="Q4201" t="s">
        <v>69</v>
      </c>
      <c r="R4201" t="s">
        <v>1030</v>
      </c>
    </row>
    <row r="4202" spans="1:18" x14ac:dyDescent="0.25">
      <c r="A4202" t="s">
        <v>15747</v>
      </c>
      <c r="B4202" t="s">
        <v>5482</v>
      </c>
      <c r="C4202" t="str">
        <f>HYPERLINK("https://nematode.unl.edu/fictsp1.jpg")</f>
        <v>https://nematode.unl.edu/fictsp1.jpg</v>
      </c>
      <c r="D4202" t="s">
        <v>43</v>
      </c>
      <c r="G4202" t="s">
        <v>34</v>
      </c>
      <c r="H4202" t="s">
        <v>18</v>
      </c>
      <c r="I4202" t="s">
        <v>19</v>
      </c>
      <c r="J4202" t="s">
        <v>127</v>
      </c>
      <c r="M4202" t="s">
        <v>5483</v>
      </c>
      <c r="N4202" t="s">
        <v>5483</v>
      </c>
      <c r="O4202" t="s">
        <v>23</v>
      </c>
      <c r="P4202" t="s">
        <v>24</v>
      </c>
      <c r="Q4202" t="s">
        <v>2091</v>
      </c>
      <c r="R4202" t="s">
        <v>5483</v>
      </c>
    </row>
    <row r="4203" spans="1:18" x14ac:dyDescent="0.25">
      <c r="A4203" t="s">
        <v>15750</v>
      </c>
      <c r="B4203" t="s">
        <v>5484</v>
      </c>
      <c r="C4203" t="str">
        <f>HYPERLINK("https://nematode.unl.edu/fictsp2.jpg")</f>
        <v>https://nematode.unl.edu/fictsp2.jpg</v>
      </c>
      <c r="D4203" t="s">
        <v>43</v>
      </c>
      <c r="G4203" t="s">
        <v>205</v>
      </c>
      <c r="I4203" t="s">
        <v>137</v>
      </c>
      <c r="J4203" t="s">
        <v>127</v>
      </c>
      <c r="L4203" t="s">
        <v>128</v>
      </c>
      <c r="M4203" t="s">
        <v>5483</v>
      </c>
      <c r="N4203" t="s">
        <v>5483</v>
      </c>
      <c r="O4203" t="s">
        <v>23</v>
      </c>
      <c r="P4203" t="s">
        <v>24</v>
      </c>
      <c r="Q4203" t="s">
        <v>2091</v>
      </c>
      <c r="R4203" t="s">
        <v>5483</v>
      </c>
    </row>
    <row r="4204" spans="1:18" x14ac:dyDescent="0.25">
      <c r="A4204" t="s">
        <v>15751</v>
      </c>
      <c r="B4204" t="s">
        <v>5485</v>
      </c>
      <c r="C4204" t="str">
        <f>HYPERLINK("https://nematode.unl.edu/fictsp3.jpg")</f>
        <v>https://nematode.unl.edu/fictsp3.jpg</v>
      </c>
      <c r="D4204" t="s">
        <v>43</v>
      </c>
      <c r="G4204" t="s">
        <v>28</v>
      </c>
      <c r="I4204" t="s">
        <v>137</v>
      </c>
      <c r="L4204" t="s">
        <v>131</v>
      </c>
      <c r="M4204" t="s">
        <v>5483</v>
      </c>
      <c r="N4204" t="s">
        <v>5483</v>
      </c>
      <c r="O4204" t="s">
        <v>23</v>
      </c>
      <c r="P4204" t="s">
        <v>24</v>
      </c>
      <c r="Q4204" t="s">
        <v>2091</v>
      </c>
      <c r="R4204" t="s">
        <v>5483</v>
      </c>
    </row>
    <row r="4205" spans="1:18" x14ac:dyDescent="0.25">
      <c r="A4205" t="s">
        <v>15748</v>
      </c>
      <c r="B4205" t="s">
        <v>5486</v>
      </c>
      <c r="C4205" t="str">
        <f>HYPERLINK("https://nematode.unl.edu/fictsp4.jpg")</f>
        <v>https://nematode.unl.edu/fictsp4.jpg</v>
      </c>
      <c r="D4205" t="s">
        <v>43</v>
      </c>
      <c r="G4205" t="s">
        <v>5487</v>
      </c>
      <c r="H4205" t="s">
        <v>18</v>
      </c>
      <c r="I4205" t="s">
        <v>41</v>
      </c>
      <c r="J4205" t="s">
        <v>127</v>
      </c>
      <c r="L4205" t="s">
        <v>128</v>
      </c>
      <c r="M4205" t="s">
        <v>5483</v>
      </c>
      <c r="N4205" t="s">
        <v>5483</v>
      </c>
      <c r="O4205" t="s">
        <v>23</v>
      </c>
      <c r="P4205" t="s">
        <v>24</v>
      </c>
      <c r="Q4205" t="s">
        <v>2091</v>
      </c>
      <c r="R4205" t="s">
        <v>5483</v>
      </c>
    </row>
    <row r="4206" spans="1:18" x14ac:dyDescent="0.25">
      <c r="A4206" t="s">
        <v>15749</v>
      </c>
      <c r="B4206" t="s">
        <v>5488</v>
      </c>
      <c r="C4206" t="str">
        <f>HYPERLINK("https://nematode.unl.edu/fictsp5.jpg")</f>
        <v>https://nematode.unl.edu/fictsp5.jpg</v>
      </c>
      <c r="D4206" t="s">
        <v>43</v>
      </c>
      <c r="G4206" t="s">
        <v>224</v>
      </c>
      <c r="I4206" t="s">
        <v>529</v>
      </c>
      <c r="J4206" t="s">
        <v>127</v>
      </c>
      <c r="L4206" t="s">
        <v>128</v>
      </c>
      <c r="M4206" t="s">
        <v>5483</v>
      </c>
      <c r="N4206" t="s">
        <v>5483</v>
      </c>
      <c r="O4206" t="s">
        <v>23</v>
      </c>
      <c r="P4206" t="s">
        <v>24</v>
      </c>
      <c r="Q4206" t="s">
        <v>2091</v>
      </c>
      <c r="R4206" t="s">
        <v>5483</v>
      </c>
    </row>
    <row r="4207" spans="1:18" x14ac:dyDescent="0.25">
      <c r="A4207" t="s">
        <v>18156</v>
      </c>
      <c r="B4207" t="s">
        <v>1043</v>
      </c>
      <c r="C4207" t="str">
        <f>HYPERLINK("https://nematode.unl.edu/ficyl1.jpg")</f>
        <v>https://nematode.unl.edu/ficyl1.jpg</v>
      </c>
      <c r="D4207" t="s">
        <v>43</v>
      </c>
      <c r="G4207" t="s">
        <v>44</v>
      </c>
      <c r="I4207" t="s">
        <v>45</v>
      </c>
      <c r="J4207" t="s">
        <v>46</v>
      </c>
      <c r="L4207" t="s">
        <v>727</v>
      </c>
      <c r="M4207" t="s">
        <v>1028</v>
      </c>
      <c r="N4207" t="s">
        <v>1029</v>
      </c>
      <c r="O4207" t="s">
        <v>23</v>
      </c>
      <c r="P4207" t="s">
        <v>24</v>
      </c>
      <c r="Q4207" t="s">
        <v>69</v>
      </c>
      <c r="R4207" t="s">
        <v>1030</v>
      </c>
    </row>
    <row r="4208" spans="1:18" x14ac:dyDescent="0.25">
      <c r="A4208" t="s">
        <v>18151</v>
      </c>
      <c r="B4208" t="s">
        <v>1044</v>
      </c>
      <c r="C4208" t="str">
        <f>HYPERLINK("https://nematode.unl.edu/ficyl2.jpg")</f>
        <v>https://nematode.unl.edu/ficyl2.jpg</v>
      </c>
      <c r="D4208" t="s">
        <v>43</v>
      </c>
      <c r="G4208" t="s">
        <v>34</v>
      </c>
      <c r="H4208" t="s">
        <v>18</v>
      </c>
      <c r="J4208" t="s">
        <v>46</v>
      </c>
      <c r="L4208" t="s">
        <v>727</v>
      </c>
      <c r="M4208" t="s">
        <v>1028</v>
      </c>
      <c r="N4208" t="s">
        <v>1029</v>
      </c>
      <c r="O4208" t="s">
        <v>23</v>
      </c>
      <c r="P4208" t="s">
        <v>24</v>
      </c>
      <c r="Q4208" t="s">
        <v>69</v>
      </c>
      <c r="R4208" t="s">
        <v>1030</v>
      </c>
    </row>
    <row r="4209" spans="1:18" x14ac:dyDescent="0.25">
      <c r="A4209" t="s">
        <v>18147</v>
      </c>
      <c r="B4209" t="s">
        <v>1045</v>
      </c>
      <c r="C4209" t="str">
        <f>HYPERLINK("https://nematode.unl.edu/ficyl3.jpg")</f>
        <v>https://nematode.unl.edu/ficyl3.jpg</v>
      </c>
      <c r="D4209" t="s">
        <v>43</v>
      </c>
      <c r="G4209" t="s">
        <v>17</v>
      </c>
      <c r="H4209" t="s">
        <v>18</v>
      </c>
      <c r="I4209" t="s">
        <v>19</v>
      </c>
      <c r="J4209" t="s">
        <v>46</v>
      </c>
      <c r="L4209" t="s">
        <v>727</v>
      </c>
      <c r="M4209" t="s">
        <v>1028</v>
      </c>
      <c r="N4209" t="s">
        <v>1029</v>
      </c>
      <c r="O4209" t="s">
        <v>23</v>
      </c>
      <c r="P4209" t="s">
        <v>24</v>
      </c>
      <c r="Q4209" t="s">
        <v>69</v>
      </c>
      <c r="R4209" t="s">
        <v>1030</v>
      </c>
    </row>
    <row r="4210" spans="1:18" x14ac:dyDescent="0.25">
      <c r="A4210" t="s">
        <v>18164</v>
      </c>
      <c r="B4210" t="s">
        <v>1046</v>
      </c>
      <c r="C4210" t="str">
        <f>HYPERLINK("https://nematode.unl.edu/ficyl4.jpg")</f>
        <v>https://nematode.unl.edu/ficyl4.jpg</v>
      </c>
      <c r="D4210" t="s">
        <v>43</v>
      </c>
      <c r="G4210" t="s">
        <v>51</v>
      </c>
      <c r="I4210" t="s">
        <v>19</v>
      </c>
      <c r="J4210" t="s">
        <v>46</v>
      </c>
      <c r="L4210" t="s">
        <v>727</v>
      </c>
      <c r="M4210" t="s">
        <v>1028</v>
      </c>
      <c r="N4210" t="s">
        <v>1029</v>
      </c>
      <c r="O4210" t="s">
        <v>23</v>
      </c>
      <c r="P4210" t="s">
        <v>24</v>
      </c>
      <c r="Q4210" t="s">
        <v>69</v>
      </c>
      <c r="R4210" t="s">
        <v>1030</v>
      </c>
    </row>
    <row r="4211" spans="1:18" x14ac:dyDescent="0.25">
      <c r="A4211" t="s">
        <v>18152</v>
      </c>
      <c r="B4211" t="s">
        <v>1047</v>
      </c>
      <c r="C4211" t="str">
        <f>HYPERLINK("https://nematode.unl.edu/ficyl5.jpg")</f>
        <v>https://nematode.unl.edu/ficyl5.jpg</v>
      </c>
      <c r="D4211" t="s">
        <v>43</v>
      </c>
      <c r="G4211" t="s">
        <v>34</v>
      </c>
      <c r="H4211" t="s">
        <v>18</v>
      </c>
      <c r="I4211" t="s">
        <v>41</v>
      </c>
      <c r="J4211" t="s">
        <v>46</v>
      </c>
      <c r="L4211" t="s">
        <v>727</v>
      </c>
      <c r="M4211" t="s">
        <v>1028</v>
      </c>
      <c r="N4211" t="s">
        <v>1029</v>
      </c>
      <c r="O4211" t="s">
        <v>23</v>
      </c>
      <c r="P4211" t="s">
        <v>24</v>
      </c>
      <c r="Q4211" t="s">
        <v>69</v>
      </c>
      <c r="R4211" t="s">
        <v>1030</v>
      </c>
    </row>
    <row r="4212" spans="1:18" x14ac:dyDescent="0.25">
      <c r="A4212" t="s">
        <v>18163</v>
      </c>
      <c r="B4212" t="s">
        <v>1048</v>
      </c>
      <c r="C4212" t="str">
        <f>HYPERLINK("https://nematode.unl.edu/ficyl6.jpg")</f>
        <v>https://nematode.unl.edu/ficyl6.jpg</v>
      </c>
      <c r="D4212" t="s">
        <v>43</v>
      </c>
      <c r="G4212" t="s">
        <v>28</v>
      </c>
      <c r="I4212" t="s">
        <v>41</v>
      </c>
      <c r="J4212" t="s">
        <v>46</v>
      </c>
      <c r="L4212" t="s">
        <v>727</v>
      </c>
      <c r="M4212" t="s">
        <v>1028</v>
      </c>
      <c r="N4212" t="s">
        <v>1029</v>
      </c>
      <c r="O4212" t="s">
        <v>23</v>
      </c>
      <c r="P4212" t="s">
        <v>24</v>
      </c>
      <c r="Q4212" t="s">
        <v>69</v>
      </c>
      <c r="R4212" t="s">
        <v>1030</v>
      </c>
    </row>
    <row r="4213" spans="1:18" x14ac:dyDescent="0.25">
      <c r="A4213" t="s">
        <v>18165</v>
      </c>
      <c r="B4213" t="s">
        <v>5624</v>
      </c>
      <c r="C4213" t="str">
        <f>HYPERLINK("https://nematode.unl.edu/ficylcus1.jpg")</f>
        <v>https://nematode.unl.edu/ficylcus1.jpg</v>
      </c>
      <c r="D4213" t="s">
        <v>77</v>
      </c>
      <c r="G4213" t="s">
        <v>34</v>
      </c>
      <c r="H4213" t="s">
        <v>18</v>
      </c>
      <c r="I4213" t="s">
        <v>516</v>
      </c>
      <c r="J4213" t="s">
        <v>20</v>
      </c>
      <c r="L4213" t="s">
        <v>193</v>
      </c>
      <c r="M4213" t="s">
        <v>5625</v>
      </c>
      <c r="N4213" t="s">
        <v>5625</v>
      </c>
      <c r="O4213" t="s">
        <v>23</v>
      </c>
      <c r="P4213" t="s">
        <v>24</v>
      </c>
      <c r="Q4213" t="s">
        <v>69</v>
      </c>
      <c r="R4213" t="s">
        <v>1030</v>
      </c>
    </row>
    <row r="4214" spans="1:18" x14ac:dyDescent="0.25">
      <c r="A4214" t="s">
        <v>18166</v>
      </c>
      <c r="B4214" t="s">
        <v>5626</v>
      </c>
      <c r="C4214" t="str">
        <f>HYPERLINK("https://nematode.unl.edu/ficylcus10.jpg")</f>
        <v>https://nematode.unl.edu/ficylcus10.jpg</v>
      </c>
      <c r="D4214" t="s">
        <v>77</v>
      </c>
      <c r="G4214" t="s">
        <v>34</v>
      </c>
      <c r="H4214" t="s">
        <v>18</v>
      </c>
      <c r="I4214" t="s">
        <v>41</v>
      </c>
      <c r="J4214" t="s">
        <v>20</v>
      </c>
      <c r="M4214" t="s">
        <v>5625</v>
      </c>
      <c r="N4214" t="s">
        <v>5625</v>
      </c>
      <c r="O4214" t="s">
        <v>23</v>
      </c>
      <c r="P4214" t="s">
        <v>24</v>
      </c>
      <c r="Q4214" t="s">
        <v>69</v>
      </c>
      <c r="R4214" t="s">
        <v>1030</v>
      </c>
    </row>
    <row r="4215" spans="1:18" x14ac:dyDescent="0.25">
      <c r="A4215" t="s">
        <v>18193</v>
      </c>
      <c r="B4215" t="s">
        <v>5627</v>
      </c>
      <c r="C4215" t="str">
        <f>HYPERLINK("https://nematode.unl.edu/ficylcus11.jpg")</f>
        <v>https://nematode.unl.edu/ficylcus11.jpg</v>
      </c>
      <c r="D4215" t="s">
        <v>77</v>
      </c>
      <c r="G4215" t="s">
        <v>28</v>
      </c>
      <c r="J4215" t="s">
        <v>20</v>
      </c>
      <c r="M4215" t="s">
        <v>5625</v>
      </c>
      <c r="N4215" t="s">
        <v>5625</v>
      </c>
      <c r="O4215" t="s">
        <v>23</v>
      </c>
      <c r="P4215" t="s">
        <v>24</v>
      </c>
      <c r="Q4215" t="s">
        <v>69</v>
      </c>
      <c r="R4215" t="s">
        <v>1030</v>
      </c>
    </row>
    <row r="4216" spans="1:18" x14ac:dyDescent="0.25">
      <c r="A4216" t="s">
        <v>18167</v>
      </c>
      <c r="B4216" t="s">
        <v>5628</v>
      </c>
      <c r="C4216" t="str">
        <f>HYPERLINK("https://nematode.unl.edu/ficylcus12.jpg")</f>
        <v>https://nematode.unl.edu/ficylcus12.jpg</v>
      </c>
      <c r="D4216" t="s">
        <v>16</v>
      </c>
      <c r="G4216" t="s">
        <v>34</v>
      </c>
      <c r="H4216" t="s">
        <v>18</v>
      </c>
      <c r="I4216" t="s">
        <v>19</v>
      </c>
      <c r="J4216" t="s">
        <v>20</v>
      </c>
      <c r="M4216" t="s">
        <v>5625</v>
      </c>
      <c r="N4216" t="s">
        <v>5625</v>
      </c>
      <c r="O4216" t="s">
        <v>23</v>
      </c>
      <c r="P4216" t="s">
        <v>24</v>
      </c>
      <c r="Q4216" t="s">
        <v>69</v>
      </c>
      <c r="R4216" t="s">
        <v>1030</v>
      </c>
    </row>
    <row r="4217" spans="1:18" x14ac:dyDescent="0.25">
      <c r="A4217" t="s">
        <v>18168</v>
      </c>
      <c r="B4217" t="s">
        <v>5629</v>
      </c>
      <c r="C4217" t="str">
        <f>HYPERLINK("https://nematode.unl.edu/ficylcus13.jpg")</f>
        <v>https://nematode.unl.edu/ficylcus13.jpg</v>
      </c>
      <c r="D4217" t="s">
        <v>16</v>
      </c>
      <c r="G4217" t="s">
        <v>34</v>
      </c>
      <c r="H4217" t="s">
        <v>18</v>
      </c>
      <c r="I4217" t="s">
        <v>41</v>
      </c>
      <c r="J4217" t="s">
        <v>20</v>
      </c>
      <c r="L4217" t="s">
        <v>64</v>
      </c>
      <c r="M4217" t="s">
        <v>5625</v>
      </c>
      <c r="N4217" t="s">
        <v>5625</v>
      </c>
      <c r="O4217" t="s">
        <v>23</v>
      </c>
      <c r="P4217" t="s">
        <v>24</v>
      </c>
      <c r="Q4217" t="s">
        <v>69</v>
      </c>
      <c r="R4217" t="s">
        <v>1030</v>
      </c>
    </row>
    <row r="4218" spans="1:18" x14ac:dyDescent="0.25">
      <c r="A4218" t="s">
        <v>18169</v>
      </c>
      <c r="B4218" t="s">
        <v>5630</v>
      </c>
      <c r="C4218" t="str">
        <f>HYPERLINK("https://nematode.unl.edu/ficylcus14.jpg")</f>
        <v>https://nematode.unl.edu/ficylcus14.jpg</v>
      </c>
      <c r="D4218" t="s">
        <v>43</v>
      </c>
      <c r="G4218" t="s">
        <v>34</v>
      </c>
      <c r="H4218" t="s">
        <v>18</v>
      </c>
      <c r="M4218" t="s">
        <v>5625</v>
      </c>
      <c r="N4218" t="s">
        <v>5625</v>
      </c>
      <c r="O4218" t="s">
        <v>23</v>
      </c>
      <c r="P4218" t="s">
        <v>24</v>
      </c>
      <c r="Q4218" t="s">
        <v>69</v>
      </c>
      <c r="R4218" t="s">
        <v>1030</v>
      </c>
    </row>
    <row r="4219" spans="1:18" x14ac:dyDescent="0.25">
      <c r="A4219" t="s">
        <v>18201</v>
      </c>
      <c r="B4219" t="s">
        <v>5631</v>
      </c>
      <c r="C4219" t="str">
        <f>HYPERLINK("https://nematode.unl.edu/ficylcus15.jpg")</f>
        <v>https://nematode.unl.edu/ficylcus15.jpg</v>
      </c>
      <c r="D4219" t="s">
        <v>43</v>
      </c>
      <c r="G4219" t="s">
        <v>51</v>
      </c>
      <c r="I4219" t="s">
        <v>41</v>
      </c>
      <c r="M4219" t="s">
        <v>5625</v>
      </c>
      <c r="N4219" t="s">
        <v>5625</v>
      </c>
      <c r="O4219" t="s">
        <v>23</v>
      </c>
      <c r="P4219" t="s">
        <v>24</v>
      </c>
      <c r="Q4219" t="s">
        <v>69</v>
      </c>
      <c r="R4219" t="s">
        <v>1030</v>
      </c>
    </row>
    <row r="4220" spans="1:18" x14ac:dyDescent="0.25">
      <c r="A4220" t="s">
        <v>18194</v>
      </c>
      <c r="B4220" t="s">
        <v>5632</v>
      </c>
      <c r="C4220" t="str">
        <f>HYPERLINK("https://nematode.unl.edu/ficylcus16.jpg")</f>
        <v>https://nematode.unl.edu/ficylcus16.jpg</v>
      </c>
      <c r="D4220" t="s">
        <v>43</v>
      </c>
      <c r="G4220" t="s">
        <v>28</v>
      </c>
      <c r="M4220" t="s">
        <v>5625</v>
      </c>
      <c r="N4220" t="s">
        <v>5625</v>
      </c>
      <c r="O4220" t="s">
        <v>23</v>
      </c>
      <c r="P4220" t="s">
        <v>24</v>
      </c>
      <c r="Q4220" t="s">
        <v>69</v>
      </c>
      <c r="R4220" t="s">
        <v>1030</v>
      </c>
    </row>
    <row r="4221" spans="1:18" x14ac:dyDescent="0.25">
      <c r="A4221" t="s">
        <v>18202</v>
      </c>
      <c r="B4221" t="s">
        <v>5633</v>
      </c>
      <c r="C4221" t="str">
        <f>HYPERLINK("https://nematode.unl.edu/ficylcus17.jpg")</f>
        <v>https://nematode.unl.edu/ficylcus17.jpg</v>
      </c>
      <c r="D4221" t="s">
        <v>43</v>
      </c>
      <c r="G4221" t="s">
        <v>51</v>
      </c>
      <c r="I4221" t="s">
        <v>19</v>
      </c>
      <c r="J4221" t="s">
        <v>20</v>
      </c>
      <c r="L4221" t="s">
        <v>64</v>
      </c>
      <c r="M4221" t="s">
        <v>5625</v>
      </c>
      <c r="N4221" t="s">
        <v>5625</v>
      </c>
      <c r="O4221" t="s">
        <v>23</v>
      </c>
      <c r="P4221" t="s">
        <v>24</v>
      </c>
      <c r="Q4221" t="s">
        <v>69</v>
      </c>
      <c r="R4221" t="s">
        <v>1030</v>
      </c>
    </row>
    <row r="4222" spans="1:18" x14ac:dyDescent="0.25">
      <c r="A4222" t="s">
        <v>18170</v>
      </c>
      <c r="B4222" t="s">
        <v>5634</v>
      </c>
      <c r="C4222" t="str">
        <f>HYPERLINK("https://nematode.unl.edu/ficylcus18.jpg")</f>
        <v>https://nematode.unl.edu/ficylcus18.jpg</v>
      </c>
      <c r="D4222" t="s">
        <v>43</v>
      </c>
      <c r="G4222" t="s">
        <v>34</v>
      </c>
      <c r="H4222" t="s">
        <v>18</v>
      </c>
      <c r="J4222" t="s">
        <v>20</v>
      </c>
      <c r="M4222" t="s">
        <v>5625</v>
      </c>
      <c r="N4222" t="s">
        <v>5625</v>
      </c>
      <c r="O4222" t="s">
        <v>23</v>
      </c>
      <c r="P4222" t="s">
        <v>24</v>
      </c>
      <c r="Q4222" t="s">
        <v>69</v>
      </c>
      <c r="R4222" t="s">
        <v>1030</v>
      </c>
    </row>
    <row r="4223" spans="1:18" x14ac:dyDescent="0.25">
      <c r="A4223" t="s">
        <v>18180</v>
      </c>
      <c r="B4223" t="s">
        <v>5635</v>
      </c>
      <c r="C4223" t="str">
        <f>HYPERLINK("https://nematode.unl.edu/ficylcus19.jpg")</f>
        <v>https://nematode.unl.edu/ficylcus19.jpg</v>
      </c>
      <c r="D4223" t="s">
        <v>43</v>
      </c>
      <c r="G4223" t="s">
        <v>44</v>
      </c>
      <c r="I4223" t="s">
        <v>1008</v>
      </c>
      <c r="J4223" t="s">
        <v>20</v>
      </c>
      <c r="L4223" t="s">
        <v>206</v>
      </c>
      <c r="M4223" t="s">
        <v>5625</v>
      </c>
      <c r="N4223" t="s">
        <v>5625</v>
      </c>
      <c r="O4223" t="s">
        <v>23</v>
      </c>
      <c r="P4223" t="s">
        <v>24</v>
      </c>
      <c r="Q4223" t="s">
        <v>69</v>
      </c>
      <c r="R4223" t="s">
        <v>1030</v>
      </c>
    </row>
    <row r="4224" spans="1:18" x14ac:dyDescent="0.25">
      <c r="A4224" t="s">
        <v>18188</v>
      </c>
      <c r="B4224" t="s">
        <v>5636</v>
      </c>
      <c r="C4224" t="str">
        <f>HYPERLINK("https://nematode.unl.edu/ficylcus2.jpg")</f>
        <v>https://nematode.unl.edu/ficylcus2.jpg</v>
      </c>
      <c r="D4224" t="s">
        <v>77</v>
      </c>
      <c r="G4224" t="s">
        <v>112</v>
      </c>
      <c r="J4224" t="s">
        <v>20</v>
      </c>
      <c r="L4224" t="s">
        <v>141</v>
      </c>
      <c r="M4224" t="s">
        <v>5625</v>
      </c>
      <c r="N4224" t="s">
        <v>5625</v>
      </c>
      <c r="O4224" t="s">
        <v>23</v>
      </c>
      <c r="P4224" t="s">
        <v>24</v>
      </c>
      <c r="Q4224" t="s">
        <v>69</v>
      </c>
      <c r="R4224" t="s">
        <v>1030</v>
      </c>
    </row>
    <row r="4225" spans="1:18" x14ac:dyDescent="0.25">
      <c r="A4225" t="s">
        <v>18171</v>
      </c>
      <c r="B4225" t="s">
        <v>5637</v>
      </c>
      <c r="C4225" t="str">
        <f>HYPERLINK("https://nematode.unl.edu/ficylcus20.jpg")</f>
        <v>https://nematode.unl.edu/ficylcus20.jpg</v>
      </c>
      <c r="D4225" t="s">
        <v>43</v>
      </c>
      <c r="G4225" t="s">
        <v>34</v>
      </c>
      <c r="H4225" t="s">
        <v>18</v>
      </c>
      <c r="M4225" t="s">
        <v>5625</v>
      </c>
      <c r="N4225" t="s">
        <v>5625</v>
      </c>
      <c r="O4225" t="s">
        <v>23</v>
      </c>
      <c r="P4225" t="s">
        <v>24</v>
      </c>
      <c r="Q4225" t="s">
        <v>69</v>
      </c>
      <c r="R4225" t="s">
        <v>1030</v>
      </c>
    </row>
    <row r="4226" spans="1:18" x14ac:dyDescent="0.25">
      <c r="A4226" t="s">
        <v>18181</v>
      </c>
      <c r="B4226" t="s">
        <v>5638</v>
      </c>
      <c r="C4226" t="str">
        <f>HYPERLINK("https://nematode.unl.edu/ficylcus21.jpg")</f>
        <v>https://nematode.unl.edu/ficylcus21.jpg</v>
      </c>
      <c r="D4226" t="s">
        <v>43</v>
      </c>
      <c r="G4226" t="s">
        <v>44</v>
      </c>
      <c r="I4226" t="s">
        <v>45</v>
      </c>
      <c r="J4226" t="s">
        <v>20</v>
      </c>
      <c r="L4226" t="s">
        <v>1707</v>
      </c>
      <c r="M4226" t="s">
        <v>5625</v>
      </c>
      <c r="N4226" t="s">
        <v>5625</v>
      </c>
      <c r="O4226" t="s">
        <v>23</v>
      </c>
      <c r="P4226" t="s">
        <v>24</v>
      </c>
      <c r="Q4226" t="s">
        <v>69</v>
      </c>
      <c r="R4226" t="s">
        <v>1030</v>
      </c>
    </row>
    <row r="4227" spans="1:18" x14ac:dyDescent="0.25">
      <c r="A4227" t="s">
        <v>18195</v>
      </c>
      <c r="B4227" t="s">
        <v>5639</v>
      </c>
      <c r="C4227" t="str">
        <f>HYPERLINK("https://nematode.unl.edu/ficylcus3.jpg")</f>
        <v>https://nematode.unl.edu/ficylcus3.jpg</v>
      </c>
      <c r="D4227" t="s">
        <v>77</v>
      </c>
      <c r="G4227" t="s">
        <v>28</v>
      </c>
      <c r="J4227" t="s">
        <v>20</v>
      </c>
      <c r="L4227" t="s">
        <v>193</v>
      </c>
      <c r="M4227" t="s">
        <v>5625</v>
      </c>
      <c r="N4227" t="s">
        <v>5625</v>
      </c>
      <c r="O4227" t="s">
        <v>23</v>
      </c>
      <c r="P4227" t="s">
        <v>24</v>
      </c>
      <c r="Q4227" t="s">
        <v>69</v>
      </c>
      <c r="R4227" t="s">
        <v>1030</v>
      </c>
    </row>
    <row r="4228" spans="1:18" x14ac:dyDescent="0.25">
      <c r="A4228" t="s">
        <v>18172</v>
      </c>
      <c r="B4228" t="s">
        <v>5640</v>
      </c>
      <c r="C4228" t="str">
        <f>HYPERLINK("https://nematode.unl.edu/ficylcus4.jpg")</f>
        <v>https://nematode.unl.edu/ficylcus4.jpg</v>
      </c>
      <c r="D4228" t="s">
        <v>77</v>
      </c>
      <c r="G4228" t="s">
        <v>34</v>
      </c>
      <c r="H4228" t="s">
        <v>18</v>
      </c>
      <c r="I4228" t="s">
        <v>41</v>
      </c>
      <c r="J4228" t="s">
        <v>20</v>
      </c>
      <c r="L4228" t="s">
        <v>141</v>
      </c>
      <c r="M4228" t="s">
        <v>5625</v>
      </c>
      <c r="N4228" t="s">
        <v>5625</v>
      </c>
      <c r="O4228" t="s">
        <v>23</v>
      </c>
      <c r="P4228" t="s">
        <v>24</v>
      </c>
      <c r="Q4228" t="s">
        <v>69</v>
      </c>
      <c r="R4228" t="s">
        <v>1030</v>
      </c>
    </row>
    <row r="4229" spans="1:18" x14ac:dyDescent="0.25">
      <c r="A4229" t="s">
        <v>18196</v>
      </c>
      <c r="B4229" t="s">
        <v>5641</v>
      </c>
      <c r="C4229" t="str">
        <f>HYPERLINK("https://nematode.unl.edu/ficylcus5.jpg")</f>
        <v>https://nematode.unl.edu/ficylcus5.jpg</v>
      </c>
      <c r="D4229" t="s">
        <v>77</v>
      </c>
      <c r="G4229" t="s">
        <v>28</v>
      </c>
      <c r="I4229" t="s">
        <v>41</v>
      </c>
      <c r="J4229" t="s">
        <v>20</v>
      </c>
      <c r="L4229" t="s">
        <v>217</v>
      </c>
      <c r="M4229" t="s">
        <v>5625</v>
      </c>
      <c r="N4229" t="s">
        <v>5625</v>
      </c>
      <c r="O4229" t="s">
        <v>23</v>
      </c>
      <c r="P4229" t="s">
        <v>24</v>
      </c>
      <c r="Q4229" t="s">
        <v>69</v>
      </c>
      <c r="R4229" t="s">
        <v>1030</v>
      </c>
    </row>
    <row r="4230" spans="1:18" x14ac:dyDescent="0.25">
      <c r="A4230" t="s">
        <v>18189</v>
      </c>
      <c r="B4230" t="s">
        <v>5642</v>
      </c>
      <c r="C4230" t="str">
        <f>HYPERLINK("https://nematode.unl.edu/ficylcus6.jpg")</f>
        <v>https://nematode.unl.edu/ficylcus6.jpg</v>
      </c>
      <c r="D4230" t="s">
        <v>77</v>
      </c>
      <c r="G4230" t="s">
        <v>112</v>
      </c>
      <c r="I4230" t="s">
        <v>41</v>
      </c>
      <c r="J4230" t="s">
        <v>20</v>
      </c>
      <c r="L4230" t="s">
        <v>85</v>
      </c>
      <c r="M4230" t="s">
        <v>5625</v>
      </c>
      <c r="N4230" t="s">
        <v>5625</v>
      </c>
      <c r="O4230" t="s">
        <v>23</v>
      </c>
      <c r="P4230" t="s">
        <v>24</v>
      </c>
      <c r="Q4230" t="s">
        <v>69</v>
      </c>
      <c r="R4230" t="s">
        <v>1030</v>
      </c>
    </row>
    <row r="4231" spans="1:18" x14ac:dyDescent="0.25">
      <c r="A4231" t="s">
        <v>18173</v>
      </c>
      <c r="B4231" t="s">
        <v>5643</v>
      </c>
      <c r="C4231" t="str">
        <f>HYPERLINK("https://nematode.unl.edu/ficylcus7.jpg")</f>
        <v>https://nematode.unl.edu/ficylcus7.jpg</v>
      </c>
      <c r="D4231" t="s">
        <v>77</v>
      </c>
      <c r="G4231" t="s">
        <v>34</v>
      </c>
      <c r="H4231" t="s">
        <v>18</v>
      </c>
      <c r="I4231" t="s">
        <v>19</v>
      </c>
      <c r="J4231" t="s">
        <v>20</v>
      </c>
      <c r="L4231" t="s">
        <v>29</v>
      </c>
      <c r="M4231" t="s">
        <v>5625</v>
      </c>
      <c r="N4231" t="s">
        <v>5625</v>
      </c>
      <c r="O4231" t="s">
        <v>23</v>
      </c>
      <c r="P4231" t="s">
        <v>24</v>
      </c>
      <c r="Q4231" t="s">
        <v>69</v>
      </c>
      <c r="R4231" t="s">
        <v>1030</v>
      </c>
    </row>
    <row r="4232" spans="1:18" x14ac:dyDescent="0.25">
      <c r="A4232" t="s">
        <v>18190</v>
      </c>
      <c r="B4232" t="s">
        <v>5644</v>
      </c>
      <c r="C4232" t="str">
        <f>HYPERLINK("https://nematode.unl.edu/ficylcus8.jpg")</f>
        <v>https://nematode.unl.edu/ficylcus8.jpg</v>
      </c>
      <c r="D4232" t="s">
        <v>77</v>
      </c>
      <c r="G4232" t="s">
        <v>112</v>
      </c>
      <c r="J4232" t="s">
        <v>20</v>
      </c>
      <c r="L4232" t="s">
        <v>183</v>
      </c>
      <c r="M4232" t="s">
        <v>5625</v>
      </c>
      <c r="N4232" t="s">
        <v>5625</v>
      </c>
      <c r="O4232" t="s">
        <v>23</v>
      </c>
      <c r="P4232" t="s">
        <v>24</v>
      </c>
      <c r="Q4232" t="s">
        <v>69</v>
      </c>
      <c r="R4232" t="s">
        <v>1030</v>
      </c>
    </row>
    <row r="4233" spans="1:18" x14ac:dyDescent="0.25">
      <c r="A4233" t="s">
        <v>18187</v>
      </c>
      <c r="B4233" t="s">
        <v>5645</v>
      </c>
      <c r="C4233" t="str">
        <f>HYPERLINK("https://nematode.unl.edu/ficylcus9.jpg")</f>
        <v>https://nematode.unl.edu/ficylcus9.jpg</v>
      </c>
      <c r="D4233" t="s">
        <v>77</v>
      </c>
      <c r="G4233" t="s">
        <v>53</v>
      </c>
      <c r="I4233" t="s">
        <v>41</v>
      </c>
      <c r="J4233" t="s">
        <v>20</v>
      </c>
      <c r="L4233" t="s">
        <v>85</v>
      </c>
      <c r="M4233" t="s">
        <v>5625</v>
      </c>
      <c r="N4233" t="s">
        <v>5625</v>
      </c>
      <c r="O4233" t="s">
        <v>23</v>
      </c>
      <c r="P4233" t="s">
        <v>24</v>
      </c>
      <c r="Q4233" t="s">
        <v>69</v>
      </c>
      <c r="R4233" t="s">
        <v>1030</v>
      </c>
    </row>
    <row r="4234" spans="1:18" x14ac:dyDescent="0.25">
      <c r="A4234" t="s">
        <v>18217</v>
      </c>
      <c r="B4234" t="s">
        <v>5680</v>
      </c>
      <c r="C4234" t="str">
        <f>HYPERLINK("https://nematode.unl.edu/fiditiss1.jpg")</f>
        <v>https://nematode.unl.edu/fiditiss1.jpg</v>
      </c>
      <c r="D4234" t="s">
        <v>43</v>
      </c>
      <c r="G4234" t="s">
        <v>34</v>
      </c>
      <c r="H4234" t="s">
        <v>18</v>
      </c>
      <c r="J4234" t="s">
        <v>20</v>
      </c>
      <c r="M4234" t="s">
        <v>5679</v>
      </c>
      <c r="N4234" t="s">
        <v>5679</v>
      </c>
      <c r="O4234" t="s">
        <v>23</v>
      </c>
      <c r="P4234" t="s">
        <v>24</v>
      </c>
      <c r="Q4234" t="s">
        <v>69</v>
      </c>
      <c r="R4234" t="s">
        <v>1030</v>
      </c>
    </row>
    <row r="4235" spans="1:18" x14ac:dyDescent="0.25">
      <c r="A4235" t="s">
        <v>18229</v>
      </c>
      <c r="B4235" t="s">
        <v>5681</v>
      </c>
      <c r="C4235" t="str">
        <f>HYPERLINK("https://nematode.unl.edu/fiditiss10.jpg")</f>
        <v>https://nematode.unl.edu/fiditiss10.jpg</v>
      </c>
      <c r="D4235" t="s">
        <v>43</v>
      </c>
      <c r="G4235" t="s">
        <v>44</v>
      </c>
      <c r="I4235" t="s">
        <v>19</v>
      </c>
      <c r="J4235" t="s">
        <v>20</v>
      </c>
      <c r="L4235" t="s">
        <v>5682</v>
      </c>
      <c r="M4235" t="s">
        <v>5679</v>
      </c>
      <c r="N4235" t="s">
        <v>5679</v>
      </c>
      <c r="O4235" t="s">
        <v>23</v>
      </c>
      <c r="P4235" t="s">
        <v>24</v>
      </c>
      <c r="Q4235" t="s">
        <v>69</v>
      </c>
      <c r="R4235" t="s">
        <v>1030</v>
      </c>
    </row>
    <row r="4236" spans="1:18" x14ac:dyDescent="0.25">
      <c r="A4236" t="s">
        <v>18230</v>
      </c>
      <c r="B4236" t="s">
        <v>5683</v>
      </c>
      <c r="C4236" t="str">
        <f>HYPERLINK("https://nematode.unl.edu/fiditiss11.jpg")</f>
        <v>https://nematode.unl.edu/fiditiss11.jpg</v>
      </c>
      <c r="D4236" t="s">
        <v>43</v>
      </c>
      <c r="G4236" t="s">
        <v>44</v>
      </c>
      <c r="I4236" t="s">
        <v>45</v>
      </c>
      <c r="J4236" t="s">
        <v>20</v>
      </c>
      <c r="L4236" t="s">
        <v>752</v>
      </c>
      <c r="M4236" t="s">
        <v>5679</v>
      </c>
      <c r="N4236" t="s">
        <v>5679</v>
      </c>
      <c r="O4236" t="s">
        <v>23</v>
      </c>
      <c r="P4236" t="s">
        <v>24</v>
      </c>
      <c r="Q4236" t="s">
        <v>69</v>
      </c>
      <c r="R4236" t="s">
        <v>1030</v>
      </c>
    </row>
    <row r="4237" spans="1:18" x14ac:dyDescent="0.25">
      <c r="A4237" t="s">
        <v>18231</v>
      </c>
      <c r="B4237" t="s">
        <v>5684</v>
      </c>
      <c r="C4237" t="str">
        <f>HYPERLINK("https://nematode.unl.edu/fiditiss12.jpg")</f>
        <v>https://nematode.unl.edu/fiditiss12.jpg</v>
      </c>
      <c r="D4237" t="s">
        <v>77</v>
      </c>
      <c r="G4237" t="s">
        <v>44</v>
      </c>
      <c r="I4237" t="s">
        <v>45</v>
      </c>
      <c r="J4237" t="s">
        <v>20</v>
      </c>
      <c r="L4237" t="s">
        <v>5685</v>
      </c>
      <c r="M4237" t="s">
        <v>5679</v>
      </c>
      <c r="N4237" t="s">
        <v>5679</v>
      </c>
      <c r="O4237" t="s">
        <v>23</v>
      </c>
      <c r="P4237" t="s">
        <v>24</v>
      </c>
      <c r="Q4237" t="s">
        <v>69</v>
      </c>
      <c r="R4237" t="s">
        <v>1030</v>
      </c>
    </row>
    <row r="4238" spans="1:18" x14ac:dyDescent="0.25">
      <c r="A4238" t="s">
        <v>18218</v>
      </c>
      <c r="B4238" t="s">
        <v>5686</v>
      </c>
      <c r="C4238" t="str">
        <f>HYPERLINK("https://nematode.unl.edu/fiditiss13.jpg")</f>
        <v>https://nematode.unl.edu/fiditiss13.jpg</v>
      </c>
      <c r="D4238" t="s">
        <v>77</v>
      </c>
      <c r="G4238" t="s">
        <v>34</v>
      </c>
      <c r="H4238" t="s">
        <v>18</v>
      </c>
      <c r="I4238" t="s">
        <v>19</v>
      </c>
      <c r="J4238" t="s">
        <v>20</v>
      </c>
      <c r="L4238" t="s">
        <v>141</v>
      </c>
      <c r="M4238" t="s">
        <v>5679</v>
      </c>
      <c r="N4238" t="s">
        <v>5679</v>
      </c>
      <c r="O4238" t="s">
        <v>23</v>
      </c>
      <c r="P4238" t="s">
        <v>24</v>
      </c>
      <c r="Q4238" t="s">
        <v>69</v>
      </c>
      <c r="R4238" t="s">
        <v>1030</v>
      </c>
    </row>
    <row r="4239" spans="1:18" x14ac:dyDescent="0.25">
      <c r="A4239" t="s">
        <v>18240</v>
      </c>
      <c r="B4239" t="s">
        <v>5687</v>
      </c>
      <c r="C4239" t="str">
        <f>HYPERLINK("https://nematode.unl.edu/fiditiss14.jpg")</f>
        <v>https://nematode.unl.edu/fiditiss14.jpg</v>
      </c>
      <c r="D4239" t="s">
        <v>77</v>
      </c>
      <c r="G4239" t="s">
        <v>112</v>
      </c>
      <c r="I4239" t="s">
        <v>19</v>
      </c>
      <c r="M4239" t="s">
        <v>5679</v>
      </c>
      <c r="N4239" t="s">
        <v>5679</v>
      </c>
      <c r="O4239" t="s">
        <v>23</v>
      </c>
      <c r="P4239" t="s">
        <v>24</v>
      </c>
      <c r="Q4239" t="s">
        <v>69</v>
      </c>
      <c r="R4239" t="s">
        <v>1030</v>
      </c>
    </row>
    <row r="4240" spans="1:18" x14ac:dyDescent="0.25">
      <c r="A4240" t="s">
        <v>18219</v>
      </c>
      <c r="B4240" t="s">
        <v>5688</v>
      </c>
      <c r="C4240" t="str">
        <f>HYPERLINK("https://nematode.unl.edu/fiditiss15.jpg")</f>
        <v>https://nematode.unl.edu/fiditiss15.jpg</v>
      </c>
      <c r="D4240" t="s">
        <v>77</v>
      </c>
      <c r="G4240" t="s">
        <v>34</v>
      </c>
      <c r="H4240" t="s">
        <v>18</v>
      </c>
      <c r="I4240" t="s">
        <v>19</v>
      </c>
      <c r="J4240" t="s">
        <v>20</v>
      </c>
      <c r="L4240" t="s">
        <v>64</v>
      </c>
      <c r="M4240" t="s">
        <v>5679</v>
      </c>
      <c r="N4240" t="s">
        <v>5679</v>
      </c>
      <c r="O4240" t="s">
        <v>23</v>
      </c>
      <c r="P4240" t="s">
        <v>24</v>
      </c>
      <c r="Q4240" t="s">
        <v>69</v>
      </c>
      <c r="R4240" t="s">
        <v>1030</v>
      </c>
    </row>
    <row r="4241" spans="1:18" x14ac:dyDescent="0.25">
      <c r="A4241" t="s">
        <v>18244</v>
      </c>
      <c r="B4241" t="s">
        <v>5689</v>
      </c>
      <c r="C4241" t="str">
        <f>HYPERLINK("https://nematode.unl.edu/fiditiss16.jpg")</f>
        <v>https://nematode.unl.edu/fiditiss16.jpg</v>
      </c>
      <c r="D4241" t="s">
        <v>77</v>
      </c>
      <c r="G4241" t="s">
        <v>28</v>
      </c>
      <c r="I4241" t="s">
        <v>19</v>
      </c>
      <c r="J4241" t="s">
        <v>20</v>
      </c>
      <c r="L4241" t="s">
        <v>141</v>
      </c>
      <c r="M4241" t="s">
        <v>5679</v>
      </c>
      <c r="N4241" t="s">
        <v>5679</v>
      </c>
      <c r="O4241" t="s">
        <v>23</v>
      </c>
      <c r="P4241" t="s">
        <v>24</v>
      </c>
      <c r="Q4241" t="s">
        <v>69</v>
      </c>
      <c r="R4241" t="s">
        <v>1030</v>
      </c>
    </row>
    <row r="4242" spans="1:18" x14ac:dyDescent="0.25">
      <c r="A4242" t="s">
        <v>18220</v>
      </c>
      <c r="B4242" t="s">
        <v>5690</v>
      </c>
      <c r="C4242" t="str">
        <f>HYPERLINK("https://nematode.unl.edu/fiditiss17.jpg")</f>
        <v>https://nematode.unl.edu/fiditiss17.jpg</v>
      </c>
      <c r="D4242" t="s">
        <v>77</v>
      </c>
      <c r="G4242" t="s">
        <v>34</v>
      </c>
      <c r="H4242" t="s">
        <v>18</v>
      </c>
      <c r="I4242" t="s">
        <v>41</v>
      </c>
      <c r="J4242" t="s">
        <v>20</v>
      </c>
      <c r="L4242" t="s">
        <v>141</v>
      </c>
      <c r="M4242" t="s">
        <v>5679</v>
      </c>
      <c r="N4242" t="s">
        <v>5679</v>
      </c>
      <c r="O4242" t="s">
        <v>23</v>
      </c>
      <c r="P4242" t="s">
        <v>24</v>
      </c>
      <c r="Q4242" t="s">
        <v>69</v>
      </c>
      <c r="R4242" t="s">
        <v>1030</v>
      </c>
    </row>
    <row r="4243" spans="1:18" x14ac:dyDescent="0.25">
      <c r="A4243" t="s">
        <v>18241</v>
      </c>
      <c r="B4243" t="s">
        <v>5691</v>
      </c>
      <c r="C4243" t="str">
        <f>HYPERLINK("https://nematode.unl.edu/fiditiss18.jpg")</f>
        <v>https://nematode.unl.edu/fiditiss18.jpg</v>
      </c>
      <c r="D4243" t="s">
        <v>77</v>
      </c>
      <c r="G4243" t="s">
        <v>112</v>
      </c>
      <c r="I4243" t="s">
        <v>41</v>
      </c>
      <c r="L4243" t="s">
        <v>193</v>
      </c>
      <c r="M4243" t="s">
        <v>5679</v>
      </c>
      <c r="N4243" t="s">
        <v>5679</v>
      </c>
      <c r="O4243" t="s">
        <v>23</v>
      </c>
      <c r="P4243" t="s">
        <v>24</v>
      </c>
      <c r="Q4243" t="s">
        <v>69</v>
      </c>
      <c r="R4243" t="s">
        <v>1030</v>
      </c>
    </row>
    <row r="4244" spans="1:18" x14ac:dyDescent="0.25">
      <c r="A4244" t="s">
        <v>18235</v>
      </c>
      <c r="B4244" t="s">
        <v>5692</v>
      </c>
      <c r="C4244" t="str">
        <f>HYPERLINK("https://nematode.unl.edu/fiditiss19.jpg")</f>
        <v>https://nematode.unl.edu/fiditiss19.jpg</v>
      </c>
      <c r="D4244" t="s">
        <v>77</v>
      </c>
      <c r="G4244" t="s">
        <v>53</v>
      </c>
      <c r="I4244" t="s">
        <v>41</v>
      </c>
      <c r="L4244" t="s">
        <v>193</v>
      </c>
      <c r="M4244" t="s">
        <v>5679</v>
      </c>
      <c r="N4244" t="s">
        <v>5679</v>
      </c>
      <c r="O4244" t="s">
        <v>23</v>
      </c>
      <c r="P4244" t="s">
        <v>24</v>
      </c>
      <c r="Q4244" t="s">
        <v>69</v>
      </c>
      <c r="R4244" t="s">
        <v>1030</v>
      </c>
    </row>
    <row r="4245" spans="1:18" x14ac:dyDescent="0.25">
      <c r="A4245" t="s">
        <v>18221</v>
      </c>
      <c r="B4245" t="s">
        <v>5693</v>
      </c>
      <c r="C4245" t="str">
        <f>HYPERLINK("https://nematode.unl.edu/fiditiss2.jpg")</f>
        <v>https://nematode.unl.edu/fiditiss2.jpg</v>
      </c>
      <c r="D4245" t="s">
        <v>43</v>
      </c>
      <c r="G4245" t="s">
        <v>34</v>
      </c>
      <c r="H4245" t="s">
        <v>18</v>
      </c>
      <c r="I4245" t="s">
        <v>41</v>
      </c>
      <c r="J4245" t="s">
        <v>20</v>
      </c>
      <c r="L4245" t="s">
        <v>141</v>
      </c>
      <c r="M4245" t="s">
        <v>5679</v>
      </c>
      <c r="N4245" t="s">
        <v>5679</v>
      </c>
      <c r="O4245" t="s">
        <v>23</v>
      </c>
      <c r="P4245" t="s">
        <v>24</v>
      </c>
      <c r="Q4245" t="s">
        <v>69</v>
      </c>
      <c r="R4245" t="s">
        <v>1030</v>
      </c>
    </row>
    <row r="4246" spans="1:18" x14ac:dyDescent="0.25">
      <c r="A4246" t="s">
        <v>18222</v>
      </c>
      <c r="B4246" t="s">
        <v>5694</v>
      </c>
      <c r="C4246" t="str">
        <f>HYPERLINK("https://nematode.unl.edu/fiditiss20.jpg")</f>
        <v>https://nematode.unl.edu/fiditiss20.jpg</v>
      </c>
      <c r="D4246" t="s">
        <v>43</v>
      </c>
      <c r="G4246" t="s">
        <v>34</v>
      </c>
      <c r="H4246" t="s">
        <v>18</v>
      </c>
      <c r="I4246" t="s">
        <v>19</v>
      </c>
      <c r="J4246" t="s">
        <v>20</v>
      </c>
      <c r="M4246" t="s">
        <v>5679</v>
      </c>
      <c r="N4246" t="s">
        <v>5679</v>
      </c>
      <c r="O4246" t="s">
        <v>23</v>
      </c>
      <c r="P4246" t="s">
        <v>24</v>
      </c>
      <c r="Q4246" t="s">
        <v>69</v>
      </c>
      <c r="R4246" t="s">
        <v>1030</v>
      </c>
    </row>
    <row r="4247" spans="1:18" x14ac:dyDescent="0.25">
      <c r="A4247" t="s">
        <v>18251</v>
      </c>
      <c r="B4247" t="s">
        <v>5695</v>
      </c>
      <c r="C4247" t="str">
        <f>HYPERLINK("https://nematode.unl.edu/fiditiss21.jpg")</f>
        <v>https://nematode.unl.edu/fiditiss21.jpg</v>
      </c>
      <c r="D4247" t="s">
        <v>43</v>
      </c>
      <c r="G4247" t="s">
        <v>51</v>
      </c>
      <c r="I4247" t="s">
        <v>19</v>
      </c>
      <c r="M4247" t="s">
        <v>5679</v>
      </c>
      <c r="N4247" t="s">
        <v>5679</v>
      </c>
      <c r="O4247" t="s">
        <v>23</v>
      </c>
      <c r="P4247" t="s">
        <v>24</v>
      </c>
      <c r="Q4247" t="s">
        <v>69</v>
      </c>
      <c r="R4247" t="s">
        <v>1030</v>
      </c>
    </row>
    <row r="4248" spans="1:18" x14ac:dyDescent="0.25">
      <c r="A4248" t="s">
        <v>18245</v>
      </c>
      <c r="B4248" t="s">
        <v>5696</v>
      </c>
      <c r="C4248" t="str">
        <f>HYPERLINK("https://nematode.unl.edu/fiditiss22.jpg")</f>
        <v>https://nematode.unl.edu/fiditiss22.jpg</v>
      </c>
      <c r="D4248" t="s">
        <v>43</v>
      </c>
      <c r="G4248" t="s">
        <v>28</v>
      </c>
      <c r="I4248" t="s">
        <v>19</v>
      </c>
      <c r="L4248" t="s">
        <v>29</v>
      </c>
      <c r="M4248" t="s">
        <v>5679</v>
      </c>
      <c r="N4248" t="s">
        <v>5679</v>
      </c>
      <c r="O4248" t="s">
        <v>23</v>
      </c>
      <c r="P4248" t="s">
        <v>24</v>
      </c>
      <c r="Q4248" t="s">
        <v>69</v>
      </c>
      <c r="R4248" t="s">
        <v>1030</v>
      </c>
    </row>
    <row r="4249" spans="1:18" x14ac:dyDescent="0.25">
      <c r="A4249" t="s">
        <v>18223</v>
      </c>
      <c r="B4249" t="s">
        <v>5697</v>
      </c>
      <c r="C4249" t="str">
        <f>HYPERLINK("https://nematode.unl.edu/fiditiss23.jpg")</f>
        <v>https://nematode.unl.edu/fiditiss23.jpg</v>
      </c>
      <c r="D4249" t="s">
        <v>43</v>
      </c>
      <c r="G4249" t="s">
        <v>34</v>
      </c>
      <c r="H4249" t="s">
        <v>18</v>
      </c>
      <c r="I4249" t="s">
        <v>41</v>
      </c>
      <c r="J4249" t="s">
        <v>20</v>
      </c>
      <c r="L4249" t="s">
        <v>29</v>
      </c>
      <c r="M4249" t="s">
        <v>5679</v>
      </c>
      <c r="N4249" t="s">
        <v>5679</v>
      </c>
      <c r="O4249" t="s">
        <v>23</v>
      </c>
      <c r="P4249" t="s">
        <v>24</v>
      </c>
      <c r="Q4249" t="s">
        <v>69</v>
      </c>
      <c r="R4249" t="s">
        <v>1030</v>
      </c>
    </row>
    <row r="4250" spans="1:18" x14ac:dyDescent="0.25">
      <c r="A4250" t="s">
        <v>18236</v>
      </c>
      <c r="B4250" t="s">
        <v>5698</v>
      </c>
      <c r="C4250" t="str">
        <f>HYPERLINK("https://nematode.unl.edu/fiditiss24.jpg")</f>
        <v>https://nematode.unl.edu/fiditiss24.jpg</v>
      </c>
      <c r="D4250" t="s">
        <v>43</v>
      </c>
      <c r="G4250" t="s">
        <v>53</v>
      </c>
      <c r="I4250" t="s">
        <v>41</v>
      </c>
      <c r="J4250" t="s">
        <v>20</v>
      </c>
      <c r="L4250" t="s">
        <v>29</v>
      </c>
      <c r="M4250" t="s">
        <v>5679</v>
      </c>
      <c r="N4250" t="s">
        <v>5679</v>
      </c>
      <c r="O4250" t="s">
        <v>23</v>
      </c>
      <c r="P4250" t="s">
        <v>24</v>
      </c>
      <c r="Q4250" t="s">
        <v>69</v>
      </c>
      <c r="R4250" t="s">
        <v>1030</v>
      </c>
    </row>
    <row r="4251" spans="1:18" x14ac:dyDescent="0.25">
      <c r="A4251" t="s">
        <v>18237</v>
      </c>
      <c r="B4251" t="s">
        <v>5699</v>
      </c>
      <c r="C4251" t="str">
        <f>HYPERLINK("https://nematode.unl.edu/fiditiss3.jpg")</f>
        <v>https://nematode.unl.edu/fiditiss3.jpg</v>
      </c>
      <c r="D4251" t="s">
        <v>43</v>
      </c>
      <c r="G4251" t="s">
        <v>53</v>
      </c>
      <c r="J4251" t="s">
        <v>20</v>
      </c>
      <c r="L4251" t="s">
        <v>141</v>
      </c>
      <c r="M4251" t="s">
        <v>5679</v>
      </c>
      <c r="N4251" t="s">
        <v>5679</v>
      </c>
      <c r="O4251" t="s">
        <v>23</v>
      </c>
      <c r="P4251" t="s">
        <v>24</v>
      </c>
      <c r="Q4251" t="s">
        <v>69</v>
      </c>
      <c r="R4251" t="s">
        <v>1030</v>
      </c>
    </row>
    <row r="4252" spans="1:18" x14ac:dyDescent="0.25">
      <c r="A4252" t="s">
        <v>18238</v>
      </c>
      <c r="B4252" t="s">
        <v>5700</v>
      </c>
      <c r="C4252" t="str">
        <f>HYPERLINK("https://nematode.unl.edu/fiditiss4.jpg")</f>
        <v>https://nematode.unl.edu/fiditiss4.jpg</v>
      </c>
      <c r="D4252" t="s">
        <v>43</v>
      </c>
      <c r="G4252" t="s">
        <v>53</v>
      </c>
      <c r="I4252" t="s">
        <v>19</v>
      </c>
      <c r="J4252" t="s">
        <v>20</v>
      </c>
      <c r="L4252" t="s">
        <v>38</v>
      </c>
      <c r="M4252" t="s">
        <v>5679</v>
      </c>
      <c r="N4252" t="s">
        <v>5679</v>
      </c>
      <c r="O4252" t="s">
        <v>23</v>
      </c>
      <c r="P4252" t="s">
        <v>24</v>
      </c>
      <c r="Q4252" t="s">
        <v>69</v>
      </c>
      <c r="R4252" t="s">
        <v>1030</v>
      </c>
    </row>
    <row r="4253" spans="1:18" x14ac:dyDescent="0.25">
      <c r="A4253" t="s">
        <v>18239</v>
      </c>
      <c r="B4253" t="s">
        <v>5701</v>
      </c>
      <c r="C4253" t="str">
        <f>HYPERLINK("https://nematode.unl.edu/fiditiss5.jpg")</f>
        <v>https://nematode.unl.edu/fiditiss5.jpg</v>
      </c>
      <c r="D4253" t="s">
        <v>43</v>
      </c>
      <c r="G4253" t="s">
        <v>53</v>
      </c>
      <c r="I4253" t="s">
        <v>41</v>
      </c>
      <c r="J4253" t="s">
        <v>20</v>
      </c>
      <c r="L4253" t="s">
        <v>38</v>
      </c>
      <c r="M4253" t="s">
        <v>5679</v>
      </c>
      <c r="N4253" t="s">
        <v>5679</v>
      </c>
      <c r="O4253" t="s">
        <v>23</v>
      </c>
      <c r="P4253" t="s">
        <v>24</v>
      </c>
      <c r="Q4253" t="s">
        <v>69</v>
      </c>
      <c r="R4253" t="s">
        <v>1030</v>
      </c>
    </row>
    <row r="4254" spans="1:18" x14ac:dyDescent="0.25">
      <c r="A4254" t="s">
        <v>18246</v>
      </c>
      <c r="B4254" t="s">
        <v>5702</v>
      </c>
      <c r="C4254" t="str">
        <f>HYPERLINK("https://nematode.unl.edu/fiditiss6.jpg")</f>
        <v>https://nematode.unl.edu/fiditiss6.jpg</v>
      </c>
      <c r="D4254" t="s">
        <v>43</v>
      </c>
      <c r="G4254" t="s">
        <v>28</v>
      </c>
      <c r="J4254" t="s">
        <v>20</v>
      </c>
      <c r="L4254" t="s">
        <v>38</v>
      </c>
      <c r="M4254" t="s">
        <v>5679</v>
      </c>
      <c r="N4254" t="s">
        <v>5679</v>
      </c>
      <c r="O4254" t="s">
        <v>23</v>
      </c>
      <c r="P4254" t="s">
        <v>24</v>
      </c>
      <c r="Q4254" t="s">
        <v>69</v>
      </c>
      <c r="R4254" t="s">
        <v>1030</v>
      </c>
    </row>
    <row r="4255" spans="1:18" x14ac:dyDescent="0.25">
      <c r="A4255" t="s">
        <v>18252</v>
      </c>
      <c r="B4255" t="s">
        <v>5703</v>
      </c>
      <c r="C4255" t="str">
        <f>HYPERLINK("https://nematode.unl.edu/fiditiss7.jpg")</f>
        <v>https://nematode.unl.edu/fiditiss7.jpg</v>
      </c>
      <c r="D4255" t="s">
        <v>43</v>
      </c>
      <c r="G4255" t="s">
        <v>51</v>
      </c>
      <c r="I4255" t="s">
        <v>41</v>
      </c>
      <c r="J4255" t="s">
        <v>20</v>
      </c>
      <c r="L4255" t="s">
        <v>141</v>
      </c>
      <c r="M4255" t="s">
        <v>5679</v>
      </c>
      <c r="N4255" t="s">
        <v>5679</v>
      </c>
      <c r="O4255" t="s">
        <v>23</v>
      </c>
      <c r="P4255" t="s">
        <v>24</v>
      </c>
      <c r="Q4255" t="s">
        <v>69</v>
      </c>
      <c r="R4255" t="s">
        <v>1030</v>
      </c>
    </row>
    <row r="4256" spans="1:18" x14ac:dyDescent="0.25">
      <c r="A4256" t="s">
        <v>18224</v>
      </c>
      <c r="B4256" t="s">
        <v>5704</v>
      </c>
      <c r="C4256" t="str">
        <f>HYPERLINK("https://nematode.unl.edu/fiditiss8.jpg")</f>
        <v>https://nematode.unl.edu/fiditiss8.jpg</v>
      </c>
      <c r="D4256" t="s">
        <v>16</v>
      </c>
      <c r="G4256" t="s">
        <v>34</v>
      </c>
      <c r="H4256" t="s">
        <v>18</v>
      </c>
      <c r="I4256" t="s">
        <v>19</v>
      </c>
      <c r="M4256" t="s">
        <v>5679</v>
      </c>
      <c r="N4256" t="s">
        <v>5679</v>
      </c>
      <c r="O4256" t="s">
        <v>23</v>
      </c>
      <c r="P4256" t="s">
        <v>24</v>
      </c>
      <c r="Q4256" t="s">
        <v>69</v>
      </c>
      <c r="R4256" t="s">
        <v>1030</v>
      </c>
    </row>
    <row r="4257" spans="1:18" x14ac:dyDescent="0.25">
      <c r="A4257" t="s">
        <v>18247</v>
      </c>
      <c r="B4257" t="s">
        <v>5705</v>
      </c>
      <c r="C4257" t="str">
        <f>HYPERLINK("https://nematode.unl.edu/fiditiss9.jpg")</f>
        <v>https://nematode.unl.edu/fiditiss9.jpg</v>
      </c>
      <c r="D4257" t="s">
        <v>16</v>
      </c>
      <c r="G4257" t="s">
        <v>28</v>
      </c>
      <c r="I4257" t="s">
        <v>41</v>
      </c>
      <c r="M4257" t="s">
        <v>5679</v>
      </c>
      <c r="N4257" t="s">
        <v>5679</v>
      </c>
      <c r="O4257" t="s">
        <v>23</v>
      </c>
      <c r="P4257" t="s">
        <v>24</v>
      </c>
      <c r="Q4257" t="s">
        <v>69</v>
      </c>
      <c r="R4257" t="s">
        <v>1030</v>
      </c>
    </row>
    <row r="4258" spans="1:18" x14ac:dyDescent="0.25">
      <c r="A4258" t="s">
        <v>18255</v>
      </c>
      <c r="B4258" t="s">
        <v>5718</v>
      </c>
      <c r="C4258" t="str">
        <f>HYPERLINK("https://nematode.unl.edu/fifac1.jpg")</f>
        <v>https://nematode.unl.edu/fifac1.jpg</v>
      </c>
      <c r="D4258" t="s">
        <v>77</v>
      </c>
      <c r="G4258" t="s">
        <v>44</v>
      </c>
      <c r="I4258" t="s">
        <v>45</v>
      </c>
      <c r="J4258" t="s">
        <v>20</v>
      </c>
      <c r="L4258" t="s">
        <v>38</v>
      </c>
      <c r="M4258" t="s">
        <v>5719</v>
      </c>
      <c r="N4258" t="s">
        <v>5719</v>
      </c>
      <c r="O4258" t="s">
        <v>23</v>
      </c>
      <c r="P4258" t="s">
        <v>24</v>
      </c>
      <c r="Q4258" t="s">
        <v>69</v>
      </c>
      <c r="R4258" t="s">
        <v>1030</v>
      </c>
    </row>
    <row r="4259" spans="1:18" x14ac:dyDescent="0.25">
      <c r="A4259" t="s">
        <v>18257</v>
      </c>
      <c r="B4259" t="s">
        <v>5720</v>
      </c>
      <c r="C4259" t="str">
        <f>HYPERLINK("https://nematode.unl.edu/fifac2.jpg")</f>
        <v>https://nematode.unl.edu/fifac2.jpg</v>
      </c>
      <c r="D4259" t="s">
        <v>77</v>
      </c>
      <c r="G4259" t="s">
        <v>28</v>
      </c>
      <c r="I4259" t="s">
        <v>19</v>
      </c>
      <c r="J4259" t="s">
        <v>20</v>
      </c>
      <c r="L4259" t="s">
        <v>38</v>
      </c>
      <c r="M4259" t="s">
        <v>5719</v>
      </c>
      <c r="N4259" t="s">
        <v>5719</v>
      </c>
      <c r="O4259" t="s">
        <v>23</v>
      </c>
      <c r="P4259" t="s">
        <v>24</v>
      </c>
      <c r="Q4259" t="s">
        <v>69</v>
      </c>
      <c r="R4259" t="s">
        <v>1030</v>
      </c>
    </row>
    <row r="4260" spans="1:18" x14ac:dyDescent="0.25">
      <c r="A4260" t="s">
        <v>18254</v>
      </c>
      <c r="B4260" t="s">
        <v>5721</v>
      </c>
      <c r="C4260" t="str">
        <f>HYPERLINK("https://nematode.unl.edu/fifac3.jpg")</f>
        <v>https://nematode.unl.edu/fifac3.jpg</v>
      </c>
      <c r="D4260" t="s">
        <v>77</v>
      </c>
      <c r="G4260" t="s">
        <v>34</v>
      </c>
      <c r="H4260" t="s">
        <v>18</v>
      </c>
      <c r="I4260" t="s">
        <v>41</v>
      </c>
      <c r="J4260" t="s">
        <v>20</v>
      </c>
      <c r="L4260" t="s">
        <v>38</v>
      </c>
      <c r="M4260" t="s">
        <v>5719</v>
      </c>
      <c r="N4260" t="s">
        <v>5719</v>
      </c>
      <c r="O4260" t="s">
        <v>23</v>
      </c>
      <c r="P4260" t="s">
        <v>24</v>
      </c>
      <c r="Q4260" t="s">
        <v>69</v>
      </c>
      <c r="R4260" t="s">
        <v>1030</v>
      </c>
    </row>
    <row r="4261" spans="1:18" x14ac:dyDescent="0.25">
      <c r="A4261" t="s">
        <v>18256</v>
      </c>
      <c r="B4261" t="s">
        <v>5722</v>
      </c>
      <c r="C4261" t="str">
        <f>HYPERLINK("https://nematode.unl.edu/fifac4.jpg")</f>
        <v>https://nematode.unl.edu/fifac4.jpg</v>
      </c>
      <c r="D4261" t="s">
        <v>77</v>
      </c>
      <c r="G4261" t="s">
        <v>53</v>
      </c>
      <c r="I4261" t="s">
        <v>41</v>
      </c>
      <c r="J4261" t="s">
        <v>20</v>
      </c>
      <c r="L4261" t="s">
        <v>38</v>
      </c>
      <c r="M4261" t="s">
        <v>5719</v>
      </c>
      <c r="N4261" t="s">
        <v>5719</v>
      </c>
      <c r="O4261" t="s">
        <v>23</v>
      </c>
      <c r="P4261" t="s">
        <v>24</v>
      </c>
      <c r="Q4261" t="s">
        <v>69</v>
      </c>
      <c r="R4261" t="s">
        <v>1030</v>
      </c>
    </row>
    <row r="4262" spans="1:18" x14ac:dyDescent="0.25">
      <c r="A4262" t="s">
        <v>18258</v>
      </c>
      <c r="B4262" t="s">
        <v>5723</v>
      </c>
      <c r="C4262" t="str">
        <f>HYPERLINK("https://nematode.unl.edu/fifac5.jpg")</f>
        <v>https://nematode.unl.edu/fifac5.jpg</v>
      </c>
      <c r="D4262" t="s">
        <v>77</v>
      </c>
      <c r="G4262" t="s">
        <v>28</v>
      </c>
      <c r="I4262" t="s">
        <v>41</v>
      </c>
      <c r="J4262" t="s">
        <v>20</v>
      </c>
      <c r="L4262" t="s">
        <v>38</v>
      </c>
      <c r="M4262" t="s">
        <v>5719</v>
      </c>
      <c r="N4262" t="s">
        <v>5719</v>
      </c>
      <c r="O4262" t="s">
        <v>23</v>
      </c>
      <c r="P4262" t="s">
        <v>24</v>
      </c>
      <c r="Q4262" t="s">
        <v>69</v>
      </c>
      <c r="R4262" t="s">
        <v>1030</v>
      </c>
    </row>
    <row r="4263" spans="1:18" x14ac:dyDescent="0.25">
      <c r="A4263" t="s">
        <v>18270</v>
      </c>
      <c r="B4263" t="s">
        <v>5731</v>
      </c>
      <c r="C4263" t="str">
        <f>HYPERLINK("https://nematode.unl.edu/fihama1.jpg")</f>
        <v>https://nematode.unl.edu/fihama1.jpg</v>
      </c>
      <c r="D4263" t="s">
        <v>43</v>
      </c>
      <c r="G4263" t="s">
        <v>44</v>
      </c>
      <c r="I4263" t="s">
        <v>45</v>
      </c>
      <c r="J4263" t="s">
        <v>20</v>
      </c>
      <c r="L4263" t="s">
        <v>752</v>
      </c>
      <c r="M4263" t="s">
        <v>5725</v>
      </c>
      <c r="N4263" t="s">
        <v>5725</v>
      </c>
      <c r="O4263" t="s">
        <v>23</v>
      </c>
      <c r="P4263" t="s">
        <v>24</v>
      </c>
      <c r="Q4263" t="s">
        <v>69</v>
      </c>
      <c r="R4263" t="s">
        <v>1030</v>
      </c>
    </row>
    <row r="4264" spans="1:18" x14ac:dyDescent="0.25">
      <c r="A4264" t="s">
        <v>18261</v>
      </c>
      <c r="B4264" t="s">
        <v>5732</v>
      </c>
      <c r="C4264" t="str">
        <f>HYPERLINK("https://nematode.unl.edu/fihama10.jpg")</f>
        <v>https://nematode.unl.edu/fihama10.jpg</v>
      </c>
      <c r="D4264" t="s">
        <v>16</v>
      </c>
      <c r="G4264" t="s">
        <v>34</v>
      </c>
      <c r="H4264" t="s">
        <v>18</v>
      </c>
      <c r="J4264" t="s">
        <v>20</v>
      </c>
      <c r="L4264" t="s">
        <v>752</v>
      </c>
      <c r="M4264" t="s">
        <v>5725</v>
      </c>
      <c r="N4264" t="s">
        <v>5725</v>
      </c>
      <c r="O4264" t="s">
        <v>23</v>
      </c>
      <c r="P4264" t="s">
        <v>24</v>
      </c>
      <c r="Q4264" t="s">
        <v>69</v>
      </c>
      <c r="R4264" t="s">
        <v>1030</v>
      </c>
    </row>
    <row r="4265" spans="1:18" x14ac:dyDescent="0.25">
      <c r="A4265" t="s">
        <v>18274</v>
      </c>
      <c r="B4265" t="s">
        <v>5733</v>
      </c>
      <c r="C4265" t="str">
        <f>HYPERLINK("https://nematode.unl.edu/fihama11.jpg")</f>
        <v>https://nematode.unl.edu/fihama11.jpg</v>
      </c>
      <c r="D4265" t="s">
        <v>16</v>
      </c>
      <c r="G4265" t="s">
        <v>28</v>
      </c>
      <c r="I4265" t="s">
        <v>19</v>
      </c>
      <c r="J4265" t="s">
        <v>20</v>
      </c>
      <c r="L4265" t="s">
        <v>752</v>
      </c>
      <c r="M4265" t="s">
        <v>5725</v>
      </c>
      <c r="N4265" t="s">
        <v>5725</v>
      </c>
      <c r="O4265" t="s">
        <v>23</v>
      </c>
      <c r="P4265" t="s">
        <v>24</v>
      </c>
      <c r="Q4265" t="s">
        <v>69</v>
      </c>
      <c r="R4265" t="s">
        <v>1030</v>
      </c>
    </row>
    <row r="4266" spans="1:18" x14ac:dyDescent="0.25">
      <c r="A4266" t="s">
        <v>18262</v>
      </c>
      <c r="B4266" t="s">
        <v>5734</v>
      </c>
      <c r="C4266" t="str">
        <f>HYPERLINK("https://nematode.unl.edu/fihama12.jpg")</f>
        <v>https://nematode.unl.edu/fihama12.jpg</v>
      </c>
      <c r="D4266" t="s">
        <v>16</v>
      </c>
      <c r="G4266" t="s">
        <v>34</v>
      </c>
      <c r="H4266" t="s">
        <v>18</v>
      </c>
      <c r="I4266" t="s">
        <v>41</v>
      </c>
      <c r="L4266" t="s">
        <v>752</v>
      </c>
      <c r="M4266" t="s">
        <v>5725</v>
      </c>
      <c r="N4266" t="s">
        <v>5725</v>
      </c>
      <c r="O4266" t="s">
        <v>23</v>
      </c>
      <c r="P4266" t="s">
        <v>24</v>
      </c>
      <c r="Q4266" t="s">
        <v>69</v>
      </c>
      <c r="R4266" t="s">
        <v>1030</v>
      </c>
    </row>
    <row r="4267" spans="1:18" x14ac:dyDescent="0.25">
      <c r="A4267" t="s">
        <v>18263</v>
      </c>
      <c r="B4267" t="s">
        <v>5735</v>
      </c>
      <c r="C4267" t="str">
        <f>HYPERLINK("https://nematode.unl.edu/fihama13.jpg")</f>
        <v>https://nematode.unl.edu/fihama13.jpg</v>
      </c>
      <c r="D4267" t="s">
        <v>16</v>
      </c>
      <c r="G4267" t="s">
        <v>34</v>
      </c>
      <c r="H4267" t="s">
        <v>18</v>
      </c>
      <c r="J4267" t="s">
        <v>20</v>
      </c>
      <c r="L4267" t="s">
        <v>64</v>
      </c>
      <c r="M4267" t="s">
        <v>5725</v>
      </c>
      <c r="N4267" t="s">
        <v>5725</v>
      </c>
      <c r="O4267" t="s">
        <v>23</v>
      </c>
      <c r="P4267" t="s">
        <v>24</v>
      </c>
      <c r="Q4267" t="s">
        <v>69</v>
      </c>
      <c r="R4267" t="s">
        <v>1030</v>
      </c>
    </row>
    <row r="4268" spans="1:18" x14ac:dyDescent="0.25">
      <c r="A4268" t="s">
        <v>18275</v>
      </c>
      <c r="B4268" t="s">
        <v>5736</v>
      </c>
      <c r="C4268" t="str">
        <f>HYPERLINK("https://nematode.unl.edu/fihama14.jpg")</f>
        <v>https://nematode.unl.edu/fihama14.jpg</v>
      </c>
      <c r="D4268" t="s">
        <v>16</v>
      </c>
      <c r="G4268" t="s">
        <v>28</v>
      </c>
      <c r="J4268" t="s">
        <v>20</v>
      </c>
      <c r="L4268" t="s">
        <v>64</v>
      </c>
      <c r="M4268" t="s">
        <v>5725</v>
      </c>
      <c r="N4268" t="s">
        <v>5725</v>
      </c>
      <c r="O4268" t="s">
        <v>23</v>
      </c>
      <c r="P4268" t="s">
        <v>24</v>
      </c>
      <c r="Q4268" t="s">
        <v>69</v>
      </c>
      <c r="R4268" t="s">
        <v>1030</v>
      </c>
    </row>
    <row r="4269" spans="1:18" x14ac:dyDescent="0.25">
      <c r="A4269" t="s">
        <v>18271</v>
      </c>
      <c r="B4269" t="s">
        <v>5737</v>
      </c>
      <c r="C4269" t="str">
        <f>HYPERLINK("https://nematode.unl.edu/fihama15.jpg")</f>
        <v>https://nematode.unl.edu/fihama15.jpg</v>
      </c>
      <c r="D4269" t="s">
        <v>16</v>
      </c>
      <c r="G4269" t="s">
        <v>44</v>
      </c>
      <c r="I4269" t="s">
        <v>45</v>
      </c>
      <c r="J4269" t="s">
        <v>20</v>
      </c>
      <c r="L4269" t="s">
        <v>85</v>
      </c>
      <c r="M4269" t="s">
        <v>5725</v>
      </c>
      <c r="N4269" t="s">
        <v>5725</v>
      </c>
      <c r="O4269" t="s">
        <v>23</v>
      </c>
      <c r="P4269" t="s">
        <v>24</v>
      </c>
      <c r="Q4269" t="s">
        <v>69</v>
      </c>
      <c r="R4269" t="s">
        <v>1030</v>
      </c>
    </row>
    <row r="4270" spans="1:18" x14ac:dyDescent="0.25">
      <c r="A4270" t="s">
        <v>18276</v>
      </c>
      <c r="B4270" t="s">
        <v>5738</v>
      </c>
      <c r="C4270" t="str">
        <f>HYPERLINK("https://nematode.unl.edu/fihama16.jpg")</f>
        <v>https://nematode.unl.edu/fihama16.jpg</v>
      </c>
      <c r="D4270" t="s">
        <v>16</v>
      </c>
      <c r="G4270" t="s">
        <v>28</v>
      </c>
      <c r="M4270" t="s">
        <v>5725</v>
      </c>
      <c r="N4270" t="s">
        <v>5725</v>
      </c>
      <c r="O4270" t="s">
        <v>23</v>
      </c>
      <c r="P4270" t="s">
        <v>24</v>
      </c>
      <c r="Q4270" t="s">
        <v>69</v>
      </c>
      <c r="R4270" t="s">
        <v>1030</v>
      </c>
    </row>
    <row r="4271" spans="1:18" x14ac:dyDescent="0.25">
      <c r="A4271" t="s">
        <v>18264</v>
      </c>
      <c r="B4271" t="s">
        <v>5739</v>
      </c>
      <c r="C4271" t="str">
        <f>HYPERLINK("https://nematode.unl.edu/fihama17.jpg")</f>
        <v>https://nematode.unl.edu/fihama17.jpg</v>
      </c>
      <c r="D4271" t="s">
        <v>16</v>
      </c>
      <c r="G4271" t="s">
        <v>34</v>
      </c>
      <c r="H4271" t="s">
        <v>18</v>
      </c>
      <c r="I4271" t="s">
        <v>19</v>
      </c>
      <c r="J4271" t="s">
        <v>20</v>
      </c>
      <c r="L4271" t="s">
        <v>206</v>
      </c>
      <c r="M4271" t="s">
        <v>5725</v>
      </c>
      <c r="N4271" t="s">
        <v>5725</v>
      </c>
      <c r="O4271" t="s">
        <v>23</v>
      </c>
      <c r="P4271" t="s">
        <v>24</v>
      </c>
      <c r="Q4271" t="s">
        <v>69</v>
      </c>
      <c r="R4271" t="s">
        <v>1030</v>
      </c>
    </row>
    <row r="4272" spans="1:18" x14ac:dyDescent="0.25">
      <c r="A4272" t="s">
        <v>18277</v>
      </c>
      <c r="B4272" t="s">
        <v>5740</v>
      </c>
      <c r="C4272" t="str">
        <f>HYPERLINK("https://nematode.unl.edu/fihama18.jpg")</f>
        <v>https://nematode.unl.edu/fihama18.jpg</v>
      </c>
      <c r="D4272" t="s">
        <v>16</v>
      </c>
      <c r="G4272" t="s">
        <v>28</v>
      </c>
      <c r="J4272" t="s">
        <v>20</v>
      </c>
      <c r="L4272" t="s">
        <v>206</v>
      </c>
      <c r="M4272" t="s">
        <v>5725</v>
      </c>
      <c r="N4272" t="s">
        <v>5725</v>
      </c>
      <c r="O4272" t="s">
        <v>23</v>
      </c>
      <c r="P4272" t="s">
        <v>24</v>
      </c>
      <c r="Q4272" t="s">
        <v>69</v>
      </c>
      <c r="R4272" t="s">
        <v>1030</v>
      </c>
    </row>
    <row r="4273" spans="1:18" x14ac:dyDescent="0.25">
      <c r="A4273" t="s">
        <v>18265</v>
      </c>
      <c r="B4273" t="s">
        <v>5741</v>
      </c>
      <c r="C4273" t="str">
        <f>HYPERLINK("https://nematode.unl.edu/fihama2.jpg")</f>
        <v>https://nematode.unl.edu/fihama2.jpg</v>
      </c>
      <c r="D4273" t="s">
        <v>43</v>
      </c>
      <c r="G4273" t="s">
        <v>34</v>
      </c>
      <c r="H4273" t="s">
        <v>18</v>
      </c>
      <c r="J4273" t="s">
        <v>20</v>
      </c>
      <c r="L4273" t="s">
        <v>752</v>
      </c>
      <c r="M4273" t="s">
        <v>5725</v>
      </c>
      <c r="N4273" t="s">
        <v>5725</v>
      </c>
      <c r="O4273" t="s">
        <v>23</v>
      </c>
      <c r="P4273" t="s">
        <v>24</v>
      </c>
      <c r="Q4273" t="s">
        <v>69</v>
      </c>
      <c r="R4273" t="s">
        <v>1030</v>
      </c>
    </row>
    <row r="4274" spans="1:18" x14ac:dyDescent="0.25">
      <c r="A4274" t="s">
        <v>18280</v>
      </c>
      <c r="B4274" t="s">
        <v>5742</v>
      </c>
      <c r="C4274" t="str">
        <f>HYPERLINK("https://nematode.unl.edu/fihama3.jpg")</f>
        <v>https://nematode.unl.edu/fihama3.jpg</v>
      </c>
      <c r="D4274" t="s">
        <v>43</v>
      </c>
      <c r="G4274" t="s">
        <v>51</v>
      </c>
      <c r="I4274" t="s">
        <v>19</v>
      </c>
      <c r="J4274" t="s">
        <v>20</v>
      </c>
      <c r="L4274" t="s">
        <v>752</v>
      </c>
      <c r="M4274" t="s">
        <v>5725</v>
      </c>
      <c r="N4274" t="s">
        <v>5725</v>
      </c>
      <c r="O4274" t="s">
        <v>23</v>
      </c>
      <c r="P4274" t="s">
        <v>24</v>
      </c>
      <c r="Q4274" t="s">
        <v>69</v>
      </c>
      <c r="R4274" t="s">
        <v>1030</v>
      </c>
    </row>
    <row r="4275" spans="1:18" x14ac:dyDescent="0.25">
      <c r="A4275" t="s">
        <v>18278</v>
      </c>
      <c r="B4275" t="s">
        <v>5743</v>
      </c>
      <c r="C4275" t="str">
        <f>HYPERLINK("https://nematode.unl.edu/fihama4.jpg")</f>
        <v>https://nematode.unl.edu/fihama4.jpg</v>
      </c>
      <c r="D4275" t="s">
        <v>43</v>
      </c>
      <c r="G4275" t="s">
        <v>28</v>
      </c>
      <c r="M4275" t="s">
        <v>5725</v>
      </c>
      <c r="N4275" t="s">
        <v>5725</v>
      </c>
      <c r="O4275" t="s">
        <v>23</v>
      </c>
      <c r="P4275" t="s">
        <v>24</v>
      </c>
      <c r="Q4275" t="s">
        <v>69</v>
      </c>
      <c r="R4275" t="s">
        <v>1030</v>
      </c>
    </row>
    <row r="4276" spans="1:18" x14ac:dyDescent="0.25">
      <c r="A4276" t="s">
        <v>18266</v>
      </c>
      <c r="B4276" t="s">
        <v>5744</v>
      </c>
      <c r="C4276" t="str">
        <f>HYPERLINK("https://nematode.unl.edu/fihama5.jpg")</f>
        <v>https://nematode.unl.edu/fihama5.jpg</v>
      </c>
      <c r="D4276" t="s">
        <v>43</v>
      </c>
      <c r="G4276" t="s">
        <v>34</v>
      </c>
      <c r="H4276" t="s">
        <v>18</v>
      </c>
      <c r="I4276" t="s">
        <v>41</v>
      </c>
      <c r="J4276" t="s">
        <v>20</v>
      </c>
      <c r="L4276" t="s">
        <v>752</v>
      </c>
      <c r="M4276" t="s">
        <v>5725</v>
      </c>
      <c r="N4276" t="s">
        <v>5725</v>
      </c>
      <c r="O4276" t="s">
        <v>23</v>
      </c>
      <c r="P4276" t="s">
        <v>24</v>
      </c>
      <c r="Q4276" t="s">
        <v>69</v>
      </c>
      <c r="R4276" t="s">
        <v>1030</v>
      </c>
    </row>
    <row r="4277" spans="1:18" x14ac:dyDescent="0.25">
      <c r="A4277" t="s">
        <v>18267</v>
      </c>
      <c r="B4277" t="s">
        <v>5745</v>
      </c>
      <c r="C4277" t="str">
        <f>HYPERLINK("https://nematode.unl.edu/fihama6.jpg")</f>
        <v>https://nematode.unl.edu/fihama6.jpg</v>
      </c>
      <c r="D4277" t="s">
        <v>43</v>
      </c>
      <c r="G4277" t="s">
        <v>34</v>
      </c>
      <c r="H4277" t="s">
        <v>18</v>
      </c>
      <c r="J4277" t="s">
        <v>20</v>
      </c>
      <c r="L4277" t="s">
        <v>752</v>
      </c>
      <c r="M4277" t="s">
        <v>5725</v>
      </c>
      <c r="N4277" t="s">
        <v>5725</v>
      </c>
      <c r="O4277" t="s">
        <v>23</v>
      </c>
      <c r="P4277" t="s">
        <v>24</v>
      </c>
      <c r="Q4277" t="s">
        <v>69</v>
      </c>
      <c r="R4277" t="s">
        <v>1030</v>
      </c>
    </row>
    <row r="4278" spans="1:18" x14ac:dyDescent="0.25">
      <c r="A4278" t="s">
        <v>18281</v>
      </c>
      <c r="B4278" t="s">
        <v>5746</v>
      </c>
      <c r="C4278" t="str">
        <f>HYPERLINK("https://nematode.unl.edu/fihama7.jpg")</f>
        <v>https://nematode.unl.edu/fihama7.jpg</v>
      </c>
      <c r="D4278" t="s">
        <v>43</v>
      </c>
      <c r="G4278" t="s">
        <v>51</v>
      </c>
      <c r="I4278" t="s">
        <v>19</v>
      </c>
      <c r="J4278" t="s">
        <v>20</v>
      </c>
      <c r="L4278" t="s">
        <v>752</v>
      </c>
      <c r="M4278" t="s">
        <v>5725</v>
      </c>
      <c r="N4278" t="s">
        <v>5725</v>
      </c>
      <c r="O4278" t="s">
        <v>23</v>
      </c>
      <c r="P4278" t="s">
        <v>24</v>
      </c>
      <c r="Q4278" t="s">
        <v>69</v>
      </c>
      <c r="R4278" t="s">
        <v>1030</v>
      </c>
    </row>
    <row r="4279" spans="1:18" x14ac:dyDescent="0.25">
      <c r="A4279" t="s">
        <v>18268</v>
      </c>
      <c r="B4279" t="s">
        <v>5747</v>
      </c>
      <c r="C4279" t="str">
        <f>HYPERLINK("https://nematode.unl.edu/fihama9.jpg")</f>
        <v>https://nematode.unl.edu/fihama9.jpg</v>
      </c>
      <c r="D4279" t="s">
        <v>16</v>
      </c>
      <c r="G4279" t="s">
        <v>34</v>
      </c>
      <c r="H4279" t="s">
        <v>18</v>
      </c>
      <c r="I4279" t="s">
        <v>41</v>
      </c>
      <c r="J4279" t="s">
        <v>20</v>
      </c>
      <c r="L4279" t="s">
        <v>29</v>
      </c>
      <c r="M4279" t="s">
        <v>5725</v>
      </c>
      <c r="N4279" t="s">
        <v>5725</v>
      </c>
      <c r="O4279" t="s">
        <v>23</v>
      </c>
      <c r="P4279" t="s">
        <v>24</v>
      </c>
      <c r="Q4279" t="s">
        <v>69</v>
      </c>
      <c r="R4279" t="s">
        <v>1030</v>
      </c>
    </row>
    <row r="4280" spans="1:18" x14ac:dyDescent="0.25">
      <c r="A4280" t="s">
        <v>18038</v>
      </c>
      <c r="B4280" t="s">
        <v>5509</v>
      </c>
      <c r="C4280" t="str">
        <f>HYPERLINK("https://nematode.unl.edu/filaf1.jpg")</f>
        <v>https://nematode.unl.edu/filaf1.jpg</v>
      </c>
      <c r="D4280" t="s">
        <v>43</v>
      </c>
      <c r="G4280" t="s">
        <v>34</v>
      </c>
      <c r="H4280" t="s">
        <v>18</v>
      </c>
      <c r="I4280" t="s">
        <v>19</v>
      </c>
      <c r="J4280" t="s">
        <v>20</v>
      </c>
      <c r="L4280" t="s">
        <v>78</v>
      </c>
      <c r="M4280" t="s">
        <v>5510</v>
      </c>
      <c r="N4280" t="s">
        <v>5510</v>
      </c>
      <c r="O4280" t="s">
        <v>23</v>
      </c>
      <c r="P4280" t="s">
        <v>24</v>
      </c>
      <c r="Q4280" t="s">
        <v>69</v>
      </c>
      <c r="R4280" t="s">
        <v>1030</v>
      </c>
    </row>
    <row r="4281" spans="1:18" x14ac:dyDescent="0.25">
      <c r="A4281" t="s">
        <v>18059</v>
      </c>
      <c r="B4281" t="s">
        <v>5511</v>
      </c>
      <c r="C4281" t="str">
        <f>HYPERLINK("https://nematode.unl.edu/filaf2.jpg")</f>
        <v>https://nematode.unl.edu/filaf2.jpg</v>
      </c>
      <c r="D4281" t="s">
        <v>43</v>
      </c>
      <c r="G4281" t="s">
        <v>51</v>
      </c>
      <c r="M4281" t="s">
        <v>5510</v>
      </c>
      <c r="N4281" t="s">
        <v>5510</v>
      </c>
      <c r="O4281" t="s">
        <v>23</v>
      </c>
      <c r="P4281" t="s">
        <v>24</v>
      </c>
      <c r="Q4281" t="s">
        <v>69</v>
      </c>
      <c r="R4281" t="s">
        <v>1030</v>
      </c>
    </row>
    <row r="4282" spans="1:18" x14ac:dyDescent="0.25">
      <c r="A4282" t="s">
        <v>18053</v>
      </c>
      <c r="B4282" t="s">
        <v>5512</v>
      </c>
      <c r="C4282" t="str">
        <f>HYPERLINK("https://nematode.unl.edu/filaf3.jpg")</f>
        <v>https://nematode.unl.edu/filaf3.jpg</v>
      </c>
      <c r="D4282" t="s">
        <v>43</v>
      </c>
      <c r="G4282" t="s">
        <v>28</v>
      </c>
      <c r="M4282" t="s">
        <v>5510</v>
      </c>
      <c r="N4282" t="s">
        <v>5510</v>
      </c>
      <c r="O4282" t="s">
        <v>23</v>
      </c>
      <c r="P4282" t="s">
        <v>24</v>
      </c>
      <c r="Q4282" t="s">
        <v>69</v>
      </c>
      <c r="R4282" t="s">
        <v>1030</v>
      </c>
    </row>
    <row r="4283" spans="1:18" x14ac:dyDescent="0.25">
      <c r="A4283" t="s">
        <v>18054</v>
      </c>
      <c r="B4283" t="s">
        <v>5513</v>
      </c>
      <c r="C4283" t="str">
        <f>HYPERLINK("https://nematode.unl.edu/filaf4.jpg")</f>
        <v>https://nematode.unl.edu/filaf4.jpg</v>
      </c>
      <c r="D4283" t="s">
        <v>16</v>
      </c>
      <c r="G4283" t="s">
        <v>28</v>
      </c>
      <c r="I4283" t="s">
        <v>19</v>
      </c>
      <c r="J4283" t="s">
        <v>20</v>
      </c>
      <c r="L4283" t="s">
        <v>217</v>
      </c>
      <c r="M4283" t="s">
        <v>5510</v>
      </c>
      <c r="N4283" t="s">
        <v>5510</v>
      </c>
      <c r="O4283" t="s">
        <v>23</v>
      </c>
      <c r="P4283" t="s">
        <v>24</v>
      </c>
      <c r="Q4283" t="s">
        <v>69</v>
      </c>
      <c r="R4283" t="s">
        <v>1030</v>
      </c>
    </row>
    <row r="4284" spans="1:18" x14ac:dyDescent="0.25">
      <c r="A4284" t="s">
        <v>18039</v>
      </c>
      <c r="B4284" t="s">
        <v>5514</v>
      </c>
      <c r="C4284" t="str">
        <f>HYPERLINK("https://nematode.unl.edu/filaf5.jpg")</f>
        <v>https://nematode.unl.edu/filaf5.jpg</v>
      </c>
      <c r="D4284" t="s">
        <v>16</v>
      </c>
      <c r="G4284" t="s">
        <v>34</v>
      </c>
      <c r="H4284" t="s">
        <v>18</v>
      </c>
      <c r="I4284" t="s">
        <v>19</v>
      </c>
      <c r="J4284" t="s">
        <v>20</v>
      </c>
      <c r="L4284" t="s">
        <v>193</v>
      </c>
      <c r="M4284" t="s">
        <v>5510</v>
      </c>
      <c r="N4284" t="s">
        <v>5510</v>
      </c>
      <c r="O4284" t="s">
        <v>23</v>
      </c>
      <c r="P4284" t="s">
        <v>24</v>
      </c>
      <c r="Q4284" t="s">
        <v>69</v>
      </c>
      <c r="R4284" t="s">
        <v>1030</v>
      </c>
    </row>
    <row r="4285" spans="1:18" x14ac:dyDescent="0.25">
      <c r="A4285" t="s">
        <v>18048</v>
      </c>
      <c r="B4285" t="s">
        <v>5515</v>
      </c>
      <c r="C4285" t="str">
        <f>HYPERLINK("https://nematode.unl.edu/filaf6.jpg")</f>
        <v>https://nematode.unl.edu/filaf6.jpg</v>
      </c>
      <c r="D4285" t="s">
        <v>16</v>
      </c>
      <c r="G4285" t="s">
        <v>44</v>
      </c>
      <c r="I4285" t="s">
        <v>45</v>
      </c>
      <c r="J4285" t="s">
        <v>20</v>
      </c>
      <c r="L4285" t="s">
        <v>217</v>
      </c>
      <c r="M4285" t="s">
        <v>5510</v>
      </c>
      <c r="N4285" t="s">
        <v>5510</v>
      </c>
      <c r="O4285" t="s">
        <v>23</v>
      </c>
      <c r="P4285" t="s">
        <v>24</v>
      </c>
      <c r="Q4285" t="s">
        <v>69</v>
      </c>
      <c r="R4285" t="s">
        <v>1030</v>
      </c>
    </row>
    <row r="4286" spans="1:18" x14ac:dyDescent="0.25">
      <c r="A4286" t="s">
        <v>18049</v>
      </c>
      <c r="B4286" t="s">
        <v>5516</v>
      </c>
      <c r="C4286" t="str">
        <f>HYPERLINK("https://nematode.unl.edu/filaquil1.jpg")</f>
        <v>https://nematode.unl.edu/filaquil1.jpg</v>
      </c>
      <c r="D4286" t="s">
        <v>43</v>
      </c>
      <c r="G4286" t="s">
        <v>44</v>
      </c>
      <c r="I4286" t="s">
        <v>45</v>
      </c>
      <c r="J4286" t="s">
        <v>267</v>
      </c>
      <c r="M4286" t="s">
        <v>5510</v>
      </c>
      <c r="N4286" t="s">
        <v>5510</v>
      </c>
      <c r="O4286" t="s">
        <v>23</v>
      </c>
      <c r="P4286" t="s">
        <v>24</v>
      </c>
      <c r="Q4286" t="s">
        <v>69</v>
      </c>
      <c r="R4286" t="s">
        <v>1030</v>
      </c>
    </row>
    <row r="4287" spans="1:18" x14ac:dyDescent="0.25">
      <c r="A4287" t="s">
        <v>18040</v>
      </c>
      <c r="B4287" t="s">
        <v>5517</v>
      </c>
      <c r="C4287" t="str">
        <f>HYPERLINK("https://nematode.unl.edu/filaquil2.jpg")</f>
        <v>https://nematode.unl.edu/filaquil2.jpg</v>
      </c>
      <c r="D4287" t="s">
        <v>43</v>
      </c>
      <c r="G4287" t="s">
        <v>34</v>
      </c>
      <c r="H4287" t="s">
        <v>18</v>
      </c>
      <c r="J4287" t="s">
        <v>267</v>
      </c>
      <c r="M4287" t="s">
        <v>5510</v>
      </c>
      <c r="N4287" t="s">
        <v>5510</v>
      </c>
      <c r="O4287" t="s">
        <v>23</v>
      </c>
      <c r="P4287" t="s">
        <v>24</v>
      </c>
      <c r="Q4287" t="s">
        <v>69</v>
      </c>
      <c r="R4287" t="s">
        <v>1030</v>
      </c>
    </row>
    <row r="4288" spans="1:18" x14ac:dyDescent="0.25">
      <c r="A4288" t="s">
        <v>18060</v>
      </c>
      <c r="B4288" t="s">
        <v>5518</v>
      </c>
      <c r="C4288" t="str">
        <f>HYPERLINK("https://nematode.unl.edu/filaquil3.jpg")</f>
        <v>https://nematode.unl.edu/filaquil3.jpg</v>
      </c>
      <c r="D4288" t="s">
        <v>43</v>
      </c>
      <c r="G4288" t="s">
        <v>51</v>
      </c>
      <c r="I4288" t="s">
        <v>19</v>
      </c>
      <c r="J4288" t="s">
        <v>267</v>
      </c>
      <c r="M4288" t="s">
        <v>5510</v>
      </c>
      <c r="N4288" t="s">
        <v>5510</v>
      </c>
      <c r="O4288" t="s">
        <v>23</v>
      </c>
      <c r="P4288" t="s">
        <v>24</v>
      </c>
      <c r="Q4288" t="s">
        <v>69</v>
      </c>
      <c r="R4288" t="s">
        <v>1030</v>
      </c>
    </row>
    <row r="4289" spans="1:18" x14ac:dyDescent="0.25">
      <c r="A4289" t="s">
        <v>18055</v>
      </c>
      <c r="B4289" t="s">
        <v>5519</v>
      </c>
      <c r="C4289" t="str">
        <f>HYPERLINK("https://nematode.unl.edu/filaquil4.jpg")</f>
        <v>https://nematode.unl.edu/filaquil4.jpg</v>
      </c>
      <c r="D4289" t="s">
        <v>43</v>
      </c>
      <c r="G4289" t="s">
        <v>28</v>
      </c>
      <c r="I4289" t="s">
        <v>19</v>
      </c>
      <c r="J4289" t="s">
        <v>267</v>
      </c>
      <c r="M4289" t="s">
        <v>5510</v>
      </c>
      <c r="N4289" t="s">
        <v>5510</v>
      </c>
      <c r="O4289" t="s">
        <v>23</v>
      </c>
      <c r="P4289" t="s">
        <v>24</v>
      </c>
      <c r="Q4289" t="s">
        <v>69</v>
      </c>
      <c r="R4289" t="s">
        <v>1030</v>
      </c>
    </row>
    <row r="4290" spans="1:18" x14ac:dyDescent="0.25">
      <c r="A4290" t="s">
        <v>18041</v>
      </c>
      <c r="B4290" t="s">
        <v>5520</v>
      </c>
      <c r="C4290" t="str">
        <f>HYPERLINK("https://nematode.unl.edu/filaquil5.jpg")</f>
        <v>https://nematode.unl.edu/filaquil5.jpg</v>
      </c>
      <c r="D4290" t="s">
        <v>43</v>
      </c>
      <c r="G4290" t="s">
        <v>34</v>
      </c>
      <c r="H4290" t="s">
        <v>18</v>
      </c>
      <c r="I4290" t="s">
        <v>41</v>
      </c>
      <c r="J4290" t="s">
        <v>267</v>
      </c>
      <c r="M4290" t="s">
        <v>5510</v>
      </c>
      <c r="N4290" t="s">
        <v>5510</v>
      </c>
      <c r="O4290" t="s">
        <v>23</v>
      </c>
      <c r="P4290" t="s">
        <v>24</v>
      </c>
      <c r="Q4290" t="s">
        <v>69</v>
      </c>
      <c r="R4290" t="s">
        <v>1030</v>
      </c>
    </row>
    <row r="4291" spans="1:18" x14ac:dyDescent="0.25">
      <c r="A4291" t="s">
        <v>18052</v>
      </c>
      <c r="B4291" t="s">
        <v>5521</v>
      </c>
      <c r="C4291" t="str">
        <f>HYPERLINK("https://nematode.unl.edu/filaquil6.jpg")</f>
        <v>https://nematode.unl.edu/filaquil6.jpg</v>
      </c>
      <c r="D4291" t="s">
        <v>43</v>
      </c>
      <c r="G4291" t="s">
        <v>53</v>
      </c>
      <c r="M4291" t="s">
        <v>5510</v>
      </c>
      <c r="N4291" t="s">
        <v>5510</v>
      </c>
      <c r="O4291" t="s">
        <v>23</v>
      </c>
      <c r="P4291" t="s">
        <v>24</v>
      </c>
      <c r="Q4291" t="s">
        <v>69</v>
      </c>
      <c r="R4291" t="s">
        <v>1030</v>
      </c>
    </row>
    <row r="4292" spans="1:18" x14ac:dyDescent="0.25">
      <c r="A4292" t="s">
        <v>18050</v>
      </c>
      <c r="B4292" t="s">
        <v>5522</v>
      </c>
      <c r="C4292" t="str">
        <f>HYPERLINK("https://nematode.unl.edu/filaudus1.jpg")</f>
        <v>https://nematode.unl.edu/filaudus1.jpg</v>
      </c>
      <c r="D4292" t="s">
        <v>16</v>
      </c>
      <c r="G4292" t="s">
        <v>44</v>
      </c>
      <c r="I4292" t="s">
        <v>45</v>
      </c>
      <c r="J4292" t="s">
        <v>267</v>
      </c>
      <c r="M4292" t="s">
        <v>5510</v>
      </c>
      <c r="N4292" t="s">
        <v>5510</v>
      </c>
      <c r="O4292" t="s">
        <v>23</v>
      </c>
      <c r="P4292" t="s">
        <v>24</v>
      </c>
      <c r="Q4292" t="s">
        <v>69</v>
      </c>
      <c r="R4292" t="s">
        <v>1030</v>
      </c>
    </row>
    <row r="4293" spans="1:18" x14ac:dyDescent="0.25">
      <c r="A4293" t="s">
        <v>18061</v>
      </c>
      <c r="B4293" t="s">
        <v>5523</v>
      </c>
      <c r="C4293" t="str">
        <f>HYPERLINK("https://nematode.unl.edu/filaudus10.jpg")</f>
        <v>https://nematode.unl.edu/filaudus10.jpg</v>
      </c>
      <c r="D4293" t="s">
        <v>43</v>
      </c>
      <c r="G4293" t="s">
        <v>51</v>
      </c>
      <c r="I4293" t="s">
        <v>19</v>
      </c>
      <c r="J4293" t="s">
        <v>267</v>
      </c>
      <c r="M4293" t="s">
        <v>5510</v>
      </c>
      <c r="N4293" t="s">
        <v>5510</v>
      </c>
      <c r="O4293" t="s">
        <v>23</v>
      </c>
      <c r="P4293" t="s">
        <v>24</v>
      </c>
      <c r="Q4293" t="s">
        <v>69</v>
      </c>
      <c r="R4293" t="s">
        <v>1030</v>
      </c>
    </row>
    <row r="4294" spans="1:18" x14ac:dyDescent="0.25">
      <c r="A4294" t="s">
        <v>18042</v>
      </c>
      <c r="B4294" t="s">
        <v>5524</v>
      </c>
      <c r="C4294" t="str">
        <f>HYPERLINK("https://nematode.unl.edu/filaudus11.jpg")</f>
        <v>https://nematode.unl.edu/filaudus11.jpg</v>
      </c>
      <c r="D4294" t="s">
        <v>43</v>
      </c>
      <c r="G4294" t="s">
        <v>34</v>
      </c>
      <c r="H4294" t="s">
        <v>18</v>
      </c>
      <c r="I4294" t="s">
        <v>41</v>
      </c>
      <c r="J4294" t="s">
        <v>267</v>
      </c>
      <c r="M4294" t="s">
        <v>5510</v>
      </c>
      <c r="N4294" t="s">
        <v>5510</v>
      </c>
      <c r="O4294" t="s">
        <v>23</v>
      </c>
      <c r="P4294" t="s">
        <v>24</v>
      </c>
      <c r="Q4294" t="s">
        <v>69</v>
      </c>
      <c r="R4294" t="s">
        <v>1030</v>
      </c>
    </row>
    <row r="4295" spans="1:18" x14ac:dyDescent="0.25">
      <c r="A4295" t="s">
        <v>18043</v>
      </c>
      <c r="B4295" t="s">
        <v>5525</v>
      </c>
      <c r="C4295" t="str">
        <f>HYPERLINK("https://nematode.unl.edu/filaudus12.jpg")</f>
        <v>https://nematode.unl.edu/filaudus12.jpg</v>
      </c>
      <c r="D4295" t="s">
        <v>16</v>
      </c>
      <c r="G4295" t="s">
        <v>34</v>
      </c>
      <c r="H4295" t="s">
        <v>18</v>
      </c>
      <c r="I4295" t="s">
        <v>19</v>
      </c>
      <c r="J4295" t="s">
        <v>267</v>
      </c>
      <c r="L4295" t="s">
        <v>5526</v>
      </c>
      <c r="M4295" t="s">
        <v>5510</v>
      </c>
      <c r="N4295" t="s">
        <v>5510</v>
      </c>
      <c r="O4295" t="s">
        <v>23</v>
      </c>
      <c r="P4295" t="s">
        <v>24</v>
      </c>
      <c r="Q4295" t="s">
        <v>69</v>
      </c>
      <c r="R4295" t="s">
        <v>1030</v>
      </c>
    </row>
    <row r="4296" spans="1:18" x14ac:dyDescent="0.25">
      <c r="A4296" t="s">
        <v>18056</v>
      </c>
      <c r="B4296" t="s">
        <v>5527</v>
      </c>
      <c r="C4296" t="str">
        <f>HYPERLINK("https://nematode.unl.edu/filaudus13.jpg")</f>
        <v>https://nematode.unl.edu/filaudus13.jpg</v>
      </c>
      <c r="D4296" t="s">
        <v>16</v>
      </c>
      <c r="G4296" t="s">
        <v>28</v>
      </c>
      <c r="I4296" t="s">
        <v>516</v>
      </c>
      <c r="J4296" t="s">
        <v>267</v>
      </c>
      <c r="L4296" t="s">
        <v>5526</v>
      </c>
      <c r="M4296" t="s">
        <v>5510</v>
      </c>
      <c r="N4296" t="s">
        <v>5510</v>
      </c>
      <c r="O4296" t="s">
        <v>23</v>
      </c>
      <c r="P4296" t="s">
        <v>24</v>
      </c>
      <c r="Q4296" t="s">
        <v>69</v>
      </c>
      <c r="R4296" t="s">
        <v>1030</v>
      </c>
    </row>
    <row r="4297" spans="1:18" x14ac:dyDescent="0.25">
      <c r="A4297" t="s">
        <v>18044</v>
      </c>
      <c r="B4297" t="s">
        <v>5528</v>
      </c>
      <c r="C4297" t="str">
        <f>HYPERLINK("https://nematode.unl.edu/filaudus2.jpg")</f>
        <v>https://nematode.unl.edu/filaudus2.jpg</v>
      </c>
      <c r="D4297" t="s">
        <v>16</v>
      </c>
      <c r="G4297" t="s">
        <v>34</v>
      </c>
      <c r="H4297" t="s">
        <v>18</v>
      </c>
      <c r="I4297" t="s">
        <v>19</v>
      </c>
      <c r="J4297" t="s">
        <v>267</v>
      </c>
      <c r="M4297" t="s">
        <v>5510</v>
      </c>
      <c r="N4297" t="s">
        <v>5510</v>
      </c>
      <c r="O4297" t="s">
        <v>23</v>
      </c>
      <c r="P4297" t="s">
        <v>24</v>
      </c>
      <c r="Q4297" t="s">
        <v>69</v>
      </c>
      <c r="R4297" t="s">
        <v>1030</v>
      </c>
    </row>
    <row r="4298" spans="1:18" x14ac:dyDescent="0.25">
      <c r="A4298" t="s">
        <v>18057</v>
      </c>
      <c r="B4298" t="s">
        <v>5529</v>
      </c>
      <c r="C4298" t="str">
        <f>HYPERLINK("https://nematode.unl.edu/filaudus3.jpg")</f>
        <v>https://nematode.unl.edu/filaudus3.jpg</v>
      </c>
      <c r="D4298" t="s">
        <v>16</v>
      </c>
      <c r="G4298" t="s">
        <v>28</v>
      </c>
      <c r="I4298" t="s">
        <v>19</v>
      </c>
      <c r="J4298" t="s">
        <v>267</v>
      </c>
      <c r="M4298" t="s">
        <v>5510</v>
      </c>
      <c r="N4298" t="s">
        <v>5510</v>
      </c>
      <c r="O4298" t="s">
        <v>23</v>
      </c>
      <c r="P4298" t="s">
        <v>24</v>
      </c>
      <c r="Q4298" t="s">
        <v>69</v>
      </c>
      <c r="R4298" t="s">
        <v>1030</v>
      </c>
    </row>
    <row r="4299" spans="1:18" x14ac:dyDescent="0.25">
      <c r="A4299" t="s">
        <v>18051</v>
      </c>
      <c r="B4299" t="s">
        <v>5530</v>
      </c>
      <c r="C4299" t="str">
        <f>HYPERLINK("https://nematode.unl.edu/filaudus4.jpg")</f>
        <v>https://nematode.unl.edu/filaudus4.jpg</v>
      </c>
      <c r="D4299" t="s">
        <v>43</v>
      </c>
      <c r="G4299" t="s">
        <v>44</v>
      </c>
      <c r="I4299" t="s">
        <v>499</v>
      </c>
      <c r="J4299" t="s">
        <v>267</v>
      </c>
      <c r="L4299" t="s">
        <v>5526</v>
      </c>
      <c r="M4299" t="s">
        <v>5510</v>
      </c>
      <c r="N4299" t="s">
        <v>5510</v>
      </c>
      <c r="O4299" t="s">
        <v>23</v>
      </c>
      <c r="P4299" t="s">
        <v>24</v>
      </c>
      <c r="Q4299" t="s">
        <v>69</v>
      </c>
      <c r="R4299" t="s">
        <v>1030</v>
      </c>
    </row>
    <row r="4300" spans="1:18" x14ac:dyDescent="0.25">
      <c r="A4300" t="s">
        <v>18045</v>
      </c>
      <c r="B4300" t="s">
        <v>5531</v>
      </c>
      <c r="C4300" t="str">
        <f>HYPERLINK("https://nematode.unl.edu/filaudus5.jpg")</f>
        <v>https://nematode.unl.edu/filaudus5.jpg</v>
      </c>
      <c r="D4300" t="s">
        <v>43</v>
      </c>
      <c r="G4300" t="s">
        <v>34</v>
      </c>
      <c r="H4300" t="s">
        <v>18</v>
      </c>
      <c r="I4300" t="s">
        <v>19</v>
      </c>
      <c r="M4300" t="s">
        <v>5510</v>
      </c>
      <c r="N4300" t="s">
        <v>5510</v>
      </c>
      <c r="O4300" t="s">
        <v>23</v>
      </c>
      <c r="P4300" t="s">
        <v>24</v>
      </c>
      <c r="Q4300" t="s">
        <v>69</v>
      </c>
      <c r="R4300" t="s">
        <v>1030</v>
      </c>
    </row>
    <row r="4301" spans="1:18" x14ac:dyDescent="0.25">
      <c r="A4301" t="s">
        <v>18062</v>
      </c>
      <c r="B4301" t="s">
        <v>5532</v>
      </c>
      <c r="C4301" t="str">
        <f>HYPERLINK("https://nematode.unl.edu/filaudus6.jpg")</f>
        <v>https://nematode.unl.edu/filaudus6.jpg</v>
      </c>
      <c r="D4301" t="s">
        <v>43</v>
      </c>
      <c r="G4301" t="s">
        <v>51</v>
      </c>
      <c r="I4301" t="s">
        <v>19</v>
      </c>
      <c r="M4301" t="s">
        <v>5510</v>
      </c>
      <c r="N4301" t="s">
        <v>5510</v>
      </c>
      <c r="O4301" t="s">
        <v>23</v>
      </c>
      <c r="P4301" t="s">
        <v>24</v>
      </c>
      <c r="Q4301" t="s">
        <v>69</v>
      </c>
      <c r="R4301" t="s">
        <v>1030</v>
      </c>
    </row>
    <row r="4302" spans="1:18" x14ac:dyDescent="0.25">
      <c r="A4302" t="s">
        <v>18058</v>
      </c>
      <c r="B4302" t="s">
        <v>5533</v>
      </c>
      <c r="C4302" t="str">
        <f>HYPERLINK("https://nematode.unl.edu/filaudus7.jpg")</f>
        <v>https://nematode.unl.edu/filaudus7.jpg</v>
      </c>
      <c r="D4302" t="s">
        <v>43</v>
      </c>
      <c r="G4302" t="s">
        <v>28</v>
      </c>
      <c r="I4302" t="s">
        <v>19</v>
      </c>
      <c r="M4302" t="s">
        <v>5510</v>
      </c>
      <c r="N4302" t="s">
        <v>5510</v>
      </c>
      <c r="O4302" t="s">
        <v>23</v>
      </c>
      <c r="P4302" t="s">
        <v>24</v>
      </c>
      <c r="Q4302" t="s">
        <v>69</v>
      </c>
      <c r="R4302" t="s">
        <v>1030</v>
      </c>
    </row>
    <row r="4303" spans="1:18" x14ac:dyDescent="0.25">
      <c r="A4303" t="s">
        <v>18046</v>
      </c>
      <c r="B4303" t="s">
        <v>5534</v>
      </c>
      <c r="C4303" t="str">
        <f>HYPERLINK("https://nematode.unl.edu/filaudus8.jpg")</f>
        <v>https://nematode.unl.edu/filaudus8.jpg</v>
      </c>
      <c r="D4303" t="s">
        <v>43</v>
      </c>
      <c r="G4303" t="s">
        <v>34</v>
      </c>
      <c r="H4303" t="s">
        <v>18</v>
      </c>
      <c r="I4303" t="s">
        <v>529</v>
      </c>
      <c r="J4303" t="s">
        <v>267</v>
      </c>
      <c r="L4303" t="s">
        <v>5526</v>
      </c>
      <c r="M4303" t="s">
        <v>5510</v>
      </c>
      <c r="N4303" t="s">
        <v>5510</v>
      </c>
      <c r="O4303" t="s">
        <v>23</v>
      </c>
      <c r="P4303" t="s">
        <v>24</v>
      </c>
      <c r="Q4303" t="s">
        <v>69</v>
      </c>
      <c r="R4303" t="s">
        <v>1030</v>
      </c>
    </row>
    <row r="4304" spans="1:18" x14ac:dyDescent="0.25">
      <c r="A4304" t="s">
        <v>18047</v>
      </c>
      <c r="B4304" t="s">
        <v>5535</v>
      </c>
      <c r="C4304" t="str">
        <f>HYPERLINK("https://nematode.unl.edu/filaudus9.jpg")</f>
        <v>https://nematode.unl.edu/filaudus9.jpg</v>
      </c>
      <c r="D4304" t="s">
        <v>43</v>
      </c>
      <c r="G4304" t="s">
        <v>34</v>
      </c>
      <c r="H4304" t="s">
        <v>18</v>
      </c>
      <c r="J4304" t="s">
        <v>267</v>
      </c>
      <c r="M4304" t="s">
        <v>5510</v>
      </c>
      <c r="N4304" t="s">
        <v>5510</v>
      </c>
      <c r="O4304" t="s">
        <v>23</v>
      </c>
      <c r="P4304" t="s">
        <v>24</v>
      </c>
      <c r="Q4304" t="s">
        <v>69</v>
      </c>
      <c r="R4304" t="s">
        <v>1030</v>
      </c>
    </row>
    <row r="4305" spans="1:18" x14ac:dyDescent="0.25">
      <c r="A4305" t="s">
        <v>18093</v>
      </c>
      <c r="B4305" t="s">
        <v>5566</v>
      </c>
      <c r="C4305" t="str">
        <f>HYPERLINK("https://nematode.unl.edu/filbu1.jpg")</f>
        <v>https://nematode.unl.edu/filbu1.jpg</v>
      </c>
      <c r="D4305" t="s">
        <v>43</v>
      </c>
      <c r="G4305" t="s">
        <v>44</v>
      </c>
      <c r="I4305" t="s">
        <v>45</v>
      </c>
      <c r="J4305" t="s">
        <v>20</v>
      </c>
      <c r="L4305" t="s">
        <v>29</v>
      </c>
      <c r="M4305" t="s">
        <v>1029</v>
      </c>
      <c r="N4305" t="s">
        <v>1029</v>
      </c>
      <c r="O4305" t="s">
        <v>23</v>
      </c>
      <c r="P4305" t="s">
        <v>24</v>
      </c>
      <c r="Q4305" t="s">
        <v>69</v>
      </c>
      <c r="R4305" t="s">
        <v>1030</v>
      </c>
    </row>
    <row r="4306" spans="1:18" x14ac:dyDescent="0.25">
      <c r="A4306" t="s">
        <v>18096</v>
      </c>
      <c r="B4306" t="s">
        <v>5567</v>
      </c>
      <c r="C4306" t="str">
        <f>HYPERLINK("https://nematode.unl.edu/filbu2.jpg")</f>
        <v>https://nematode.unl.edu/filbu2.jpg</v>
      </c>
      <c r="D4306" t="s">
        <v>43</v>
      </c>
      <c r="G4306" t="s">
        <v>51</v>
      </c>
      <c r="M4306" t="s">
        <v>1029</v>
      </c>
      <c r="N4306" t="s">
        <v>1029</v>
      </c>
      <c r="O4306" t="s">
        <v>23</v>
      </c>
      <c r="P4306" t="s">
        <v>24</v>
      </c>
      <c r="Q4306" t="s">
        <v>69</v>
      </c>
      <c r="R4306" t="s">
        <v>1030</v>
      </c>
    </row>
    <row r="4307" spans="1:18" x14ac:dyDescent="0.25">
      <c r="A4307" t="s">
        <v>18090</v>
      </c>
      <c r="B4307" t="s">
        <v>5568</v>
      </c>
      <c r="C4307" t="str">
        <f>HYPERLINK("https://nematode.unl.edu/filbu3.jpg")</f>
        <v>https://nematode.unl.edu/filbu3.jpg</v>
      </c>
      <c r="D4307" t="s">
        <v>43</v>
      </c>
      <c r="G4307" t="s">
        <v>34</v>
      </c>
      <c r="H4307" t="s">
        <v>18</v>
      </c>
      <c r="J4307" t="s">
        <v>20</v>
      </c>
      <c r="M4307" t="s">
        <v>1029</v>
      </c>
      <c r="N4307" t="s">
        <v>1029</v>
      </c>
      <c r="O4307" t="s">
        <v>23</v>
      </c>
      <c r="P4307" t="s">
        <v>24</v>
      </c>
      <c r="Q4307" t="s">
        <v>69</v>
      </c>
      <c r="R4307" t="s">
        <v>1030</v>
      </c>
    </row>
    <row r="4308" spans="1:18" x14ac:dyDescent="0.25">
      <c r="A4308" t="s">
        <v>18095</v>
      </c>
      <c r="B4308" t="s">
        <v>5569</v>
      </c>
      <c r="C4308" t="str">
        <f>HYPERLINK("https://nematode.unl.edu/filbu4.jpg")</f>
        <v>https://nematode.unl.edu/filbu4.jpg</v>
      </c>
      <c r="D4308" t="s">
        <v>43</v>
      </c>
      <c r="G4308" t="s">
        <v>28</v>
      </c>
      <c r="J4308" t="s">
        <v>20</v>
      </c>
      <c r="L4308" t="s">
        <v>29</v>
      </c>
      <c r="M4308" t="s">
        <v>1029</v>
      </c>
      <c r="N4308" t="s">
        <v>1029</v>
      </c>
      <c r="O4308" t="s">
        <v>23</v>
      </c>
      <c r="P4308" t="s">
        <v>24</v>
      </c>
      <c r="Q4308" t="s">
        <v>69</v>
      </c>
      <c r="R4308" t="s">
        <v>1030</v>
      </c>
    </row>
    <row r="4309" spans="1:18" x14ac:dyDescent="0.25">
      <c r="A4309" t="s">
        <v>18094</v>
      </c>
      <c r="B4309" t="s">
        <v>5570</v>
      </c>
      <c r="C4309" t="str">
        <f>HYPERLINK("https://nematode.unl.edu/filbu5.jpg")</f>
        <v>https://nematode.unl.edu/filbu5.jpg</v>
      </c>
      <c r="D4309" t="s">
        <v>43</v>
      </c>
      <c r="G4309" t="s">
        <v>44</v>
      </c>
      <c r="I4309" t="s">
        <v>45</v>
      </c>
      <c r="J4309" t="s">
        <v>20</v>
      </c>
      <c r="L4309" t="s">
        <v>29</v>
      </c>
      <c r="M4309" t="s">
        <v>1029</v>
      </c>
      <c r="N4309" t="s">
        <v>1029</v>
      </c>
      <c r="O4309" t="s">
        <v>23</v>
      </c>
      <c r="P4309" t="s">
        <v>24</v>
      </c>
      <c r="Q4309" t="s">
        <v>69</v>
      </c>
      <c r="R4309" t="s">
        <v>1030</v>
      </c>
    </row>
    <row r="4310" spans="1:18" x14ac:dyDescent="0.25">
      <c r="A4310" t="s">
        <v>18091</v>
      </c>
      <c r="B4310" t="s">
        <v>5571</v>
      </c>
      <c r="C4310" t="str">
        <f>HYPERLINK("https://nematode.unl.edu/filbu6.jpg")</f>
        <v>https://nematode.unl.edu/filbu6.jpg</v>
      </c>
      <c r="D4310" t="s">
        <v>43</v>
      </c>
      <c r="G4310" t="s">
        <v>34</v>
      </c>
      <c r="H4310" t="s">
        <v>18</v>
      </c>
      <c r="M4310" t="s">
        <v>1029</v>
      </c>
      <c r="N4310" t="s">
        <v>1029</v>
      </c>
      <c r="O4310" t="s">
        <v>23</v>
      </c>
      <c r="P4310" t="s">
        <v>24</v>
      </c>
      <c r="Q4310" t="s">
        <v>69</v>
      </c>
      <c r="R4310" t="s">
        <v>1030</v>
      </c>
    </row>
    <row r="4311" spans="1:18" x14ac:dyDescent="0.25">
      <c r="A4311" t="s">
        <v>18092</v>
      </c>
      <c r="B4311" t="s">
        <v>5572</v>
      </c>
      <c r="C4311" t="str">
        <f>HYPERLINK("https://nematode.unl.edu/filbu7.jpg")</f>
        <v>https://nematode.unl.edu/filbu7.jpg</v>
      </c>
      <c r="D4311" t="s">
        <v>43</v>
      </c>
      <c r="G4311" t="s">
        <v>34</v>
      </c>
      <c r="H4311" t="s">
        <v>18</v>
      </c>
      <c r="I4311" t="s">
        <v>41</v>
      </c>
      <c r="J4311" t="s">
        <v>20</v>
      </c>
      <c r="L4311" t="s">
        <v>29</v>
      </c>
      <c r="M4311" t="s">
        <v>1029</v>
      </c>
      <c r="N4311" t="s">
        <v>1029</v>
      </c>
      <c r="O4311" t="s">
        <v>23</v>
      </c>
      <c r="P4311" t="s">
        <v>24</v>
      </c>
      <c r="Q4311" t="s">
        <v>69</v>
      </c>
      <c r="R4311" t="s">
        <v>1030</v>
      </c>
    </row>
    <row r="4312" spans="1:18" x14ac:dyDescent="0.25">
      <c r="A4312" t="s">
        <v>18103</v>
      </c>
      <c r="B4312" t="s">
        <v>5573</v>
      </c>
      <c r="C4312" t="str">
        <f>HYPERLINK("https://nematode.unl.edu/filco1.jpg")</f>
        <v>https://nematode.unl.edu/filco1.jpg</v>
      </c>
      <c r="D4312" t="s">
        <v>16</v>
      </c>
      <c r="G4312" t="s">
        <v>44</v>
      </c>
      <c r="I4312" t="s">
        <v>45</v>
      </c>
      <c r="J4312" t="s">
        <v>20</v>
      </c>
      <c r="L4312" t="s">
        <v>64</v>
      </c>
      <c r="M4312" t="s">
        <v>5574</v>
      </c>
      <c r="N4312" t="s">
        <v>5574</v>
      </c>
      <c r="O4312" t="s">
        <v>23</v>
      </c>
      <c r="P4312" t="s">
        <v>24</v>
      </c>
      <c r="Q4312" t="s">
        <v>69</v>
      </c>
      <c r="R4312" t="s">
        <v>1030</v>
      </c>
    </row>
    <row r="4313" spans="1:18" x14ac:dyDescent="0.25">
      <c r="A4313" t="s">
        <v>18097</v>
      </c>
      <c r="B4313" t="s">
        <v>5575</v>
      </c>
      <c r="C4313" t="str">
        <f>HYPERLINK("https://nematode.unl.edu/filco2.jpg")</f>
        <v>https://nematode.unl.edu/filco2.jpg</v>
      </c>
      <c r="D4313" t="s">
        <v>16</v>
      </c>
      <c r="G4313" t="s">
        <v>34</v>
      </c>
      <c r="H4313" t="s">
        <v>18</v>
      </c>
      <c r="J4313" t="s">
        <v>20</v>
      </c>
      <c r="L4313" t="s">
        <v>64</v>
      </c>
      <c r="M4313" t="s">
        <v>5574</v>
      </c>
      <c r="N4313" t="s">
        <v>5574</v>
      </c>
      <c r="O4313" t="s">
        <v>23</v>
      </c>
      <c r="P4313" t="s">
        <v>24</v>
      </c>
      <c r="Q4313" t="s">
        <v>69</v>
      </c>
      <c r="R4313" t="s">
        <v>1030</v>
      </c>
    </row>
    <row r="4314" spans="1:18" x14ac:dyDescent="0.25">
      <c r="A4314" t="s">
        <v>18098</v>
      </c>
      <c r="B4314" t="s">
        <v>5576</v>
      </c>
      <c r="C4314" t="str">
        <f>HYPERLINK("https://nematode.unl.edu/filco3.jpg")</f>
        <v>https://nematode.unl.edu/filco3.jpg</v>
      </c>
      <c r="D4314" t="s">
        <v>16</v>
      </c>
      <c r="G4314" t="s">
        <v>34</v>
      </c>
      <c r="H4314" t="s">
        <v>18</v>
      </c>
      <c r="I4314" t="s">
        <v>41</v>
      </c>
      <c r="J4314" t="s">
        <v>20</v>
      </c>
      <c r="L4314" t="s">
        <v>64</v>
      </c>
      <c r="M4314" t="s">
        <v>5574</v>
      </c>
      <c r="N4314" t="s">
        <v>5574</v>
      </c>
      <c r="O4314" t="s">
        <v>23</v>
      </c>
      <c r="P4314" t="s">
        <v>24</v>
      </c>
      <c r="Q4314" t="s">
        <v>69</v>
      </c>
      <c r="R4314" t="s">
        <v>1030</v>
      </c>
    </row>
    <row r="4315" spans="1:18" x14ac:dyDescent="0.25">
      <c r="A4315" t="s">
        <v>18106</v>
      </c>
      <c r="B4315" t="s">
        <v>5577</v>
      </c>
      <c r="C4315" t="str">
        <f>HYPERLINK("https://nematode.unl.edu/filco4.jpg")</f>
        <v>https://nematode.unl.edu/filco4.jpg</v>
      </c>
      <c r="D4315" t="s">
        <v>16</v>
      </c>
      <c r="G4315" t="s">
        <v>28</v>
      </c>
      <c r="I4315" t="s">
        <v>19</v>
      </c>
      <c r="J4315" t="s">
        <v>20</v>
      </c>
      <c r="M4315" t="s">
        <v>5574</v>
      </c>
      <c r="N4315" t="s">
        <v>5574</v>
      </c>
      <c r="O4315" t="s">
        <v>23</v>
      </c>
      <c r="P4315" t="s">
        <v>24</v>
      </c>
      <c r="Q4315" t="s">
        <v>69</v>
      </c>
      <c r="R4315" t="s">
        <v>1030</v>
      </c>
    </row>
    <row r="4316" spans="1:18" x14ac:dyDescent="0.25">
      <c r="A4316" t="s">
        <v>18099</v>
      </c>
      <c r="B4316" t="s">
        <v>5578</v>
      </c>
      <c r="C4316" t="str">
        <f>HYPERLINK("https://nematode.unl.edu/filco5.jpg")</f>
        <v>https://nematode.unl.edu/filco5.jpg</v>
      </c>
      <c r="D4316" t="s">
        <v>16</v>
      </c>
      <c r="G4316" t="s">
        <v>34</v>
      </c>
      <c r="H4316" t="s">
        <v>18</v>
      </c>
      <c r="I4316" t="s">
        <v>19</v>
      </c>
      <c r="J4316" t="s">
        <v>20</v>
      </c>
      <c r="L4316" t="s">
        <v>183</v>
      </c>
      <c r="M4316" t="s">
        <v>5574</v>
      </c>
      <c r="N4316" t="s">
        <v>5574</v>
      </c>
      <c r="O4316" t="s">
        <v>23</v>
      </c>
      <c r="P4316" t="s">
        <v>24</v>
      </c>
      <c r="Q4316" t="s">
        <v>69</v>
      </c>
      <c r="R4316" t="s">
        <v>1030</v>
      </c>
    </row>
    <row r="4317" spans="1:18" x14ac:dyDescent="0.25">
      <c r="A4317" t="s">
        <v>18100</v>
      </c>
      <c r="B4317" t="s">
        <v>5579</v>
      </c>
      <c r="C4317" t="str">
        <f>HYPERLINK("https://nematode.unl.edu/filco6.jpg")</f>
        <v>https://nematode.unl.edu/filco6.jpg</v>
      </c>
      <c r="D4317" t="s">
        <v>77</v>
      </c>
      <c r="G4317" t="s">
        <v>34</v>
      </c>
      <c r="H4317" t="s">
        <v>18</v>
      </c>
      <c r="I4317" t="s">
        <v>19</v>
      </c>
      <c r="J4317" t="s">
        <v>20</v>
      </c>
      <c r="L4317" t="s">
        <v>38</v>
      </c>
      <c r="M4317" t="s">
        <v>5574</v>
      </c>
      <c r="N4317" t="s">
        <v>5574</v>
      </c>
      <c r="O4317" t="s">
        <v>23</v>
      </c>
      <c r="P4317" t="s">
        <v>24</v>
      </c>
      <c r="Q4317" t="s">
        <v>69</v>
      </c>
      <c r="R4317" t="s">
        <v>1030</v>
      </c>
    </row>
    <row r="4318" spans="1:18" x14ac:dyDescent="0.25">
      <c r="A4318" t="s">
        <v>18105</v>
      </c>
      <c r="B4318" t="s">
        <v>5580</v>
      </c>
      <c r="C4318" t="str">
        <f>HYPERLINK("https://nematode.unl.edu/filco7.jpg")</f>
        <v>https://nematode.unl.edu/filco7.jpg</v>
      </c>
      <c r="D4318" t="s">
        <v>77</v>
      </c>
      <c r="G4318" t="s">
        <v>112</v>
      </c>
      <c r="J4318" t="s">
        <v>20</v>
      </c>
      <c r="L4318" t="s">
        <v>38</v>
      </c>
      <c r="M4318" t="s">
        <v>5574</v>
      </c>
      <c r="N4318" t="s">
        <v>5574</v>
      </c>
      <c r="O4318" t="s">
        <v>23</v>
      </c>
      <c r="P4318" t="s">
        <v>24</v>
      </c>
      <c r="Q4318" t="s">
        <v>69</v>
      </c>
      <c r="R4318" t="s">
        <v>1030</v>
      </c>
    </row>
    <row r="4319" spans="1:18" x14ac:dyDescent="0.25">
      <c r="A4319" t="s">
        <v>18107</v>
      </c>
      <c r="B4319" t="s">
        <v>5581</v>
      </c>
      <c r="C4319" t="str">
        <f>HYPERLINK("https://nematode.unl.edu/filco8.jpg")</f>
        <v>https://nematode.unl.edu/filco8.jpg</v>
      </c>
      <c r="D4319" t="s">
        <v>77</v>
      </c>
      <c r="G4319" t="s">
        <v>28</v>
      </c>
      <c r="J4319" t="s">
        <v>20</v>
      </c>
      <c r="L4319" t="s">
        <v>38</v>
      </c>
      <c r="M4319" t="s">
        <v>5574</v>
      </c>
      <c r="N4319" t="s">
        <v>5574</v>
      </c>
      <c r="O4319" t="s">
        <v>23</v>
      </c>
      <c r="P4319" t="s">
        <v>24</v>
      </c>
      <c r="Q4319" t="s">
        <v>69</v>
      </c>
      <c r="R4319" t="s">
        <v>1030</v>
      </c>
    </row>
    <row r="4320" spans="1:18" x14ac:dyDescent="0.25">
      <c r="A4320" t="s">
        <v>18101</v>
      </c>
      <c r="B4320" t="s">
        <v>5582</v>
      </c>
      <c r="C4320" t="str">
        <f>HYPERLINK("https://nematode.unl.edu/filco9.jpg")</f>
        <v>https://nematode.unl.edu/filco9.jpg</v>
      </c>
      <c r="D4320" t="s">
        <v>77</v>
      </c>
      <c r="G4320" t="s">
        <v>34</v>
      </c>
      <c r="H4320" t="s">
        <v>18</v>
      </c>
      <c r="I4320" t="s">
        <v>41</v>
      </c>
      <c r="J4320" t="s">
        <v>20</v>
      </c>
      <c r="L4320" t="s">
        <v>38</v>
      </c>
      <c r="M4320" t="s">
        <v>5574</v>
      </c>
      <c r="N4320" t="s">
        <v>5574</v>
      </c>
      <c r="O4320" t="s">
        <v>23</v>
      </c>
      <c r="P4320" t="s">
        <v>24</v>
      </c>
      <c r="Q4320" t="s">
        <v>69</v>
      </c>
      <c r="R4320" t="s">
        <v>1030</v>
      </c>
    </row>
    <row r="4321" spans="1:18" x14ac:dyDescent="0.25">
      <c r="A4321" t="s">
        <v>18104</v>
      </c>
      <c r="B4321" t="s">
        <v>5583</v>
      </c>
      <c r="C4321" t="str">
        <f>HYPERLINK("https://nematode.unl.edu/filcom1.jpg")</f>
        <v>https://nematode.unl.edu/filcom1.jpg</v>
      </c>
      <c r="D4321" t="s">
        <v>16</v>
      </c>
      <c r="G4321" t="s">
        <v>44</v>
      </c>
      <c r="I4321" t="s">
        <v>45</v>
      </c>
      <c r="J4321" t="s">
        <v>267</v>
      </c>
      <c r="L4321" t="s">
        <v>5526</v>
      </c>
      <c r="M4321" t="s">
        <v>5574</v>
      </c>
      <c r="N4321" t="s">
        <v>5574</v>
      </c>
      <c r="O4321" t="s">
        <v>23</v>
      </c>
      <c r="P4321" t="s">
        <v>24</v>
      </c>
      <c r="Q4321" t="s">
        <v>69</v>
      </c>
      <c r="R4321" t="s">
        <v>1030</v>
      </c>
    </row>
    <row r="4322" spans="1:18" x14ac:dyDescent="0.25">
      <c r="A4322" t="s">
        <v>18102</v>
      </c>
      <c r="B4322" t="s">
        <v>5584</v>
      </c>
      <c r="C4322" t="str">
        <f>HYPERLINK("https://nematode.unl.edu/filcom2.jpg")</f>
        <v>https://nematode.unl.edu/filcom2.jpg</v>
      </c>
      <c r="D4322" t="s">
        <v>16</v>
      </c>
      <c r="G4322" t="s">
        <v>34</v>
      </c>
      <c r="H4322" t="s">
        <v>18</v>
      </c>
      <c r="I4322" t="s">
        <v>19</v>
      </c>
      <c r="J4322" t="s">
        <v>267</v>
      </c>
      <c r="M4322" t="s">
        <v>5574</v>
      </c>
      <c r="N4322" t="s">
        <v>5574</v>
      </c>
      <c r="O4322" t="s">
        <v>23</v>
      </c>
      <c r="P4322" t="s">
        <v>24</v>
      </c>
      <c r="Q4322" t="s">
        <v>69</v>
      </c>
      <c r="R4322" t="s">
        <v>1030</v>
      </c>
    </row>
    <row r="4323" spans="1:18" x14ac:dyDescent="0.25">
      <c r="A4323" t="s">
        <v>18108</v>
      </c>
      <c r="B4323" t="s">
        <v>5585</v>
      </c>
      <c r="C4323" t="str">
        <f>HYPERLINK("https://nematode.unl.edu/filcom3.jpg")</f>
        <v>https://nematode.unl.edu/filcom3.jpg</v>
      </c>
      <c r="D4323" t="s">
        <v>16</v>
      </c>
      <c r="G4323" t="s">
        <v>28</v>
      </c>
      <c r="I4323" t="s">
        <v>19</v>
      </c>
      <c r="J4323" t="s">
        <v>267</v>
      </c>
      <c r="M4323" t="s">
        <v>5574</v>
      </c>
      <c r="N4323" t="s">
        <v>5574</v>
      </c>
      <c r="O4323" t="s">
        <v>23</v>
      </c>
      <c r="P4323" t="s">
        <v>24</v>
      </c>
      <c r="Q4323" t="s">
        <v>69</v>
      </c>
      <c r="R4323" t="s">
        <v>1030</v>
      </c>
    </row>
    <row r="4324" spans="1:18" x14ac:dyDescent="0.25">
      <c r="A4324" t="s">
        <v>18182</v>
      </c>
      <c r="B4324" t="s">
        <v>5646</v>
      </c>
      <c r="C4324" t="str">
        <f>HYPERLINK("https://nematode.unl.edu/filcy1.jpg")</f>
        <v>https://nematode.unl.edu/filcy1.jpg</v>
      </c>
      <c r="D4324" t="s">
        <v>77</v>
      </c>
      <c r="G4324" t="s">
        <v>44</v>
      </c>
      <c r="I4324" t="s">
        <v>45</v>
      </c>
      <c r="J4324" t="s">
        <v>46</v>
      </c>
      <c r="L4324" t="s">
        <v>727</v>
      </c>
      <c r="M4324" t="s">
        <v>5625</v>
      </c>
      <c r="N4324" t="s">
        <v>5625</v>
      </c>
      <c r="O4324" t="s">
        <v>23</v>
      </c>
      <c r="P4324" t="s">
        <v>24</v>
      </c>
      <c r="Q4324" t="s">
        <v>69</v>
      </c>
      <c r="R4324" t="s">
        <v>1030</v>
      </c>
    </row>
    <row r="4325" spans="1:18" x14ac:dyDescent="0.25">
      <c r="A4325" t="s">
        <v>18183</v>
      </c>
      <c r="B4325" t="s">
        <v>5647</v>
      </c>
      <c r="C4325" t="str">
        <f>HYPERLINK("https://nematode.unl.edu/filcy10.jpg")</f>
        <v>https://nematode.unl.edu/filcy10.jpg</v>
      </c>
      <c r="D4325" t="s">
        <v>43</v>
      </c>
      <c r="G4325" t="s">
        <v>44</v>
      </c>
      <c r="I4325" t="s">
        <v>45</v>
      </c>
      <c r="J4325" t="s">
        <v>46</v>
      </c>
      <c r="L4325" t="s">
        <v>105</v>
      </c>
      <c r="M4325" t="s">
        <v>5625</v>
      </c>
      <c r="N4325" t="s">
        <v>5625</v>
      </c>
      <c r="O4325" t="s">
        <v>23</v>
      </c>
      <c r="P4325" t="s">
        <v>24</v>
      </c>
      <c r="Q4325" t="s">
        <v>69</v>
      </c>
      <c r="R4325" t="s">
        <v>1030</v>
      </c>
    </row>
    <row r="4326" spans="1:18" x14ac:dyDescent="0.25">
      <c r="A4326" t="s">
        <v>18174</v>
      </c>
      <c r="B4326" t="s">
        <v>5648</v>
      </c>
      <c r="C4326" t="str">
        <f>HYPERLINK("https://nematode.unl.edu/filcy11.jpg")</f>
        <v>https://nematode.unl.edu/filcy11.jpg</v>
      </c>
      <c r="D4326" t="s">
        <v>43</v>
      </c>
      <c r="G4326" t="s">
        <v>34</v>
      </c>
      <c r="H4326" t="s">
        <v>18</v>
      </c>
      <c r="L4326" t="s">
        <v>105</v>
      </c>
      <c r="M4326" t="s">
        <v>5625</v>
      </c>
      <c r="N4326" t="s">
        <v>5625</v>
      </c>
      <c r="O4326" t="s">
        <v>23</v>
      </c>
      <c r="P4326" t="s">
        <v>24</v>
      </c>
      <c r="Q4326" t="s">
        <v>69</v>
      </c>
      <c r="R4326" t="s">
        <v>1030</v>
      </c>
    </row>
    <row r="4327" spans="1:18" x14ac:dyDescent="0.25">
      <c r="A4327" t="s">
        <v>18197</v>
      </c>
      <c r="B4327" t="s">
        <v>5649</v>
      </c>
      <c r="C4327" t="str">
        <f>HYPERLINK("https://nematode.unl.edu/filcy12.jpg")</f>
        <v>https://nematode.unl.edu/filcy12.jpg</v>
      </c>
      <c r="D4327" t="s">
        <v>43</v>
      </c>
      <c r="G4327" t="s">
        <v>28</v>
      </c>
      <c r="I4327" t="s">
        <v>516</v>
      </c>
      <c r="J4327" t="s">
        <v>46</v>
      </c>
      <c r="L4327" t="s">
        <v>727</v>
      </c>
      <c r="M4327" t="s">
        <v>5625</v>
      </c>
      <c r="N4327" t="s">
        <v>5625</v>
      </c>
      <c r="O4327" t="s">
        <v>23</v>
      </c>
      <c r="P4327" t="s">
        <v>24</v>
      </c>
      <c r="Q4327" t="s">
        <v>69</v>
      </c>
      <c r="R4327" t="s">
        <v>1030</v>
      </c>
    </row>
    <row r="4328" spans="1:18" x14ac:dyDescent="0.25">
      <c r="A4328" t="s">
        <v>18175</v>
      </c>
      <c r="B4328" t="s">
        <v>5650</v>
      </c>
      <c r="C4328" t="str">
        <f>HYPERLINK("https://nematode.unl.edu/filcy13.jpg")</f>
        <v>https://nematode.unl.edu/filcy13.jpg</v>
      </c>
      <c r="D4328" t="s">
        <v>43</v>
      </c>
      <c r="G4328" t="s">
        <v>34</v>
      </c>
      <c r="H4328" t="s">
        <v>18</v>
      </c>
      <c r="I4328" t="s">
        <v>41</v>
      </c>
      <c r="J4328" t="s">
        <v>46</v>
      </c>
      <c r="L4328" t="s">
        <v>727</v>
      </c>
      <c r="M4328" t="s">
        <v>5625</v>
      </c>
      <c r="N4328" t="s">
        <v>5625</v>
      </c>
      <c r="O4328" t="s">
        <v>23</v>
      </c>
      <c r="P4328" t="s">
        <v>24</v>
      </c>
      <c r="Q4328" t="s">
        <v>69</v>
      </c>
      <c r="R4328" t="s">
        <v>1030</v>
      </c>
    </row>
    <row r="4329" spans="1:18" x14ac:dyDescent="0.25">
      <c r="A4329" t="s">
        <v>18203</v>
      </c>
      <c r="B4329" t="s">
        <v>5651</v>
      </c>
      <c r="C4329" t="str">
        <f>HYPERLINK("https://nematode.unl.edu/filcy14.jpg")</f>
        <v>https://nematode.unl.edu/filcy14.jpg</v>
      </c>
      <c r="D4329" t="s">
        <v>43</v>
      </c>
      <c r="G4329" t="s">
        <v>51</v>
      </c>
      <c r="I4329" t="s">
        <v>19</v>
      </c>
      <c r="J4329" t="s">
        <v>46</v>
      </c>
      <c r="L4329" t="s">
        <v>727</v>
      </c>
      <c r="M4329" t="s">
        <v>5625</v>
      </c>
      <c r="N4329" t="s">
        <v>5625</v>
      </c>
      <c r="O4329" t="s">
        <v>23</v>
      </c>
      <c r="P4329" t="s">
        <v>24</v>
      </c>
      <c r="Q4329" t="s">
        <v>69</v>
      </c>
      <c r="R4329" t="s">
        <v>1030</v>
      </c>
    </row>
    <row r="4330" spans="1:18" x14ac:dyDescent="0.25">
      <c r="A4330" t="s">
        <v>18184</v>
      </c>
      <c r="B4330" t="s">
        <v>5652</v>
      </c>
      <c r="C4330" t="str">
        <f>HYPERLINK("https://nematode.unl.edu/filcy15.jpg")</f>
        <v>https://nematode.unl.edu/filcy15.jpg</v>
      </c>
      <c r="D4330" t="s">
        <v>43</v>
      </c>
      <c r="G4330" t="s">
        <v>44</v>
      </c>
      <c r="I4330" t="s">
        <v>45</v>
      </c>
      <c r="J4330" t="s">
        <v>46</v>
      </c>
      <c r="L4330" t="s">
        <v>727</v>
      </c>
      <c r="M4330" t="s">
        <v>5625</v>
      </c>
      <c r="N4330" t="s">
        <v>5625</v>
      </c>
      <c r="O4330" t="s">
        <v>23</v>
      </c>
      <c r="P4330" t="s">
        <v>24</v>
      </c>
      <c r="Q4330" t="s">
        <v>69</v>
      </c>
      <c r="R4330" t="s">
        <v>1030</v>
      </c>
    </row>
    <row r="4331" spans="1:18" x14ac:dyDescent="0.25">
      <c r="A4331" t="s">
        <v>18204</v>
      </c>
      <c r="B4331" t="s">
        <v>5653</v>
      </c>
      <c r="C4331" t="str">
        <f>HYPERLINK("https://nematode.unl.edu/filcy16.jpg")</f>
        <v>https://nematode.unl.edu/filcy16.jpg</v>
      </c>
      <c r="D4331" t="s">
        <v>43</v>
      </c>
      <c r="G4331" t="s">
        <v>51</v>
      </c>
      <c r="I4331" t="s">
        <v>19</v>
      </c>
      <c r="J4331" t="s">
        <v>46</v>
      </c>
      <c r="L4331" t="s">
        <v>727</v>
      </c>
      <c r="M4331" t="s">
        <v>5625</v>
      </c>
      <c r="N4331" t="s">
        <v>5625</v>
      </c>
      <c r="O4331" t="s">
        <v>23</v>
      </c>
      <c r="P4331" t="s">
        <v>24</v>
      </c>
      <c r="Q4331" t="s">
        <v>69</v>
      </c>
      <c r="R4331" t="s">
        <v>1030</v>
      </c>
    </row>
    <row r="4332" spans="1:18" x14ac:dyDescent="0.25">
      <c r="A4332" t="s">
        <v>18176</v>
      </c>
      <c r="B4332" t="s">
        <v>5654</v>
      </c>
      <c r="C4332" t="str">
        <f>HYPERLINK("https://nematode.unl.edu/filcy17.jpg")</f>
        <v>https://nematode.unl.edu/filcy17.jpg</v>
      </c>
      <c r="D4332" t="s">
        <v>43</v>
      </c>
      <c r="G4332" t="s">
        <v>34</v>
      </c>
      <c r="H4332" t="s">
        <v>18</v>
      </c>
      <c r="J4332" t="s">
        <v>46</v>
      </c>
      <c r="L4332" t="s">
        <v>727</v>
      </c>
      <c r="M4332" t="s">
        <v>5625</v>
      </c>
      <c r="N4332" t="s">
        <v>5625</v>
      </c>
      <c r="O4332" t="s">
        <v>23</v>
      </c>
      <c r="P4332" t="s">
        <v>24</v>
      </c>
      <c r="Q4332" t="s">
        <v>69</v>
      </c>
      <c r="R4332" t="s">
        <v>1030</v>
      </c>
    </row>
    <row r="4333" spans="1:18" x14ac:dyDescent="0.25">
      <c r="A4333" t="s">
        <v>18186</v>
      </c>
      <c r="B4333" t="s">
        <v>5655</v>
      </c>
      <c r="C4333" t="str">
        <f>HYPERLINK("https://nematode.unl.edu/filcy18.jpg")</f>
        <v>https://nematode.unl.edu/filcy18.jpg</v>
      </c>
      <c r="D4333" t="s">
        <v>43</v>
      </c>
      <c r="G4333" t="s">
        <v>4041</v>
      </c>
      <c r="I4333" t="s">
        <v>19</v>
      </c>
      <c r="J4333" t="s">
        <v>20</v>
      </c>
      <c r="L4333" t="s">
        <v>921</v>
      </c>
      <c r="M4333" t="s">
        <v>5625</v>
      </c>
      <c r="N4333" t="s">
        <v>5625</v>
      </c>
      <c r="O4333" t="s">
        <v>23</v>
      </c>
      <c r="P4333" t="s">
        <v>24</v>
      </c>
      <c r="Q4333" t="s">
        <v>69</v>
      </c>
      <c r="R4333" t="s">
        <v>1030</v>
      </c>
    </row>
    <row r="4334" spans="1:18" x14ac:dyDescent="0.25">
      <c r="A4334" t="s">
        <v>18177</v>
      </c>
      <c r="B4334" t="s">
        <v>5656</v>
      </c>
      <c r="C4334" t="str">
        <f>HYPERLINK("https://nematode.unl.edu/filcy2.jpg")</f>
        <v>https://nematode.unl.edu/filcy2.jpg</v>
      </c>
      <c r="D4334" t="s">
        <v>77</v>
      </c>
      <c r="G4334" t="s">
        <v>34</v>
      </c>
      <c r="H4334" t="s">
        <v>18</v>
      </c>
      <c r="J4334" t="s">
        <v>46</v>
      </c>
      <c r="L4334" t="s">
        <v>105</v>
      </c>
      <c r="M4334" t="s">
        <v>5625</v>
      </c>
      <c r="N4334" t="s">
        <v>5625</v>
      </c>
      <c r="O4334" t="s">
        <v>23</v>
      </c>
      <c r="P4334" t="s">
        <v>24</v>
      </c>
      <c r="Q4334" t="s">
        <v>69</v>
      </c>
      <c r="R4334" t="s">
        <v>1030</v>
      </c>
    </row>
    <row r="4335" spans="1:18" x14ac:dyDescent="0.25">
      <c r="A4335" t="s">
        <v>18191</v>
      </c>
      <c r="B4335" t="s">
        <v>5657</v>
      </c>
      <c r="C4335" t="str">
        <f>HYPERLINK("https://nematode.unl.edu/filcy3.jpg")</f>
        <v>https://nematode.unl.edu/filcy3.jpg</v>
      </c>
      <c r="D4335" t="s">
        <v>77</v>
      </c>
      <c r="G4335" t="s">
        <v>112</v>
      </c>
      <c r="I4335" t="s">
        <v>19</v>
      </c>
      <c r="J4335" t="s">
        <v>46</v>
      </c>
      <c r="L4335" t="s">
        <v>105</v>
      </c>
      <c r="M4335" t="s">
        <v>5625</v>
      </c>
      <c r="N4335" t="s">
        <v>5625</v>
      </c>
      <c r="O4335" t="s">
        <v>23</v>
      </c>
      <c r="P4335" t="s">
        <v>24</v>
      </c>
      <c r="Q4335" t="s">
        <v>69</v>
      </c>
      <c r="R4335" t="s">
        <v>1030</v>
      </c>
    </row>
    <row r="4336" spans="1:18" x14ac:dyDescent="0.25">
      <c r="A4336" t="s">
        <v>18192</v>
      </c>
      <c r="B4336" t="s">
        <v>5658</v>
      </c>
      <c r="C4336" t="str">
        <f>HYPERLINK("https://nematode.unl.edu/filcy4.jpg")</f>
        <v>https://nematode.unl.edu/filcy4.jpg</v>
      </c>
      <c r="D4336" t="s">
        <v>77</v>
      </c>
      <c r="G4336" t="s">
        <v>112</v>
      </c>
      <c r="J4336" t="s">
        <v>46</v>
      </c>
      <c r="L4336" t="s">
        <v>727</v>
      </c>
      <c r="M4336" t="s">
        <v>5625</v>
      </c>
      <c r="N4336" t="s">
        <v>5625</v>
      </c>
      <c r="O4336" t="s">
        <v>23</v>
      </c>
      <c r="P4336" t="s">
        <v>24</v>
      </c>
      <c r="Q4336" t="s">
        <v>69</v>
      </c>
      <c r="R4336" t="s">
        <v>1030</v>
      </c>
    </row>
    <row r="4337" spans="1:18" x14ac:dyDescent="0.25">
      <c r="A4337" t="s">
        <v>18185</v>
      </c>
      <c r="B4337" t="s">
        <v>5659</v>
      </c>
      <c r="C4337" t="str">
        <f>HYPERLINK("https://nematode.unl.edu/filcy5.jpg")</f>
        <v>https://nematode.unl.edu/filcy5.jpg</v>
      </c>
      <c r="D4337" t="s">
        <v>16</v>
      </c>
      <c r="G4337" t="s">
        <v>44</v>
      </c>
      <c r="I4337" t="s">
        <v>45</v>
      </c>
      <c r="J4337" t="s">
        <v>46</v>
      </c>
      <c r="L4337" t="s">
        <v>727</v>
      </c>
      <c r="M4337" t="s">
        <v>5625</v>
      </c>
      <c r="N4337" t="s">
        <v>5625</v>
      </c>
      <c r="O4337" t="s">
        <v>23</v>
      </c>
      <c r="P4337" t="s">
        <v>24</v>
      </c>
      <c r="Q4337" t="s">
        <v>69</v>
      </c>
      <c r="R4337" t="s">
        <v>1030</v>
      </c>
    </row>
    <row r="4338" spans="1:18" x14ac:dyDescent="0.25">
      <c r="A4338" t="s">
        <v>18178</v>
      </c>
      <c r="B4338" t="s">
        <v>5660</v>
      </c>
      <c r="C4338" t="str">
        <f>HYPERLINK("https://nematode.unl.edu/filcy6.jpg")</f>
        <v>https://nematode.unl.edu/filcy6.jpg</v>
      </c>
      <c r="D4338" t="s">
        <v>16</v>
      </c>
      <c r="G4338" t="s">
        <v>34</v>
      </c>
      <c r="H4338" t="s">
        <v>18</v>
      </c>
      <c r="I4338" t="s">
        <v>19</v>
      </c>
      <c r="J4338" t="s">
        <v>46</v>
      </c>
      <c r="L4338" t="s">
        <v>727</v>
      </c>
      <c r="M4338" t="s">
        <v>5625</v>
      </c>
      <c r="N4338" t="s">
        <v>5625</v>
      </c>
      <c r="O4338" t="s">
        <v>23</v>
      </c>
      <c r="P4338" t="s">
        <v>24</v>
      </c>
      <c r="Q4338" t="s">
        <v>69</v>
      </c>
      <c r="R4338" t="s">
        <v>1030</v>
      </c>
    </row>
    <row r="4339" spans="1:18" x14ac:dyDescent="0.25">
      <c r="A4339" t="s">
        <v>18198</v>
      </c>
      <c r="B4339" t="s">
        <v>5661</v>
      </c>
      <c r="C4339" t="str">
        <f>HYPERLINK("https://nematode.unl.edu/filcy7.jpg")</f>
        <v>https://nematode.unl.edu/filcy7.jpg</v>
      </c>
      <c r="D4339" t="s">
        <v>16</v>
      </c>
      <c r="G4339" t="s">
        <v>28</v>
      </c>
      <c r="I4339" t="s">
        <v>19</v>
      </c>
      <c r="J4339" t="s">
        <v>46</v>
      </c>
      <c r="L4339" t="s">
        <v>727</v>
      </c>
      <c r="M4339" t="s">
        <v>5625</v>
      </c>
      <c r="N4339" t="s">
        <v>5625</v>
      </c>
      <c r="O4339" t="s">
        <v>23</v>
      </c>
      <c r="P4339" t="s">
        <v>24</v>
      </c>
      <c r="Q4339" t="s">
        <v>69</v>
      </c>
      <c r="R4339" t="s">
        <v>1030</v>
      </c>
    </row>
    <row r="4340" spans="1:18" x14ac:dyDescent="0.25">
      <c r="A4340" t="s">
        <v>18200</v>
      </c>
      <c r="B4340" t="s">
        <v>5662</v>
      </c>
      <c r="C4340" t="str">
        <f>HYPERLINK("https://nematode.unl.edu/filcy8.jpg")</f>
        <v>https://nematode.unl.edu/filcy8.jpg</v>
      </c>
      <c r="D4340" t="s">
        <v>43</v>
      </c>
      <c r="G4340" t="s">
        <v>422</v>
      </c>
      <c r="I4340" t="s">
        <v>19</v>
      </c>
      <c r="J4340" t="s">
        <v>46</v>
      </c>
      <c r="L4340" t="s">
        <v>105</v>
      </c>
      <c r="M4340" t="s">
        <v>5625</v>
      </c>
      <c r="N4340" t="s">
        <v>5625</v>
      </c>
      <c r="O4340" t="s">
        <v>23</v>
      </c>
      <c r="P4340" t="s">
        <v>24</v>
      </c>
      <c r="Q4340" t="s">
        <v>69</v>
      </c>
      <c r="R4340" t="s">
        <v>1030</v>
      </c>
    </row>
    <row r="4341" spans="1:18" x14ac:dyDescent="0.25">
      <c r="A4341" t="s">
        <v>18179</v>
      </c>
      <c r="B4341" t="s">
        <v>5663</v>
      </c>
      <c r="C4341" t="str">
        <f>HYPERLINK("https://nematode.unl.edu/filcy9.jpg")</f>
        <v>https://nematode.unl.edu/filcy9.jpg</v>
      </c>
      <c r="D4341" t="s">
        <v>43</v>
      </c>
      <c r="G4341" t="s">
        <v>34</v>
      </c>
      <c r="H4341" t="s">
        <v>18</v>
      </c>
      <c r="L4341" t="s">
        <v>105</v>
      </c>
      <c r="M4341" t="s">
        <v>5625</v>
      </c>
      <c r="N4341" t="s">
        <v>5625</v>
      </c>
      <c r="O4341" t="s">
        <v>23</v>
      </c>
      <c r="P4341" t="s">
        <v>24</v>
      </c>
      <c r="Q4341" t="s">
        <v>69</v>
      </c>
      <c r="R4341" t="s">
        <v>1030</v>
      </c>
    </row>
    <row r="4342" spans="1:18" x14ac:dyDescent="0.25">
      <c r="A4342" t="s">
        <v>18199</v>
      </c>
      <c r="B4342" t="s">
        <v>5664</v>
      </c>
      <c r="C4342" t="str">
        <f>HYPERLINK("https://nematode.unl.edu/filcycmp.jpg")</f>
        <v>https://nematode.unl.edu/filcycmp.jpg</v>
      </c>
      <c r="D4342" t="s">
        <v>43</v>
      </c>
      <c r="G4342" t="s">
        <v>28</v>
      </c>
      <c r="M4342" t="s">
        <v>5625</v>
      </c>
      <c r="N4342" t="s">
        <v>5625</v>
      </c>
      <c r="O4342" t="s">
        <v>23</v>
      </c>
      <c r="P4342" t="s">
        <v>24</v>
      </c>
      <c r="Q4342" t="s">
        <v>69</v>
      </c>
      <c r="R4342" t="s">
        <v>1030</v>
      </c>
    </row>
    <row r="4343" spans="1:18" x14ac:dyDescent="0.25">
      <c r="A4343" t="s">
        <v>18209</v>
      </c>
      <c r="B4343" t="s">
        <v>5665</v>
      </c>
      <c r="C4343" t="str">
        <f>HYPERLINK("https://nematode.unl.edu/fildisc1.jpg")</f>
        <v>https://nematode.unl.edu/fildisc1.jpg</v>
      </c>
      <c r="D4343" t="s">
        <v>43</v>
      </c>
      <c r="G4343" t="s">
        <v>44</v>
      </c>
      <c r="I4343" t="s">
        <v>45</v>
      </c>
      <c r="J4343" t="s">
        <v>20</v>
      </c>
      <c r="L4343" t="s">
        <v>64</v>
      </c>
      <c r="M4343" t="s">
        <v>5666</v>
      </c>
      <c r="N4343" t="s">
        <v>5666</v>
      </c>
      <c r="O4343" t="s">
        <v>23</v>
      </c>
      <c r="P4343" t="s">
        <v>24</v>
      </c>
      <c r="Q4343" t="s">
        <v>69</v>
      </c>
      <c r="R4343" t="s">
        <v>1030</v>
      </c>
    </row>
    <row r="4344" spans="1:18" x14ac:dyDescent="0.25">
      <c r="A4344" t="s">
        <v>18211</v>
      </c>
      <c r="B4344" t="s">
        <v>5667</v>
      </c>
      <c r="C4344" t="str">
        <f>HYPERLINK("https://nematode.unl.edu/fildisc10.jpg")</f>
        <v>https://nematode.unl.edu/fildisc10.jpg</v>
      </c>
      <c r="D4344" t="s">
        <v>77</v>
      </c>
      <c r="G4344" t="s">
        <v>1906</v>
      </c>
      <c r="I4344" t="s">
        <v>41</v>
      </c>
      <c r="J4344" t="s">
        <v>20</v>
      </c>
      <c r="L4344" t="s">
        <v>141</v>
      </c>
      <c r="M4344" t="s">
        <v>5666</v>
      </c>
      <c r="N4344" t="s">
        <v>5666</v>
      </c>
      <c r="O4344" t="s">
        <v>23</v>
      </c>
      <c r="P4344" t="s">
        <v>24</v>
      </c>
      <c r="Q4344" t="s">
        <v>69</v>
      </c>
      <c r="R4344" t="s">
        <v>1030</v>
      </c>
    </row>
    <row r="4345" spans="1:18" x14ac:dyDescent="0.25">
      <c r="A4345" t="s">
        <v>18210</v>
      </c>
      <c r="B4345" t="s">
        <v>5668</v>
      </c>
      <c r="C4345" t="str">
        <f>HYPERLINK("https://nematode.unl.edu/fildisc11.jpg")</f>
        <v>https://nematode.unl.edu/fildisc11.jpg</v>
      </c>
      <c r="D4345" t="s">
        <v>77</v>
      </c>
      <c r="G4345" t="s">
        <v>44</v>
      </c>
      <c r="I4345" t="s">
        <v>499</v>
      </c>
      <c r="J4345" t="s">
        <v>20</v>
      </c>
      <c r="L4345" t="s">
        <v>64</v>
      </c>
      <c r="M4345" t="s">
        <v>5666</v>
      </c>
      <c r="N4345" t="s">
        <v>5666</v>
      </c>
      <c r="O4345" t="s">
        <v>23</v>
      </c>
      <c r="P4345" t="s">
        <v>24</v>
      </c>
      <c r="Q4345" t="s">
        <v>69</v>
      </c>
      <c r="R4345" t="s">
        <v>1030</v>
      </c>
    </row>
    <row r="4346" spans="1:18" x14ac:dyDescent="0.25">
      <c r="A4346" t="s">
        <v>18212</v>
      </c>
      <c r="B4346" t="s">
        <v>5669</v>
      </c>
      <c r="C4346" t="str">
        <f>HYPERLINK("https://nematode.unl.edu/fildisc12.jpg")</f>
        <v>https://nematode.unl.edu/fildisc12.jpg</v>
      </c>
      <c r="D4346" t="s">
        <v>77</v>
      </c>
      <c r="G4346" t="s">
        <v>112</v>
      </c>
      <c r="J4346" t="s">
        <v>20</v>
      </c>
      <c r="L4346" t="s">
        <v>217</v>
      </c>
      <c r="M4346" t="s">
        <v>5666</v>
      </c>
      <c r="N4346" t="s">
        <v>5666</v>
      </c>
      <c r="O4346" t="s">
        <v>23</v>
      </c>
      <c r="P4346" t="s">
        <v>24</v>
      </c>
      <c r="Q4346" t="s">
        <v>69</v>
      </c>
      <c r="R4346" t="s">
        <v>1030</v>
      </c>
    </row>
    <row r="4347" spans="1:18" x14ac:dyDescent="0.25">
      <c r="A4347" t="s">
        <v>18205</v>
      </c>
      <c r="B4347" t="s">
        <v>5670</v>
      </c>
      <c r="C4347" t="str">
        <f>HYPERLINK("https://nematode.unl.edu/fildisc2.jpg")</f>
        <v>https://nematode.unl.edu/fildisc2.jpg</v>
      </c>
      <c r="D4347" t="s">
        <v>43</v>
      </c>
      <c r="G4347" t="s">
        <v>34</v>
      </c>
      <c r="H4347" t="s">
        <v>18</v>
      </c>
      <c r="I4347" t="s">
        <v>19</v>
      </c>
      <c r="J4347" t="s">
        <v>20</v>
      </c>
      <c r="L4347" t="s">
        <v>141</v>
      </c>
      <c r="M4347" t="s">
        <v>5666</v>
      </c>
      <c r="N4347" t="s">
        <v>5666</v>
      </c>
      <c r="O4347" t="s">
        <v>23</v>
      </c>
      <c r="P4347" t="s">
        <v>24</v>
      </c>
      <c r="Q4347" t="s">
        <v>69</v>
      </c>
      <c r="R4347" t="s">
        <v>1030</v>
      </c>
    </row>
    <row r="4348" spans="1:18" x14ac:dyDescent="0.25">
      <c r="A4348" t="s">
        <v>18216</v>
      </c>
      <c r="B4348" t="s">
        <v>5671</v>
      </c>
      <c r="C4348" t="str">
        <f>HYPERLINK("https://nematode.unl.edu/fildisc3.jpg")</f>
        <v>https://nematode.unl.edu/fildisc3.jpg</v>
      </c>
      <c r="D4348" t="s">
        <v>43</v>
      </c>
      <c r="G4348" t="s">
        <v>51</v>
      </c>
      <c r="I4348" t="s">
        <v>19</v>
      </c>
      <c r="J4348" t="s">
        <v>20</v>
      </c>
      <c r="L4348" t="s">
        <v>193</v>
      </c>
      <c r="M4348" t="s">
        <v>5666</v>
      </c>
      <c r="N4348" t="s">
        <v>5666</v>
      </c>
      <c r="O4348" t="s">
        <v>23</v>
      </c>
      <c r="P4348" t="s">
        <v>24</v>
      </c>
      <c r="Q4348" t="s">
        <v>69</v>
      </c>
      <c r="R4348" t="s">
        <v>1030</v>
      </c>
    </row>
    <row r="4349" spans="1:18" x14ac:dyDescent="0.25">
      <c r="A4349" t="s">
        <v>18206</v>
      </c>
      <c r="B4349" t="s">
        <v>5672</v>
      </c>
      <c r="C4349" t="str">
        <f>HYPERLINK("https://nematode.unl.edu/fildisc4.jpg")</f>
        <v>https://nematode.unl.edu/fildisc4.jpg</v>
      </c>
      <c r="D4349" t="s">
        <v>77</v>
      </c>
      <c r="G4349" t="s">
        <v>34</v>
      </c>
      <c r="H4349" t="s">
        <v>18</v>
      </c>
      <c r="J4349" t="s">
        <v>20</v>
      </c>
      <c r="L4349" t="s">
        <v>64</v>
      </c>
      <c r="M4349" t="s">
        <v>5666</v>
      </c>
      <c r="N4349" t="s">
        <v>5666</v>
      </c>
      <c r="O4349" t="s">
        <v>23</v>
      </c>
      <c r="P4349" t="s">
        <v>24</v>
      </c>
      <c r="Q4349" t="s">
        <v>69</v>
      </c>
      <c r="R4349" t="s">
        <v>1030</v>
      </c>
    </row>
    <row r="4350" spans="1:18" x14ac:dyDescent="0.25">
      <c r="A4350" t="s">
        <v>18215</v>
      </c>
      <c r="B4350" t="s">
        <v>5673</v>
      </c>
      <c r="C4350" t="str">
        <f>HYPERLINK("https://nematode.unl.edu/fildisc5.jpg")</f>
        <v>https://nematode.unl.edu/fildisc5.jpg</v>
      </c>
      <c r="D4350" t="s">
        <v>77</v>
      </c>
      <c r="G4350" t="s">
        <v>28</v>
      </c>
      <c r="J4350" t="s">
        <v>20</v>
      </c>
      <c r="L4350" t="s">
        <v>64</v>
      </c>
      <c r="M4350" t="s">
        <v>5666</v>
      </c>
      <c r="N4350" t="s">
        <v>5666</v>
      </c>
      <c r="O4350" t="s">
        <v>23</v>
      </c>
      <c r="P4350" t="s">
        <v>24</v>
      </c>
      <c r="Q4350" t="s">
        <v>69</v>
      </c>
      <c r="R4350" t="s">
        <v>1030</v>
      </c>
    </row>
    <row r="4351" spans="1:18" x14ac:dyDescent="0.25">
      <c r="A4351" t="s">
        <v>18213</v>
      </c>
      <c r="B4351" t="s">
        <v>5674</v>
      </c>
      <c r="C4351" t="str">
        <f>HYPERLINK("https://nematode.unl.edu/fildisc6.jpg")</f>
        <v>https://nematode.unl.edu/fildisc6.jpg</v>
      </c>
      <c r="D4351" t="s">
        <v>77</v>
      </c>
      <c r="G4351" t="s">
        <v>112</v>
      </c>
      <c r="J4351" t="s">
        <v>20</v>
      </c>
      <c r="L4351" t="s">
        <v>64</v>
      </c>
      <c r="M4351" t="s">
        <v>5666</v>
      </c>
      <c r="N4351" t="s">
        <v>5666</v>
      </c>
      <c r="O4351" t="s">
        <v>23</v>
      </c>
      <c r="P4351" t="s">
        <v>24</v>
      </c>
      <c r="Q4351" t="s">
        <v>69</v>
      </c>
      <c r="R4351" t="s">
        <v>1030</v>
      </c>
    </row>
    <row r="4352" spans="1:18" x14ac:dyDescent="0.25">
      <c r="A4352" t="s">
        <v>18207</v>
      </c>
      <c r="B4352" t="s">
        <v>5675</v>
      </c>
      <c r="C4352" t="str">
        <f>HYPERLINK("https://nematode.unl.edu/fildisc7.jpg")</f>
        <v>https://nematode.unl.edu/fildisc7.jpg</v>
      </c>
      <c r="D4352" t="s">
        <v>77</v>
      </c>
      <c r="G4352" t="s">
        <v>34</v>
      </c>
      <c r="H4352" t="s">
        <v>18</v>
      </c>
      <c r="I4352" t="s">
        <v>19</v>
      </c>
      <c r="J4352" t="s">
        <v>20</v>
      </c>
      <c r="M4352" t="s">
        <v>5666</v>
      </c>
      <c r="N4352" t="s">
        <v>5666</v>
      </c>
      <c r="O4352" t="s">
        <v>23</v>
      </c>
      <c r="P4352" t="s">
        <v>24</v>
      </c>
      <c r="Q4352" t="s">
        <v>69</v>
      </c>
      <c r="R4352" t="s">
        <v>1030</v>
      </c>
    </row>
    <row r="4353" spans="1:18" x14ac:dyDescent="0.25">
      <c r="A4353" t="s">
        <v>18208</v>
      </c>
      <c r="B4353" t="s">
        <v>5676</v>
      </c>
      <c r="C4353" t="str">
        <f>HYPERLINK("https://nematode.unl.edu/fildisc8.jpg")</f>
        <v>https://nematode.unl.edu/fildisc8.jpg</v>
      </c>
      <c r="D4353" t="s">
        <v>77</v>
      </c>
      <c r="G4353" t="s">
        <v>34</v>
      </c>
      <c r="H4353" t="s">
        <v>18</v>
      </c>
      <c r="J4353" t="s">
        <v>20</v>
      </c>
      <c r="L4353" t="s">
        <v>141</v>
      </c>
      <c r="M4353" t="s">
        <v>5666</v>
      </c>
      <c r="N4353" t="s">
        <v>5666</v>
      </c>
      <c r="O4353" t="s">
        <v>23</v>
      </c>
      <c r="P4353" t="s">
        <v>24</v>
      </c>
      <c r="Q4353" t="s">
        <v>69</v>
      </c>
      <c r="R4353" t="s">
        <v>1030</v>
      </c>
    </row>
    <row r="4354" spans="1:18" x14ac:dyDescent="0.25">
      <c r="A4354" t="s">
        <v>18214</v>
      </c>
      <c r="B4354" t="s">
        <v>5677</v>
      </c>
      <c r="C4354" t="str">
        <f>HYPERLINK("https://nematode.unl.edu/fildisc9.jpg")</f>
        <v>https://nematode.unl.edu/fildisc9.jpg</v>
      </c>
      <c r="D4354" t="s">
        <v>77</v>
      </c>
      <c r="G4354" t="s">
        <v>112</v>
      </c>
      <c r="I4354" t="s">
        <v>41</v>
      </c>
      <c r="J4354" t="s">
        <v>20</v>
      </c>
      <c r="L4354" t="s">
        <v>141</v>
      </c>
      <c r="M4354" t="s">
        <v>5666</v>
      </c>
      <c r="N4354" t="s">
        <v>5666</v>
      </c>
      <c r="O4354" t="s">
        <v>23</v>
      </c>
      <c r="P4354" t="s">
        <v>24</v>
      </c>
      <c r="Q4354" t="s">
        <v>69</v>
      </c>
      <c r="R4354" t="s">
        <v>1030</v>
      </c>
    </row>
    <row r="4355" spans="1:18" x14ac:dyDescent="0.25">
      <c r="A4355" t="s">
        <v>18228</v>
      </c>
      <c r="B4355" t="s">
        <v>5706</v>
      </c>
      <c r="C4355" t="str">
        <f>HYPERLINK("https://nematode.unl.edu/fildit1.jpg")</f>
        <v>https://nematode.unl.edu/fildit1.jpg</v>
      </c>
      <c r="D4355" t="s">
        <v>16</v>
      </c>
      <c r="G4355" t="s">
        <v>87</v>
      </c>
      <c r="I4355" t="s">
        <v>41</v>
      </c>
      <c r="J4355" t="s">
        <v>46</v>
      </c>
      <c r="L4355" t="s">
        <v>105</v>
      </c>
      <c r="M4355" t="s">
        <v>5679</v>
      </c>
      <c r="N4355" t="s">
        <v>5679</v>
      </c>
      <c r="O4355" t="s">
        <v>23</v>
      </c>
      <c r="P4355" t="s">
        <v>24</v>
      </c>
      <c r="Q4355" t="s">
        <v>69</v>
      </c>
      <c r="R4355" t="s">
        <v>1030</v>
      </c>
    </row>
    <row r="4356" spans="1:18" x14ac:dyDescent="0.25">
      <c r="A4356" t="s">
        <v>18253</v>
      </c>
      <c r="B4356" t="s">
        <v>5707</v>
      </c>
      <c r="C4356" t="str">
        <f>HYPERLINK("https://nematode.unl.edu/fildit10.jpg")</f>
        <v>https://nematode.unl.edu/fildit10.jpg</v>
      </c>
      <c r="D4356" t="s">
        <v>43</v>
      </c>
      <c r="G4356" t="s">
        <v>51</v>
      </c>
      <c r="I4356" t="s">
        <v>19</v>
      </c>
      <c r="J4356" t="s">
        <v>46</v>
      </c>
      <c r="L4356" t="s">
        <v>727</v>
      </c>
      <c r="M4356" t="s">
        <v>5679</v>
      </c>
      <c r="N4356" t="s">
        <v>5679</v>
      </c>
      <c r="O4356" t="s">
        <v>23</v>
      </c>
      <c r="P4356" t="s">
        <v>24</v>
      </c>
      <c r="Q4356" t="s">
        <v>69</v>
      </c>
      <c r="R4356" t="s">
        <v>1030</v>
      </c>
    </row>
    <row r="4357" spans="1:18" x14ac:dyDescent="0.25">
      <c r="A4357" t="s">
        <v>18232</v>
      </c>
      <c r="B4357" t="s">
        <v>5708</v>
      </c>
      <c r="C4357" t="str">
        <f>HYPERLINK("https://nematode.unl.edu/fildit11.jpg")</f>
        <v>https://nematode.unl.edu/fildit11.jpg</v>
      </c>
      <c r="D4357" t="s">
        <v>43</v>
      </c>
      <c r="G4357" t="s">
        <v>44</v>
      </c>
      <c r="I4357" t="s">
        <v>137</v>
      </c>
      <c r="J4357" t="s">
        <v>46</v>
      </c>
      <c r="L4357" t="s">
        <v>727</v>
      </c>
      <c r="M4357" t="s">
        <v>5679</v>
      </c>
      <c r="N4357" t="s">
        <v>5679</v>
      </c>
      <c r="O4357" t="s">
        <v>23</v>
      </c>
      <c r="P4357" t="s">
        <v>24</v>
      </c>
      <c r="Q4357" t="s">
        <v>69</v>
      </c>
      <c r="R4357" t="s">
        <v>1030</v>
      </c>
    </row>
    <row r="4358" spans="1:18" x14ac:dyDescent="0.25">
      <c r="A4358" t="s">
        <v>18225</v>
      </c>
      <c r="B4358" t="s">
        <v>5709</v>
      </c>
      <c r="C4358" t="str">
        <f>HYPERLINK("https://nematode.unl.edu/fildit12.jpg")</f>
        <v>https://nematode.unl.edu/fildit12.jpg</v>
      </c>
      <c r="D4358" t="s">
        <v>43</v>
      </c>
      <c r="G4358" t="s">
        <v>34</v>
      </c>
      <c r="H4358" t="s">
        <v>18</v>
      </c>
      <c r="I4358" t="s">
        <v>19</v>
      </c>
      <c r="L4358" t="s">
        <v>105</v>
      </c>
      <c r="M4358" t="s">
        <v>5679</v>
      </c>
      <c r="N4358" t="s">
        <v>5679</v>
      </c>
      <c r="O4358" t="s">
        <v>23</v>
      </c>
      <c r="P4358" t="s">
        <v>24</v>
      </c>
      <c r="Q4358" t="s">
        <v>69</v>
      </c>
      <c r="R4358" t="s">
        <v>1030</v>
      </c>
    </row>
    <row r="4359" spans="1:18" x14ac:dyDescent="0.25">
      <c r="A4359" t="s">
        <v>18226</v>
      </c>
      <c r="B4359" t="s">
        <v>5710</v>
      </c>
      <c r="C4359" t="str">
        <f>HYPERLINK("https://nematode.unl.edu/fildit2.jpg")</f>
        <v>https://nematode.unl.edu/fildit2.jpg</v>
      </c>
      <c r="D4359" t="s">
        <v>16</v>
      </c>
      <c r="G4359" t="s">
        <v>34</v>
      </c>
      <c r="H4359" t="s">
        <v>18</v>
      </c>
      <c r="I4359" t="s">
        <v>41</v>
      </c>
      <c r="L4359" t="s">
        <v>105</v>
      </c>
      <c r="M4359" t="s">
        <v>5679</v>
      </c>
      <c r="N4359" t="s">
        <v>5679</v>
      </c>
      <c r="O4359" t="s">
        <v>23</v>
      </c>
      <c r="P4359" t="s">
        <v>24</v>
      </c>
      <c r="Q4359" t="s">
        <v>69</v>
      </c>
      <c r="R4359" t="s">
        <v>1030</v>
      </c>
    </row>
    <row r="4360" spans="1:18" x14ac:dyDescent="0.25">
      <c r="A4360" t="s">
        <v>18248</v>
      </c>
      <c r="B4360" t="s">
        <v>5711</v>
      </c>
      <c r="C4360" t="str">
        <f>HYPERLINK("https://nematode.unl.edu/fildit3.jpg")</f>
        <v>https://nematode.unl.edu/fildit3.jpg</v>
      </c>
      <c r="D4360" t="s">
        <v>16</v>
      </c>
      <c r="G4360" t="s">
        <v>28</v>
      </c>
      <c r="I4360" t="s">
        <v>19</v>
      </c>
      <c r="J4360" t="s">
        <v>46</v>
      </c>
      <c r="L4360" t="s">
        <v>727</v>
      </c>
      <c r="M4360" t="s">
        <v>5679</v>
      </c>
      <c r="N4360" t="s">
        <v>5679</v>
      </c>
      <c r="O4360" t="s">
        <v>23</v>
      </c>
      <c r="P4360" t="s">
        <v>24</v>
      </c>
      <c r="Q4360" t="s">
        <v>69</v>
      </c>
      <c r="R4360" t="s">
        <v>1030</v>
      </c>
    </row>
    <row r="4361" spans="1:18" x14ac:dyDescent="0.25">
      <c r="A4361" t="s">
        <v>18233</v>
      </c>
      <c r="B4361" t="s">
        <v>5712</v>
      </c>
      <c r="C4361" t="str">
        <f>HYPERLINK("https://nematode.unl.edu/fildit4.jpg")</f>
        <v>https://nematode.unl.edu/fildit4.jpg</v>
      </c>
      <c r="D4361" t="s">
        <v>16</v>
      </c>
      <c r="G4361" t="s">
        <v>44</v>
      </c>
      <c r="I4361" t="s">
        <v>45</v>
      </c>
      <c r="J4361" t="s">
        <v>46</v>
      </c>
      <c r="L4361" t="s">
        <v>727</v>
      </c>
      <c r="M4361" t="s">
        <v>5679</v>
      </c>
      <c r="N4361" t="s">
        <v>5679</v>
      </c>
      <c r="O4361" t="s">
        <v>23</v>
      </c>
      <c r="P4361" t="s">
        <v>24</v>
      </c>
      <c r="Q4361" t="s">
        <v>69</v>
      </c>
      <c r="R4361" t="s">
        <v>1030</v>
      </c>
    </row>
    <row r="4362" spans="1:18" x14ac:dyDescent="0.25">
      <c r="A4362" t="s">
        <v>18249</v>
      </c>
      <c r="B4362" t="s">
        <v>5713</v>
      </c>
      <c r="C4362" t="str">
        <f>HYPERLINK("https://nematode.unl.edu/fildit5.jpg")</f>
        <v>https://nematode.unl.edu/fildit5.jpg</v>
      </c>
      <c r="D4362" t="s">
        <v>77</v>
      </c>
      <c r="G4362" t="s">
        <v>28</v>
      </c>
      <c r="I4362" t="s">
        <v>516</v>
      </c>
      <c r="J4362" t="s">
        <v>46</v>
      </c>
      <c r="L4362" t="s">
        <v>105</v>
      </c>
      <c r="M4362" t="s">
        <v>5679</v>
      </c>
      <c r="N4362" t="s">
        <v>5679</v>
      </c>
      <c r="O4362" t="s">
        <v>23</v>
      </c>
      <c r="P4362" t="s">
        <v>24</v>
      </c>
      <c r="Q4362" t="s">
        <v>69</v>
      </c>
      <c r="R4362" t="s">
        <v>1030</v>
      </c>
    </row>
    <row r="4363" spans="1:18" x14ac:dyDescent="0.25">
      <c r="A4363" t="s">
        <v>18234</v>
      </c>
      <c r="B4363" t="s">
        <v>5714</v>
      </c>
      <c r="C4363" t="str">
        <f>HYPERLINK("https://nematode.unl.edu/fildit6.jpg")</f>
        <v>https://nematode.unl.edu/fildit6.jpg</v>
      </c>
      <c r="D4363" t="s">
        <v>77</v>
      </c>
      <c r="G4363" t="s">
        <v>44</v>
      </c>
      <c r="I4363" t="s">
        <v>45</v>
      </c>
      <c r="J4363" t="s">
        <v>46</v>
      </c>
      <c r="L4363" t="s">
        <v>105</v>
      </c>
      <c r="M4363" t="s">
        <v>5679</v>
      </c>
      <c r="N4363" t="s">
        <v>5679</v>
      </c>
      <c r="O4363" t="s">
        <v>23</v>
      </c>
      <c r="P4363" t="s">
        <v>24</v>
      </c>
      <c r="Q4363" t="s">
        <v>69</v>
      </c>
      <c r="R4363" t="s">
        <v>1030</v>
      </c>
    </row>
    <row r="4364" spans="1:18" x14ac:dyDescent="0.25">
      <c r="A4364" t="s">
        <v>18242</v>
      </c>
      <c r="B4364" t="s">
        <v>5715</v>
      </c>
      <c r="C4364" t="str">
        <f>HYPERLINK("https://nematode.unl.edu/fildit7.jpg")</f>
        <v>https://nematode.unl.edu/fildit7.jpg</v>
      </c>
      <c r="D4364" t="s">
        <v>77</v>
      </c>
      <c r="G4364" t="s">
        <v>112</v>
      </c>
      <c r="J4364" t="s">
        <v>46</v>
      </c>
      <c r="L4364" t="s">
        <v>727</v>
      </c>
      <c r="M4364" t="s">
        <v>5679</v>
      </c>
      <c r="N4364" t="s">
        <v>5679</v>
      </c>
      <c r="O4364" t="s">
        <v>23</v>
      </c>
      <c r="P4364" t="s">
        <v>24</v>
      </c>
      <c r="Q4364" t="s">
        <v>69</v>
      </c>
      <c r="R4364" t="s">
        <v>1030</v>
      </c>
    </row>
    <row r="4365" spans="1:18" x14ac:dyDescent="0.25">
      <c r="A4365" t="s">
        <v>18227</v>
      </c>
      <c r="B4365" t="s">
        <v>5716</v>
      </c>
      <c r="C4365" t="str">
        <f>HYPERLINK("https://nematode.unl.edu/fildit8.jpg")</f>
        <v>https://nematode.unl.edu/fildit8.jpg</v>
      </c>
      <c r="D4365" t="s">
        <v>43</v>
      </c>
      <c r="G4365" t="s">
        <v>34</v>
      </c>
      <c r="H4365" t="s">
        <v>18</v>
      </c>
      <c r="I4365" t="s">
        <v>19</v>
      </c>
      <c r="J4365" t="s">
        <v>46</v>
      </c>
      <c r="L4365" t="s">
        <v>105</v>
      </c>
      <c r="M4365" t="s">
        <v>5679</v>
      </c>
      <c r="N4365" t="s">
        <v>5679</v>
      </c>
      <c r="O4365" t="s">
        <v>23</v>
      </c>
      <c r="P4365" t="s">
        <v>24</v>
      </c>
      <c r="Q4365" t="s">
        <v>69</v>
      </c>
      <c r="R4365" t="s">
        <v>1030</v>
      </c>
    </row>
    <row r="4366" spans="1:18" x14ac:dyDescent="0.25">
      <c r="A4366" t="s">
        <v>18250</v>
      </c>
      <c r="B4366" t="s">
        <v>5717</v>
      </c>
      <c r="C4366" t="str">
        <f>HYPERLINK("https://nematode.unl.edu/fildit9.jpg")</f>
        <v>https://nematode.unl.edu/fildit9.jpg</v>
      </c>
      <c r="D4366" t="s">
        <v>43</v>
      </c>
      <c r="G4366" t="s">
        <v>28</v>
      </c>
      <c r="I4366" t="s">
        <v>516</v>
      </c>
      <c r="J4366" t="s">
        <v>46</v>
      </c>
      <c r="L4366" t="s">
        <v>105</v>
      </c>
      <c r="M4366" t="s">
        <v>5679</v>
      </c>
      <c r="N4366" t="s">
        <v>5679</v>
      </c>
      <c r="O4366" t="s">
        <v>23</v>
      </c>
      <c r="P4366" t="s">
        <v>24</v>
      </c>
      <c r="Q4366" t="s">
        <v>69</v>
      </c>
      <c r="R4366" t="s">
        <v>1030</v>
      </c>
    </row>
    <row r="4367" spans="1:18" x14ac:dyDescent="0.25">
      <c r="A4367" t="s">
        <v>18436</v>
      </c>
      <c r="B4367" t="s">
        <v>5894</v>
      </c>
      <c r="C4367" t="str">
        <f>HYPERLINK("https://nematode.unl.edu/filev1.jpg")</f>
        <v>https://nematode.unl.edu/filev1.jpg</v>
      </c>
      <c r="D4367" t="s">
        <v>16</v>
      </c>
      <c r="G4367" t="s">
        <v>44</v>
      </c>
      <c r="I4367" t="s">
        <v>45</v>
      </c>
      <c r="J4367" t="s">
        <v>20</v>
      </c>
      <c r="L4367" t="s">
        <v>220</v>
      </c>
      <c r="M4367" t="s">
        <v>5895</v>
      </c>
      <c r="N4367" t="s">
        <v>5895</v>
      </c>
      <c r="O4367" t="s">
        <v>23</v>
      </c>
      <c r="P4367" t="s">
        <v>24</v>
      </c>
      <c r="Q4367" t="s">
        <v>69</v>
      </c>
      <c r="R4367" t="s">
        <v>1030</v>
      </c>
    </row>
    <row r="4368" spans="1:18" x14ac:dyDescent="0.25">
      <c r="A4368" t="s">
        <v>18438</v>
      </c>
      <c r="B4368" t="s">
        <v>5896</v>
      </c>
      <c r="C4368" t="str">
        <f>HYPERLINK("https://nematode.unl.edu/filev10.jpg")</f>
        <v>https://nematode.unl.edu/filev10.jpg</v>
      </c>
      <c r="D4368" t="s">
        <v>77</v>
      </c>
      <c r="G4368" t="s">
        <v>112</v>
      </c>
      <c r="I4368" t="s">
        <v>41</v>
      </c>
      <c r="J4368" t="s">
        <v>20</v>
      </c>
      <c r="L4368" t="s">
        <v>64</v>
      </c>
      <c r="M4368" t="s">
        <v>5895</v>
      </c>
      <c r="N4368" t="s">
        <v>5895</v>
      </c>
      <c r="O4368" t="s">
        <v>23</v>
      </c>
      <c r="P4368" t="s">
        <v>24</v>
      </c>
      <c r="Q4368" t="s">
        <v>69</v>
      </c>
      <c r="R4368" t="s">
        <v>1030</v>
      </c>
    </row>
    <row r="4369" spans="1:18" x14ac:dyDescent="0.25">
      <c r="A4369" t="s">
        <v>18437</v>
      </c>
      <c r="B4369" t="s">
        <v>5897</v>
      </c>
      <c r="C4369" t="str">
        <f>HYPERLINK("https://nematode.unl.edu/filev11.jpg")</f>
        <v>https://nematode.unl.edu/filev11.jpg</v>
      </c>
      <c r="D4369" t="s">
        <v>77</v>
      </c>
      <c r="G4369" t="s">
        <v>44</v>
      </c>
      <c r="I4369" t="s">
        <v>45</v>
      </c>
      <c r="J4369" t="s">
        <v>20</v>
      </c>
      <c r="L4369" t="s">
        <v>64</v>
      </c>
      <c r="M4369" t="s">
        <v>5895</v>
      </c>
      <c r="N4369" t="s">
        <v>5895</v>
      </c>
      <c r="O4369" t="s">
        <v>23</v>
      </c>
      <c r="P4369" t="s">
        <v>24</v>
      </c>
      <c r="Q4369" t="s">
        <v>69</v>
      </c>
      <c r="R4369" t="s">
        <v>1030</v>
      </c>
    </row>
    <row r="4370" spans="1:18" x14ac:dyDescent="0.25">
      <c r="A4370" t="s">
        <v>18440</v>
      </c>
      <c r="B4370" t="s">
        <v>5898</v>
      </c>
      <c r="C4370" t="str">
        <f>HYPERLINK("https://nematode.unl.edu/filev2.jpg")</f>
        <v>https://nematode.unl.edu/filev2.jpg</v>
      </c>
      <c r="D4370" t="s">
        <v>16</v>
      </c>
      <c r="G4370" t="s">
        <v>28</v>
      </c>
      <c r="I4370" t="s">
        <v>19</v>
      </c>
      <c r="J4370" t="s">
        <v>20</v>
      </c>
      <c r="L4370" t="s">
        <v>220</v>
      </c>
      <c r="M4370" t="s">
        <v>5895</v>
      </c>
      <c r="N4370" t="s">
        <v>5895</v>
      </c>
      <c r="O4370" t="s">
        <v>23</v>
      </c>
      <c r="P4370" t="s">
        <v>24</v>
      </c>
      <c r="Q4370" t="s">
        <v>69</v>
      </c>
      <c r="R4370" t="s">
        <v>1030</v>
      </c>
    </row>
    <row r="4371" spans="1:18" x14ac:dyDescent="0.25">
      <c r="A4371" t="s">
        <v>18431</v>
      </c>
      <c r="B4371" t="s">
        <v>5899</v>
      </c>
      <c r="C4371" t="str">
        <f>HYPERLINK("https://nematode.unl.edu/filev3.jpg")</f>
        <v>https://nematode.unl.edu/filev3.jpg</v>
      </c>
      <c r="D4371" t="s">
        <v>16</v>
      </c>
      <c r="G4371" t="s">
        <v>34</v>
      </c>
      <c r="H4371" t="s">
        <v>18</v>
      </c>
      <c r="I4371" t="s">
        <v>19</v>
      </c>
      <c r="J4371" t="s">
        <v>20</v>
      </c>
      <c r="M4371" t="s">
        <v>5895</v>
      </c>
      <c r="N4371" t="s">
        <v>5895</v>
      </c>
      <c r="O4371" t="s">
        <v>23</v>
      </c>
      <c r="P4371" t="s">
        <v>24</v>
      </c>
      <c r="Q4371" t="s">
        <v>69</v>
      </c>
      <c r="R4371" t="s">
        <v>1030</v>
      </c>
    </row>
    <row r="4372" spans="1:18" x14ac:dyDescent="0.25">
      <c r="A4372" t="s">
        <v>18432</v>
      </c>
      <c r="B4372" t="s">
        <v>5900</v>
      </c>
      <c r="C4372" t="str">
        <f>HYPERLINK("https://nematode.unl.edu/filev4.jpg")</f>
        <v>https://nematode.unl.edu/filev4.jpg</v>
      </c>
      <c r="D4372" t="s">
        <v>16</v>
      </c>
      <c r="G4372" t="s">
        <v>34</v>
      </c>
      <c r="H4372" t="s">
        <v>18</v>
      </c>
      <c r="I4372" t="s">
        <v>41</v>
      </c>
      <c r="J4372" t="s">
        <v>20</v>
      </c>
      <c r="L4372" t="s">
        <v>220</v>
      </c>
      <c r="M4372" t="s">
        <v>5895</v>
      </c>
      <c r="N4372" t="s">
        <v>5895</v>
      </c>
      <c r="O4372" t="s">
        <v>23</v>
      </c>
      <c r="P4372" t="s">
        <v>24</v>
      </c>
      <c r="Q4372" t="s">
        <v>69</v>
      </c>
      <c r="R4372" t="s">
        <v>1030</v>
      </c>
    </row>
    <row r="4373" spans="1:18" x14ac:dyDescent="0.25">
      <c r="A4373" t="s">
        <v>18441</v>
      </c>
      <c r="B4373" t="s">
        <v>5901</v>
      </c>
      <c r="C4373" t="str">
        <f>HYPERLINK("https://nematode.unl.edu/filev5.jpg")</f>
        <v>https://nematode.unl.edu/filev5.jpg</v>
      </c>
      <c r="D4373" t="s">
        <v>43</v>
      </c>
      <c r="G4373" t="s">
        <v>51</v>
      </c>
      <c r="I4373" t="s">
        <v>41</v>
      </c>
      <c r="J4373" t="s">
        <v>20</v>
      </c>
      <c r="L4373" t="s">
        <v>64</v>
      </c>
      <c r="M4373" t="s">
        <v>5895</v>
      </c>
      <c r="N4373" t="s">
        <v>5895</v>
      </c>
      <c r="O4373" t="s">
        <v>23</v>
      </c>
      <c r="P4373" t="s">
        <v>24</v>
      </c>
      <c r="Q4373" t="s">
        <v>69</v>
      </c>
      <c r="R4373" t="s">
        <v>1030</v>
      </c>
    </row>
    <row r="4374" spans="1:18" x14ac:dyDescent="0.25">
      <c r="A4374" t="s">
        <v>18433</v>
      </c>
      <c r="B4374" t="s">
        <v>5902</v>
      </c>
      <c r="C4374" t="str">
        <f>HYPERLINK("https://nematode.unl.edu/filev6.jpg")</f>
        <v>https://nematode.unl.edu/filev6.jpg</v>
      </c>
      <c r="D4374" t="s">
        <v>43</v>
      </c>
      <c r="G4374" t="s">
        <v>34</v>
      </c>
      <c r="H4374" t="s">
        <v>18</v>
      </c>
      <c r="I4374" t="s">
        <v>41</v>
      </c>
      <c r="J4374" t="s">
        <v>20</v>
      </c>
      <c r="L4374" t="s">
        <v>64</v>
      </c>
      <c r="M4374" t="s">
        <v>5895</v>
      </c>
      <c r="N4374" t="s">
        <v>5895</v>
      </c>
      <c r="O4374" t="s">
        <v>23</v>
      </c>
      <c r="P4374" t="s">
        <v>24</v>
      </c>
      <c r="Q4374" t="s">
        <v>69</v>
      </c>
      <c r="R4374" t="s">
        <v>1030</v>
      </c>
    </row>
    <row r="4375" spans="1:18" x14ac:dyDescent="0.25">
      <c r="A4375" t="s">
        <v>18434</v>
      </c>
      <c r="B4375" t="s">
        <v>5903</v>
      </c>
      <c r="C4375" t="str">
        <f>HYPERLINK("https://nematode.unl.edu/filev7.jpg")</f>
        <v>https://nematode.unl.edu/filev7.jpg</v>
      </c>
      <c r="D4375" t="s">
        <v>77</v>
      </c>
      <c r="G4375" t="s">
        <v>34</v>
      </c>
      <c r="H4375" t="s">
        <v>18</v>
      </c>
      <c r="J4375" t="s">
        <v>20</v>
      </c>
      <c r="L4375" t="s">
        <v>64</v>
      </c>
      <c r="M4375" t="s">
        <v>5895</v>
      </c>
      <c r="N4375" t="s">
        <v>5895</v>
      </c>
      <c r="O4375" t="s">
        <v>23</v>
      </c>
      <c r="P4375" t="s">
        <v>24</v>
      </c>
      <c r="Q4375" t="s">
        <v>69</v>
      </c>
      <c r="R4375" t="s">
        <v>1030</v>
      </c>
    </row>
    <row r="4376" spans="1:18" x14ac:dyDescent="0.25">
      <c r="A4376" t="s">
        <v>18439</v>
      </c>
      <c r="B4376" t="s">
        <v>5904</v>
      </c>
      <c r="C4376" t="str">
        <f>HYPERLINK("https://nematode.unl.edu/filev8.jpg")</f>
        <v>https://nematode.unl.edu/filev8.jpg</v>
      </c>
      <c r="D4376" t="s">
        <v>77</v>
      </c>
      <c r="G4376" t="s">
        <v>112</v>
      </c>
      <c r="I4376" t="s">
        <v>19</v>
      </c>
      <c r="J4376" t="s">
        <v>20</v>
      </c>
      <c r="L4376" t="s">
        <v>64</v>
      </c>
      <c r="M4376" t="s">
        <v>5895</v>
      </c>
      <c r="N4376" t="s">
        <v>5895</v>
      </c>
      <c r="O4376" t="s">
        <v>23</v>
      </c>
      <c r="P4376" t="s">
        <v>24</v>
      </c>
      <c r="Q4376" t="s">
        <v>69</v>
      </c>
      <c r="R4376" t="s">
        <v>1030</v>
      </c>
    </row>
    <row r="4377" spans="1:18" x14ac:dyDescent="0.25">
      <c r="A4377" t="s">
        <v>18435</v>
      </c>
      <c r="B4377" t="s">
        <v>5905</v>
      </c>
      <c r="C4377" t="str">
        <f>HYPERLINK("https://nematode.unl.edu/filev9.jpg")</f>
        <v>https://nematode.unl.edu/filev9.jpg</v>
      </c>
      <c r="D4377" t="s">
        <v>77</v>
      </c>
      <c r="G4377" t="s">
        <v>34</v>
      </c>
      <c r="H4377" t="s">
        <v>18</v>
      </c>
      <c r="I4377" t="s">
        <v>41</v>
      </c>
      <c r="J4377" t="s">
        <v>20</v>
      </c>
      <c r="M4377" t="s">
        <v>5895</v>
      </c>
      <c r="N4377" t="s">
        <v>5895</v>
      </c>
      <c r="O4377" t="s">
        <v>23</v>
      </c>
      <c r="P4377" t="s">
        <v>24</v>
      </c>
      <c r="Q4377" t="s">
        <v>69</v>
      </c>
      <c r="R4377" t="s">
        <v>1030</v>
      </c>
    </row>
    <row r="4378" spans="1:18" x14ac:dyDescent="0.25">
      <c r="A4378" t="s">
        <v>18588</v>
      </c>
      <c r="B4378" t="s">
        <v>1924</v>
      </c>
      <c r="C4378" t="str">
        <f>HYPERLINK("https://nematode.unl.edu/filex.jpg")</f>
        <v>https://nematode.unl.edu/filex.jpg</v>
      </c>
      <c r="D4378" t="s">
        <v>43</v>
      </c>
      <c r="G4378" t="s">
        <v>44</v>
      </c>
      <c r="I4378" t="s">
        <v>45</v>
      </c>
      <c r="J4378" t="s">
        <v>46</v>
      </c>
      <c r="L4378" t="s">
        <v>727</v>
      </c>
      <c r="M4378" t="s">
        <v>1912</v>
      </c>
      <c r="N4378" t="s">
        <v>1913</v>
      </c>
      <c r="O4378" t="s">
        <v>23</v>
      </c>
      <c r="P4378" t="s">
        <v>24</v>
      </c>
      <c r="Q4378" t="s">
        <v>69</v>
      </c>
      <c r="R4378" t="s">
        <v>1883</v>
      </c>
    </row>
    <row r="4379" spans="1:18" x14ac:dyDescent="0.25">
      <c r="A4379" t="s">
        <v>18589</v>
      </c>
      <c r="B4379" t="s">
        <v>1925</v>
      </c>
      <c r="C4379" t="str">
        <f>HYPERLINK("https://nematode.unl.edu/filex1.jpg")</f>
        <v>https://nematode.unl.edu/filex1.jpg</v>
      </c>
      <c r="D4379" t="s">
        <v>43</v>
      </c>
      <c r="G4379" t="s">
        <v>44</v>
      </c>
      <c r="I4379" t="s">
        <v>45</v>
      </c>
      <c r="J4379" t="s">
        <v>46</v>
      </c>
      <c r="L4379" t="s">
        <v>727</v>
      </c>
      <c r="M4379" t="s">
        <v>1912</v>
      </c>
      <c r="N4379" t="s">
        <v>1913</v>
      </c>
      <c r="O4379" t="s">
        <v>23</v>
      </c>
      <c r="P4379" t="s">
        <v>24</v>
      </c>
      <c r="Q4379" t="s">
        <v>69</v>
      </c>
      <c r="R4379" t="s">
        <v>1883</v>
      </c>
    </row>
    <row r="4380" spans="1:18" x14ac:dyDescent="0.25">
      <c r="A4380" t="s">
        <v>18593</v>
      </c>
      <c r="B4380" t="s">
        <v>1926</v>
      </c>
      <c r="C4380" t="str">
        <f>HYPERLINK("https://nematode.unl.edu/filex10.jpg")</f>
        <v>https://nematode.unl.edu/filex10.jpg</v>
      </c>
      <c r="D4380" t="s">
        <v>77</v>
      </c>
      <c r="G4380" t="s">
        <v>112</v>
      </c>
      <c r="J4380" t="s">
        <v>46</v>
      </c>
      <c r="L4380" t="s">
        <v>727</v>
      </c>
      <c r="M4380" t="s">
        <v>1912</v>
      </c>
      <c r="N4380" t="s">
        <v>1913</v>
      </c>
      <c r="O4380" t="s">
        <v>23</v>
      </c>
      <c r="P4380" t="s">
        <v>24</v>
      </c>
      <c r="Q4380" t="s">
        <v>69</v>
      </c>
      <c r="R4380" t="s">
        <v>1883</v>
      </c>
    </row>
    <row r="4381" spans="1:18" x14ac:dyDescent="0.25">
      <c r="A4381" t="s">
        <v>18595</v>
      </c>
      <c r="B4381" t="s">
        <v>1927</v>
      </c>
      <c r="C4381" t="str">
        <f>HYPERLINK("https://nematode.unl.edu/filex11.jpg")</f>
        <v>https://nematode.unl.edu/filex11.jpg</v>
      </c>
      <c r="D4381" t="s">
        <v>77</v>
      </c>
      <c r="G4381" t="s">
        <v>28</v>
      </c>
      <c r="I4381" t="s">
        <v>19</v>
      </c>
      <c r="J4381" t="s">
        <v>46</v>
      </c>
      <c r="L4381" t="s">
        <v>727</v>
      </c>
      <c r="M4381" t="s">
        <v>1912</v>
      </c>
      <c r="N4381" t="s">
        <v>1913</v>
      </c>
      <c r="O4381" t="s">
        <v>23</v>
      </c>
      <c r="P4381" t="s">
        <v>24</v>
      </c>
      <c r="Q4381" t="s">
        <v>69</v>
      </c>
      <c r="R4381" t="s">
        <v>1883</v>
      </c>
    </row>
    <row r="4382" spans="1:18" x14ac:dyDescent="0.25">
      <c r="A4382" t="s">
        <v>18590</v>
      </c>
      <c r="B4382" t="s">
        <v>1928</v>
      </c>
      <c r="C4382" t="str">
        <f>HYPERLINK("https://nematode.unl.edu/filex12.jpg")</f>
        <v>https://nematode.unl.edu/filex12.jpg</v>
      </c>
      <c r="D4382" t="s">
        <v>16</v>
      </c>
      <c r="G4382" t="s">
        <v>44</v>
      </c>
      <c r="I4382" t="s">
        <v>45</v>
      </c>
      <c r="J4382" t="s">
        <v>46</v>
      </c>
      <c r="L4382" t="s">
        <v>727</v>
      </c>
      <c r="M4382" t="s">
        <v>1912</v>
      </c>
      <c r="N4382" t="s">
        <v>1913</v>
      </c>
      <c r="O4382" t="s">
        <v>23</v>
      </c>
      <c r="P4382" t="s">
        <v>24</v>
      </c>
      <c r="Q4382" t="s">
        <v>69</v>
      </c>
      <c r="R4382" t="s">
        <v>1883</v>
      </c>
    </row>
    <row r="4383" spans="1:18" x14ac:dyDescent="0.25">
      <c r="A4383" t="s">
        <v>18578</v>
      </c>
      <c r="B4383" t="s">
        <v>1929</v>
      </c>
      <c r="C4383" t="str">
        <f>HYPERLINK("https://nematode.unl.edu/filex13.jpg")</f>
        <v>https://nematode.unl.edu/filex13.jpg</v>
      </c>
      <c r="D4383" t="s">
        <v>16</v>
      </c>
      <c r="G4383" t="s">
        <v>34</v>
      </c>
      <c r="H4383" t="s">
        <v>18</v>
      </c>
      <c r="I4383" t="s">
        <v>19</v>
      </c>
      <c r="J4383" t="s">
        <v>46</v>
      </c>
      <c r="L4383" t="s">
        <v>727</v>
      </c>
      <c r="M4383" t="s">
        <v>1912</v>
      </c>
      <c r="N4383" t="s">
        <v>1913</v>
      </c>
      <c r="O4383" t="s">
        <v>23</v>
      </c>
      <c r="P4383" t="s">
        <v>24</v>
      </c>
      <c r="Q4383" t="s">
        <v>69</v>
      </c>
      <c r="R4383" t="s">
        <v>1883</v>
      </c>
    </row>
    <row r="4384" spans="1:18" x14ac:dyDescent="0.25">
      <c r="A4384" t="s">
        <v>18579</v>
      </c>
      <c r="B4384" t="s">
        <v>1930</v>
      </c>
      <c r="C4384" t="str">
        <f>HYPERLINK("https://nematode.unl.edu/filex2.jpg")</f>
        <v>https://nematode.unl.edu/filex2.jpg</v>
      </c>
      <c r="D4384" t="s">
        <v>43</v>
      </c>
      <c r="G4384" t="s">
        <v>34</v>
      </c>
      <c r="H4384" t="s">
        <v>18</v>
      </c>
      <c r="I4384" t="s">
        <v>19</v>
      </c>
      <c r="J4384" t="s">
        <v>46</v>
      </c>
      <c r="L4384" t="s">
        <v>727</v>
      </c>
      <c r="M4384" t="s">
        <v>1912</v>
      </c>
      <c r="N4384" t="s">
        <v>1913</v>
      </c>
      <c r="O4384" t="s">
        <v>23</v>
      </c>
      <c r="P4384" t="s">
        <v>24</v>
      </c>
      <c r="Q4384" t="s">
        <v>69</v>
      </c>
      <c r="R4384" t="s">
        <v>1883</v>
      </c>
    </row>
    <row r="4385" spans="1:18" x14ac:dyDescent="0.25">
      <c r="A4385" t="s">
        <v>18580</v>
      </c>
      <c r="B4385" t="s">
        <v>1931</v>
      </c>
      <c r="C4385" t="str">
        <f>HYPERLINK("https://nematode.unl.edu/filex3.jpg")</f>
        <v>https://nematode.unl.edu/filex3.jpg</v>
      </c>
      <c r="D4385" t="s">
        <v>43</v>
      </c>
      <c r="G4385" t="s">
        <v>34</v>
      </c>
      <c r="H4385" t="s">
        <v>18</v>
      </c>
      <c r="I4385" t="s">
        <v>516</v>
      </c>
      <c r="J4385" t="s">
        <v>46</v>
      </c>
      <c r="L4385" t="s">
        <v>727</v>
      </c>
      <c r="M4385" t="s">
        <v>1912</v>
      </c>
      <c r="N4385" t="s">
        <v>1913</v>
      </c>
      <c r="O4385" t="s">
        <v>23</v>
      </c>
      <c r="P4385" t="s">
        <v>24</v>
      </c>
      <c r="Q4385" t="s">
        <v>69</v>
      </c>
      <c r="R4385" t="s">
        <v>1883</v>
      </c>
    </row>
    <row r="4386" spans="1:18" x14ac:dyDescent="0.25">
      <c r="A4386" t="s">
        <v>18597</v>
      </c>
      <c r="B4386" t="s">
        <v>1932</v>
      </c>
      <c r="C4386" t="str">
        <f>HYPERLINK("https://nematode.unl.edu/filex4.jpg")</f>
        <v>https://nematode.unl.edu/filex4.jpg</v>
      </c>
      <c r="D4386" t="s">
        <v>43</v>
      </c>
      <c r="G4386" t="s">
        <v>51</v>
      </c>
      <c r="I4386" t="s">
        <v>19</v>
      </c>
      <c r="J4386" t="s">
        <v>46</v>
      </c>
      <c r="L4386" t="s">
        <v>727</v>
      </c>
      <c r="M4386" t="s">
        <v>1912</v>
      </c>
      <c r="N4386" t="s">
        <v>1913</v>
      </c>
      <c r="O4386" t="s">
        <v>23</v>
      </c>
      <c r="P4386" t="s">
        <v>24</v>
      </c>
      <c r="Q4386" t="s">
        <v>69</v>
      </c>
      <c r="R4386" t="s">
        <v>1883</v>
      </c>
    </row>
    <row r="4387" spans="1:18" x14ac:dyDescent="0.25">
      <c r="A4387" t="s">
        <v>18596</v>
      </c>
      <c r="B4387" t="s">
        <v>1933</v>
      </c>
      <c r="C4387" t="str">
        <f>HYPERLINK("https://nematode.unl.edu/filex5.jpg")</f>
        <v>https://nematode.unl.edu/filex5.jpg</v>
      </c>
      <c r="D4387" t="s">
        <v>43</v>
      </c>
      <c r="G4387" t="s">
        <v>28</v>
      </c>
      <c r="I4387" t="s">
        <v>19</v>
      </c>
      <c r="J4387" t="s">
        <v>46</v>
      </c>
      <c r="L4387" t="s">
        <v>727</v>
      </c>
      <c r="M4387" t="s">
        <v>1912</v>
      </c>
      <c r="N4387" t="s">
        <v>1913</v>
      </c>
      <c r="O4387" t="s">
        <v>23</v>
      </c>
      <c r="P4387" t="s">
        <v>24</v>
      </c>
      <c r="Q4387" t="s">
        <v>69</v>
      </c>
      <c r="R4387" t="s">
        <v>1883</v>
      </c>
    </row>
    <row r="4388" spans="1:18" x14ac:dyDescent="0.25">
      <c r="A4388" t="s">
        <v>18591</v>
      </c>
      <c r="B4388" t="s">
        <v>1934</v>
      </c>
      <c r="C4388" t="str">
        <f>HYPERLINK("https://nematode.unl.edu/filex6.jpg")</f>
        <v>https://nematode.unl.edu/filex6.jpg</v>
      </c>
      <c r="D4388" t="s">
        <v>77</v>
      </c>
      <c r="G4388" t="s">
        <v>44</v>
      </c>
      <c r="I4388" t="s">
        <v>499</v>
      </c>
      <c r="J4388" t="s">
        <v>46</v>
      </c>
      <c r="L4388" t="s">
        <v>105</v>
      </c>
      <c r="M4388" t="s">
        <v>1912</v>
      </c>
      <c r="N4388" t="s">
        <v>1913</v>
      </c>
      <c r="O4388" t="s">
        <v>23</v>
      </c>
      <c r="P4388" t="s">
        <v>24</v>
      </c>
      <c r="Q4388" t="s">
        <v>69</v>
      </c>
      <c r="R4388" t="s">
        <v>1883</v>
      </c>
    </row>
    <row r="4389" spans="1:18" x14ac:dyDescent="0.25">
      <c r="A4389" t="s">
        <v>18581</v>
      </c>
      <c r="B4389" t="s">
        <v>1935</v>
      </c>
      <c r="C4389" t="str">
        <f>HYPERLINK("https://nematode.unl.edu/filex7.jpg")</f>
        <v>https://nematode.unl.edu/filex7.jpg</v>
      </c>
      <c r="D4389" t="s">
        <v>77</v>
      </c>
      <c r="G4389" t="s">
        <v>34</v>
      </c>
      <c r="H4389" t="s">
        <v>18</v>
      </c>
      <c r="I4389" t="s">
        <v>19</v>
      </c>
      <c r="J4389" t="s">
        <v>46</v>
      </c>
      <c r="L4389" t="s">
        <v>727</v>
      </c>
      <c r="M4389" t="s">
        <v>1912</v>
      </c>
      <c r="N4389" t="s">
        <v>1913</v>
      </c>
      <c r="O4389" t="s">
        <v>23</v>
      </c>
      <c r="P4389" t="s">
        <v>24</v>
      </c>
      <c r="Q4389" t="s">
        <v>69</v>
      </c>
      <c r="R4389" t="s">
        <v>1883</v>
      </c>
    </row>
    <row r="4390" spans="1:18" x14ac:dyDescent="0.25">
      <c r="A4390" t="s">
        <v>18582</v>
      </c>
      <c r="B4390" t="s">
        <v>1936</v>
      </c>
      <c r="C4390" t="str">
        <f>HYPERLINK("https://nematode.unl.edu/filex8.jpg")</f>
        <v>https://nematode.unl.edu/filex8.jpg</v>
      </c>
      <c r="D4390" t="s">
        <v>77</v>
      </c>
      <c r="G4390" t="s">
        <v>34</v>
      </c>
      <c r="H4390" t="s">
        <v>18</v>
      </c>
      <c r="J4390" t="s">
        <v>46</v>
      </c>
      <c r="M4390" t="s">
        <v>1912</v>
      </c>
      <c r="N4390" t="s">
        <v>1913</v>
      </c>
      <c r="O4390" t="s">
        <v>23</v>
      </c>
      <c r="P4390" t="s">
        <v>24</v>
      </c>
      <c r="Q4390" t="s">
        <v>69</v>
      </c>
      <c r="R4390" t="s">
        <v>1883</v>
      </c>
    </row>
    <row r="4391" spans="1:18" x14ac:dyDescent="0.25">
      <c r="A4391" t="s">
        <v>18594</v>
      </c>
      <c r="B4391" t="s">
        <v>1937</v>
      </c>
      <c r="C4391" t="str">
        <f>HYPERLINK("https://nematode.unl.edu/filex9.jpg")</f>
        <v>https://nematode.unl.edu/filex9.jpg</v>
      </c>
      <c r="D4391" t="s">
        <v>77</v>
      </c>
      <c r="G4391" t="s">
        <v>112</v>
      </c>
      <c r="J4391" t="s">
        <v>46</v>
      </c>
      <c r="L4391" t="s">
        <v>727</v>
      </c>
      <c r="M4391" t="s">
        <v>1912</v>
      </c>
      <c r="N4391" t="s">
        <v>1913</v>
      </c>
      <c r="O4391" t="s">
        <v>23</v>
      </c>
      <c r="P4391" t="s">
        <v>24</v>
      </c>
      <c r="Q4391" t="s">
        <v>69</v>
      </c>
      <c r="R4391" t="s">
        <v>1883</v>
      </c>
    </row>
    <row r="4392" spans="1:18" x14ac:dyDescent="0.25">
      <c r="A4392" t="s">
        <v>18572</v>
      </c>
      <c r="B4392" t="s">
        <v>1938</v>
      </c>
      <c r="C4392" t="str">
        <f>HYPERLINK("https://nematode.unl.edu/filexcmp.jpg")</f>
        <v>https://nematode.unl.edu/filexcmp.jpg</v>
      </c>
      <c r="D4392" t="s">
        <v>43</v>
      </c>
      <c r="G4392" t="s">
        <v>96</v>
      </c>
      <c r="H4392" t="s">
        <v>18</v>
      </c>
      <c r="M4392" t="s">
        <v>1912</v>
      </c>
      <c r="N4392" t="s">
        <v>1913</v>
      </c>
      <c r="O4392" t="s">
        <v>23</v>
      </c>
      <c r="P4392" t="s">
        <v>24</v>
      </c>
      <c r="Q4392" t="s">
        <v>69</v>
      </c>
      <c r="R4392" t="s">
        <v>1883</v>
      </c>
    </row>
    <row r="4393" spans="1:18" x14ac:dyDescent="0.25">
      <c r="A4393" t="s">
        <v>18300</v>
      </c>
      <c r="B4393" t="s">
        <v>5767</v>
      </c>
      <c r="C4393" t="str">
        <f>HYPERLINK("https://nematode.unl.edu/filmag1.jpg")</f>
        <v>https://nematode.unl.edu/filmag1.jpg</v>
      </c>
      <c r="D4393" t="s">
        <v>43</v>
      </c>
      <c r="G4393" t="s">
        <v>44</v>
      </c>
      <c r="I4393" t="s">
        <v>499</v>
      </c>
      <c r="J4393" t="s">
        <v>20</v>
      </c>
      <c r="L4393" t="s">
        <v>456</v>
      </c>
      <c r="M4393" t="s">
        <v>5768</v>
      </c>
      <c r="N4393" t="s">
        <v>5768</v>
      </c>
      <c r="O4393" t="s">
        <v>23</v>
      </c>
      <c r="P4393" t="s">
        <v>24</v>
      </c>
      <c r="Q4393" t="s">
        <v>69</v>
      </c>
      <c r="R4393" t="s">
        <v>1030</v>
      </c>
    </row>
    <row r="4394" spans="1:18" x14ac:dyDescent="0.25">
      <c r="A4394" t="s">
        <v>18299</v>
      </c>
      <c r="B4394" t="s">
        <v>5769</v>
      </c>
      <c r="C4394" t="str">
        <f>HYPERLINK("https://nematode.unl.edu/filmag2.jpg")</f>
        <v>https://nematode.unl.edu/filmag2.jpg</v>
      </c>
      <c r="D4394" t="s">
        <v>43</v>
      </c>
      <c r="G4394" t="s">
        <v>34</v>
      </c>
      <c r="H4394" t="s">
        <v>18</v>
      </c>
      <c r="I4394" t="s">
        <v>41</v>
      </c>
      <c r="M4394" t="s">
        <v>5768</v>
      </c>
      <c r="N4394" t="s">
        <v>5768</v>
      </c>
      <c r="O4394" t="s">
        <v>23</v>
      </c>
      <c r="P4394" t="s">
        <v>24</v>
      </c>
      <c r="Q4394" t="s">
        <v>69</v>
      </c>
      <c r="R4394" t="s">
        <v>1030</v>
      </c>
    </row>
    <row r="4395" spans="1:18" x14ac:dyDescent="0.25">
      <c r="A4395" t="s">
        <v>18308</v>
      </c>
      <c r="B4395" t="s">
        <v>5770</v>
      </c>
      <c r="C4395" t="str">
        <f>HYPERLINK("https://nematode.unl.edu/filmar1.jpg")</f>
        <v>https://nematode.unl.edu/filmar1.jpg</v>
      </c>
      <c r="D4395" t="s">
        <v>16</v>
      </c>
      <c r="G4395" t="s">
        <v>44</v>
      </c>
      <c r="I4395" t="s">
        <v>45</v>
      </c>
      <c r="J4395" t="s">
        <v>20</v>
      </c>
      <c r="L4395" t="s">
        <v>141</v>
      </c>
      <c r="M4395" t="s">
        <v>5771</v>
      </c>
      <c r="N4395" t="s">
        <v>5771</v>
      </c>
      <c r="O4395" t="s">
        <v>23</v>
      </c>
      <c r="P4395" t="s">
        <v>24</v>
      </c>
      <c r="Q4395" t="s">
        <v>69</v>
      </c>
      <c r="R4395" t="s">
        <v>1030</v>
      </c>
    </row>
    <row r="4396" spans="1:18" x14ac:dyDescent="0.25">
      <c r="A4396" t="s">
        <v>18314</v>
      </c>
      <c r="B4396" t="s">
        <v>5772</v>
      </c>
      <c r="C4396" t="str">
        <f>HYPERLINK("https://nematode.unl.edu/filmar10.jpg")</f>
        <v>https://nematode.unl.edu/filmar10.jpg</v>
      </c>
      <c r="D4396" t="s">
        <v>43</v>
      </c>
      <c r="G4396" t="s">
        <v>51</v>
      </c>
      <c r="I4396" t="s">
        <v>19</v>
      </c>
      <c r="J4396" t="s">
        <v>20</v>
      </c>
      <c r="L4396" t="s">
        <v>35</v>
      </c>
      <c r="M4396" t="s">
        <v>5771</v>
      </c>
      <c r="N4396" t="s">
        <v>5771</v>
      </c>
      <c r="O4396" t="s">
        <v>23</v>
      </c>
      <c r="P4396" t="s">
        <v>24</v>
      </c>
      <c r="Q4396" t="s">
        <v>69</v>
      </c>
      <c r="R4396" t="s">
        <v>1030</v>
      </c>
    </row>
    <row r="4397" spans="1:18" x14ac:dyDescent="0.25">
      <c r="A4397" t="s">
        <v>18310</v>
      </c>
      <c r="B4397" t="s">
        <v>5773</v>
      </c>
      <c r="C4397" t="str">
        <f>HYPERLINK("https://nematode.unl.edu/filmar11.jpg")</f>
        <v>https://nematode.unl.edu/filmar11.jpg</v>
      </c>
      <c r="D4397" t="s">
        <v>43</v>
      </c>
      <c r="G4397" t="s">
        <v>28</v>
      </c>
      <c r="J4397" t="s">
        <v>20</v>
      </c>
      <c r="L4397" t="s">
        <v>64</v>
      </c>
      <c r="M4397" t="s">
        <v>5771</v>
      </c>
      <c r="N4397" t="s">
        <v>5771</v>
      </c>
      <c r="O4397" t="s">
        <v>23</v>
      </c>
      <c r="P4397" t="s">
        <v>24</v>
      </c>
      <c r="Q4397" t="s">
        <v>69</v>
      </c>
      <c r="R4397" t="s">
        <v>1030</v>
      </c>
    </row>
    <row r="4398" spans="1:18" x14ac:dyDescent="0.25">
      <c r="A4398" t="s">
        <v>18301</v>
      </c>
      <c r="B4398" t="s">
        <v>5774</v>
      </c>
      <c r="C4398" t="str">
        <f>HYPERLINK("https://nematode.unl.edu/filmar12.jpg")</f>
        <v>https://nematode.unl.edu/filmar12.jpg</v>
      </c>
      <c r="D4398" t="s">
        <v>43</v>
      </c>
      <c r="G4398" t="s">
        <v>34</v>
      </c>
      <c r="H4398" t="s">
        <v>18</v>
      </c>
      <c r="I4398" t="s">
        <v>41</v>
      </c>
      <c r="J4398" t="s">
        <v>20</v>
      </c>
      <c r="L4398" t="s">
        <v>35</v>
      </c>
      <c r="M4398" t="s">
        <v>5771</v>
      </c>
      <c r="N4398" t="s">
        <v>5771</v>
      </c>
      <c r="O4398" t="s">
        <v>23</v>
      </c>
      <c r="P4398" t="s">
        <v>24</v>
      </c>
      <c r="Q4398" t="s">
        <v>69</v>
      </c>
      <c r="R4398" t="s">
        <v>1030</v>
      </c>
    </row>
    <row r="4399" spans="1:18" x14ac:dyDescent="0.25">
      <c r="A4399" t="s">
        <v>18302</v>
      </c>
      <c r="B4399" t="s">
        <v>5775</v>
      </c>
      <c r="C4399" t="str">
        <f>HYPERLINK("https://nematode.unl.edu/filmar13.jpg")</f>
        <v>https://nematode.unl.edu/filmar13.jpg</v>
      </c>
      <c r="D4399" t="s">
        <v>16</v>
      </c>
      <c r="G4399" t="s">
        <v>34</v>
      </c>
      <c r="H4399" t="s">
        <v>18</v>
      </c>
      <c r="I4399" t="s">
        <v>19</v>
      </c>
      <c r="J4399" t="s">
        <v>20</v>
      </c>
      <c r="M4399" t="s">
        <v>5771</v>
      </c>
      <c r="N4399" t="s">
        <v>5771</v>
      </c>
      <c r="O4399" t="s">
        <v>23</v>
      </c>
      <c r="P4399" t="s">
        <v>24</v>
      </c>
      <c r="Q4399" t="s">
        <v>69</v>
      </c>
      <c r="R4399" t="s">
        <v>1030</v>
      </c>
    </row>
    <row r="4400" spans="1:18" x14ac:dyDescent="0.25">
      <c r="A4400" t="s">
        <v>18311</v>
      </c>
      <c r="B4400" t="s">
        <v>5776</v>
      </c>
      <c r="C4400" t="str">
        <f>HYPERLINK("https://nematode.unl.edu/filmar14.jpg")</f>
        <v>https://nematode.unl.edu/filmar14.jpg</v>
      </c>
      <c r="D4400" t="s">
        <v>16</v>
      </c>
      <c r="G4400" t="s">
        <v>28</v>
      </c>
      <c r="I4400" t="s">
        <v>19</v>
      </c>
      <c r="J4400" t="s">
        <v>20</v>
      </c>
      <c r="M4400" t="s">
        <v>5771</v>
      </c>
      <c r="N4400" t="s">
        <v>5771</v>
      </c>
      <c r="O4400" t="s">
        <v>23</v>
      </c>
      <c r="P4400" t="s">
        <v>24</v>
      </c>
      <c r="Q4400" t="s">
        <v>69</v>
      </c>
      <c r="R4400" t="s">
        <v>1030</v>
      </c>
    </row>
    <row r="4401" spans="1:18" x14ac:dyDescent="0.25">
      <c r="A4401" t="s">
        <v>18303</v>
      </c>
      <c r="B4401" t="s">
        <v>5777</v>
      </c>
      <c r="C4401" t="str">
        <f>HYPERLINK("https://nematode.unl.edu/filmar2.jpg")</f>
        <v>https://nematode.unl.edu/filmar2.jpg</v>
      </c>
      <c r="D4401" t="s">
        <v>16</v>
      </c>
      <c r="G4401" t="s">
        <v>34</v>
      </c>
      <c r="H4401" t="s">
        <v>18</v>
      </c>
      <c r="I4401" t="s">
        <v>19</v>
      </c>
      <c r="J4401" t="s">
        <v>20</v>
      </c>
      <c r="L4401" t="s">
        <v>141</v>
      </c>
      <c r="M4401" t="s">
        <v>5771</v>
      </c>
      <c r="N4401" t="s">
        <v>5771</v>
      </c>
      <c r="O4401" t="s">
        <v>23</v>
      </c>
      <c r="P4401" t="s">
        <v>24</v>
      </c>
      <c r="Q4401" t="s">
        <v>69</v>
      </c>
      <c r="R4401" t="s">
        <v>1030</v>
      </c>
    </row>
    <row r="4402" spans="1:18" x14ac:dyDescent="0.25">
      <c r="A4402" t="s">
        <v>18312</v>
      </c>
      <c r="B4402" t="s">
        <v>5778</v>
      </c>
      <c r="C4402" t="str">
        <f>HYPERLINK("https://nematode.unl.edu/filmar3.jpg")</f>
        <v>https://nematode.unl.edu/filmar3.jpg</v>
      </c>
      <c r="D4402" t="s">
        <v>16</v>
      </c>
      <c r="G4402" t="s">
        <v>28</v>
      </c>
      <c r="I4402" t="s">
        <v>19</v>
      </c>
      <c r="J4402" t="s">
        <v>20</v>
      </c>
      <c r="L4402" t="s">
        <v>141</v>
      </c>
      <c r="M4402" t="s">
        <v>5771</v>
      </c>
      <c r="N4402" t="s">
        <v>5771</v>
      </c>
      <c r="O4402" t="s">
        <v>23</v>
      </c>
      <c r="P4402" t="s">
        <v>24</v>
      </c>
      <c r="Q4402" t="s">
        <v>69</v>
      </c>
      <c r="R4402" t="s">
        <v>1030</v>
      </c>
    </row>
    <row r="4403" spans="1:18" x14ac:dyDescent="0.25">
      <c r="A4403" t="s">
        <v>18304</v>
      </c>
      <c r="B4403" t="s">
        <v>5779</v>
      </c>
      <c r="C4403" t="str">
        <f>HYPERLINK("https://nematode.unl.edu/filmar4.jpg")</f>
        <v>https://nematode.unl.edu/filmar4.jpg</v>
      </c>
      <c r="D4403" t="s">
        <v>16</v>
      </c>
      <c r="G4403" t="s">
        <v>34</v>
      </c>
      <c r="H4403" t="s">
        <v>18</v>
      </c>
      <c r="I4403" t="s">
        <v>41</v>
      </c>
      <c r="J4403" t="s">
        <v>20</v>
      </c>
      <c r="L4403" t="s">
        <v>220</v>
      </c>
      <c r="M4403" t="s">
        <v>5771</v>
      </c>
      <c r="N4403" t="s">
        <v>5771</v>
      </c>
      <c r="O4403" t="s">
        <v>23</v>
      </c>
      <c r="P4403" t="s">
        <v>24</v>
      </c>
      <c r="Q4403" t="s">
        <v>69</v>
      </c>
      <c r="R4403" t="s">
        <v>1030</v>
      </c>
    </row>
    <row r="4404" spans="1:18" x14ac:dyDescent="0.25">
      <c r="A4404" t="s">
        <v>18305</v>
      </c>
      <c r="B4404" t="s">
        <v>5780</v>
      </c>
      <c r="C4404" t="str">
        <f>HYPERLINK("https://nematode.unl.edu/filmar5.jpg")</f>
        <v>https://nematode.unl.edu/filmar5.jpg</v>
      </c>
      <c r="D4404" t="s">
        <v>43</v>
      </c>
      <c r="G4404" t="s">
        <v>34</v>
      </c>
      <c r="H4404" t="s">
        <v>18</v>
      </c>
      <c r="J4404" t="s">
        <v>20</v>
      </c>
      <c r="M4404" t="s">
        <v>5771</v>
      </c>
      <c r="N4404" t="s">
        <v>5771</v>
      </c>
      <c r="O4404" t="s">
        <v>23</v>
      </c>
      <c r="P4404" t="s">
        <v>24</v>
      </c>
      <c r="Q4404" t="s">
        <v>69</v>
      </c>
      <c r="R4404" t="s">
        <v>1030</v>
      </c>
    </row>
    <row r="4405" spans="1:18" x14ac:dyDescent="0.25">
      <c r="A4405" t="s">
        <v>18313</v>
      </c>
      <c r="B4405" t="s">
        <v>5781</v>
      </c>
      <c r="C4405" t="str">
        <f>HYPERLINK("https://nematode.unl.edu/filmar6.jpg")</f>
        <v>https://nematode.unl.edu/filmar6.jpg</v>
      </c>
      <c r="D4405" t="s">
        <v>43</v>
      </c>
      <c r="G4405" t="s">
        <v>28</v>
      </c>
      <c r="I4405" t="s">
        <v>516</v>
      </c>
      <c r="J4405" t="s">
        <v>20</v>
      </c>
      <c r="L4405" t="s">
        <v>220</v>
      </c>
      <c r="M4405" t="s">
        <v>5771</v>
      </c>
      <c r="N4405" t="s">
        <v>5771</v>
      </c>
      <c r="O4405" t="s">
        <v>23</v>
      </c>
      <c r="P4405" t="s">
        <v>24</v>
      </c>
      <c r="Q4405" t="s">
        <v>69</v>
      </c>
      <c r="R4405" t="s">
        <v>1030</v>
      </c>
    </row>
    <row r="4406" spans="1:18" x14ac:dyDescent="0.25">
      <c r="A4406" t="s">
        <v>18306</v>
      </c>
      <c r="B4406" t="s">
        <v>5782</v>
      </c>
      <c r="C4406" t="str">
        <f>HYPERLINK("https://nematode.unl.edu/filmar7.jpg")</f>
        <v>https://nematode.unl.edu/filmar7.jpg</v>
      </c>
      <c r="D4406" t="s">
        <v>43</v>
      </c>
      <c r="G4406" t="s">
        <v>34</v>
      </c>
      <c r="H4406" t="s">
        <v>18</v>
      </c>
      <c r="I4406" t="s">
        <v>41</v>
      </c>
      <c r="J4406" t="s">
        <v>20</v>
      </c>
      <c r="M4406" t="s">
        <v>5771</v>
      </c>
      <c r="N4406" t="s">
        <v>5771</v>
      </c>
      <c r="O4406" t="s">
        <v>23</v>
      </c>
      <c r="P4406" t="s">
        <v>24</v>
      </c>
      <c r="Q4406" t="s">
        <v>69</v>
      </c>
      <c r="R4406" t="s">
        <v>1030</v>
      </c>
    </row>
    <row r="4407" spans="1:18" x14ac:dyDescent="0.25">
      <c r="A4407" t="s">
        <v>18309</v>
      </c>
      <c r="B4407" t="s">
        <v>5783</v>
      </c>
      <c r="C4407" t="str">
        <f>HYPERLINK("https://nematode.unl.edu/filmar8.jpg")</f>
        <v>https://nematode.unl.edu/filmar8.jpg</v>
      </c>
      <c r="D4407" t="s">
        <v>43</v>
      </c>
      <c r="G4407" t="s">
        <v>44</v>
      </c>
      <c r="I4407" t="s">
        <v>91</v>
      </c>
      <c r="J4407" t="s">
        <v>20</v>
      </c>
      <c r="L4407" t="s">
        <v>78</v>
      </c>
      <c r="M4407" t="s">
        <v>5771</v>
      </c>
      <c r="N4407" t="s">
        <v>5771</v>
      </c>
      <c r="O4407" t="s">
        <v>23</v>
      </c>
      <c r="P4407" t="s">
        <v>24</v>
      </c>
      <c r="Q4407" t="s">
        <v>69</v>
      </c>
      <c r="R4407" t="s">
        <v>1030</v>
      </c>
    </row>
    <row r="4408" spans="1:18" x14ac:dyDescent="0.25">
      <c r="A4408" t="s">
        <v>18307</v>
      </c>
      <c r="B4408" t="s">
        <v>5784</v>
      </c>
      <c r="C4408" t="str">
        <f>HYPERLINK("https://nematode.unl.edu/filmar9.jpg")</f>
        <v>https://nematode.unl.edu/filmar9.jpg</v>
      </c>
      <c r="D4408" t="s">
        <v>43</v>
      </c>
      <c r="G4408" t="s">
        <v>34</v>
      </c>
      <c r="H4408" t="s">
        <v>18</v>
      </c>
      <c r="J4408" t="s">
        <v>20</v>
      </c>
      <c r="L4408" t="s">
        <v>35</v>
      </c>
      <c r="M4408" t="s">
        <v>5771</v>
      </c>
      <c r="N4408" t="s">
        <v>5771</v>
      </c>
      <c r="O4408" t="s">
        <v>23</v>
      </c>
      <c r="P4408" t="s">
        <v>24</v>
      </c>
      <c r="Q4408" t="s">
        <v>69</v>
      </c>
      <c r="R4408" t="s">
        <v>1030</v>
      </c>
    </row>
    <row r="4409" spans="1:18" x14ac:dyDescent="0.25">
      <c r="A4409" t="s">
        <v>18317</v>
      </c>
      <c r="B4409" t="s">
        <v>5788</v>
      </c>
      <c r="C4409" t="str">
        <f>HYPERLINK("https://nematode.unl.edu/filne1.jpg")</f>
        <v>https://nematode.unl.edu/filne1.jpg</v>
      </c>
      <c r="D4409" t="s">
        <v>43</v>
      </c>
      <c r="G4409" t="s">
        <v>34</v>
      </c>
      <c r="H4409" t="s">
        <v>18</v>
      </c>
      <c r="I4409" t="s">
        <v>19</v>
      </c>
      <c r="J4409" t="s">
        <v>20</v>
      </c>
      <c r="L4409" t="s">
        <v>29</v>
      </c>
      <c r="M4409" t="s">
        <v>5789</v>
      </c>
      <c r="N4409" t="s">
        <v>5789</v>
      </c>
      <c r="O4409" t="s">
        <v>23</v>
      </c>
      <c r="P4409" t="s">
        <v>24</v>
      </c>
      <c r="Q4409" t="s">
        <v>69</v>
      </c>
      <c r="R4409" t="s">
        <v>1030</v>
      </c>
    </row>
    <row r="4410" spans="1:18" x14ac:dyDescent="0.25">
      <c r="A4410" t="s">
        <v>18320</v>
      </c>
      <c r="B4410" t="s">
        <v>5790</v>
      </c>
      <c r="C4410" t="str">
        <f>HYPERLINK("https://nematode.unl.edu/filne2.jpg")</f>
        <v>https://nematode.unl.edu/filne2.jpg</v>
      </c>
      <c r="D4410" t="s">
        <v>43</v>
      </c>
      <c r="G4410" t="s">
        <v>28</v>
      </c>
      <c r="I4410" t="s">
        <v>19</v>
      </c>
      <c r="J4410" t="s">
        <v>20</v>
      </c>
      <c r="L4410" t="s">
        <v>29</v>
      </c>
      <c r="M4410" t="s">
        <v>5789</v>
      </c>
      <c r="N4410" t="s">
        <v>5789</v>
      </c>
      <c r="O4410" t="s">
        <v>23</v>
      </c>
      <c r="P4410" t="s">
        <v>24</v>
      </c>
      <c r="Q4410" t="s">
        <v>69</v>
      </c>
      <c r="R4410" t="s">
        <v>1030</v>
      </c>
    </row>
    <row r="4411" spans="1:18" x14ac:dyDescent="0.25">
      <c r="A4411" t="s">
        <v>18318</v>
      </c>
      <c r="B4411" t="s">
        <v>5791</v>
      </c>
      <c r="C4411" t="str">
        <f>HYPERLINK("https://nematode.unl.edu/filne3.jpg")</f>
        <v>https://nematode.unl.edu/filne3.jpg</v>
      </c>
      <c r="D4411" t="s">
        <v>43</v>
      </c>
      <c r="G4411" t="s">
        <v>34</v>
      </c>
      <c r="H4411" t="s">
        <v>18</v>
      </c>
      <c r="I4411" t="s">
        <v>41</v>
      </c>
      <c r="M4411" t="s">
        <v>5789</v>
      </c>
      <c r="N4411" t="s">
        <v>5789</v>
      </c>
      <c r="O4411" t="s">
        <v>23</v>
      </c>
      <c r="P4411" t="s">
        <v>24</v>
      </c>
      <c r="Q4411" t="s">
        <v>69</v>
      </c>
      <c r="R4411" t="s">
        <v>1030</v>
      </c>
    </row>
    <row r="4412" spans="1:18" x14ac:dyDescent="0.25">
      <c r="A4412" t="s">
        <v>18319</v>
      </c>
      <c r="B4412" t="s">
        <v>5792</v>
      </c>
      <c r="C4412" t="str">
        <f>HYPERLINK("https://nematode.unl.edu/filne4.jpg")</f>
        <v>https://nematode.unl.edu/filne4.jpg</v>
      </c>
      <c r="D4412" t="s">
        <v>43</v>
      </c>
      <c r="G4412" t="s">
        <v>34</v>
      </c>
      <c r="H4412" t="s">
        <v>18</v>
      </c>
      <c r="I4412" t="s">
        <v>41</v>
      </c>
      <c r="M4412" t="s">
        <v>5789</v>
      </c>
      <c r="N4412" t="s">
        <v>5789</v>
      </c>
      <c r="O4412" t="s">
        <v>23</v>
      </c>
      <c r="P4412" t="s">
        <v>24</v>
      </c>
      <c r="Q4412" t="s">
        <v>69</v>
      </c>
      <c r="R4412" t="s">
        <v>1030</v>
      </c>
    </row>
    <row r="4413" spans="1:18" x14ac:dyDescent="0.25">
      <c r="A4413" t="s">
        <v>18321</v>
      </c>
      <c r="B4413" t="s">
        <v>5793</v>
      </c>
      <c r="C4413" t="str">
        <f>HYPERLINK("https://nematode.unl.edu/filne5.jpg")</f>
        <v>https://nematode.unl.edu/filne5.jpg</v>
      </c>
      <c r="D4413" t="s">
        <v>43</v>
      </c>
      <c r="G4413" t="s">
        <v>28</v>
      </c>
      <c r="I4413" t="s">
        <v>41</v>
      </c>
      <c r="J4413" t="s">
        <v>20</v>
      </c>
      <c r="M4413" t="s">
        <v>5789</v>
      </c>
      <c r="N4413" t="s">
        <v>5789</v>
      </c>
      <c r="O4413" t="s">
        <v>23</v>
      </c>
      <c r="P4413" t="s">
        <v>24</v>
      </c>
      <c r="Q4413" t="s">
        <v>69</v>
      </c>
      <c r="R4413" t="s">
        <v>1030</v>
      </c>
    </row>
    <row r="4414" spans="1:18" x14ac:dyDescent="0.25">
      <c r="A4414" t="s">
        <v>18322</v>
      </c>
      <c r="B4414" t="s">
        <v>5794</v>
      </c>
      <c r="C4414" t="str">
        <f>HYPERLINK("https://nematode.unl.edu/filne6.jpg")</f>
        <v>https://nematode.unl.edu/filne6.jpg</v>
      </c>
      <c r="D4414" t="s">
        <v>43</v>
      </c>
      <c r="G4414" t="s">
        <v>51</v>
      </c>
      <c r="I4414" t="s">
        <v>41</v>
      </c>
      <c r="J4414" t="s">
        <v>20</v>
      </c>
      <c r="L4414" t="s">
        <v>85</v>
      </c>
      <c r="M4414" t="s">
        <v>5789</v>
      </c>
      <c r="N4414" t="s">
        <v>5789</v>
      </c>
      <c r="O4414" t="s">
        <v>23</v>
      </c>
      <c r="P4414" t="s">
        <v>24</v>
      </c>
      <c r="Q4414" t="s">
        <v>69</v>
      </c>
      <c r="R4414" t="s">
        <v>1030</v>
      </c>
    </row>
    <row r="4415" spans="1:18" x14ac:dyDescent="0.25">
      <c r="A4415" t="s">
        <v>18371</v>
      </c>
      <c r="B4415" t="s">
        <v>5828</v>
      </c>
      <c r="C4415" t="str">
        <f>HYPERLINK("https://nematode.unl.edu/filsh1.jpg")</f>
        <v>https://nematode.unl.edu/filsh1.jpg</v>
      </c>
      <c r="D4415" t="s">
        <v>43</v>
      </c>
      <c r="G4415" t="s">
        <v>44</v>
      </c>
      <c r="I4415" t="s">
        <v>45</v>
      </c>
      <c r="J4415" t="s">
        <v>20</v>
      </c>
      <c r="L4415" t="s">
        <v>64</v>
      </c>
      <c r="M4415" t="s">
        <v>5829</v>
      </c>
      <c r="N4415" t="s">
        <v>5829</v>
      </c>
      <c r="O4415" t="s">
        <v>23</v>
      </c>
      <c r="P4415" t="s">
        <v>24</v>
      </c>
      <c r="Q4415" t="s">
        <v>69</v>
      </c>
      <c r="R4415" t="s">
        <v>1030</v>
      </c>
    </row>
    <row r="4416" spans="1:18" x14ac:dyDescent="0.25">
      <c r="A4416" t="s">
        <v>18373</v>
      </c>
      <c r="B4416" t="s">
        <v>5830</v>
      </c>
      <c r="C4416" t="str">
        <f>HYPERLINK("https://nematode.unl.edu/filsh10.jpg")</f>
        <v>https://nematode.unl.edu/filsh10.jpg</v>
      </c>
      <c r="D4416" t="s">
        <v>77</v>
      </c>
      <c r="G4416" t="s">
        <v>112</v>
      </c>
      <c r="I4416" t="s">
        <v>41</v>
      </c>
      <c r="J4416" t="s">
        <v>20</v>
      </c>
      <c r="L4416" t="s">
        <v>29</v>
      </c>
      <c r="M4416" t="s">
        <v>5829</v>
      </c>
      <c r="N4416" t="s">
        <v>5829</v>
      </c>
      <c r="O4416" t="s">
        <v>23</v>
      </c>
      <c r="P4416" t="s">
        <v>24</v>
      </c>
      <c r="Q4416" t="s">
        <v>69</v>
      </c>
      <c r="R4416" t="s">
        <v>1030</v>
      </c>
    </row>
    <row r="4417" spans="1:18" x14ac:dyDescent="0.25">
      <c r="A4417" t="s">
        <v>18366</v>
      </c>
      <c r="B4417" t="s">
        <v>5831</v>
      </c>
      <c r="C4417" t="str">
        <f>HYPERLINK("https://nematode.unl.edu/filsh2.jpg")</f>
        <v>https://nematode.unl.edu/filsh2.jpg</v>
      </c>
      <c r="D4417" t="s">
        <v>43</v>
      </c>
      <c r="G4417" t="s">
        <v>34</v>
      </c>
      <c r="H4417" t="s">
        <v>18</v>
      </c>
      <c r="I4417" t="s">
        <v>41</v>
      </c>
      <c r="J4417" t="s">
        <v>20</v>
      </c>
      <c r="L4417" t="s">
        <v>206</v>
      </c>
      <c r="M4417" t="s">
        <v>5829</v>
      </c>
      <c r="N4417" t="s">
        <v>5829</v>
      </c>
      <c r="O4417" t="s">
        <v>23</v>
      </c>
      <c r="P4417" t="s">
        <v>24</v>
      </c>
      <c r="Q4417" t="s">
        <v>69</v>
      </c>
      <c r="R4417" t="s">
        <v>1030</v>
      </c>
    </row>
    <row r="4418" spans="1:18" x14ac:dyDescent="0.25">
      <c r="A4418" t="s">
        <v>18372</v>
      </c>
      <c r="B4418" t="s">
        <v>5832</v>
      </c>
      <c r="C4418" t="str">
        <f>HYPERLINK("https://nematode.unl.edu/filsh3.jpg")</f>
        <v>https://nematode.unl.edu/filsh3.jpg</v>
      </c>
      <c r="D4418" t="s">
        <v>43</v>
      </c>
      <c r="G4418" t="s">
        <v>44</v>
      </c>
      <c r="I4418" t="s">
        <v>45</v>
      </c>
      <c r="J4418" t="s">
        <v>20</v>
      </c>
      <c r="L4418" t="s">
        <v>752</v>
      </c>
      <c r="M4418" t="s">
        <v>5829</v>
      </c>
      <c r="N4418" t="s">
        <v>5829</v>
      </c>
      <c r="O4418" t="s">
        <v>23</v>
      </c>
      <c r="P4418" t="s">
        <v>24</v>
      </c>
      <c r="Q4418" t="s">
        <v>69</v>
      </c>
      <c r="R4418" t="s">
        <v>1030</v>
      </c>
    </row>
    <row r="4419" spans="1:18" x14ac:dyDescent="0.25">
      <c r="A4419" t="s">
        <v>18367</v>
      </c>
      <c r="B4419" t="s">
        <v>5833</v>
      </c>
      <c r="C4419" t="str">
        <f>HYPERLINK("https://nematode.unl.edu/filsh4.jpg")</f>
        <v>https://nematode.unl.edu/filsh4.jpg</v>
      </c>
      <c r="D4419" t="s">
        <v>43</v>
      </c>
      <c r="G4419" t="s">
        <v>34</v>
      </c>
      <c r="H4419" t="s">
        <v>18</v>
      </c>
      <c r="I4419" t="s">
        <v>19</v>
      </c>
      <c r="J4419" t="s">
        <v>20</v>
      </c>
      <c r="M4419" t="s">
        <v>5829</v>
      </c>
      <c r="N4419" t="s">
        <v>5829</v>
      </c>
      <c r="O4419" t="s">
        <v>23</v>
      </c>
      <c r="P4419" t="s">
        <v>24</v>
      </c>
      <c r="Q4419" t="s">
        <v>69</v>
      </c>
      <c r="R4419" t="s">
        <v>1030</v>
      </c>
    </row>
    <row r="4420" spans="1:18" x14ac:dyDescent="0.25">
      <c r="A4420" t="s">
        <v>18368</v>
      </c>
      <c r="B4420" t="s">
        <v>5834</v>
      </c>
      <c r="C4420" t="str">
        <f>HYPERLINK("https://nematode.unl.edu/filsh5.jpg")</f>
        <v>https://nematode.unl.edu/filsh5.jpg</v>
      </c>
      <c r="D4420" t="s">
        <v>43</v>
      </c>
      <c r="G4420" t="s">
        <v>34</v>
      </c>
      <c r="H4420" t="s">
        <v>18</v>
      </c>
      <c r="I4420" t="s">
        <v>41</v>
      </c>
      <c r="J4420" t="s">
        <v>20</v>
      </c>
      <c r="M4420" t="s">
        <v>5829</v>
      </c>
      <c r="N4420" t="s">
        <v>5829</v>
      </c>
      <c r="O4420" t="s">
        <v>23</v>
      </c>
      <c r="P4420" t="s">
        <v>24</v>
      </c>
      <c r="Q4420" t="s">
        <v>69</v>
      </c>
      <c r="R4420" t="s">
        <v>1030</v>
      </c>
    </row>
    <row r="4421" spans="1:18" x14ac:dyDescent="0.25">
      <c r="A4421" t="s">
        <v>18375</v>
      </c>
      <c r="B4421" t="s">
        <v>5835</v>
      </c>
      <c r="C4421" t="str">
        <f>HYPERLINK("https://nematode.unl.edu/filsh6.jpg")</f>
        <v>https://nematode.unl.edu/filsh6.jpg</v>
      </c>
      <c r="D4421" t="s">
        <v>43</v>
      </c>
      <c r="G4421" t="s">
        <v>28</v>
      </c>
      <c r="I4421" t="s">
        <v>41</v>
      </c>
      <c r="J4421" t="s">
        <v>20</v>
      </c>
      <c r="L4421" t="s">
        <v>752</v>
      </c>
      <c r="M4421" t="s">
        <v>5829</v>
      </c>
      <c r="N4421" t="s">
        <v>5829</v>
      </c>
      <c r="O4421" t="s">
        <v>23</v>
      </c>
      <c r="P4421" t="s">
        <v>24</v>
      </c>
      <c r="Q4421" t="s">
        <v>69</v>
      </c>
      <c r="R4421" t="s">
        <v>1030</v>
      </c>
    </row>
    <row r="4422" spans="1:18" x14ac:dyDescent="0.25">
      <c r="A4422" t="s">
        <v>18369</v>
      </c>
      <c r="B4422" t="s">
        <v>5836</v>
      </c>
      <c r="C4422" t="str">
        <f>HYPERLINK("https://nematode.unl.edu/filsh7.jpg")</f>
        <v>https://nematode.unl.edu/filsh7.jpg</v>
      </c>
      <c r="D4422" t="s">
        <v>77</v>
      </c>
      <c r="G4422" t="s">
        <v>34</v>
      </c>
      <c r="H4422" t="s">
        <v>18</v>
      </c>
      <c r="I4422" t="s">
        <v>19</v>
      </c>
      <c r="J4422" t="s">
        <v>20</v>
      </c>
      <c r="M4422" t="s">
        <v>5829</v>
      </c>
      <c r="N4422" t="s">
        <v>5829</v>
      </c>
      <c r="O4422" t="s">
        <v>23</v>
      </c>
      <c r="P4422" t="s">
        <v>24</v>
      </c>
      <c r="Q4422" t="s">
        <v>69</v>
      </c>
      <c r="R4422" t="s">
        <v>1030</v>
      </c>
    </row>
    <row r="4423" spans="1:18" x14ac:dyDescent="0.25">
      <c r="A4423" t="s">
        <v>18374</v>
      </c>
      <c r="B4423" t="s">
        <v>5837</v>
      </c>
      <c r="C4423" t="str">
        <f>HYPERLINK("https://nematode.unl.edu/filsh8.jpg")</f>
        <v>https://nematode.unl.edu/filsh8.jpg</v>
      </c>
      <c r="D4423" t="s">
        <v>77</v>
      </c>
      <c r="G4423" t="s">
        <v>112</v>
      </c>
      <c r="J4423" t="s">
        <v>20</v>
      </c>
      <c r="L4423" t="s">
        <v>29</v>
      </c>
      <c r="M4423" t="s">
        <v>5829</v>
      </c>
      <c r="N4423" t="s">
        <v>5829</v>
      </c>
      <c r="O4423" t="s">
        <v>23</v>
      </c>
      <c r="P4423" t="s">
        <v>24</v>
      </c>
      <c r="Q4423" t="s">
        <v>69</v>
      </c>
      <c r="R4423" t="s">
        <v>1030</v>
      </c>
    </row>
    <row r="4424" spans="1:18" x14ac:dyDescent="0.25">
      <c r="A4424" t="s">
        <v>18370</v>
      </c>
      <c r="B4424" t="s">
        <v>5838</v>
      </c>
      <c r="C4424" t="str">
        <f>HYPERLINK("https://nematode.unl.edu/filsh9.jpg")</f>
        <v>https://nematode.unl.edu/filsh9.jpg</v>
      </c>
      <c r="D4424" t="s">
        <v>77</v>
      </c>
      <c r="G4424" t="s">
        <v>34</v>
      </c>
      <c r="H4424" t="s">
        <v>18</v>
      </c>
      <c r="I4424" t="s">
        <v>41</v>
      </c>
      <c r="J4424" t="s">
        <v>20</v>
      </c>
      <c r="L4424" t="s">
        <v>29</v>
      </c>
      <c r="M4424" t="s">
        <v>5829</v>
      </c>
      <c r="N4424" t="s">
        <v>5829</v>
      </c>
      <c r="O4424" t="s">
        <v>23</v>
      </c>
      <c r="P4424" t="s">
        <v>24</v>
      </c>
      <c r="Q4424" t="s">
        <v>69</v>
      </c>
      <c r="R4424" t="s">
        <v>1030</v>
      </c>
    </row>
    <row r="4425" spans="1:18" x14ac:dyDescent="0.25">
      <c r="A4425" t="s">
        <v>18378</v>
      </c>
      <c r="B4425" t="s">
        <v>5839</v>
      </c>
      <c r="C4425" t="str">
        <f>HYPERLINK("https://nematode.unl.edu/filter1.jpg")</f>
        <v>https://nematode.unl.edu/filter1.jpg</v>
      </c>
      <c r="D4425" t="s">
        <v>43</v>
      </c>
      <c r="G4425" t="s">
        <v>44</v>
      </c>
      <c r="I4425" t="s">
        <v>45</v>
      </c>
      <c r="J4425" t="s">
        <v>20</v>
      </c>
      <c r="L4425" t="s">
        <v>64</v>
      </c>
      <c r="M4425" t="s">
        <v>5840</v>
      </c>
      <c r="N4425" t="s">
        <v>5840</v>
      </c>
      <c r="O4425" t="s">
        <v>23</v>
      </c>
      <c r="P4425" t="s">
        <v>24</v>
      </c>
      <c r="Q4425" t="s">
        <v>69</v>
      </c>
      <c r="R4425" t="s">
        <v>1030</v>
      </c>
    </row>
    <row r="4426" spans="1:18" x14ac:dyDescent="0.25">
      <c r="A4426" t="s">
        <v>18376</v>
      </c>
      <c r="B4426" t="s">
        <v>5841</v>
      </c>
      <c r="C4426" t="str">
        <f>HYPERLINK("https://nematode.unl.edu/filter2.jpg")</f>
        <v>https://nematode.unl.edu/filter2.jpg</v>
      </c>
      <c r="D4426" t="s">
        <v>43</v>
      </c>
      <c r="G4426" t="s">
        <v>34</v>
      </c>
      <c r="H4426" t="s">
        <v>18</v>
      </c>
      <c r="J4426" t="s">
        <v>20</v>
      </c>
      <c r="L4426" t="s">
        <v>64</v>
      </c>
      <c r="M4426" t="s">
        <v>5840</v>
      </c>
      <c r="N4426" t="s">
        <v>5840</v>
      </c>
      <c r="O4426" t="s">
        <v>23</v>
      </c>
      <c r="P4426" t="s">
        <v>24</v>
      </c>
      <c r="Q4426" t="s">
        <v>69</v>
      </c>
      <c r="R4426" t="s">
        <v>1030</v>
      </c>
    </row>
    <row r="4427" spans="1:18" x14ac:dyDescent="0.25">
      <c r="A4427" t="s">
        <v>18379</v>
      </c>
      <c r="B4427" t="s">
        <v>5842</v>
      </c>
      <c r="C4427" t="str">
        <f>HYPERLINK("https://nematode.unl.edu/filter3.jpg")</f>
        <v>https://nematode.unl.edu/filter3.jpg</v>
      </c>
      <c r="D4427" t="s">
        <v>43</v>
      </c>
      <c r="G4427" t="s">
        <v>28</v>
      </c>
      <c r="I4427" t="s">
        <v>19</v>
      </c>
      <c r="J4427" t="s">
        <v>20</v>
      </c>
      <c r="L4427" t="s">
        <v>64</v>
      </c>
      <c r="M4427" t="s">
        <v>5840</v>
      </c>
      <c r="N4427" t="s">
        <v>5840</v>
      </c>
      <c r="O4427" t="s">
        <v>23</v>
      </c>
      <c r="P4427" t="s">
        <v>24</v>
      </c>
      <c r="Q4427" t="s">
        <v>69</v>
      </c>
      <c r="R4427" t="s">
        <v>1030</v>
      </c>
    </row>
    <row r="4428" spans="1:18" x14ac:dyDescent="0.25">
      <c r="A4428" t="s">
        <v>18377</v>
      </c>
      <c r="B4428" t="s">
        <v>5843</v>
      </c>
      <c r="C4428" t="str">
        <f>HYPERLINK("https://nematode.unl.edu/filter4.jpg")</f>
        <v>https://nematode.unl.edu/filter4.jpg</v>
      </c>
      <c r="D4428" t="s">
        <v>43</v>
      </c>
      <c r="G4428" t="s">
        <v>34</v>
      </c>
      <c r="H4428" t="s">
        <v>18</v>
      </c>
      <c r="I4428" t="s">
        <v>41</v>
      </c>
      <c r="J4428" t="s">
        <v>20</v>
      </c>
      <c r="L4428" t="s">
        <v>64</v>
      </c>
      <c r="M4428" t="s">
        <v>5840</v>
      </c>
      <c r="N4428" t="s">
        <v>5840</v>
      </c>
      <c r="O4428" t="s">
        <v>23</v>
      </c>
      <c r="P4428" t="s">
        <v>24</v>
      </c>
      <c r="Q4428" t="s">
        <v>69</v>
      </c>
      <c r="R4428" t="s">
        <v>1030</v>
      </c>
    </row>
    <row r="4429" spans="1:18" x14ac:dyDescent="0.25">
      <c r="A4429" t="s">
        <v>18380</v>
      </c>
      <c r="B4429" t="s">
        <v>5844</v>
      </c>
      <c r="C4429" t="str">
        <f>HYPERLINK("https://nematode.unl.edu/filter5.jpg")</f>
        <v>https://nematode.unl.edu/filter5.jpg</v>
      </c>
      <c r="D4429" t="s">
        <v>43</v>
      </c>
      <c r="G4429" t="s">
        <v>28</v>
      </c>
      <c r="I4429" t="s">
        <v>41</v>
      </c>
      <c r="J4429" t="s">
        <v>20</v>
      </c>
      <c r="L4429" t="s">
        <v>64</v>
      </c>
      <c r="M4429" t="s">
        <v>5840</v>
      </c>
      <c r="N4429" t="s">
        <v>5840</v>
      </c>
      <c r="O4429" t="s">
        <v>23</v>
      </c>
      <c r="P4429" t="s">
        <v>24</v>
      </c>
      <c r="Q4429" t="s">
        <v>69</v>
      </c>
      <c r="R4429" t="s">
        <v>1030</v>
      </c>
    </row>
    <row r="4430" spans="1:18" x14ac:dyDescent="0.25">
      <c r="A4430" t="s">
        <v>18406</v>
      </c>
      <c r="B4430" t="s">
        <v>5851</v>
      </c>
      <c r="C4430" t="str">
        <f>HYPERLINK("https://nematode.unl.edu/filth1.jpg")</f>
        <v>https://nematode.unl.edu/filth1.jpg</v>
      </c>
      <c r="D4430" t="s">
        <v>77</v>
      </c>
      <c r="G4430" t="s">
        <v>44</v>
      </c>
      <c r="I4430" t="s">
        <v>91</v>
      </c>
      <c r="J4430" t="s">
        <v>20</v>
      </c>
      <c r="L4430" t="s">
        <v>64</v>
      </c>
      <c r="M4430" t="s">
        <v>1064</v>
      </c>
      <c r="N4430" t="s">
        <v>1064</v>
      </c>
      <c r="O4430" t="s">
        <v>23</v>
      </c>
      <c r="P4430" t="s">
        <v>24</v>
      </c>
      <c r="Q4430" t="s">
        <v>69</v>
      </c>
      <c r="R4430" t="s">
        <v>1030</v>
      </c>
    </row>
    <row r="4431" spans="1:18" x14ac:dyDescent="0.25">
      <c r="A4431" t="s">
        <v>18390</v>
      </c>
      <c r="B4431" t="s">
        <v>5852</v>
      </c>
      <c r="C4431" t="str">
        <f>HYPERLINK("https://nematode.unl.edu/filth10.jpg")</f>
        <v>https://nematode.unl.edu/filth10.jpg</v>
      </c>
      <c r="D4431" t="s">
        <v>77</v>
      </c>
      <c r="G4431" t="s">
        <v>34</v>
      </c>
      <c r="H4431" t="s">
        <v>18</v>
      </c>
      <c r="I4431" t="s">
        <v>41</v>
      </c>
      <c r="J4431" t="s">
        <v>20</v>
      </c>
      <c r="M4431" t="s">
        <v>1064</v>
      </c>
      <c r="N4431" t="s">
        <v>1064</v>
      </c>
      <c r="O4431" t="s">
        <v>23</v>
      </c>
      <c r="P4431" t="s">
        <v>24</v>
      </c>
      <c r="Q4431" t="s">
        <v>69</v>
      </c>
      <c r="R4431" t="s">
        <v>1030</v>
      </c>
    </row>
    <row r="4432" spans="1:18" x14ac:dyDescent="0.25">
      <c r="A4432" t="s">
        <v>18417</v>
      </c>
      <c r="B4432" t="s">
        <v>5853</v>
      </c>
      <c r="C4432" t="str">
        <f>HYPERLINK("https://nematode.unl.edu/filth11.jpg")</f>
        <v>https://nematode.unl.edu/filth11.jpg</v>
      </c>
      <c r="D4432" t="s">
        <v>77</v>
      </c>
      <c r="G4432" t="s">
        <v>112</v>
      </c>
      <c r="I4432" t="s">
        <v>41</v>
      </c>
      <c r="M4432" t="s">
        <v>1064</v>
      </c>
      <c r="N4432" t="s">
        <v>1064</v>
      </c>
      <c r="O4432" t="s">
        <v>23</v>
      </c>
      <c r="P4432" t="s">
        <v>24</v>
      </c>
      <c r="Q4432" t="s">
        <v>69</v>
      </c>
      <c r="R4432" t="s">
        <v>1030</v>
      </c>
    </row>
    <row r="4433" spans="1:18" x14ac:dyDescent="0.25">
      <c r="A4433" t="s">
        <v>18405</v>
      </c>
      <c r="B4433" t="s">
        <v>5854</v>
      </c>
      <c r="C4433" t="str">
        <f>HYPERLINK("https://nematode.unl.edu/filth12.jpg")</f>
        <v>https://nematode.unl.edu/filth12.jpg</v>
      </c>
      <c r="D4433" t="s">
        <v>77</v>
      </c>
      <c r="G4433" t="s">
        <v>87</v>
      </c>
      <c r="I4433" t="s">
        <v>41</v>
      </c>
      <c r="L4433" t="s">
        <v>29</v>
      </c>
      <c r="M4433" t="s">
        <v>1064</v>
      </c>
      <c r="N4433" t="s">
        <v>1064</v>
      </c>
      <c r="O4433" t="s">
        <v>23</v>
      </c>
      <c r="P4433" t="s">
        <v>24</v>
      </c>
      <c r="Q4433" t="s">
        <v>69</v>
      </c>
      <c r="R4433" t="s">
        <v>1030</v>
      </c>
    </row>
    <row r="4434" spans="1:18" x14ac:dyDescent="0.25">
      <c r="A4434" t="s">
        <v>18391</v>
      </c>
      <c r="B4434" t="s">
        <v>5855</v>
      </c>
      <c r="C4434" t="str">
        <f>HYPERLINK("https://nematode.unl.edu/filth13.jpg")</f>
        <v>https://nematode.unl.edu/filth13.jpg</v>
      </c>
      <c r="D4434" t="s">
        <v>16</v>
      </c>
      <c r="G4434" t="s">
        <v>34</v>
      </c>
      <c r="H4434" t="s">
        <v>18</v>
      </c>
      <c r="I4434" t="s">
        <v>19</v>
      </c>
      <c r="J4434" t="s">
        <v>20</v>
      </c>
      <c r="L4434" t="s">
        <v>456</v>
      </c>
      <c r="M4434" t="s">
        <v>1064</v>
      </c>
      <c r="N4434" t="s">
        <v>1064</v>
      </c>
      <c r="O4434" t="s">
        <v>23</v>
      </c>
      <c r="P4434" t="s">
        <v>24</v>
      </c>
      <c r="Q4434" t="s">
        <v>69</v>
      </c>
      <c r="R4434" t="s">
        <v>1030</v>
      </c>
    </row>
    <row r="4435" spans="1:18" x14ac:dyDescent="0.25">
      <c r="A4435" t="s">
        <v>18392</v>
      </c>
      <c r="B4435" t="s">
        <v>5856</v>
      </c>
      <c r="C4435" t="str">
        <f>HYPERLINK("https://nematode.unl.edu/filth14.jpg")</f>
        <v>https://nematode.unl.edu/filth14.jpg</v>
      </c>
      <c r="D4435" t="s">
        <v>43</v>
      </c>
      <c r="G4435" t="s">
        <v>34</v>
      </c>
      <c r="H4435" t="s">
        <v>18</v>
      </c>
      <c r="I4435" t="s">
        <v>19</v>
      </c>
      <c r="J4435" t="s">
        <v>20</v>
      </c>
      <c r="L4435" t="s">
        <v>64</v>
      </c>
      <c r="M4435" t="s">
        <v>1064</v>
      </c>
      <c r="N4435" t="s">
        <v>1064</v>
      </c>
      <c r="O4435" t="s">
        <v>23</v>
      </c>
      <c r="P4435" t="s">
        <v>24</v>
      </c>
      <c r="Q4435" t="s">
        <v>69</v>
      </c>
      <c r="R4435" t="s">
        <v>1030</v>
      </c>
    </row>
    <row r="4436" spans="1:18" x14ac:dyDescent="0.25">
      <c r="A4436" t="s">
        <v>18421</v>
      </c>
      <c r="B4436" t="s">
        <v>5857</v>
      </c>
      <c r="C4436" t="str">
        <f>HYPERLINK("https://nematode.unl.edu/filth15.jpg")</f>
        <v>https://nematode.unl.edu/filth15.jpg</v>
      </c>
      <c r="D4436" t="s">
        <v>43</v>
      </c>
      <c r="G4436" t="s">
        <v>28</v>
      </c>
      <c r="M4436" t="s">
        <v>1064</v>
      </c>
      <c r="N4436" t="s">
        <v>1064</v>
      </c>
      <c r="O4436" t="s">
        <v>23</v>
      </c>
      <c r="P4436" t="s">
        <v>24</v>
      </c>
      <c r="Q4436" t="s">
        <v>69</v>
      </c>
      <c r="R4436" t="s">
        <v>1030</v>
      </c>
    </row>
    <row r="4437" spans="1:18" x14ac:dyDescent="0.25">
      <c r="A4437" t="s">
        <v>18393</v>
      </c>
      <c r="B4437" t="s">
        <v>5858</v>
      </c>
      <c r="C4437" t="str">
        <f>HYPERLINK("https://nematode.unl.edu/filth16.jpg")</f>
        <v>https://nematode.unl.edu/filth16.jpg</v>
      </c>
      <c r="D4437" t="s">
        <v>43</v>
      </c>
      <c r="G4437" t="s">
        <v>34</v>
      </c>
      <c r="H4437" t="s">
        <v>18</v>
      </c>
      <c r="I4437" t="s">
        <v>41</v>
      </c>
      <c r="M4437" t="s">
        <v>1064</v>
      </c>
      <c r="N4437" t="s">
        <v>1064</v>
      </c>
      <c r="O4437" t="s">
        <v>23</v>
      </c>
      <c r="P4437" t="s">
        <v>24</v>
      </c>
      <c r="Q4437" t="s">
        <v>69</v>
      </c>
      <c r="R4437" t="s">
        <v>1030</v>
      </c>
    </row>
    <row r="4438" spans="1:18" x14ac:dyDescent="0.25">
      <c r="A4438" t="s">
        <v>18394</v>
      </c>
      <c r="B4438" t="s">
        <v>5859</v>
      </c>
      <c r="C4438" t="str">
        <f>HYPERLINK("https://nematode.unl.edu/filth17.jpg")</f>
        <v>https://nematode.unl.edu/filth17.jpg</v>
      </c>
      <c r="D4438" t="s">
        <v>43</v>
      </c>
      <c r="G4438" t="s">
        <v>34</v>
      </c>
      <c r="H4438" t="s">
        <v>18</v>
      </c>
      <c r="J4438" t="s">
        <v>20</v>
      </c>
      <c r="L4438" t="s">
        <v>141</v>
      </c>
      <c r="M4438" t="s">
        <v>1064</v>
      </c>
      <c r="N4438" t="s">
        <v>1064</v>
      </c>
      <c r="O4438" t="s">
        <v>23</v>
      </c>
      <c r="P4438" t="s">
        <v>24</v>
      </c>
      <c r="Q4438" t="s">
        <v>69</v>
      </c>
      <c r="R4438" t="s">
        <v>1030</v>
      </c>
    </row>
    <row r="4439" spans="1:18" x14ac:dyDescent="0.25">
      <c r="A4439" t="s">
        <v>18427</v>
      </c>
      <c r="B4439" t="s">
        <v>5860</v>
      </c>
      <c r="C4439" t="str">
        <f>HYPERLINK("https://nematode.unl.edu/filth18.jpg")</f>
        <v>https://nematode.unl.edu/filth18.jpg</v>
      </c>
      <c r="D4439" t="s">
        <v>43</v>
      </c>
      <c r="G4439" t="s">
        <v>51</v>
      </c>
      <c r="I4439" t="s">
        <v>19</v>
      </c>
      <c r="J4439" t="s">
        <v>20</v>
      </c>
      <c r="L4439" t="s">
        <v>352</v>
      </c>
      <c r="M4439" t="s">
        <v>1064</v>
      </c>
      <c r="N4439" t="s">
        <v>1064</v>
      </c>
      <c r="O4439" t="s">
        <v>23</v>
      </c>
      <c r="P4439" t="s">
        <v>24</v>
      </c>
      <c r="Q4439" t="s">
        <v>69</v>
      </c>
      <c r="R4439" t="s">
        <v>1030</v>
      </c>
    </row>
    <row r="4440" spans="1:18" x14ac:dyDescent="0.25">
      <c r="A4440" t="s">
        <v>18422</v>
      </c>
      <c r="B4440" t="s">
        <v>5861</v>
      </c>
      <c r="C4440" t="str">
        <f>HYPERLINK("https://nematode.unl.edu/filth19.jpg")</f>
        <v>https://nematode.unl.edu/filth19.jpg</v>
      </c>
      <c r="D4440" t="s">
        <v>43</v>
      </c>
      <c r="G4440" t="s">
        <v>28</v>
      </c>
      <c r="J4440" t="s">
        <v>20</v>
      </c>
      <c r="L4440" t="s">
        <v>141</v>
      </c>
      <c r="M4440" t="s">
        <v>1064</v>
      </c>
      <c r="N4440" t="s">
        <v>1064</v>
      </c>
      <c r="O4440" t="s">
        <v>23</v>
      </c>
      <c r="P4440" t="s">
        <v>24</v>
      </c>
      <c r="Q4440" t="s">
        <v>69</v>
      </c>
      <c r="R4440" t="s">
        <v>1030</v>
      </c>
    </row>
    <row r="4441" spans="1:18" x14ac:dyDescent="0.25">
      <c r="A4441" t="s">
        <v>18395</v>
      </c>
      <c r="B4441" t="s">
        <v>5862</v>
      </c>
      <c r="C4441" t="str">
        <f>HYPERLINK("https://nematode.unl.edu/filth2.jpg")</f>
        <v>https://nematode.unl.edu/filth2.jpg</v>
      </c>
      <c r="D4441" t="s">
        <v>77</v>
      </c>
      <c r="G4441" t="s">
        <v>34</v>
      </c>
      <c r="H4441" t="s">
        <v>18</v>
      </c>
      <c r="I4441" t="s">
        <v>19</v>
      </c>
      <c r="J4441" t="s">
        <v>20</v>
      </c>
      <c r="M4441" t="s">
        <v>1064</v>
      </c>
      <c r="N4441" t="s">
        <v>1064</v>
      </c>
      <c r="O4441" t="s">
        <v>23</v>
      </c>
      <c r="P4441" t="s">
        <v>24</v>
      </c>
      <c r="Q4441" t="s">
        <v>69</v>
      </c>
      <c r="R4441" t="s">
        <v>1030</v>
      </c>
    </row>
    <row r="4442" spans="1:18" x14ac:dyDescent="0.25">
      <c r="A4442" t="s">
        <v>18407</v>
      </c>
      <c r="B4442" t="s">
        <v>5863</v>
      </c>
      <c r="C4442" t="str">
        <f>HYPERLINK("https://nematode.unl.edu/filth20.jpg")</f>
        <v>https://nematode.unl.edu/filth20.jpg</v>
      </c>
      <c r="D4442" t="s">
        <v>43</v>
      </c>
      <c r="G4442" t="s">
        <v>44</v>
      </c>
      <c r="I4442" t="s">
        <v>91</v>
      </c>
      <c r="J4442" t="s">
        <v>20</v>
      </c>
      <c r="L4442" t="s">
        <v>85</v>
      </c>
      <c r="M4442" t="s">
        <v>1064</v>
      </c>
      <c r="N4442" t="s">
        <v>1064</v>
      </c>
      <c r="O4442" t="s">
        <v>23</v>
      </c>
      <c r="P4442" t="s">
        <v>24</v>
      </c>
      <c r="Q4442" t="s">
        <v>69</v>
      </c>
      <c r="R4442" t="s">
        <v>1030</v>
      </c>
    </row>
    <row r="4443" spans="1:18" x14ac:dyDescent="0.25">
      <c r="A4443" t="s">
        <v>18414</v>
      </c>
      <c r="B4443" t="s">
        <v>5864</v>
      </c>
      <c r="C4443" t="str">
        <f>HYPERLINK("https://nematode.unl.edu/filth21.jpg")</f>
        <v>https://nematode.unl.edu/filth21.jpg</v>
      </c>
      <c r="D4443" t="s">
        <v>43</v>
      </c>
      <c r="G4443" t="s">
        <v>53</v>
      </c>
      <c r="I4443" t="s">
        <v>41</v>
      </c>
      <c r="J4443" t="s">
        <v>20</v>
      </c>
      <c r="L4443" t="s">
        <v>85</v>
      </c>
      <c r="M4443" t="s">
        <v>1064</v>
      </c>
      <c r="N4443" t="s">
        <v>1064</v>
      </c>
      <c r="O4443" t="s">
        <v>23</v>
      </c>
      <c r="P4443" t="s">
        <v>24</v>
      </c>
      <c r="Q4443" t="s">
        <v>69</v>
      </c>
      <c r="R4443" t="s">
        <v>1030</v>
      </c>
    </row>
    <row r="4444" spans="1:18" x14ac:dyDescent="0.25">
      <c r="A4444" t="s">
        <v>18428</v>
      </c>
      <c r="B4444" t="s">
        <v>5865</v>
      </c>
      <c r="C4444" t="str">
        <f>HYPERLINK("https://nematode.unl.edu/filth22.jpg")</f>
        <v>https://nematode.unl.edu/filth22.jpg</v>
      </c>
      <c r="D4444" t="s">
        <v>43</v>
      </c>
      <c r="G4444" t="s">
        <v>51</v>
      </c>
      <c r="I4444" t="s">
        <v>19</v>
      </c>
      <c r="J4444" t="s">
        <v>20</v>
      </c>
      <c r="M4444" t="s">
        <v>1064</v>
      </c>
      <c r="N4444" t="s">
        <v>1064</v>
      </c>
      <c r="O4444" t="s">
        <v>23</v>
      </c>
      <c r="P4444" t="s">
        <v>24</v>
      </c>
      <c r="Q4444" t="s">
        <v>69</v>
      </c>
      <c r="R4444" t="s">
        <v>1030</v>
      </c>
    </row>
    <row r="4445" spans="1:18" x14ac:dyDescent="0.25">
      <c r="A4445" t="s">
        <v>18408</v>
      </c>
      <c r="B4445" t="s">
        <v>5866</v>
      </c>
      <c r="C4445" t="str">
        <f>HYPERLINK("https://nematode.unl.edu/filth23.jpg")</f>
        <v>https://nematode.unl.edu/filth23.jpg</v>
      </c>
      <c r="D4445" t="s">
        <v>43</v>
      </c>
      <c r="G4445" t="s">
        <v>44</v>
      </c>
      <c r="I4445" t="s">
        <v>45</v>
      </c>
      <c r="J4445" t="s">
        <v>20</v>
      </c>
      <c r="L4445" t="s">
        <v>206</v>
      </c>
      <c r="M4445" t="s">
        <v>1064</v>
      </c>
      <c r="N4445" t="s">
        <v>1064</v>
      </c>
      <c r="O4445" t="s">
        <v>23</v>
      </c>
      <c r="P4445" t="s">
        <v>24</v>
      </c>
      <c r="Q4445" t="s">
        <v>69</v>
      </c>
      <c r="R4445" t="s">
        <v>1030</v>
      </c>
    </row>
    <row r="4446" spans="1:18" x14ac:dyDescent="0.25">
      <c r="A4446" t="s">
        <v>18396</v>
      </c>
      <c r="B4446" t="s">
        <v>5867</v>
      </c>
      <c r="C4446" t="str">
        <f>HYPERLINK("https://nematode.unl.edu/filth24.jpg")</f>
        <v>https://nematode.unl.edu/filth24.jpg</v>
      </c>
      <c r="D4446" t="s">
        <v>43</v>
      </c>
      <c r="G4446" t="s">
        <v>34</v>
      </c>
      <c r="H4446" t="s">
        <v>18</v>
      </c>
      <c r="I4446" t="s">
        <v>19</v>
      </c>
      <c r="J4446" t="s">
        <v>20</v>
      </c>
      <c r="L4446" t="s">
        <v>35</v>
      </c>
      <c r="M4446" t="s">
        <v>1064</v>
      </c>
      <c r="N4446" t="s">
        <v>1064</v>
      </c>
      <c r="O4446" t="s">
        <v>23</v>
      </c>
      <c r="P4446" t="s">
        <v>24</v>
      </c>
      <c r="Q4446" t="s">
        <v>69</v>
      </c>
      <c r="R4446" t="s">
        <v>1030</v>
      </c>
    </row>
    <row r="4447" spans="1:18" x14ac:dyDescent="0.25">
      <c r="A4447" t="s">
        <v>18429</v>
      </c>
      <c r="B4447" t="s">
        <v>5868</v>
      </c>
      <c r="C4447" t="str">
        <f>HYPERLINK("https://nematode.unl.edu/filth25.jpg")</f>
        <v>https://nematode.unl.edu/filth25.jpg</v>
      </c>
      <c r="D4447" t="s">
        <v>43</v>
      </c>
      <c r="G4447" t="s">
        <v>51</v>
      </c>
      <c r="I4447" t="s">
        <v>19</v>
      </c>
      <c r="J4447" t="s">
        <v>20</v>
      </c>
      <c r="L4447" t="s">
        <v>35</v>
      </c>
      <c r="M4447" t="s">
        <v>1064</v>
      </c>
      <c r="N4447" t="s">
        <v>1064</v>
      </c>
      <c r="O4447" t="s">
        <v>23</v>
      </c>
      <c r="P4447" t="s">
        <v>24</v>
      </c>
      <c r="Q4447" t="s">
        <v>69</v>
      </c>
      <c r="R4447" t="s">
        <v>1030</v>
      </c>
    </row>
    <row r="4448" spans="1:18" x14ac:dyDescent="0.25">
      <c r="A4448" t="s">
        <v>18397</v>
      </c>
      <c r="B4448" t="s">
        <v>5869</v>
      </c>
      <c r="C4448" t="str">
        <f>HYPERLINK("https://nematode.unl.edu/filth26.jpg")</f>
        <v>https://nematode.unl.edu/filth26.jpg</v>
      </c>
      <c r="D4448" t="s">
        <v>43</v>
      </c>
      <c r="G4448" t="s">
        <v>34</v>
      </c>
      <c r="H4448" t="s">
        <v>18</v>
      </c>
      <c r="I4448" t="s">
        <v>41</v>
      </c>
      <c r="J4448" t="s">
        <v>20</v>
      </c>
      <c r="L4448" t="s">
        <v>35</v>
      </c>
      <c r="M4448" t="s">
        <v>1064</v>
      </c>
      <c r="N4448" t="s">
        <v>1064</v>
      </c>
      <c r="O4448" t="s">
        <v>23</v>
      </c>
      <c r="P4448" t="s">
        <v>24</v>
      </c>
      <c r="Q4448" t="s">
        <v>69</v>
      </c>
      <c r="R4448" t="s">
        <v>1030</v>
      </c>
    </row>
    <row r="4449" spans="1:18" x14ac:dyDescent="0.25">
      <c r="A4449" t="s">
        <v>18415</v>
      </c>
      <c r="B4449" t="s">
        <v>5870</v>
      </c>
      <c r="C4449" t="str">
        <f>HYPERLINK("https://nematode.unl.edu/filth27.jpg")</f>
        <v>https://nematode.unl.edu/filth27.jpg</v>
      </c>
      <c r="D4449" t="s">
        <v>43</v>
      </c>
      <c r="G4449" t="s">
        <v>53</v>
      </c>
      <c r="I4449" t="s">
        <v>41</v>
      </c>
      <c r="L4449" t="s">
        <v>85</v>
      </c>
      <c r="M4449" t="s">
        <v>1064</v>
      </c>
      <c r="N4449" t="s">
        <v>1064</v>
      </c>
      <c r="O4449" t="s">
        <v>23</v>
      </c>
      <c r="P4449" t="s">
        <v>24</v>
      </c>
      <c r="Q4449" t="s">
        <v>69</v>
      </c>
      <c r="R4449" t="s">
        <v>1030</v>
      </c>
    </row>
    <row r="4450" spans="1:18" x14ac:dyDescent="0.25">
      <c r="A4450" t="s">
        <v>18398</v>
      </c>
      <c r="B4450" t="s">
        <v>5871</v>
      </c>
      <c r="C4450" t="str">
        <f>HYPERLINK("https://nematode.unl.edu/filth28.jpg")</f>
        <v>https://nematode.unl.edu/filth28.jpg</v>
      </c>
      <c r="D4450" t="s">
        <v>77</v>
      </c>
      <c r="G4450" t="s">
        <v>34</v>
      </c>
      <c r="H4450" t="s">
        <v>18</v>
      </c>
      <c r="I4450" t="s">
        <v>19</v>
      </c>
      <c r="J4450" t="s">
        <v>20</v>
      </c>
      <c r="L4450" t="s">
        <v>141</v>
      </c>
      <c r="M4450" t="s">
        <v>1064</v>
      </c>
      <c r="N4450" t="s">
        <v>1064</v>
      </c>
      <c r="O4450" t="s">
        <v>23</v>
      </c>
      <c r="P4450" t="s">
        <v>24</v>
      </c>
      <c r="Q4450" t="s">
        <v>69</v>
      </c>
      <c r="R4450" t="s">
        <v>1030</v>
      </c>
    </row>
    <row r="4451" spans="1:18" x14ac:dyDescent="0.25">
      <c r="A4451" t="s">
        <v>18423</v>
      </c>
      <c r="B4451" t="s">
        <v>5872</v>
      </c>
      <c r="C4451" t="str">
        <f>HYPERLINK("https://nematode.unl.edu/filth29.jpg")</f>
        <v>https://nematode.unl.edu/filth29.jpg</v>
      </c>
      <c r="D4451" t="s">
        <v>77</v>
      </c>
      <c r="G4451" t="s">
        <v>28</v>
      </c>
      <c r="J4451" t="s">
        <v>20</v>
      </c>
      <c r="L4451" t="s">
        <v>352</v>
      </c>
      <c r="M4451" t="s">
        <v>1064</v>
      </c>
      <c r="N4451" t="s">
        <v>1064</v>
      </c>
      <c r="O4451" t="s">
        <v>23</v>
      </c>
      <c r="P4451" t="s">
        <v>24</v>
      </c>
      <c r="Q4451" t="s">
        <v>69</v>
      </c>
      <c r="R4451" t="s">
        <v>1030</v>
      </c>
    </row>
    <row r="4452" spans="1:18" x14ac:dyDescent="0.25">
      <c r="A4452" t="s">
        <v>18418</v>
      </c>
      <c r="B4452" t="s">
        <v>5873</v>
      </c>
      <c r="C4452" t="str">
        <f>HYPERLINK("https://nematode.unl.edu/filth3.jpg")</f>
        <v>https://nematode.unl.edu/filth3.jpg</v>
      </c>
      <c r="D4452" t="s">
        <v>77</v>
      </c>
      <c r="G4452" t="s">
        <v>112</v>
      </c>
      <c r="I4452" t="s">
        <v>19</v>
      </c>
      <c r="J4452" t="s">
        <v>20</v>
      </c>
      <c r="L4452" t="s">
        <v>64</v>
      </c>
      <c r="M4452" t="s">
        <v>1064</v>
      </c>
      <c r="N4452" t="s">
        <v>1064</v>
      </c>
      <c r="O4452" t="s">
        <v>23</v>
      </c>
      <c r="P4452" t="s">
        <v>24</v>
      </c>
      <c r="Q4452" t="s">
        <v>69</v>
      </c>
      <c r="R4452" t="s">
        <v>1030</v>
      </c>
    </row>
    <row r="4453" spans="1:18" x14ac:dyDescent="0.25">
      <c r="A4453" t="s">
        <v>18399</v>
      </c>
      <c r="B4453" t="s">
        <v>5874</v>
      </c>
      <c r="C4453" t="str">
        <f>HYPERLINK("https://nematode.unl.edu/filth4.jpg")</f>
        <v>https://nematode.unl.edu/filth4.jpg</v>
      </c>
      <c r="D4453" t="s">
        <v>77</v>
      </c>
      <c r="G4453" t="s">
        <v>34</v>
      </c>
      <c r="H4453" t="s">
        <v>18</v>
      </c>
      <c r="I4453" t="s">
        <v>41</v>
      </c>
      <c r="J4453" t="s">
        <v>20</v>
      </c>
      <c r="L4453" t="s">
        <v>64</v>
      </c>
      <c r="M4453" t="s">
        <v>1064</v>
      </c>
      <c r="N4453" t="s">
        <v>1064</v>
      </c>
      <c r="O4453" t="s">
        <v>23</v>
      </c>
      <c r="P4453" t="s">
        <v>24</v>
      </c>
      <c r="Q4453" t="s">
        <v>69</v>
      </c>
      <c r="R4453" t="s">
        <v>1030</v>
      </c>
    </row>
    <row r="4454" spans="1:18" x14ac:dyDescent="0.25">
      <c r="A4454" t="s">
        <v>18419</v>
      </c>
      <c r="B4454" t="s">
        <v>5875</v>
      </c>
      <c r="C4454" t="str">
        <f>HYPERLINK("https://nematode.unl.edu/filth5.jpg")</f>
        <v>https://nematode.unl.edu/filth5.jpg</v>
      </c>
      <c r="D4454" t="s">
        <v>77</v>
      </c>
      <c r="G4454" t="s">
        <v>112</v>
      </c>
      <c r="J4454" t="s">
        <v>20</v>
      </c>
      <c r="L4454" t="s">
        <v>183</v>
      </c>
      <c r="M4454" t="s">
        <v>1064</v>
      </c>
      <c r="N4454" t="s">
        <v>1064</v>
      </c>
      <c r="O4454" t="s">
        <v>23</v>
      </c>
      <c r="P4454" t="s">
        <v>24</v>
      </c>
      <c r="Q4454" t="s">
        <v>69</v>
      </c>
      <c r="R4454" t="s">
        <v>1030</v>
      </c>
    </row>
    <row r="4455" spans="1:18" x14ac:dyDescent="0.25">
      <c r="A4455" t="s">
        <v>18400</v>
      </c>
      <c r="B4455" t="s">
        <v>5876</v>
      </c>
      <c r="C4455" t="str">
        <f>HYPERLINK("https://nematode.unl.edu/filth6.jpg")</f>
        <v>https://nematode.unl.edu/filth6.jpg</v>
      </c>
      <c r="D4455" t="s">
        <v>77</v>
      </c>
      <c r="G4455" t="s">
        <v>34</v>
      </c>
      <c r="H4455" t="s">
        <v>18</v>
      </c>
      <c r="I4455" t="s">
        <v>41</v>
      </c>
      <c r="J4455" t="s">
        <v>20</v>
      </c>
      <c r="L4455" t="s">
        <v>183</v>
      </c>
      <c r="M4455" t="s">
        <v>1064</v>
      </c>
      <c r="N4455" t="s">
        <v>1064</v>
      </c>
      <c r="O4455" t="s">
        <v>23</v>
      </c>
      <c r="P4455" t="s">
        <v>24</v>
      </c>
      <c r="Q4455" t="s">
        <v>69</v>
      </c>
      <c r="R4455" t="s">
        <v>1030</v>
      </c>
    </row>
    <row r="4456" spans="1:18" x14ac:dyDescent="0.25">
      <c r="A4456" t="s">
        <v>18416</v>
      </c>
      <c r="B4456" t="s">
        <v>5877</v>
      </c>
      <c r="C4456" t="str">
        <f>HYPERLINK("https://nematode.unl.edu/filth7.jpg")</f>
        <v>https://nematode.unl.edu/filth7.jpg</v>
      </c>
      <c r="D4456" t="s">
        <v>77</v>
      </c>
      <c r="G4456" t="s">
        <v>53</v>
      </c>
      <c r="I4456" t="s">
        <v>41</v>
      </c>
      <c r="J4456" t="s">
        <v>20</v>
      </c>
      <c r="L4456" t="s">
        <v>183</v>
      </c>
      <c r="M4456" t="s">
        <v>1064</v>
      </c>
      <c r="N4456" t="s">
        <v>1064</v>
      </c>
      <c r="O4456" t="s">
        <v>23</v>
      </c>
      <c r="P4456" t="s">
        <v>24</v>
      </c>
      <c r="Q4456" t="s">
        <v>69</v>
      </c>
      <c r="R4456" t="s">
        <v>1030</v>
      </c>
    </row>
    <row r="4457" spans="1:18" x14ac:dyDescent="0.25">
      <c r="A4457" t="s">
        <v>18409</v>
      </c>
      <c r="B4457" t="s">
        <v>5878</v>
      </c>
      <c r="C4457" t="str">
        <f>HYPERLINK("https://nematode.unl.edu/filth8.jpg")</f>
        <v>https://nematode.unl.edu/filth8.jpg</v>
      </c>
      <c r="D4457" t="s">
        <v>77</v>
      </c>
      <c r="G4457" t="s">
        <v>44</v>
      </c>
      <c r="I4457" t="s">
        <v>45</v>
      </c>
      <c r="J4457" t="s">
        <v>20</v>
      </c>
      <c r="L4457" t="s">
        <v>78</v>
      </c>
      <c r="M4457" t="s">
        <v>1064</v>
      </c>
      <c r="N4457" t="s">
        <v>1064</v>
      </c>
      <c r="O4457" t="s">
        <v>23</v>
      </c>
      <c r="P4457" t="s">
        <v>24</v>
      </c>
      <c r="Q4457" t="s">
        <v>69</v>
      </c>
      <c r="R4457" t="s">
        <v>1030</v>
      </c>
    </row>
    <row r="4458" spans="1:18" x14ac:dyDescent="0.25">
      <c r="A4458" t="s">
        <v>18413</v>
      </c>
      <c r="B4458" t="s">
        <v>5879</v>
      </c>
      <c r="C4458" t="str">
        <f>HYPERLINK("https://nematode.unl.edu/filth9.jpg")</f>
        <v>https://nematode.unl.edu/filth9.jpg</v>
      </c>
      <c r="D4458" t="s">
        <v>77</v>
      </c>
      <c r="G4458" t="s">
        <v>4041</v>
      </c>
      <c r="I4458" t="s">
        <v>41</v>
      </c>
      <c r="J4458" t="s">
        <v>20</v>
      </c>
      <c r="L4458" t="s">
        <v>456</v>
      </c>
      <c r="M4458" t="s">
        <v>1064</v>
      </c>
      <c r="N4458" t="s">
        <v>1064</v>
      </c>
      <c r="O4458" t="s">
        <v>23</v>
      </c>
      <c r="P4458" t="s">
        <v>24</v>
      </c>
      <c r="Q4458" t="s">
        <v>69</v>
      </c>
      <c r="R4458" t="s">
        <v>1030</v>
      </c>
    </row>
    <row r="4459" spans="1:18" x14ac:dyDescent="0.25">
      <c r="A4459" t="s">
        <v>18316</v>
      </c>
      <c r="B4459" t="s">
        <v>5785</v>
      </c>
      <c r="C4459" t="str">
        <f>HYPERLINK("https://nematode.unl.edu/fimic1.jpg")</f>
        <v>https://nematode.unl.edu/fimic1.jpg</v>
      </c>
      <c r="D4459" t="s">
        <v>43</v>
      </c>
      <c r="G4459" t="s">
        <v>44</v>
      </c>
      <c r="I4459" t="s">
        <v>45</v>
      </c>
      <c r="J4459" t="s">
        <v>20</v>
      </c>
      <c r="L4459" t="s">
        <v>85</v>
      </c>
      <c r="M4459" t="s">
        <v>5786</v>
      </c>
      <c r="N4459" t="s">
        <v>5786</v>
      </c>
      <c r="O4459" t="s">
        <v>23</v>
      </c>
      <c r="P4459" t="s">
        <v>24</v>
      </c>
      <c r="Q4459" t="s">
        <v>69</v>
      </c>
      <c r="R4459" t="s">
        <v>1030</v>
      </c>
    </row>
    <row r="4460" spans="1:18" x14ac:dyDescent="0.25">
      <c r="A4460" t="s">
        <v>18315</v>
      </c>
      <c r="B4460" t="s">
        <v>5787</v>
      </c>
      <c r="C4460" t="str">
        <f>HYPERLINK("https://nematode.unl.edu/fimic2.jpg")</f>
        <v>https://nematode.unl.edu/fimic2.jpg</v>
      </c>
      <c r="D4460" t="s">
        <v>43</v>
      </c>
      <c r="G4460" t="s">
        <v>34</v>
      </c>
      <c r="H4460" t="s">
        <v>18</v>
      </c>
      <c r="M4460" t="s">
        <v>5786</v>
      </c>
      <c r="N4460" t="s">
        <v>5786</v>
      </c>
      <c r="O4460" t="s">
        <v>23</v>
      </c>
      <c r="P4460" t="s">
        <v>24</v>
      </c>
      <c r="Q4460" t="s">
        <v>69</v>
      </c>
      <c r="R4460" t="s">
        <v>1030</v>
      </c>
    </row>
    <row r="4461" spans="1:18" x14ac:dyDescent="0.25">
      <c r="A4461" t="s">
        <v>18335</v>
      </c>
      <c r="B4461" t="s">
        <v>5795</v>
      </c>
      <c r="C4461" t="str">
        <f>HYPERLINK("https://nematode.unl.edu/fiqua1.jpg")</f>
        <v>https://nematode.unl.edu/fiqua1.jpg</v>
      </c>
      <c r="D4461" t="s">
        <v>77</v>
      </c>
      <c r="G4461" t="s">
        <v>34</v>
      </c>
      <c r="H4461" t="s">
        <v>18</v>
      </c>
      <c r="J4461" t="s">
        <v>20</v>
      </c>
      <c r="L4461" t="s">
        <v>64</v>
      </c>
      <c r="M4461" t="s">
        <v>5796</v>
      </c>
      <c r="N4461" t="s">
        <v>5796</v>
      </c>
      <c r="O4461" t="s">
        <v>23</v>
      </c>
      <c r="P4461" t="s">
        <v>24</v>
      </c>
      <c r="Q4461" t="s">
        <v>69</v>
      </c>
      <c r="R4461" t="s">
        <v>1030</v>
      </c>
    </row>
    <row r="4462" spans="1:18" x14ac:dyDescent="0.25">
      <c r="A4462" t="s">
        <v>18342</v>
      </c>
      <c r="B4462" t="s">
        <v>5797</v>
      </c>
      <c r="C4462" t="str">
        <f>HYPERLINK("https://nematode.unl.edu/fiqua10.jpg")</f>
        <v>https://nematode.unl.edu/fiqua10.jpg</v>
      </c>
      <c r="D4462" t="s">
        <v>77</v>
      </c>
      <c r="G4462" t="s">
        <v>112</v>
      </c>
      <c r="J4462" t="s">
        <v>20</v>
      </c>
      <c r="M4462" t="s">
        <v>5796</v>
      </c>
      <c r="N4462" t="s">
        <v>5796</v>
      </c>
      <c r="O4462" t="s">
        <v>23</v>
      </c>
      <c r="P4462" t="s">
        <v>24</v>
      </c>
      <c r="Q4462" t="s">
        <v>69</v>
      </c>
      <c r="R4462" t="s">
        <v>1030</v>
      </c>
    </row>
    <row r="4463" spans="1:18" x14ac:dyDescent="0.25">
      <c r="A4463" t="s">
        <v>18339</v>
      </c>
      <c r="B4463" t="s">
        <v>5798</v>
      </c>
      <c r="C4463" t="str">
        <f>HYPERLINK("https://nematode.unl.edu/fiqua11.jpg")</f>
        <v>https://nematode.unl.edu/fiqua11.jpg</v>
      </c>
      <c r="D4463" t="s">
        <v>77</v>
      </c>
      <c r="G4463" t="s">
        <v>1906</v>
      </c>
      <c r="I4463" t="s">
        <v>41</v>
      </c>
      <c r="J4463" t="s">
        <v>20</v>
      </c>
      <c r="L4463" t="s">
        <v>85</v>
      </c>
      <c r="M4463" t="s">
        <v>5796</v>
      </c>
      <c r="N4463" t="s">
        <v>5796</v>
      </c>
      <c r="O4463" t="s">
        <v>23</v>
      </c>
      <c r="P4463" t="s">
        <v>24</v>
      </c>
      <c r="Q4463" t="s">
        <v>69</v>
      </c>
      <c r="R4463" t="s">
        <v>1030</v>
      </c>
    </row>
    <row r="4464" spans="1:18" x14ac:dyDescent="0.25">
      <c r="A4464" t="s">
        <v>18345</v>
      </c>
      <c r="B4464" t="s">
        <v>5799</v>
      </c>
      <c r="C4464" t="str">
        <f>HYPERLINK("https://nematode.unl.edu/fiqua12.jpg")</f>
        <v>https://nematode.unl.edu/fiqua12.jpg</v>
      </c>
      <c r="D4464" t="s">
        <v>77</v>
      </c>
      <c r="G4464" t="s">
        <v>28</v>
      </c>
      <c r="I4464" t="s">
        <v>41</v>
      </c>
      <c r="M4464" t="s">
        <v>5796</v>
      </c>
      <c r="N4464" t="s">
        <v>5796</v>
      </c>
      <c r="O4464" t="s">
        <v>23</v>
      </c>
      <c r="P4464" t="s">
        <v>24</v>
      </c>
      <c r="Q4464" t="s">
        <v>69</v>
      </c>
      <c r="R4464" t="s">
        <v>1030</v>
      </c>
    </row>
    <row r="4465" spans="1:18" x14ac:dyDescent="0.25">
      <c r="A4465" t="s">
        <v>18343</v>
      </c>
      <c r="B4465" t="s">
        <v>5800</v>
      </c>
      <c r="C4465" t="str">
        <f>HYPERLINK("https://nematode.unl.edu/fiqua2.jpg")</f>
        <v>https://nematode.unl.edu/fiqua2.jpg</v>
      </c>
      <c r="D4465" t="s">
        <v>77</v>
      </c>
      <c r="G4465" t="s">
        <v>112</v>
      </c>
      <c r="I4465" t="s">
        <v>19</v>
      </c>
      <c r="J4465" t="s">
        <v>20</v>
      </c>
      <c r="L4465" t="s">
        <v>352</v>
      </c>
      <c r="M4465" t="s">
        <v>5796</v>
      </c>
      <c r="N4465" t="s">
        <v>5796</v>
      </c>
      <c r="O4465" t="s">
        <v>23</v>
      </c>
      <c r="P4465" t="s">
        <v>24</v>
      </c>
      <c r="Q4465" t="s">
        <v>69</v>
      </c>
      <c r="R4465" t="s">
        <v>1030</v>
      </c>
    </row>
    <row r="4466" spans="1:18" x14ac:dyDescent="0.25">
      <c r="A4466" t="s">
        <v>18336</v>
      </c>
      <c r="B4466" t="s">
        <v>5801</v>
      </c>
      <c r="C4466" t="str">
        <f>HYPERLINK("https://nematode.unl.edu/fiqua3.jpg")</f>
        <v>https://nematode.unl.edu/fiqua3.jpg</v>
      </c>
      <c r="D4466" t="s">
        <v>77</v>
      </c>
      <c r="G4466" t="s">
        <v>34</v>
      </c>
      <c r="H4466" t="s">
        <v>18</v>
      </c>
      <c r="I4466" t="s">
        <v>41</v>
      </c>
      <c r="J4466" t="s">
        <v>20</v>
      </c>
      <c r="L4466" t="s">
        <v>352</v>
      </c>
      <c r="M4466" t="s">
        <v>5796</v>
      </c>
      <c r="N4466" t="s">
        <v>5796</v>
      </c>
      <c r="O4466" t="s">
        <v>23</v>
      </c>
      <c r="P4466" t="s">
        <v>24</v>
      </c>
      <c r="Q4466" t="s">
        <v>69</v>
      </c>
      <c r="R4466" t="s">
        <v>1030</v>
      </c>
    </row>
    <row r="4467" spans="1:18" x14ac:dyDescent="0.25">
      <c r="A4467" t="s">
        <v>18344</v>
      </c>
      <c r="B4467" t="s">
        <v>5802</v>
      </c>
      <c r="C4467" t="str">
        <f>HYPERLINK("https://nematode.unl.edu/fiqua4.jpg")</f>
        <v>https://nematode.unl.edu/fiqua4.jpg</v>
      </c>
      <c r="D4467" t="s">
        <v>77</v>
      </c>
      <c r="G4467" t="s">
        <v>112</v>
      </c>
      <c r="I4467" t="s">
        <v>41</v>
      </c>
      <c r="J4467" t="s">
        <v>20</v>
      </c>
      <c r="L4467" t="s">
        <v>217</v>
      </c>
      <c r="M4467" t="s">
        <v>5796</v>
      </c>
      <c r="N4467" t="s">
        <v>5796</v>
      </c>
      <c r="O4467" t="s">
        <v>23</v>
      </c>
      <c r="P4467" t="s">
        <v>24</v>
      </c>
      <c r="Q4467" t="s">
        <v>69</v>
      </c>
      <c r="R4467" t="s">
        <v>1030</v>
      </c>
    </row>
    <row r="4468" spans="1:18" x14ac:dyDescent="0.25">
      <c r="A4468" t="s">
        <v>18340</v>
      </c>
      <c r="B4468" t="s">
        <v>5803</v>
      </c>
      <c r="C4468" t="str">
        <f>HYPERLINK("https://nematode.unl.edu/fiqua5.jpg")</f>
        <v>https://nematode.unl.edu/fiqua5.jpg</v>
      </c>
      <c r="D4468" t="s">
        <v>77</v>
      </c>
      <c r="G4468" t="s">
        <v>1906</v>
      </c>
      <c r="I4468" t="s">
        <v>41</v>
      </c>
      <c r="J4468" t="s">
        <v>20</v>
      </c>
      <c r="L4468" t="s">
        <v>217</v>
      </c>
      <c r="M4468" t="s">
        <v>5796</v>
      </c>
      <c r="N4468" t="s">
        <v>5796</v>
      </c>
      <c r="O4468" t="s">
        <v>23</v>
      </c>
      <c r="P4468" t="s">
        <v>24</v>
      </c>
      <c r="Q4468" t="s">
        <v>69</v>
      </c>
      <c r="R4468" t="s">
        <v>1030</v>
      </c>
    </row>
    <row r="4469" spans="1:18" x14ac:dyDescent="0.25">
      <c r="A4469" t="s">
        <v>18337</v>
      </c>
      <c r="B4469" t="s">
        <v>5804</v>
      </c>
      <c r="C4469" t="str">
        <f>HYPERLINK("https://nematode.unl.edu/fiqua6.jpg")</f>
        <v>https://nematode.unl.edu/fiqua6.jpg</v>
      </c>
      <c r="D4469" t="s">
        <v>77</v>
      </c>
      <c r="G4469" t="s">
        <v>34</v>
      </c>
      <c r="H4469" t="s">
        <v>18</v>
      </c>
      <c r="I4469" t="s">
        <v>19</v>
      </c>
      <c r="J4469" t="s">
        <v>20</v>
      </c>
      <c r="L4469" t="s">
        <v>85</v>
      </c>
      <c r="M4469" t="s">
        <v>5796</v>
      </c>
      <c r="N4469" t="s">
        <v>5796</v>
      </c>
      <c r="O4469" t="s">
        <v>23</v>
      </c>
      <c r="P4469" t="s">
        <v>24</v>
      </c>
      <c r="Q4469" t="s">
        <v>69</v>
      </c>
      <c r="R4469" t="s">
        <v>1030</v>
      </c>
    </row>
    <row r="4470" spans="1:18" x14ac:dyDescent="0.25">
      <c r="A4470" t="s">
        <v>18346</v>
      </c>
      <c r="B4470" t="s">
        <v>5805</v>
      </c>
      <c r="C4470" t="str">
        <f>HYPERLINK("https://nematode.unl.edu/fiqua7.jpg")</f>
        <v>https://nematode.unl.edu/fiqua7.jpg</v>
      </c>
      <c r="D4470" t="s">
        <v>77</v>
      </c>
      <c r="G4470" t="s">
        <v>28</v>
      </c>
      <c r="I4470" t="s">
        <v>19</v>
      </c>
      <c r="M4470" t="s">
        <v>5796</v>
      </c>
      <c r="N4470" t="s">
        <v>5796</v>
      </c>
      <c r="O4470" t="s">
        <v>23</v>
      </c>
      <c r="P4470" t="s">
        <v>24</v>
      </c>
      <c r="Q4470" t="s">
        <v>69</v>
      </c>
      <c r="R4470" t="s">
        <v>1030</v>
      </c>
    </row>
    <row r="4471" spans="1:18" x14ac:dyDescent="0.25">
      <c r="A4471" t="s">
        <v>18338</v>
      </c>
      <c r="B4471" t="s">
        <v>5806</v>
      </c>
      <c r="C4471" t="str">
        <f>HYPERLINK("https://nematode.unl.edu/fiqua8.jpg")</f>
        <v>https://nematode.unl.edu/fiqua8.jpg</v>
      </c>
      <c r="D4471" t="s">
        <v>77</v>
      </c>
      <c r="G4471" t="s">
        <v>34</v>
      </c>
      <c r="H4471" t="s">
        <v>18</v>
      </c>
      <c r="I4471" t="s">
        <v>41</v>
      </c>
      <c r="J4471" t="s">
        <v>20</v>
      </c>
      <c r="M4471" t="s">
        <v>5796</v>
      </c>
      <c r="N4471" t="s">
        <v>5796</v>
      </c>
      <c r="O4471" t="s">
        <v>23</v>
      </c>
      <c r="P4471" t="s">
        <v>24</v>
      </c>
      <c r="Q4471" t="s">
        <v>69</v>
      </c>
      <c r="R4471" t="s">
        <v>1030</v>
      </c>
    </row>
    <row r="4472" spans="1:18" x14ac:dyDescent="0.25">
      <c r="A4472" t="s">
        <v>18341</v>
      </c>
      <c r="B4472" t="s">
        <v>5807</v>
      </c>
      <c r="C4472" t="str">
        <f>HYPERLINK("https://nematode.unl.edu/fiqua9.jpg")</f>
        <v>https://nematode.unl.edu/fiqua9.jpg</v>
      </c>
      <c r="D4472" t="s">
        <v>77</v>
      </c>
      <c r="G4472" t="s">
        <v>53</v>
      </c>
      <c r="I4472" t="s">
        <v>41</v>
      </c>
      <c r="J4472" t="s">
        <v>20</v>
      </c>
      <c r="M4472" t="s">
        <v>5796</v>
      </c>
      <c r="N4472" t="s">
        <v>5796</v>
      </c>
      <c r="O4472" t="s">
        <v>23</v>
      </c>
      <c r="P4472" t="s">
        <v>24</v>
      </c>
      <c r="Q4472" t="s">
        <v>69</v>
      </c>
      <c r="R4472" t="s">
        <v>1030</v>
      </c>
    </row>
    <row r="4473" spans="1:18" x14ac:dyDescent="0.25">
      <c r="A4473" t="s">
        <v>18358</v>
      </c>
      <c r="B4473" t="s">
        <v>5808</v>
      </c>
      <c r="C4473" t="str">
        <f>HYPERLINK("https://nematode.unl.edu/fisan1.jpg")</f>
        <v>https://nematode.unl.edu/fisan1.jpg</v>
      </c>
      <c r="D4473" t="s">
        <v>43</v>
      </c>
      <c r="G4473" t="s">
        <v>28</v>
      </c>
      <c r="I4473" t="s">
        <v>41</v>
      </c>
      <c r="J4473" t="s">
        <v>20</v>
      </c>
      <c r="L4473" t="s">
        <v>141</v>
      </c>
      <c r="M4473" t="s">
        <v>5809</v>
      </c>
      <c r="N4473" t="s">
        <v>5809</v>
      </c>
      <c r="O4473" t="s">
        <v>23</v>
      </c>
      <c r="P4473" t="s">
        <v>24</v>
      </c>
      <c r="Q4473" t="s">
        <v>69</v>
      </c>
      <c r="R4473" t="s">
        <v>1030</v>
      </c>
    </row>
    <row r="4474" spans="1:18" x14ac:dyDescent="0.25">
      <c r="A4474" t="s">
        <v>18359</v>
      </c>
      <c r="B4474" t="s">
        <v>5810</v>
      </c>
      <c r="C4474" t="str">
        <f>HYPERLINK("https://nematode.unl.edu/fisan10.jpg")</f>
        <v>https://nematode.unl.edu/fisan10.jpg</v>
      </c>
      <c r="D4474" t="s">
        <v>43</v>
      </c>
      <c r="G4474" t="s">
        <v>28</v>
      </c>
      <c r="J4474" t="s">
        <v>20</v>
      </c>
      <c r="L4474" t="s">
        <v>141</v>
      </c>
      <c r="M4474" t="s">
        <v>5809</v>
      </c>
      <c r="N4474" t="s">
        <v>5809</v>
      </c>
      <c r="O4474" t="s">
        <v>23</v>
      </c>
      <c r="P4474" t="s">
        <v>24</v>
      </c>
      <c r="Q4474" t="s">
        <v>69</v>
      </c>
      <c r="R4474" t="s">
        <v>1030</v>
      </c>
    </row>
    <row r="4475" spans="1:18" x14ac:dyDescent="0.25">
      <c r="A4475" t="s">
        <v>18347</v>
      </c>
      <c r="B4475" t="s">
        <v>5811</v>
      </c>
      <c r="C4475" t="str">
        <f>HYPERLINK("https://nematode.unl.edu/fisan11.jpg")</f>
        <v>https://nematode.unl.edu/fisan11.jpg</v>
      </c>
      <c r="D4475" t="s">
        <v>43</v>
      </c>
      <c r="G4475" t="s">
        <v>34</v>
      </c>
      <c r="H4475" t="s">
        <v>18</v>
      </c>
      <c r="I4475" t="s">
        <v>41</v>
      </c>
      <c r="J4475" t="s">
        <v>20</v>
      </c>
      <c r="L4475" t="s">
        <v>141</v>
      </c>
      <c r="M4475" t="s">
        <v>5809</v>
      </c>
      <c r="N4475" t="s">
        <v>5809</v>
      </c>
      <c r="O4475" t="s">
        <v>23</v>
      </c>
      <c r="P4475" t="s">
        <v>24</v>
      </c>
      <c r="Q4475" t="s">
        <v>69</v>
      </c>
      <c r="R4475" t="s">
        <v>1030</v>
      </c>
    </row>
    <row r="4476" spans="1:18" x14ac:dyDescent="0.25">
      <c r="A4476" t="s">
        <v>18365</v>
      </c>
      <c r="B4476" t="s">
        <v>5812</v>
      </c>
      <c r="C4476" t="str">
        <f>HYPERLINK("https://nematode.unl.edu/fisan12.jpg")</f>
        <v>https://nematode.unl.edu/fisan12.jpg</v>
      </c>
      <c r="D4476" t="s">
        <v>43</v>
      </c>
      <c r="G4476" t="s">
        <v>51</v>
      </c>
      <c r="I4476" t="s">
        <v>41</v>
      </c>
      <c r="J4476" t="s">
        <v>20</v>
      </c>
      <c r="M4476" t="s">
        <v>5809</v>
      </c>
      <c r="N4476" t="s">
        <v>5809</v>
      </c>
      <c r="O4476" t="s">
        <v>23</v>
      </c>
      <c r="P4476" t="s">
        <v>24</v>
      </c>
      <c r="Q4476" t="s">
        <v>69</v>
      </c>
      <c r="R4476" t="s">
        <v>1030</v>
      </c>
    </row>
    <row r="4477" spans="1:18" x14ac:dyDescent="0.25">
      <c r="A4477" t="s">
        <v>18360</v>
      </c>
      <c r="B4477" t="s">
        <v>5813</v>
      </c>
      <c r="C4477" t="str">
        <f>HYPERLINK("https://nematode.unl.edu/fisan13.jpg")</f>
        <v>https://nematode.unl.edu/fisan13.jpg</v>
      </c>
      <c r="D4477" t="s">
        <v>43</v>
      </c>
      <c r="G4477" t="s">
        <v>28</v>
      </c>
      <c r="I4477" t="s">
        <v>41</v>
      </c>
      <c r="J4477" t="s">
        <v>20</v>
      </c>
      <c r="L4477" t="s">
        <v>141</v>
      </c>
      <c r="M4477" t="s">
        <v>5809</v>
      </c>
      <c r="N4477" t="s">
        <v>5809</v>
      </c>
      <c r="O4477" t="s">
        <v>23</v>
      </c>
      <c r="P4477" t="s">
        <v>24</v>
      </c>
      <c r="Q4477" t="s">
        <v>69</v>
      </c>
      <c r="R4477" t="s">
        <v>1030</v>
      </c>
    </row>
    <row r="4478" spans="1:18" x14ac:dyDescent="0.25">
      <c r="A4478" t="s">
        <v>18354</v>
      </c>
      <c r="B4478" t="s">
        <v>5814</v>
      </c>
      <c r="C4478" t="str">
        <f>HYPERLINK("https://nematode.unl.edu/fisan14.jpg")</f>
        <v>https://nematode.unl.edu/fisan14.jpg</v>
      </c>
      <c r="D4478" t="s">
        <v>77</v>
      </c>
      <c r="G4478" t="s">
        <v>44</v>
      </c>
      <c r="I4478" t="s">
        <v>45</v>
      </c>
      <c r="J4478" t="s">
        <v>20</v>
      </c>
      <c r="L4478" t="s">
        <v>173</v>
      </c>
      <c r="M4478" t="s">
        <v>5809</v>
      </c>
      <c r="N4478" t="s">
        <v>5809</v>
      </c>
      <c r="O4478" t="s">
        <v>23</v>
      </c>
      <c r="P4478" t="s">
        <v>24</v>
      </c>
      <c r="Q4478" t="s">
        <v>69</v>
      </c>
      <c r="R4478" t="s">
        <v>1030</v>
      </c>
    </row>
    <row r="4479" spans="1:18" x14ac:dyDescent="0.25">
      <c r="A4479" t="s">
        <v>18348</v>
      </c>
      <c r="B4479" t="s">
        <v>5815</v>
      </c>
      <c r="C4479" t="str">
        <f>HYPERLINK("https://nematode.unl.edu/fisan15.jpg")</f>
        <v>https://nematode.unl.edu/fisan15.jpg</v>
      </c>
      <c r="D4479" t="s">
        <v>77</v>
      </c>
      <c r="G4479" t="s">
        <v>34</v>
      </c>
      <c r="H4479" t="s">
        <v>18</v>
      </c>
      <c r="J4479" t="s">
        <v>20</v>
      </c>
      <c r="L4479" t="s">
        <v>138</v>
      </c>
      <c r="M4479" t="s">
        <v>5809</v>
      </c>
      <c r="N4479" t="s">
        <v>5809</v>
      </c>
      <c r="O4479" t="s">
        <v>23</v>
      </c>
      <c r="P4479" t="s">
        <v>24</v>
      </c>
      <c r="Q4479" t="s">
        <v>69</v>
      </c>
      <c r="R4479" t="s">
        <v>1030</v>
      </c>
    </row>
    <row r="4480" spans="1:18" x14ac:dyDescent="0.25">
      <c r="A4480" t="s">
        <v>18361</v>
      </c>
      <c r="B4480" t="s">
        <v>5816</v>
      </c>
      <c r="C4480" t="str">
        <f>HYPERLINK("https://nematode.unl.edu/fisan16.jpg")</f>
        <v>https://nematode.unl.edu/fisan16.jpg</v>
      </c>
      <c r="D4480" t="s">
        <v>77</v>
      </c>
      <c r="G4480" t="s">
        <v>28</v>
      </c>
      <c r="I4480" t="s">
        <v>19</v>
      </c>
      <c r="J4480" t="s">
        <v>20</v>
      </c>
      <c r="L4480" t="s">
        <v>138</v>
      </c>
      <c r="M4480" t="s">
        <v>5809</v>
      </c>
      <c r="N4480" t="s">
        <v>5809</v>
      </c>
      <c r="O4480" t="s">
        <v>23</v>
      </c>
      <c r="P4480" t="s">
        <v>24</v>
      </c>
      <c r="Q4480" t="s">
        <v>69</v>
      </c>
      <c r="R4480" t="s">
        <v>1030</v>
      </c>
    </row>
    <row r="4481" spans="1:18" x14ac:dyDescent="0.25">
      <c r="A4481" t="s">
        <v>18349</v>
      </c>
      <c r="B4481" t="s">
        <v>5817</v>
      </c>
      <c r="C4481" t="str">
        <f>HYPERLINK("https://nematode.unl.edu/fisan17.jpg")</f>
        <v>https://nematode.unl.edu/fisan17.jpg</v>
      </c>
      <c r="D4481" t="s">
        <v>77</v>
      </c>
      <c r="G4481" t="s">
        <v>34</v>
      </c>
      <c r="H4481" t="s">
        <v>18</v>
      </c>
      <c r="I4481" t="s">
        <v>41</v>
      </c>
      <c r="J4481" t="s">
        <v>20</v>
      </c>
      <c r="L4481" t="s">
        <v>173</v>
      </c>
      <c r="M4481" t="s">
        <v>5809</v>
      </c>
      <c r="N4481" t="s">
        <v>5809</v>
      </c>
      <c r="O4481" t="s">
        <v>23</v>
      </c>
      <c r="P4481" t="s">
        <v>24</v>
      </c>
      <c r="Q4481" t="s">
        <v>69</v>
      </c>
      <c r="R4481" t="s">
        <v>1030</v>
      </c>
    </row>
    <row r="4482" spans="1:18" x14ac:dyDescent="0.25">
      <c r="A4482" t="s">
        <v>18350</v>
      </c>
      <c r="B4482" t="s">
        <v>5818</v>
      </c>
      <c r="C4482" t="str">
        <f>HYPERLINK("https://nematode.unl.edu/fisan18.jpg")</f>
        <v>https://nematode.unl.edu/fisan18.jpg</v>
      </c>
      <c r="D4482" t="s">
        <v>16</v>
      </c>
      <c r="G4482" t="s">
        <v>34</v>
      </c>
      <c r="H4482" t="s">
        <v>18</v>
      </c>
      <c r="I4482" t="s">
        <v>19</v>
      </c>
      <c r="J4482" t="s">
        <v>20</v>
      </c>
      <c r="L4482" t="s">
        <v>29</v>
      </c>
      <c r="M4482" t="s">
        <v>5809</v>
      </c>
      <c r="N4482" t="s">
        <v>5809</v>
      </c>
      <c r="O4482" t="s">
        <v>23</v>
      </c>
      <c r="P4482" t="s">
        <v>24</v>
      </c>
      <c r="Q4482" t="s">
        <v>69</v>
      </c>
      <c r="R4482" t="s">
        <v>1030</v>
      </c>
    </row>
    <row r="4483" spans="1:18" x14ac:dyDescent="0.25">
      <c r="A4483" t="s">
        <v>18362</v>
      </c>
      <c r="B4483" t="s">
        <v>5819</v>
      </c>
      <c r="C4483" t="str">
        <f>HYPERLINK("https://nematode.unl.edu/fisan19.jpg")</f>
        <v>https://nematode.unl.edu/fisan19.jpg</v>
      </c>
      <c r="D4483" t="s">
        <v>16</v>
      </c>
      <c r="G4483" t="s">
        <v>28</v>
      </c>
      <c r="I4483" t="s">
        <v>19</v>
      </c>
      <c r="J4483" t="s">
        <v>20</v>
      </c>
      <c r="L4483" t="s">
        <v>29</v>
      </c>
      <c r="M4483" t="s">
        <v>5809</v>
      </c>
      <c r="N4483" t="s">
        <v>5809</v>
      </c>
      <c r="O4483" t="s">
        <v>23</v>
      </c>
      <c r="P4483" t="s">
        <v>24</v>
      </c>
      <c r="Q4483" t="s">
        <v>69</v>
      </c>
      <c r="R4483" t="s">
        <v>1030</v>
      </c>
    </row>
    <row r="4484" spans="1:18" x14ac:dyDescent="0.25">
      <c r="A4484" t="s">
        <v>18351</v>
      </c>
      <c r="B4484" t="s">
        <v>5820</v>
      </c>
      <c r="C4484" t="str">
        <f>HYPERLINK("https://nematode.unl.edu/fisan2.jpg")</f>
        <v>https://nematode.unl.edu/fisan2.jpg</v>
      </c>
      <c r="D4484" t="s">
        <v>43</v>
      </c>
      <c r="G4484" t="s">
        <v>34</v>
      </c>
      <c r="H4484" t="s">
        <v>18</v>
      </c>
      <c r="J4484" t="s">
        <v>20</v>
      </c>
      <c r="L4484" t="s">
        <v>141</v>
      </c>
      <c r="M4484" t="s">
        <v>5809</v>
      </c>
      <c r="N4484" t="s">
        <v>5809</v>
      </c>
      <c r="O4484" t="s">
        <v>23</v>
      </c>
      <c r="P4484" t="s">
        <v>24</v>
      </c>
      <c r="Q4484" t="s">
        <v>69</v>
      </c>
      <c r="R4484" t="s">
        <v>1030</v>
      </c>
    </row>
    <row r="4485" spans="1:18" x14ac:dyDescent="0.25">
      <c r="A4485" t="s">
        <v>18352</v>
      </c>
      <c r="B4485" t="s">
        <v>5821</v>
      </c>
      <c r="C4485" t="str">
        <f>HYPERLINK("https://nematode.unl.edu/fisan3.jpg")</f>
        <v>https://nematode.unl.edu/fisan3.jpg</v>
      </c>
      <c r="D4485" t="s">
        <v>43</v>
      </c>
      <c r="G4485" t="s">
        <v>34</v>
      </c>
      <c r="H4485" t="s">
        <v>18</v>
      </c>
      <c r="I4485" t="s">
        <v>41</v>
      </c>
      <c r="J4485" t="s">
        <v>20</v>
      </c>
      <c r="L4485" t="s">
        <v>352</v>
      </c>
      <c r="M4485" t="s">
        <v>5809</v>
      </c>
      <c r="N4485" t="s">
        <v>5809</v>
      </c>
      <c r="O4485" t="s">
        <v>23</v>
      </c>
      <c r="P4485" t="s">
        <v>24</v>
      </c>
      <c r="Q4485" t="s">
        <v>69</v>
      </c>
      <c r="R4485" t="s">
        <v>1030</v>
      </c>
    </row>
    <row r="4486" spans="1:18" x14ac:dyDescent="0.25">
      <c r="A4486" t="s">
        <v>18357</v>
      </c>
      <c r="B4486" t="s">
        <v>5822</v>
      </c>
      <c r="C4486" t="str">
        <f>HYPERLINK("https://nematode.unl.edu/fisan4.jpg")</f>
        <v>https://nematode.unl.edu/fisan4.jpg</v>
      </c>
      <c r="D4486" t="s">
        <v>43</v>
      </c>
      <c r="G4486" t="s">
        <v>53</v>
      </c>
      <c r="I4486" t="s">
        <v>41</v>
      </c>
      <c r="J4486" t="s">
        <v>20</v>
      </c>
      <c r="L4486" t="s">
        <v>141</v>
      </c>
      <c r="M4486" t="s">
        <v>5809</v>
      </c>
      <c r="N4486" t="s">
        <v>5809</v>
      </c>
      <c r="O4486" t="s">
        <v>23</v>
      </c>
      <c r="P4486" t="s">
        <v>24</v>
      </c>
      <c r="Q4486" t="s">
        <v>69</v>
      </c>
      <c r="R4486" t="s">
        <v>1030</v>
      </c>
    </row>
    <row r="4487" spans="1:18" x14ac:dyDescent="0.25">
      <c r="A4487" t="s">
        <v>18363</v>
      </c>
      <c r="B4487" t="s">
        <v>5823</v>
      </c>
      <c r="C4487" t="str">
        <f>HYPERLINK("https://nematode.unl.edu/fisan5.jpg")</f>
        <v>https://nematode.unl.edu/fisan5.jpg</v>
      </c>
      <c r="D4487" t="s">
        <v>43</v>
      </c>
      <c r="G4487" t="s">
        <v>28</v>
      </c>
      <c r="J4487" t="s">
        <v>20</v>
      </c>
      <c r="L4487" t="s">
        <v>141</v>
      </c>
      <c r="M4487" t="s">
        <v>5809</v>
      </c>
      <c r="N4487" t="s">
        <v>5809</v>
      </c>
      <c r="O4487" t="s">
        <v>23</v>
      </c>
      <c r="P4487" t="s">
        <v>24</v>
      </c>
      <c r="Q4487" t="s">
        <v>69</v>
      </c>
      <c r="R4487" t="s">
        <v>1030</v>
      </c>
    </row>
    <row r="4488" spans="1:18" x14ac:dyDescent="0.25">
      <c r="A4488" t="s">
        <v>18355</v>
      </c>
      <c r="B4488" t="s">
        <v>5824</v>
      </c>
      <c r="C4488" t="str">
        <f>HYPERLINK("https://nematode.unl.edu/fisan6.jpg")</f>
        <v>https://nematode.unl.edu/fisan6.jpg</v>
      </c>
      <c r="D4488" t="s">
        <v>43</v>
      </c>
      <c r="G4488" t="s">
        <v>44</v>
      </c>
      <c r="I4488" t="s">
        <v>45</v>
      </c>
      <c r="J4488" t="s">
        <v>20</v>
      </c>
      <c r="L4488" t="s">
        <v>141</v>
      </c>
      <c r="M4488" t="s">
        <v>5809</v>
      </c>
      <c r="N4488" t="s">
        <v>5809</v>
      </c>
      <c r="O4488" t="s">
        <v>23</v>
      </c>
      <c r="P4488" t="s">
        <v>24</v>
      </c>
      <c r="Q4488" t="s">
        <v>69</v>
      </c>
      <c r="R4488" t="s">
        <v>1030</v>
      </c>
    </row>
    <row r="4489" spans="1:18" x14ac:dyDescent="0.25">
      <c r="A4489" t="s">
        <v>18356</v>
      </c>
      <c r="B4489" t="s">
        <v>5825</v>
      </c>
      <c r="C4489" t="str">
        <f>HYPERLINK("https://nematode.unl.edu/fisan7.jpg")</f>
        <v>https://nematode.unl.edu/fisan7.jpg</v>
      </c>
      <c r="D4489" t="s">
        <v>43</v>
      </c>
      <c r="G4489" t="s">
        <v>44</v>
      </c>
      <c r="I4489" t="s">
        <v>45</v>
      </c>
      <c r="J4489" t="s">
        <v>20</v>
      </c>
      <c r="L4489" t="s">
        <v>352</v>
      </c>
      <c r="M4489" t="s">
        <v>5809</v>
      </c>
      <c r="N4489" t="s">
        <v>5809</v>
      </c>
      <c r="O4489" t="s">
        <v>23</v>
      </c>
      <c r="P4489" t="s">
        <v>24</v>
      </c>
      <c r="Q4489" t="s">
        <v>69</v>
      </c>
      <c r="R4489" t="s">
        <v>1030</v>
      </c>
    </row>
    <row r="4490" spans="1:18" x14ac:dyDescent="0.25">
      <c r="A4490" t="s">
        <v>18364</v>
      </c>
      <c r="B4490" t="s">
        <v>5826</v>
      </c>
      <c r="C4490" t="str">
        <f>HYPERLINK("https://nematode.unl.edu/fisan8.jpg")</f>
        <v>https://nematode.unl.edu/fisan8.jpg</v>
      </c>
      <c r="D4490" t="s">
        <v>43</v>
      </c>
      <c r="G4490" t="s">
        <v>28</v>
      </c>
      <c r="I4490" t="s">
        <v>19</v>
      </c>
      <c r="J4490" t="s">
        <v>20</v>
      </c>
      <c r="M4490" t="s">
        <v>5809</v>
      </c>
      <c r="N4490" t="s">
        <v>5809</v>
      </c>
      <c r="O4490" t="s">
        <v>23</v>
      </c>
      <c r="P4490" t="s">
        <v>24</v>
      </c>
      <c r="Q4490" t="s">
        <v>69</v>
      </c>
      <c r="R4490" t="s">
        <v>1030</v>
      </c>
    </row>
    <row r="4491" spans="1:18" x14ac:dyDescent="0.25">
      <c r="A4491" t="s">
        <v>18353</v>
      </c>
      <c r="B4491" t="s">
        <v>5827</v>
      </c>
      <c r="C4491" t="str">
        <f>HYPERLINK("https://nematode.unl.edu/fisan9.jpg")</f>
        <v>https://nematode.unl.edu/fisan9.jpg</v>
      </c>
      <c r="D4491" t="s">
        <v>43</v>
      </c>
      <c r="G4491" t="s">
        <v>34</v>
      </c>
      <c r="H4491" t="s">
        <v>18</v>
      </c>
      <c r="J4491" t="s">
        <v>20</v>
      </c>
      <c r="L4491" t="s">
        <v>352</v>
      </c>
      <c r="M4491" t="s">
        <v>5809</v>
      </c>
      <c r="N4491" t="s">
        <v>5809</v>
      </c>
      <c r="O4491" t="s">
        <v>23</v>
      </c>
      <c r="P4491" t="s">
        <v>24</v>
      </c>
      <c r="Q4491" t="s">
        <v>69</v>
      </c>
      <c r="R4491" t="s">
        <v>1030</v>
      </c>
    </row>
    <row r="4492" spans="1:18" x14ac:dyDescent="0.25">
      <c r="A4492" t="s">
        <v>18019</v>
      </c>
      <c r="B4492" t="s">
        <v>5489</v>
      </c>
      <c r="C4492" t="str">
        <f>HYPERLINK("https://nematode.unl.edu/fisp1.jpg")</f>
        <v>https://nematode.unl.edu/fisp1.jpg</v>
      </c>
      <c r="D4492" t="s">
        <v>43</v>
      </c>
      <c r="G4492" t="s">
        <v>34</v>
      </c>
      <c r="H4492" t="s">
        <v>18</v>
      </c>
      <c r="I4492" t="s">
        <v>19</v>
      </c>
      <c r="J4492" t="s">
        <v>20</v>
      </c>
      <c r="L4492" t="s">
        <v>752</v>
      </c>
      <c r="M4492" t="s">
        <v>1030</v>
      </c>
      <c r="N4492" t="s">
        <v>1030</v>
      </c>
      <c r="O4492" t="s">
        <v>23</v>
      </c>
      <c r="P4492" t="s">
        <v>24</v>
      </c>
      <c r="Q4492" t="s">
        <v>69</v>
      </c>
      <c r="R4492" t="s">
        <v>1030</v>
      </c>
    </row>
    <row r="4493" spans="1:18" x14ac:dyDescent="0.25">
      <c r="A4493" t="s">
        <v>18022</v>
      </c>
      <c r="B4493" t="s">
        <v>5490</v>
      </c>
      <c r="C4493" t="str">
        <f>HYPERLINK("https://nematode.unl.edu/fisp2.jpg")</f>
        <v>https://nematode.unl.edu/fisp2.jpg</v>
      </c>
      <c r="D4493" t="s">
        <v>43</v>
      </c>
      <c r="G4493" t="s">
        <v>51</v>
      </c>
      <c r="J4493" t="s">
        <v>20</v>
      </c>
      <c r="L4493" t="s">
        <v>752</v>
      </c>
      <c r="M4493" t="s">
        <v>1030</v>
      </c>
      <c r="N4493" t="s">
        <v>1030</v>
      </c>
      <c r="O4493" t="s">
        <v>23</v>
      </c>
      <c r="P4493" t="s">
        <v>24</v>
      </c>
      <c r="Q4493" t="s">
        <v>69</v>
      </c>
      <c r="R4493" t="s">
        <v>1030</v>
      </c>
    </row>
    <row r="4494" spans="1:18" x14ac:dyDescent="0.25">
      <c r="A4494" t="s">
        <v>18021</v>
      </c>
      <c r="B4494" t="s">
        <v>5491</v>
      </c>
      <c r="C4494" t="str">
        <f>HYPERLINK("https://nematode.unl.edu/fisp3.jpg")</f>
        <v>https://nematode.unl.edu/fisp3.jpg</v>
      </c>
      <c r="D4494" t="s">
        <v>43</v>
      </c>
      <c r="G4494" t="s">
        <v>28</v>
      </c>
      <c r="J4494" t="s">
        <v>20</v>
      </c>
      <c r="L4494" t="s">
        <v>752</v>
      </c>
      <c r="M4494" t="s">
        <v>1030</v>
      </c>
      <c r="N4494" t="s">
        <v>1030</v>
      </c>
      <c r="O4494" t="s">
        <v>23</v>
      </c>
      <c r="P4494" t="s">
        <v>24</v>
      </c>
      <c r="Q4494" t="s">
        <v>69</v>
      </c>
      <c r="R4494" t="s">
        <v>1030</v>
      </c>
    </row>
    <row r="4495" spans="1:18" x14ac:dyDescent="0.25">
      <c r="A4495" t="s">
        <v>18020</v>
      </c>
      <c r="B4495" t="s">
        <v>5492</v>
      </c>
      <c r="C4495" t="str">
        <f>HYPERLINK("https://nematode.unl.edu/fisp4.jpg")</f>
        <v>https://nematode.unl.edu/fisp4.jpg</v>
      </c>
      <c r="D4495" t="s">
        <v>43</v>
      </c>
      <c r="G4495" t="s">
        <v>34</v>
      </c>
      <c r="H4495" t="s">
        <v>18</v>
      </c>
      <c r="I4495" t="s">
        <v>41</v>
      </c>
      <c r="J4495" t="s">
        <v>20</v>
      </c>
      <c r="L4495" t="s">
        <v>752</v>
      </c>
      <c r="M4495" t="s">
        <v>1030</v>
      </c>
      <c r="N4495" t="s">
        <v>1030</v>
      </c>
      <c r="O4495" t="s">
        <v>23</v>
      </c>
      <c r="P4495" t="s">
        <v>24</v>
      </c>
      <c r="Q4495" t="s">
        <v>69</v>
      </c>
      <c r="R4495" t="s">
        <v>1030</v>
      </c>
    </row>
    <row r="4496" spans="1:18" x14ac:dyDescent="0.25">
      <c r="A4496" t="s">
        <v>18383</v>
      </c>
      <c r="B4496" t="s">
        <v>5845</v>
      </c>
      <c r="C4496" t="str">
        <f>HYPERLINK("https://nematode.unl.edu/fiterr1.jpg")</f>
        <v>https://nematode.unl.edu/fiterr1.jpg</v>
      </c>
      <c r="D4496" t="s">
        <v>43</v>
      </c>
      <c r="G4496" t="s">
        <v>44</v>
      </c>
      <c r="I4496" t="s">
        <v>499</v>
      </c>
      <c r="J4496" t="s">
        <v>20</v>
      </c>
      <c r="L4496" t="s">
        <v>85</v>
      </c>
      <c r="M4496" t="s">
        <v>5846</v>
      </c>
      <c r="N4496" t="s">
        <v>5846</v>
      </c>
      <c r="O4496" t="s">
        <v>23</v>
      </c>
      <c r="P4496" t="s">
        <v>24</v>
      </c>
      <c r="Q4496" t="s">
        <v>69</v>
      </c>
      <c r="R4496" t="s">
        <v>1030</v>
      </c>
    </row>
    <row r="4497" spans="1:18" x14ac:dyDescent="0.25">
      <c r="A4497" t="s">
        <v>18381</v>
      </c>
      <c r="B4497" t="s">
        <v>5847</v>
      </c>
      <c r="C4497" t="str">
        <f>HYPERLINK("https://nematode.unl.edu/fiterr2.jpg")</f>
        <v>https://nematode.unl.edu/fiterr2.jpg</v>
      </c>
      <c r="D4497" t="s">
        <v>43</v>
      </c>
      <c r="G4497" t="s">
        <v>34</v>
      </c>
      <c r="H4497" t="s">
        <v>18</v>
      </c>
      <c r="I4497" t="s">
        <v>19</v>
      </c>
      <c r="M4497" t="s">
        <v>5846</v>
      </c>
      <c r="N4497" t="s">
        <v>5846</v>
      </c>
      <c r="O4497" t="s">
        <v>23</v>
      </c>
      <c r="P4497" t="s">
        <v>24</v>
      </c>
      <c r="Q4497" t="s">
        <v>69</v>
      </c>
      <c r="R4497" t="s">
        <v>1030</v>
      </c>
    </row>
    <row r="4498" spans="1:18" x14ac:dyDescent="0.25">
      <c r="A4498" t="s">
        <v>18384</v>
      </c>
      <c r="B4498" t="s">
        <v>5848</v>
      </c>
      <c r="C4498" t="str">
        <f>HYPERLINK("https://nematode.unl.edu/fiterr3.jpg")</f>
        <v>https://nematode.unl.edu/fiterr3.jpg</v>
      </c>
      <c r="D4498" t="s">
        <v>43</v>
      </c>
      <c r="G4498" t="s">
        <v>53</v>
      </c>
      <c r="I4498" t="s">
        <v>41</v>
      </c>
      <c r="J4498" t="s">
        <v>20</v>
      </c>
      <c r="M4498" t="s">
        <v>5846</v>
      </c>
      <c r="N4498" t="s">
        <v>5846</v>
      </c>
      <c r="O4498" t="s">
        <v>23</v>
      </c>
      <c r="P4498" t="s">
        <v>24</v>
      </c>
      <c r="Q4498" t="s">
        <v>69</v>
      </c>
      <c r="R4498" t="s">
        <v>1030</v>
      </c>
    </row>
    <row r="4499" spans="1:18" x14ac:dyDescent="0.25">
      <c r="A4499" t="s">
        <v>18382</v>
      </c>
      <c r="B4499" t="s">
        <v>5849</v>
      </c>
      <c r="C4499" t="str">
        <f>HYPERLINK("https://nematode.unl.edu/fiterr4.jpg")</f>
        <v>https://nematode.unl.edu/fiterr4.jpg</v>
      </c>
      <c r="D4499" t="s">
        <v>43</v>
      </c>
      <c r="G4499" t="s">
        <v>34</v>
      </c>
      <c r="H4499" t="s">
        <v>18</v>
      </c>
      <c r="I4499" t="s">
        <v>41</v>
      </c>
      <c r="J4499" t="s">
        <v>20</v>
      </c>
      <c r="L4499" t="s">
        <v>85</v>
      </c>
      <c r="M4499" t="s">
        <v>5846</v>
      </c>
      <c r="N4499" t="s">
        <v>5846</v>
      </c>
      <c r="O4499" t="s">
        <v>23</v>
      </c>
      <c r="P4499" t="s">
        <v>24</v>
      </c>
      <c r="Q4499" t="s">
        <v>69</v>
      </c>
      <c r="R4499" t="s">
        <v>1030</v>
      </c>
    </row>
    <row r="4500" spans="1:18" x14ac:dyDescent="0.25">
      <c r="A4500" t="s">
        <v>18385</v>
      </c>
      <c r="B4500" t="s">
        <v>5850</v>
      </c>
      <c r="C4500" t="str">
        <f>HYPERLINK("https://nematode.unl.edu/fiterr5.jpg")</f>
        <v>https://nematode.unl.edu/fiterr5.jpg</v>
      </c>
      <c r="D4500" t="s">
        <v>43</v>
      </c>
      <c r="G4500" t="s">
        <v>51</v>
      </c>
      <c r="I4500" t="s">
        <v>41</v>
      </c>
      <c r="M4500" t="s">
        <v>5846</v>
      </c>
      <c r="N4500" t="s">
        <v>5846</v>
      </c>
      <c r="O4500" t="s">
        <v>23</v>
      </c>
      <c r="P4500" t="s">
        <v>24</v>
      </c>
      <c r="Q4500" t="s">
        <v>69</v>
      </c>
      <c r="R4500" t="s">
        <v>1030</v>
      </c>
    </row>
    <row r="4501" spans="1:18" x14ac:dyDescent="0.25">
      <c r="A4501" t="s">
        <v>18412</v>
      </c>
      <c r="B4501" t="s">
        <v>5880</v>
      </c>
      <c r="C4501" t="str">
        <f>HYPERLINK("https://nematode.unl.edu/fithcmp.jpg")</f>
        <v>https://nematode.unl.edu/fithcmp.jpg</v>
      </c>
      <c r="G4501" t="s">
        <v>108</v>
      </c>
      <c r="M4501" t="s">
        <v>1064</v>
      </c>
      <c r="N4501" t="s">
        <v>1064</v>
      </c>
      <c r="O4501" t="s">
        <v>23</v>
      </c>
      <c r="P4501" t="s">
        <v>24</v>
      </c>
      <c r="Q4501" t="s">
        <v>69</v>
      </c>
      <c r="R4501" t="s">
        <v>1030</v>
      </c>
    </row>
    <row r="4502" spans="1:18" x14ac:dyDescent="0.25">
      <c r="A4502" t="s">
        <v>18410</v>
      </c>
      <c r="B4502" t="s">
        <v>5881</v>
      </c>
      <c r="C4502" t="str">
        <f>HYPERLINK("https://nematode.unl.edu/fithogw1.jpg")</f>
        <v>https://nematode.unl.edu/fithogw1.jpg</v>
      </c>
      <c r="D4502" t="s">
        <v>43</v>
      </c>
      <c r="G4502" t="s">
        <v>44</v>
      </c>
      <c r="I4502" t="s">
        <v>19</v>
      </c>
      <c r="J4502" t="s">
        <v>2572</v>
      </c>
      <c r="L4502" t="s">
        <v>5882</v>
      </c>
      <c r="M4502" t="s">
        <v>1064</v>
      </c>
      <c r="N4502" t="s">
        <v>1064</v>
      </c>
      <c r="O4502" t="s">
        <v>23</v>
      </c>
      <c r="P4502" t="s">
        <v>24</v>
      </c>
      <c r="Q4502" t="s">
        <v>69</v>
      </c>
      <c r="R4502" t="s">
        <v>1030</v>
      </c>
    </row>
    <row r="4503" spans="1:18" x14ac:dyDescent="0.25">
      <c r="A4503" t="s">
        <v>18389</v>
      </c>
      <c r="B4503" t="s">
        <v>5883</v>
      </c>
      <c r="C4503" t="str">
        <f>HYPERLINK("https://nematode.unl.edu/fithogw2.jpg")</f>
        <v>https://nematode.unl.edu/fithogw2.jpg</v>
      </c>
      <c r="D4503" t="s">
        <v>43</v>
      </c>
      <c r="G4503" t="s">
        <v>96</v>
      </c>
      <c r="H4503" t="s">
        <v>18</v>
      </c>
      <c r="I4503" t="s">
        <v>41</v>
      </c>
      <c r="J4503" t="s">
        <v>2572</v>
      </c>
      <c r="M4503" t="s">
        <v>1064</v>
      </c>
      <c r="N4503" t="s">
        <v>1064</v>
      </c>
      <c r="O4503" t="s">
        <v>23</v>
      </c>
      <c r="P4503" t="s">
        <v>24</v>
      </c>
      <c r="Q4503" t="s">
        <v>69</v>
      </c>
      <c r="R4503" t="s">
        <v>1030</v>
      </c>
    </row>
    <row r="4504" spans="1:18" x14ac:dyDescent="0.25">
      <c r="A4504" t="s">
        <v>18420</v>
      </c>
      <c r="B4504" t="s">
        <v>5884</v>
      </c>
      <c r="C4504" t="str">
        <f>HYPERLINK("https://nematode.unl.edu/fithor1.jpg")</f>
        <v>https://nematode.unl.edu/fithor1.jpg</v>
      </c>
      <c r="D4504" t="s">
        <v>77</v>
      </c>
      <c r="G4504" t="s">
        <v>112</v>
      </c>
      <c r="I4504" t="s">
        <v>19</v>
      </c>
      <c r="J4504" t="s">
        <v>46</v>
      </c>
      <c r="L4504" t="s">
        <v>105</v>
      </c>
      <c r="M4504" t="s">
        <v>1064</v>
      </c>
      <c r="N4504" t="s">
        <v>1064</v>
      </c>
      <c r="O4504" t="s">
        <v>23</v>
      </c>
      <c r="P4504" t="s">
        <v>24</v>
      </c>
      <c r="Q4504" t="s">
        <v>69</v>
      </c>
      <c r="R4504" t="s">
        <v>1030</v>
      </c>
    </row>
    <row r="4505" spans="1:18" x14ac:dyDescent="0.25">
      <c r="A4505" t="s">
        <v>18424</v>
      </c>
      <c r="B4505" t="s">
        <v>5885</v>
      </c>
      <c r="C4505" t="str">
        <f>HYPERLINK("https://nematode.unl.edu/fithor10.jpg")</f>
        <v>https://nematode.unl.edu/fithor10.jpg</v>
      </c>
      <c r="D4505" t="s">
        <v>43</v>
      </c>
      <c r="G4505" t="s">
        <v>28</v>
      </c>
      <c r="J4505" t="s">
        <v>46</v>
      </c>
      <c r="L4505" t="s">
        <v>727</v>
      </c>
      <c r="M4505" t="s">
        <v>1064</v>
      </c>
      <c r="N4505" t="s">
        <v>1064</v>
      </c>
      <c r="O4505" t="s">
        <v>23</v>
      </c>
      <c r="P4505" t="s">
        <v>24</v>
      </c>
      <c r="Q4505" t="s">
        <v>69</v>
      </c>
      <c r="R4505" t="s">
        <v>1030</v>
      </c>
    </row>
    <row r="4506" spans="1:18" x14ac:dyDescent="0.25">
      <c r="A4506" t="s">
        <v>18386</v>
      </c>
      <c r="B4506" t="s">
        <v>1062</v>
      </c>
      <c r="C4506" t="str">
        <f>HYPERLINK("https://nematode.unl.edu/fithor14.jpg")</f>
        <v>https://nematode.unl.edu/fithor14.jpg</v>
      </c>
      <c r="D4506" t="s">
        <v>16</v>
      </c>
      <c r="G4506" t="s">
        <v>44</v>
      </c>
      <c r="I4506" t="s">
        <v>45</v>
      </c>
      <c r="J4506" t="s">
        <v>46</v>
      </c>
      <c r="L4506" t="s">
        <v>105</v>
      </c>
      <c r="M4506" t="s">
        <v>1063</v>
      </c>
      <c r="N4506" t="s">
        <v>1064</v>
      </c>
      <c r="O4506" t="s">
        <v>23</v>
      </c>
      <c r="P4506" t="s">
        <v>24</v>
      </c>
      <c r="Q4506" t="s">
        <v>69</v>
      </c>
      <c r="R4506" t="s">
        <v>1030</v>
      </c>
    </row>
    <row r="4507" spans="1:18" x14ac:dyDescent="0.25">
      <c r="A4507" t="s">
        <v>18401</v>
      </c>
      <c r="B4507" t="s">
        <v>5886</v>
      </c>
      <c r="C4507" t="str">
        <f>HYPERLINK("https://nematode.unl.edu/fithor15.jpg")</f>
        <v>https://nematode.unl.edu/fithor15.jpg</v>
      </c>
      <c r="D4507" t="s">
        <v>16</v>
      </c>
      <c r="G4507" t="s">
        <v>34</v>
      </c>
      <c r="H4507" t="s">
        <v>18</v>
      </c>
      <c r="I4507" t="s">
        <v>19</v>
      </c>
      <c r="J4507" t="s">
        <v>46</v>
      </c>
      <c r="L4507" t="s">
        <v>105</v>
      </c>
      <c r="M4507" t="s">
        <v>1064</v>
      </c>
      <c r="N4507" t="s">
        <v>1064</v>
      </c>
      <c r="O4507" t="s">
        <v>23</v>
      </c>
      <c r="P4507" t="s">
        <v>24</v>
      </c>
      <c r="Q4507" t="s">
        <v>69</v>
      </c>
      <c r="R4507" t="s">
        <v>1030</v>
      </c>
    </row>
    <row r="4508" spans="1:18" x14ac:dyDescent="0.25">
      <c r="A4508" t="s">
        <v>18425</v>
      </c>
      <c r="B4508" t="s">
        <v>5887</v>
      </c>
      <c r="C4508" t="str">
        <f>HYPERLINK("https://nematode.unl.edu/fithor16.jpg")</f>
        <v>https://nematode.unl.edu/fithor16.jpg</v>
      </c>
      <c r="D4508" t="s">
        <v>16</v>
      </c>
      <c r="G4508" t="s">
        <v>28</v>
      </c>
      <c r="I4508" t="s">
        <v>516</v>
      </c>
      <c r="J4508" t="s">
        <v>46</v>
      </c>
      <c r="L4508" t="s">
        <v>105</v>
      </c>
      <c r="M4508" t="s">
        <v>1064</v>
      </c>
      <c r="N4508" t="s">
        <v>1064</v>
      </c>
      <c r="O4508" t="s">
        <v>23</v>
      </c>
      <c r="P4508" t="s">
        <v>24</v>
      </c>
      <c r="Q4508" t="s">
        <v>69</v>
      </c>
      <c r="R4508" t="s">
        <v>1030</v>
      </c>
    </row>
    <row r="4509" spans="1:18" x14ac:dyDescent="0.25">
      <c r="A4509" t="s">
        <v>18411</v>
      </c>
      <c r="B4509" t="s">
        <v>5888</v>
      </c>
      <c r="C4509" t="str">
        <f>HYPERLINK("https://nematode.unl.edu/fithor2.jpg")</f>
        <v>https://nematode.unl.edu/fithor2.jpg</v>
      </c>
      <c r="D4509" t="s">
        <v>77</v>
      </c>
      <c r="G4509" t="s">
        <v>1906</v>
      </c>
      <c r="I4509" t="s">
        <v>19</v>
      </c>
      <c r="J4509" t="s">
        <v>46</v>
      </c>
      <c r="L4509" t="s">
        <v>105</v>
      </c>
      <c r="M4509" t="s">
        <v>1064</v>
      </c>
      <c r="N4509" t="s">
        <v>1064</v>
      </c>
      <c r="O4509" t="s">
        <v>23</v>
      </c>
      <c r="P4509" t="s">
        <v>24</v>
      </c>
      <c r="Q4509" t="s">
        <v>69</v>
      </c>
      <c r="R4509" t="s">
        <v>1030</v>
      </c>
    </row>
    <row r="4510" spans="1:18" x14ac:dyDescent="0.25">
      <c r="A4510" t="s">
        <v>18402</v>
      </c>
      <c r="B4510" t="s">
        <v>5889</v>
      </c>
      <c r="C4510" t="str">
        <f>HYPERLINK("https://nematode.unl.edu/fithor3.jpg")</f>
        <v>https://nematode.unl.edu/fithor3.jpg</v>
      </c>
      <c r="D4510" t="s">
        <v>77</v>
      </c>
      <c r="G4510" t="s">
        <v>34</v>
      </c>
      <c r="H4510" t="s">
        <v>18</v>
      </c>
      <c r="J4510" t="s">
        <v>46</v>
      </c>
      <c r="L4510" t="s">
        <v>105</v>
      </c>
      <c r="M4510" t="s">
        <v>1064</v>
      </c>
      <c r="N4510" t="s">
        <v>1064</v>
      </c>
      <c r="O4510" t="s">
        <v>23</v>
      </c>
      <c r="P4510" t="s">
        <v>24</v>
      </c>
      <c r="Q4510" t="s">
        <v>69</v>
      </c>
      <c r="R4510" t="s">
        <v>1030</v>
      </c>
    </row>
    <row r="4511" spans="1:18" x14ac:dyDescent="0.25">
      <c r="A4511" t="s">
        <v>18387</v>
      </c>
      <c r="B4511" t="s">
        <v>1065</v>
      </c>
      <c r="C4511" t="str">
        <f>HYPERLINK("https://nematode.unl.edu/fithor4.jpg")</f>
        <v>https://nematode.unl.edu/fithor4.jpg</v>
      </c>
      <c r="D4511" t="s">
        <v>77</v>
      </c>
      <c r="G4511" t="s">
        <v>44</v>
      </c>
      <c r="I4511" t="s">
        <v>45</v>
      </c>
      <c r="J4511" t="s">
        <v>46</v>
      </c>
      <c r="L4511" t="s">
        <v>105</v>
      </c>
      <c r="M4511" t="s">
        <v>1063</v>
      </c>
      <c r="N4511" t="s">
        <v>1064</v>
      </c>
      <c r="O4511" t="s">
        <v>23</v>
      </c>
      <c r="P4511" t="s">
        <v>24</v>
      </c>
      <c r="Q4511" t="s">
        <v>69</v>
      </c>
      <c r="R4511" t="s">
        <v>1030</v>
      </c>
    </row>
    <row r="4512" spans="1:18" x14ac:dyDescent="0.25">
      <c r="A4512" t="s">
        <v>18403</v>
      </c>
      <c r="B4512" t="s">
        <v>5890</v>
      </c>
      <c r="C4512" t="str">
        <f>HYPERLINK("https://nematode.unl.edu/fithor5.jpg")</f>
        <v>https://nematode.unl.edu/fithor5.jpg</v>
      </c>
      <c r="D4512" t="s">
        <v>16</v>
      </c>
      <c r="G4512" t="s">
        <v>34</v>
      </c>
      <c r="H4512" t="s">
        <v>18</v>
      </c>
      <c r="I4512" t="s">
        <v>19</v>
      </c>
      <c r="J4512" t="s">
        <v>46</v>
      </c>
      <c r="L4512" t="s">
        <v>727</v>
      </c>
      <c r="M4512" t="s">
        <v>1064</v>
      </c>
      <c r="N4512" t="s">
        <v>1064</v>
      </c>
      <c r="O4512" t="s">
        <v>23</v>
      </c>
      <c r="P4512" t="s">
        <v>24</v>
      </c>
      <c r="Q4512" t="s">
        <v>69</v>
      </c>
      <c r="R4512" t="s">
        <v>1030</v>
      </c>
    </row>
    <row r="4513" spans="1:18" x14ac:dyDescent="0.25">
      <c r="A4513" t="s">
        <v>18426</v>
      </c>
      <c r="B4513" t="s">
        <v>5891</v>
      </c>
      <c r="C4513" t="str">
        <f>HYPERLINK("https://nematode.unl.edu/fithor6.jpg")</f>
        <v>https://nematode.unl.edu/fithor6.jpg</v>
      </c>
      <c r="D4513" t="s">
        <v>16</v>
      </c>
      <c r="G4513" t="s">
        <v>28</v>
      </c>
      <c r="I4513" t="s">
        <v>19</v>
      </c>
      <c r="J4513" t="s">
        <v>46</v>
      </c>
      <c r="L4513" t="s">
        <v>727</v>
      </c>
      <c r="M4513" t="s">
        <v>1064</v>
      </c>
      <c r="N4513" t="s">
        <v>1064</v>
      </c>
      <c r="O4513" t="s">
        <v>23</v>
      </c>
      <c r="P4513" t="s">
        <v>24</v>
      </c>
      <c r="Q4513" t="s">
        <v>69</v>
      </c>
      <c r="R4513" t="s">
        <v>1030</v>
      </c>
    </row>
    <row r="4514" spans="1:18" x14ac:dyDescent="0.25">
      <c r="A4514" t="s">
        <v>18388</v>
      </c>
      <c r="B4514" t="s">
        <v>1066</v>
      </c>
      <c r="C4514" t="str">
        <f>HYPERLINK("https://nematode.unl.edu/fithor7.jpg")</f>
        <v>https://nematode.unl.edu/fithor7.jpg</v>
      </c>
      <c r="D4514" t="s">
        <v>43</v>
      </c>
      <c r="G4514" t="s">
        <v>44</v>
      </c>
      <c r="I4514" t="s">
        <v>45</v>
      </c>
      <c r="J4514" t="s">
        <v>46</v>
      </c>
      <c r="L4514" t="s">
        <v>727</v>
      </c>
      <c r="M4514" t="s">
        <v>1063</v>
      </c>
      <c r="N4514" t="s">
        <v>1064</v>
      </c>
      <c r="O4514" t="s">
        <v>23</v>
      </c>
      <c r="P4514" t="s">
        <v>24</v>
      </c>
      <c r="Q4514" t="s">
        <v>69</v>
      </c>
      <c r="R4514" t="s">
        <v>1030</v>
      </c>
    </row>
    <row r="4515" spans="1:18" x14ac:dyDescent="0.25">
      <c r="A4515" t="s">
        <v>18430</v>
      </c>
      <c r="B4515" t="s">
        <v>5892</v>
      </c>
      <c r="C4515" t="str">
        <f>HYPERLINK("https://nematode.unl.edu/fithor8.jpg")</f>
        <v>https://nematode.unl.edu/fithor8.jpg</v>
      </c>
      <c r="D4515" t="s">
        <v>43</v>
      </c>
      <c r="G4515" t="s">
        <v>51</v>
      </c>
      <c r="J4515" t="s">
        <v>46</v>
      </c>
      <c r="L4515" t="s">
        <v>727</v>
      </c>
      <c r="M4515" t="s">
        <v>1064</v>
      </c>
      <c r="N4515" t="s">
        <v>1064</v>
      </c>
      <c r="O4515" t="s">
        <v>23</v>
      </c>
      <c r="P4515" t="s">
        <v>24</v>
      </c>
      <c r="Q4515" t="s">
        <v>69</v>
      </c>
      <c r="R4515" t="s">
        <v>1030</v>
      </c>
    </row>
    <row r="4516" spans="1:18" x14ac:dyDescent="0.25">
      <c r="A4516" t="s">
        <v>18404</v>
      </c>
      <c r="B4516" t="s">
        <v>5893</v>
      </c>
      <c r="C4516" t="str">
        <f>HYPERLINK("https://nematode.unl.edu/fithor9.jpg")</f>
        <v>https://nematode.unl.edu/fithor9.jpg</v>
      </c>
      <c r="D4516" t="s">
        <v>43</v>
      </c>
      <c r="G4516" t="s">
        <v>34</v>
      </c>
      <c r="H4516" t="s">
        <v>18</v>
      </c>
      <c r="J4516" t="s">
        <v>46</v>
      </c>
      <c r="L4516" t="s">
        <v>727</v>
      </c>
      <c r="M4516" t="s">
        <v>1064</v>
      </c>
      <c r="N4516" t="s">
        <v>1064</v>
      </c>
      <c r="O4516" t="s">
        <v>23</v>
      </c>
      <c r="P4516" t="s">
        <v>24</v>
      </c>
      <c r="Q4516" t="s">
        <v>69</v>
      </c>
      <c r="R4516" t="s">
        <v>1030</v>
      </c>
    </row>
    <row r="4517" spans="1:18" x14ac:dyDescent="0.25">
      <c r="A4517" t="s">
        <v>18328</v>
      </c>
      <c r="B4517" t="s">
        <v>1049</v>
      </c>
      <c r="C4517" t="str">
        <f>HYPERLINK("https://nematode.unl.edu/fplat1.jpg")</f>
        <v>https://nematode.unl.edu/fplat1.jpg</v>
      </c>
      <c r="D4517" t="s">
        <v>77</v>
      </c>
      <c r="G4517" t="s">
        <v>44</v>
      </c>
      <c r="I4517" t="s">
        <v>45</v>
      </c>
      <c r="J4517" t="s">
        <v>46</v>
      </c>
      <c r="L4517" t="s">
        <v>727</v>
      </c>
      <c r="M4517" t="s">
        <v>1050</v>
      </c>
      <c r="N4517" t="s">
        <v>1029</v>
      </c>
      <c r="O4517" t="s">
        <v>23</v>
      </c>
      <c r="P4517" t="s">
        <v>24</v>
      </c>
      <c r="Q4517" t="s">
        <v>69</v>
      </c>
      <c r="R4517" t="s">
        <v>1030</v>
      </c>
    </row>
    <row r="4518" spans="1:18" x14ac:dyDescent="0.25">
      <c r="A4518" t="s">
        <v>18323</v>
      </c>
      <c r="B4518" t="s">
        <v>1051</v>
      </c>
      <c r="C4518" t="str">
        <f>HYPERLINK("https://nematode.unl.edu/fplat10.jpg")</f>
        <v>https://nematode.unl.edu/fplat10.jpg</v>
      </c>
      <c r="D4518" t="s">
        <v>43</v>
      </c>
      <c r="G4518" t="s">
        <v>34</v>
      </c>
      <c r="H4518" t="s">
        <v>18</v>
      </c>
      <c r="J4518" t="s">
        <v>20</v>
      </c>
      <c r="M4518" t="s">
        <v>1050</v>
      </c>
      <c r="N4518" t="s">
        <v>1029</v>
      </c>
      <c r="O4518" t="s">
        <v>23</v>
      </c>
      <c r="P4518" t="s">
        <v>24</v>
      </c>
      <c r="Q4518" t="s">
        <v>69</v>
      </c>
      <c r="R4518" t="s">
        <v>1030</v>
      </c>
    </row>
    <row r="4519" spans="1:18" x14ac:dyDescent="0.25">
      <c r="A4519" t="s">
        <v>18324</v>
      </c>
      <c r="B4519" t="s">
        <v>1052</v>
      </c>
      <c r="C4519" t="str">
        <f>HYPERLINK("https://nematode.unl.edu/fplat11.jpg")</f>
        <v>https://nematode.unl.edu/fplat11.jpg</v>
      </c>
      <c r="D4519" t="s">
        <v>43</v>
      </c>
      <c r="G4519" t="s">
        <v>34</v>
      </c>
      <c r="H4519" t="s">
        <v>18</v>
      </c>
      <c r="I4519" t="s">
        <v>41</v>
      </c>
      <c r="J4519" t="s">
        <v>20</v>
      </c>
      <c r="M4519" t="s">
        <v>1050</v>
      </c>
      <c r="N4519" t="s">
        <v>1029</v>
      </c>
      <c r="O4519" t="s">
        <v>23</v>
      </c>
      <c r="P4519" t="s">
        <v>24</v>
      </c>
      <c r="Q4519" t="s">
        <v>69</v>
      </c>
      <c r="R4519" t="s">
        <v>1030</v>
      </c>
    </row>
    <row r="4520" spans="1:18" x14ac:dyDescent="0.25">
      <c r="A4520" t="s">
        <v>18325</v>
      </c>
      <c r="B4520" t="s">
        <v>1053</v>
      </c>
      <c r="C4520" t="str">
        <f>HYPERLINK("https://nematode.unl.edu/fplat2.jpg")</f>
        <v>https://nematode.unl.edu/fplat2.jpg</v>
      </c>
      <c r="D4520" t="s">
        <v>77</v>
      </c>
      <c r="G4520" t="s">
        <v>34</v>
      </c>
      <c r="H4520" t="s">
        <v>18</v>
      </c>
      <c r="J4520" t="s">
        <v>46</v>
      </c>
      <c r="L4520" t="s">
        <v>727</v>
      </c>
      <c r="M4520" t="s">
        <v>1050</v>
      </c>
      <c r="N4520" t="s">
        <v>1029</v>
      </c>
      <c r="O4520" t="s">
        <v>23</v>
      </c>
      <c r="P4520" t="s">
        <v>24</v>
      </c>
      <c r="Q4520" t="s">
        <v>69</v>
      </c>
      <c r="R4520" t="s">
        <v>1030</v>
      </c>
    </row>
    <row r="4521" spans="1:18" x14ac:dyDescent="0.25">
      <c r="A4521" t="s">
        <v>18332</v>
      </c>
      <c r="B4521" t="s">
        <v>1054</v>
      </c>
      <c r="C4521" t="str">
        <f>HYPERLINK("https://nematode.unl.edu/fplat3.jpg")</f>
        <v>https://nematode.unl.edu/fplat3.jpg</v>
      </c>
      <c r="D4521" t="s">
        <v>77</v>
      </c>
      <c r="G4521" t="s">
        <v>112</v>
      </c>
      <c r="J4521" t="s">
        <v>46</v>
      </c>
      <c r="L4521" t="s">
        <v>727</v>
      </c>
      <c r="M4521" t="s">
        <v>1050</v>
      </c>
      <c r="N4521" t="s">
        <v>1029</v>
      </c>
      <c r="O4521" t="s">
        <v>23</v>
      </c>
      <c r="P4521" t="s">
        <v>24</v>
      </c>
      <c r="Q4521" t="s">
        <v>69</v>
      </c>
      <c r="R4521" t="s">
        <v>1030</v>
      </c>
    </row>
    <row r="4522" spans="1:18" x14ac:dyDescent="0.25">
      <c r="A4522" t="s">
        <v>18333</v>
      </c>
      <c r="B4522" t="s">
        <v>1055</v>
      </c>
      <c r="C4522" t="str">
        <f>HYPERLINK("https://nematode.unl.edu/fplat4.jpg")</f>
        <v>https://nematode.unl.edu/fplat4.jpg</v>
      </c>
      <c r="D4522" t="s">
        <v>77</v>
      </c>
      <c r="G4522" t="s">
        <v>28</v>
      </c>
      <c r="I4522" t="s">
        <v>19</v>
      </c>
      <c r="J4522" t="s">
        <v>46</v>
      </c>
      <c r="L4522" t="s">
        <v>727</v>
      </c>
      <c r="M4522" t="s">
        <v>1050</v>
      </c>
      <c r="N4522" t="s">
        <v>1029</v>
      </c>
      <c r="O4522" t="s">
        <v>23</v>
      </c>
      <c r="P4522" t="s">
        <v>24</v>
      </c>
      <c r="Q4522" t="s">
        <v>69</v>
      </c>
      <c r="R4522" t="s">
        <v>1030</v>
      </c>
    </row>
    <row r="4523" spans="1:18" x14ac:dyDescent="0.25">
      <c r="A4523" t="s">
        <v>18329</v>
      </c>
      <c r="B4523" t="s">
        <v>1056</v>
      </c>
      <c r="C4523" t="str">
        <f>HYPERLINK("https://nematode.unl.edu/fplat5.jpg")</f>
        <v>https://nematode.unl.edu/fplat5.jpg</v>
      </c>
      <c r="D4523" t="s">
        <v>16</v>
      </c>
      <c r="G4523" t="s">
        <v>44</v>
      </c>
      <c r="I4523" t="s">
        <v>45</v>
      </c>
      <c r="J4523" t="s">
        <v>46</v>
      </c>
      <c r="L4523" t="s">
        <v>727</v>
      </c>
      <c r="M4523" t="s">
        <v>1050</v>
      </c>
      <c r="N4523" t="s">
        <v>1029</v>
      </c>
      <c r="O4523" t="s">
        <v>23</v>
      </c>
      <c r="P4523" t="s">
        <v>24</v>
      </c>
      <c r="Q4523" t="s">
        <v>69</v>
      </c>
      <c r="R4523" t="s">
        <v>1030</v>
      </c>
    </row>
    <row r="4524" spans="1:18" x14ac:dyDescent="0.25">
      <c r="A4524" t="s">
        <v>18326</v>
      </c>
      <c r="B4524" t="s">
        <v>1057</v>
      </c>
      <c r="C4524" t="str">
        <f>HYPERLINK("https://nematode.unl.edu/fplat6.jpg")</f>
        <v>https://nematode.unl.edu/fplat6.jpg</v>
      </c>
      <c r="D4524" t="s">
        <v>16</v>
      </c>
      <c r="G4524" t="s">
        <v>34</v>
      </c>
      <c r="H4524" t="s">
        <v>18</v>
      </c>
      <c r="I4524" t="s">
        <v>19</v>
      </c>
      <c r="J4524" t="s">
        <v>46</v>
      </c>
      <c r="L4524" t="s">
        <v>727</v>
      </c>
      <c r="M4524" t="s">
        <v>1050</v>
      </c>
      <c r="N4524" t="s">
        <v>1029</v>
      </c>
      <c r="O4524" t="s">
        <v>23</v>
      </c>
      <c r="P4524" t="s">
        <v>24</v>
      </c>
      <c r="Q4524" t="s">
        <v>69</v>
      </c>
      <c r="R4524" t="s">
        <v>1030</v>
      </c>
    </row>
    <row r="4525" spans="1:18" x14ac:dyDescent="0.25">
      <c r="A4525" t="s">
        <v>18327</v>
      </c>
      <c r="B4525" t="s">
        <v>1058</v>
      </c>
      <c r="C4525" t="str">
        <f>HYPERLINK("https://nematode.unl.edu/fplat7.jpg")</f>
        <v>https://nematode.unl.edu/fplat7.jpg</v>
      </c>
      <c r="D4525" t="s">
        <v>16</v>
      </c>
      <c r="G4525" t="s">
        <v>34</v>
      </c>
      <c r="H4525" t="s">
        <v>18</v>
      </c>
      <c r="I4525" t="s">
        <v>19</v>
      </c>
      <c r="J4525" t="s">
        <v>46</v>
      </c>
      <c r="L4525" t="s">
        <v>727</v>
      </c>
      <c r="M4525" t="s">
        <v>1050</v>
      </c>
      <c r="N4525" t="s">
        <v>1029</v>
      </c>
      <c r="O4525" t="s">
        <v>23</v>
      </c>
      <c r="P4525" t="s">
        <v>24</v>
      </c>
      <c r="Q4525" t="s">
        <v>69</v>
      </c>
      <c r="R4525" t="s">
        <v>1030</v>
      </c>
    </row>
    <row r="4526" spans="1:18" x14ac:dyDescent="0.25">
      <c r="A4526" t="s">
        <v>18334</v>
      </c>
      <c r="B4526" t="s">
        <v>1059</v>
      </c>
      <c r="C4526" t="str">
        <f>HYPERLINK("https://nematode.unl.edu/fplat8.jpg")</f>
        <v>https://nematode.unl.edu/fplat8.jpg</v>
      </c>
      <c r="D4526" t="s">
        <v>16</v>
      </c>
      <c r="G4526" t="s">
        <v>28</v>
      </c>
      <c r="I4526" t="s">
        <v>19</v>
      </c>
      <c r="J4526" t="s">
        <v>46</v>
      </c>
      <c r="L4526" t="s">
        <v>727</v>
      </c>
      <c r="M4526" t="s">
        <v>1050</v>
      </c>
      <c r="N4526" t="s">
        <v>1029</v>
      </c>
      <c r="O4526" t="s">
        <v>23</v>
      </c>
      <c r="P4526" t="s">
        <v>24</v>
      </c>
      <c r="Q4526" t="s">
        <v>69</v>
      </c>
      <c r="R4526" t="s">
        <v>1030</v>
      </c>
    </row>
    <row r="4527" spans="1:18" x14ac:dyDescent="0.25">
      <c r="A4527" t="s">
        <v>18330</v>
      </c>
      <c r="B4527" t="s">
        <v>1060</v>
      </c>
      <c r="C4527" t="str">
        <f>HYPERLINK("https://nematode.unl.edu/fplat9.jpg")</f>
        <v>https://nematode.unl.edu/fplat9.jpg</v>
      </c>
      <c r="D4527" t="s">
        <v>43</v>
      </c>
      <c r="G4527" t="s">
        <v>44</v>
      </c>
      <c r="I4527" t="s">
        <v>45</v>
      </c>
      <c r="J4527" t="s">
        <v>20</v>
      </c>
      <c r="L4527" t="s">
        <v>141</v>
      </c>
      <c r="M4527" t="s">
        <v>1050</v>
      </c>
      <c r="N4527" t="s">
        <v>1029</v>
      </c>
      <c r="O4527" t="s">
        <v>23</v>
      </c>
      <c r="P4527" t="s">
        <v>24</v>
      </c>
      <c r="Q4527" t="s">
        <v>69</v>
      </c>
      <c r="R4527" t="s">
        <v>1030</v>
      </c>
    </row>
    <row r="4528" spans="1:18" x14ac:dyDescent="0.25">
      <c r="A4528" t="s">
        <v>18331</v>
      </c>
      <c r="B4528" t="s">
        <v>1061</v>
      </c>
      <c r="C4528" t="str">
        <f>HYPERLINK("https://nematode.unl.edu/fplatcmp.jpg")</f>
        <v>https://nematode.unl.edu/fplatcmp.jpg</v>
      </c>
      <c r="G4528" t="s">
        <v>108</v>
      </c>
      <c r="M4528" t="s">
        <v>1050</v>
      </c>
      <c r="N4528" t="s">
        <v>1029</v>
      </c>
      <c r="O4528" t="s">
        <v>23</v>
      </c>
      <c r="P4528" t="s">
        <v>24</v>
      </c>
      <c r="Q4528" t="s">
        <v>69</v>
      </c>
      <c r="R4528" t="s">
        <v>1030</v>
      </c>
    </row>
    <row r="4529" spans="1:18" x14ac:dyDescent="0.25">
      <c r="A4529" t="s">
        <v>20027</v>
      </c>
      <c r="B4529" t="s">
        <v>5906</v>
      </c>
      <c r="C4529" t="str">
        <f>HYPERLINK("https://nematode.unl.edu/funca1.jpg")</f>
        <v>https://nematode.unl.edu/funca1.jpg</v>
      </c>
      <c r="D4529" t="s">
        <v>43</v>
      </c>
      <c r="G4529" t="s">
        <v>34</v>
      </c>
      <c r="H4529" t="s">
        <v>18</v>
      </c>
      <c r="J4529" t="s">
        <v>46</v>
      </c>
      <c r="L4529" t="s">
        <v>105</v>
      </c>
      <c r="M4529" t="s">
        <v>5907</v>
      </c>
      <c r="N4529" t="s">
        <v>5907</v>
      </c>
      <c r="O4529" t="s">
        <v>73</v>
      </c>
      <c r="P4529" t="s">
        <v>81</v>
      </c>
      <c r="Q4529" t="s">
        <v>2579</v>
      </c>
      <c r="R4529" t="s">
        <v>5908</v>
      </c>
    </row>
    <row r="4530" spans="1:18" x14ac:dyDescent="0.25">
      <c r="A4530" t="s">
        <v>20030</v>
      </c>
      <c r="B4530" t="s">
        <v>5909</v>
      </c>
      <c r="C4530" t="str">
        <f>HYPERLINK("https://nematode.unl.edu/funca2.jpg")</f>
        <v>https://nematode.unl.edu/funca2.jpg</v>
      </c>
      <c r="D4530" t="s">
        <v>43</v>
      </c>
      <c r="G4530" t="s">
        <v>51</v>
      </c>
      <c r="I4530" t="s">
        <v>19</v>
      </c>
      <c r="J4530" t="s">
        <v>46</v>
      </c>
      <c r="L4530" t="s">
        <v>105</v>
      </c>
      <c r="M4530" t="s">
        <v>5907</v>
      </c>
      <c r="N4530" t="s">
        <v>5907</v>
      </c>
      <c r="O4530" t="s">
        <v>73</v>
      </c>
      <c r="P4530" t="s">
        <v>81</v>
      </c>
      <c r="Q4530" t="s">
        <v>2579</v>
      </c>
      <c r="R4530" t="s">
        <v>5908</v>
      </c>
    </row>
    <row r="4531" spans="1:18" x14ac:dyDescent="0.25">
      <c r="A4531" t="s">
        <v>20029</v>
      </c>
      <c r="B4531" t="s">
        <v>5910</v>
      </c>
      <c r="C4531" t="str">
        <f>HYPERLINK("https://nematode.unl.edu/funca3.jpg")</f>
        <v>https://nematode.unl.edu/funca3.jpg</v>
      </c>
      <c r="D4531" t="s">
        <v>43</v>
      </c>
      <c r="G4531" t="s">
        <v>28</v>
      </c>
      <c r="J4531" t="s">
        <v>46</v>
      </c>
      <c r="L4531" t="s">
        <v>105</v>
      </c>
      <c r="M4531" t="s">
        <v>5907</v>
      </c>
      <c r="N4531" t="s">
        <v>5907</v>
      </c>
      <c r="O4531" t="s">
        <v>73</v>
      </c>
      <c r="P4531" t="s">
        <v>81</v>
      </c>
      <c r="Q4531" t="s">
        <v>2579</v>
      </c>
      <c r="R4531" t="s">
        <v>5908</v>
      </c>
    </row>
    <row r="4532" spans="1:18" x14ac:dyDescent="0.25">
      <c r="A4532" t="s">
        <v>20028</v>
      </c>
      <c r="B4532" t="s">
        <v>5911</v>
      </c>
      <c r="C4532" t="str">
        <f>HYPERLINK("https://nematode.unl.edu/funca4.jpg")</f>
        <v>https://nematode.unl.edu/funca4.jpg</v>
      </c>
      <c r="D4532" t="s">
        <v>43</v>
      </c>
      <c r="G4532" t="s">
        <v>34</v>
      </c>
      <c r="H4532" t="s">
        <v>18</v>
      </c>
      <c r="I4532" t="s">
        <v>41</v>
      </c>
      <c r="J4532" t="s">
        <v>46</v>
      </c>
      <c r="L4532" t="s">
        <v>105</v>
      </c>
      <c r="M4532" t="s">
        <v>5907</v>
      </c>
      <c r="N4532" t="s">
        <v>5907</v>
      </c>
      <c r="O4532" t="s">
        <v>73</v>
      </c>
      <c r="P4532" t="s">
        <v>81</v>
      </c>
      <c r="Q4532" t="s">
        <v>2579</v>
      </c>
      <c r="R4532" t="s">
        <v>5908</v>
      </c>
    </row>
    <row r="4533" spans="1:18" x14ac:dyDescent="0.25">
      <c r="A4533" t="s">
        <v>20031</v>
      </c>
      <c r="B4533" t="s">
        <v>5912</v>
      </c>
      <c r="C4533" t="str">
        <f>HYPERLINK("https://nematode.unl.edu/funca5.jpg")</f>
        <v>https://nematode.unl.edu/funca5.jpg</v>
      </c>
      <c r="D4533" t="s">
        <v>43</v>
      </c>
      <c r="G4533" t="s">
        <v>51</v>
      </c>
      <c r="I4533" t="s">
        <v>41</v>
      </c>
      <c r="J4533" t="s">
        <v>46</v>
      </c>
      <c r="L4533" t="s">
        <v>105</v>
      </c>
      <c r="M4533" t="s">
        <v>5907</v>
      </c>
      <c r="N4533" t="s">
        <v>5907</v>
      </c>
      <c r="O4533" t="s">
        <v>73</v>
      </c>
      <c r="P4533" t="s">
        <v>81</v>
      </c>
      <c r="Q4533" t="s">
        <v>2579</v>
      </c>
      <c r="R4533" t="s">
        <v>5908</v>
      </c>
    </row>
    <row r="4534" spans="1:18" x14ac:dyDescent="0.25">
      <c r="A4534" t="s">
        <v>15862</v>
      </c>
      <c r="B4534" t="s">
        <v>5918</v>
      </c>
      <c r="C4534" t="str">
        <f>HYPERLINK("https://nematode.unl.edu/garctic1.jpg")</f>
        <v>https://nematode.unl.edu/garctic1.jpg</v>
      </c>
      <c r="D4534" t="s">
        <v>43</v>
      </c>
      <c r="G4534" t="s">
        <v>96</v>
      </c>
      <c r="H4534" t="s">
        <v>18</v>
      </c>
      <c r="I4534" t="s">
        <v>5919</v>
      </c>
      <c r="J4534" t="s">
        <v>5920</v>
      </c>
      <c r="M4534" t="s">
        <v>5921</v>
      </c>
      <c r="N4534" t="s">
        <v>5921</v>
      </c>
      <c r="O4534" t="s">
        <v>23</v>
      </c>
      <c r="P4534" t="s">
        <v>24</v>
      </c>
      <c r="Q4534" t="s">
        <v>1071</v>
      </c>
      <c r="R4534" t="s">
        <v>1072</v>
      </c>
    </row>
    <row r="4535" spans="1:18" x14ac:dyDescent="0.25">
      <c r="A4535" t="s">
        <v>15863</v>
      </c>
      <c r="B4535" t="s">
        <v>5922</v>
      </c>
      <c r="C4535" t="str">
        <f>HYPERLINK("https://nematode.unl.edu/garctic2.jpg")</f>
        <v>https://nematode.unl.edu/garctic2.jpg</v>
      </c>
      <c r="D4535" t="s">
        <v>43</v>
      </c>
      <c r="G4535" t="s">
        <v>4064</v>
      </c>
      <c r="H4535" t="s">
        <v>18</v>
      </c>
      <c r="I4535" t="s">
        <v>5919</v>
      </c>
      <c r="M4535" t="s">
        <v>5921</v>
      </c>
      <c r="N4535" t="s">
        <v>5921</v>
      </c>
      <c r="O4535" t="s">
        <v>23</v>
      </c>
      <c r="P4535" t="s">
        <v>24</v>
      </c>
      <c r="Q4535" t="s">
        <v>1071</v>
      </c>
      <c r="R4535" t="s">
        <v>1072</v>
      </c>
    </row>
    <row r="4536" spans="1:18" x14ac:dyDescent="0.25">
      <c r="A4536" t="s">
        <v>15864</v>
      </c>
      <c r="B4536" t="s">
        <v>5923</v>
      </c>
      <c r="C4536" t="str">
        <f>HYPERLINK("https://nematode.unl.edu/garctic3.jpg")</f>
        <v>https://nematode.unl.edu/garctic3.jpg</v>
      </c>
      <c r="D4536" t="s">
        <v>43</v>
      </c>
      <c r="G4536" t="s">
        <v>28</v>
      </c>
      <c r="M4536" t="s">
        <v>5921</v>
      </c>
      <c r="N4536" t="s">
        <v>5921</v>
      </c>
      <c r="O4536" t="s">
        <v>23</v>
      </c>
      <c r="P4536" t="s">
        <v>24</v>
      </c>
      <c r="Q4536" t="s">
        <v>1071</v>
      </c>
      <c r="R4536" t="s">
        <v>1072</v>
      </c>
    </row>
    <row r="4537" spans="1:18" x14ac:dyDescent="0.25">
      <c r="A4537" t="s">
        <v>12268</v>
      </c>
      <c r="B4537" t="s">
        <v>5952</v>
      </c>
      <c r="C4537" t="str">
        <f>HYPERLINK("https://nematode.unl.edu/gaust1.jpg")</f>
        <v>https://nematode.unl.edu/gaust1.jpg</v>
      </c>
      <c r="D4537" t="s">
        <v>43</v>
      </c>
      <c r="G4537" t="s">
        <v>44</v>
      </c>
      <c r="I4537" t="s">
        <v>45</v>
      </c>
      <c r="J4537" t="s">
        <v>1517</v>
      </c>
      <c r="L4537" t="s">
        <v>1677</v>
      </c>
      <c r="M4537" t="s">
        <v>5953</v>
      </c>
      <c r="N4537" t="s">
        <v>5953</v>
      </c>
      <c r="O4537" t="s">
        <v>23</v>
      </c>
      <c r="P4537" t="s">
        <v>1024</v>
      </c>
      <c r="Q4537" t="s">
        <v>1025</v>
      </c>
      <c r="R4537" t="s">
        <v>1079</v>
      </c>
    </row>
    <row r="4538" spans="1:18" x14ac:dyDescent="0.25">
      <c r="A4538" t="s">
        <v>12272</v>
      </c>
      <c r="B4538" t="s">
        <v>5954</v>
      </c>
      <c r="C4538" t="str">
        <f>HYPERLINK("https://nematode.unl.edu/gaust10.jpg")</f>
        <v>https://nematode.unl.edu/gaust10.jpg</v>
      </c>
      <c r="D4538" t="s">
        <v>16</v>
      </c>
      <c r="G4538" t="s">
        <v>5955</v>
      </c>
      <c r="I4538" t="s">
        <v>529</v>
      </c>
      <c r="J4538" t="s">
        <v>1525</v>
      </c>
      <c r="L4538" t="s">
        <v>1526</v>
      </c>
      <c r="M4538" t="s">
        <v>5953</v>
      </c>
      <c r="N4538" t="s">
        <v>5953</v>
      </c>
      <c r="O4538" t="s">
        <v>23</v>
      </c>
      <c r="P4538" t="s">
        <v>1024</v>
      </c>
      <c r="Q4538" t="s">
        <v>1025</v>
      </c>
      <c r="R4538" t="s">
        <v>1079</v>
      </c>
    </row>
    <row r="4539" spans="1:18" x14ac:dyDescent="0.25">
      <c r="A4539" t="s">
        <v>12269</v>
      </c>
      <c r="B4539" t="s">
        <v>5956</v>
      </c>
      <c r="C4539" t="str">
        <f>HYPERLINK("https://nematode.unl.edu/gaust2.jpg")</f>
        <v>https://nematode.unl.edu/gaust2.jpg</v>
      </c>
      <c r="D4539" t="s">
        <v>43</v>
      </c>
      <c r="G4539" t="s">
        <v>44</v>
      </c>
      <c r="I4539" t="s">
        <v>4020</v>
      </c>
      <c r="J4539" t="s">
        <v>1517</v>
      </c>
      <c r="L4539" t="s">
        <v>1677</v>
      </c>
      <c r="M4539" t="s">
        <v>5953</v>
      </c>
      <c r="N4539" t="s">
        <v>5953</v>
      </c>
      <c r="O4539" t="s">
        <v>23</v>
      </c>
      <c r="P4539" t="s">
        <v>1024</v>
      </c>
      <c r="Q4539" t="s">
        <v>1025</v>
      </c>
      <c r="R4539" t="s">
        <v>1079</v>
      </c>
    </row>
    <row r="4540" spans="1:18" x14ac:dyDescent="0.25">
      <c r="A4540" t="s">
        <v>12266</v>
      </c>
      <c r="B4540" t="s">
        <v>5957</v>
      </c>
      <c r="C4540" t="str">
        <f>HYPERLINK("https://nematode.unl.edu/gaust3.jpg")</f>
        <v>https://nematode.unl.edu/gaust3.jpg</v>
      </c>
      <c r="D4540" t="s">
        <v>43</v>
      </c>
      <c r="G4540" t="s">
        <v>34</v>
      </c>
      <c r="H4540" t="s">
        <v>18</v>
      </c>
      <c r="I4540" t="s">
        <v>19</v>
      </c>
      <c r="J4540" t="s">
        <v>1517</v>
      </c>
      <c r="L4540" t="s">
        <v>1677</v>
      </c>
      <c r="M4540" t="s">
        <v>5953</v>
      </c>
      <c r="N4540" t="s">
        <v>5953</v>
      </c>
      <c r="O4540" t="s">
        <v>23</v>
      </c>
      <c r="P4540" t="s">
        <v>1024</v>
      </c>
      <c r="Q4540" t="s">
        <v>1025</v>
      </c>
      <c r="R4540" t="s">
        <v>1079</v>
      </c>
    </row>
    <row r="4541" spans="1:18" x14ac:dyDescent="0.25">
      <c r="A4541" t="s">
        <v>12273</v>
      </c>
      <c r="B4541" t="s">
        <v>5958</v>
      </c>
      <c r="C4541" t="str">
        <f>HYPERLINK("https://nematode.unl.edu/gaust4.jpg")</f>
        <v>https://nematode.unl.edu/gaust4.jpg</v>
      </c>
      <c r="D4541" t="s">
        <v>43</v>
      </c>
      <c r="G4541" t="s">
        <v>28</v>
      </c>
      <c r="I4541" t="s">
        <v>19</v>
      </c>
      <c r="L4541" t="s">
        <v>1677</v>
      </c>
      <c r="M4541" t="s">
        <v>5953</v>
      </c>
      <c r="N4541" t="s">
        <v>5953</v>
      </c>
      <c r="O4541" t="s">
        <v>23</v>
      </c>
      <c r="P4541" t="s">
        <v>1024</v>
      </c>
      <c r="Q4541" t="s">
        <v>1025</v>
      </c>
      <c r="R4541" t="s">
        <v>1079</v>
      </c>
    </row>
    <row r="4542" spans="1:18" x14ac:dyDescent="0.25">
      <c r="A4542" t="s">
        <v>12267</v>
      </c>
      <c r="B4542" t="s">
        <v>5959</v>
      </c>
      <c r="C4542" t="str">
        <f>HYPERLINK("https://nematode.unl.edu/gaust5.jpg")</f>
        <v>https://nematode.unl.edu/gaust5.jpg</v>
      </c>
      <c r="D4542" t="s">
        <v>43</v>
      </c>
      <c r="G4542" t="s">
        <v>34</v>
      </c>
      <c r="H4542" t="s">
        <v>18</v>
      </c>
      <c r="I4542" t="s">
        <v>41</v>
      </c>
      <c r="J4542" t="s">
        <v>1525</v>
      </c>
      <c r="L4542" t="s">
        <v>1526</v>
      </c>
      <c r="M4542" t="s">
        <v>5953</v>
      </c>
      <c r="N4542" t="s">
        <v>5953</v>
      </c>
      <c r="O4542" t="s">
        <v>23</v>
      </c>
      <c r="P4542" t="s">
        <v>1024</v>
      </c>
      <c r="Q4542" t="s">
        <v>1025</v>
      </c>
      <c r="R4542" t="s">
        <v>1079</v>
      </c>
    </row>
    <row r="4543" spans="1:18" x14ac:dyDescent="0.25">
      <c r="A4543" t="s">
        <v>12265</v>
      </c>
      <c r="B4543" t="s">
        <v>5960</v>
      </c>
      <c r="C4543" t="str">
        <f>HYPERLINK("https://nematode.unl.edu/gaust6.jpg")</f>
        <v>https://nematode.unl.edu/gaust6.jpg</v>
      </c>
      <c r="D4543" t="s">
        <v>43</v>
      </c>
      <c r="G4543" t="s">
        <v>386</v>
      </c>
      <c r="H4543" t="s">
        <v>18</v>
      </c>
      <c r="I4543" t="s">
        <v>41</v>
      </c>
      <c r="J4543" t="s">
        <v>1517</v>
      </c>
      <c r="L4543" t="s">
        <v>1677</v>
      </c>
      <c r="M4543" t="s">
        <v>5953</v>
      </c>
      <c r="N4543" t="s">
        <v>5953</v>
      </c>
      <c r="O4543" t="s">
        <v>23</v>
      </c>
      <c r="P4543" t="s">
        <v>1024</v>
      </c>
      <c r="Q4543" t="s">
        <v>1025</v>
      </c>
      <c r="R4543" t="s">
        <v>1079</v>
      </c>
    </row>
    <row r="4544" spans="1:18" x14ac:dyDescent="0.25">
      <c r="A4544" t="s">
        <v>12271</v>
      </c>
      <c r="B4544" t="s">
        <v>5961</v>
      </c>
      <c r="C4544" t="str">
        <f>HYPERLINK("https://nematode.unl.edu/gaust7.jpg")</f>
        <v>https://nematode.unl.edu/gaust7.jpg</v>
      </c>
      <c r="D4544" t="s">
        <v>43</v>
      </c>
      <c r="G4544" t="s">
        <v>2142</v>
      </c>
      <c r="I4544" t="s">
        <v>41</v>
      </c>
      <c r="J4544" t="s">
        <v>1525</v>
      </c>
      <c r="L4544" t="s">
        <v>1526</v>
      </c>
      <c r="M4544" t="s">
        <v>5953</v>
      </c>
      <c r="N4544" t="s">
        <v>5953</v>
      </c>
      <c r="O4544" t="s">
        <v>23</v>
      </c>
      <c r="P4544" t="s">
        <v>1024</v>
      </c>
      <c r="Q4544" t="s">
        <v>1025</v>
      </c>
      <c r="R4544" t="s">
        <v>1079</v>
      </c>
    </row>
    <row r="4545" spans="1:18" x14ac:dyDescent="0.25">
      <c r="A4545" t="s">
        <v>12270</v>
      </c>
      <c r="B4545" t="s">
        <v>5962</v>
      </c>
      <c r="C4545" t="str">
        <f>HYPERLINK("https://nematode.unl.edu/gaust8.jpg")</f>
        <v>https://nematode.unl.edu/gaust8.jpg</v>
      </c>
      <c r="D4545" t="s">
        <v>43</v>
      </c>
      <c r="G4545" t="s">
        <v>1000</v>
      </c>
      <c r="I4545" t="s">
        <v>41</v>
      </c>
      <c r="J4545" t="s">
        <v>1525</v>
      </c>
      <c r="L4545" t="s">
        <v>1526</v>
      </c>
      <c r="M4545" t="s">
        <v>5953</v>
      </c>
      <c r="N4545" t="s">
        <v>5953</v>
      </c>
      <c r="O4545" t="s">
        <v>23</v>
      </c>
      <c r="P4545" t="s">
        <v>1024</v>
      </c>
      <c r="Q4545" t="s">
        <v>1025</v>
      </c>
      <c r="R4545" t="s">
        <v>1079</v>
      </c>
    </row>
    <row r="4546" spans="1:18" x14ac:dyDescent="0.25">
      <c r="A4546" t="s">
        <v>12274</v>
      </c>
      <c r="B4546" t="s">
        <v>5963</v>
      </c>
      <c r="C4546" t="str">
        <f>HYPERLINK("https://nematode.unl.edu/gaust9.jpg")</f>
        <v>https://nematode.unl.edu/gaust9.jpg</v>
      </c>
      <c r="D4546" t="s">
        <v>43</v>
      </c>
      <c r="G4546" t="s">
        <v>51</v>
      </c>
      <c r="I4546" t="s">
        <v>41</v>
      </c>
      <c r="J4546" t="s">
        <v>1525</v>
      </c>
      <c r="L4546" t="s">
        <v>1526</v>
      </c>
      <c r="M4546" t="s">
        <v>5953</v>
      </c>
      <c r="N4546" t="s">
        <v>5953</v>
      </c>
      <c r="O4546" t="s">
        <v>23</v>
      </c>
      <c r="P4546" t="s">
        <v>1024</v>
      </c>
      <c r="Q4546" t="s">
        <v>1025</v>
      </c>
      <c r="R4546" t="s">
        <v>1079</v>
      </c>
    </row>
    <row r="4547" spans="1:18" x14ac:dyDescent="0.25">
      <c r="A4547" t="s">
        <v>15859</v>
      </c>
      <c r="B4547" t="s">
        <v>5913</v>
      </c>
      <c r="C4547" t="str">
        <f>HYPERLINK("https://nematode.unl.edu/geoce1.jpg")</f>
        <v>https://nematode.unl.edu/geoce1.jpg</v>
      </c>
      <c r="D4547" t="s">
        <v>77</v>
      </c>
      <c r="G4547" t="s">
        <v>44</v>
      </c>
      <c r="I4547" t="s">
        <v>91</v>
      </c>
      <c r="J4547" t="s">
        <v>267</v>
      </c>
      <c r="M4547" t="s">
        <v>1072</v>
      </c>
      <c r="N4547" t="s">
        <v>1072</v>
      </c>
      <c r="O4547" t="s">
        <v>23</v>
      </c>
      <c r="P4547" t="s">
        <v>24</v>
      </c>
      <c r="Q4547" t="s">
        <v>1071</v>
      </c>
      <c r="R4547" t="s">
        <v>1072</v>
      </c>
    </row>
    <row r="4548" spans="1:18" x14ac:dyDescent="0.25">
      <c r="A4548" t="s">
        <v>15857</v>
      </c>
      <c r="B4548" t="s">
        <v>5914</v>
      </c>
      <c r="C4548" t="str">
        <f>HYPERLINK("https://nematode.unl.edu/geoce2.jpg")</f>
        <v>https://nematode.unl.edu/geoce2.jpg</v>
      </c>
      <c r="D4548" t="s">
        <v>77</v>
      </c>
      <c r="G4548" t="s">
        <v>34</v>
      </c>
      <c r="H4548" t="s">
        <v>18</v>
      </c>
      <c r="I4548" t="s">
        <v>41</v>
      </c>
      <c r="M4548" t="s">
        <v>1072</v>
      </c>
      <c r="N4548" t="s">
        <v>1072</v>
      </c>
      <c r="O4548" t="s">
        <v>23</v>
      </c>
      <c r="P4548" t="s">
        <v>24</v>
      </c>
      <c r="Q4548" t="s">
        <v>1071</v>
      </c>
      <c r="R4548" t="s">
        <v>1072</v>
      </c>
    </row>
    <row r="4549" spans="1:18" x14ac:dyDescent="0.25">
      <c r="A4549" t="s">
        <v>15860</v>
      </c>
      <c r="B4549" t="s">
        <v>5915</v>
      </c>
      <c r="C4549" t="str">
        <f>HYPERLINK("https://nematode.unl.edu/geoce3.jpg")</f>
        <v>https://nematode.unl.edu/geoce3.jpg</v>
      </c>
      <c r="D4549" t="s">
        <v>77</v>
      </c>
      <c r="G4549" t="s">
        <v>1906</v>
      </c>
      <c r="I4549" t="s">
        <v>19</v>
      </c>
      <c r="J4549" t="s">
        <v>267</v>
      </c>
      <c r="M4549" t="s">
        <v>1072</v>
      </c>
      <c r="N4549" t="s">
        <v>1072</v>
      </c>
      <c r="O4549" t="s">
        <v>23</v>
      </c>
      <c r="P4549" t="s">
        <v>24</v>
      </c>
      <c r="Q4549" t="s">
        <v>1071</v>
      </c>
      <c r="R4549" t="s">
        <v>1072</v>
      </c>
    </row>
    <row r="4550" spans="1:18" x14ac:dyDescent="0.25">
      <c r="A4550" t="s">
        <v>15858</v>
      </c>
      <c r="B4550" t="s">
        <v>5916</v>
      </c>
      <c r="C4550" t="str">
        <f>HYPERLINK("https://nematode.unl.edu/geoce4.jpg")</f>
        <v>https://nematode.unl.edu/geoce4.jpg</v>
      </c>
      <c r="D4550" t="s">
        <v>77</v>
      </c>
      <c r="G4550" t="s">
        <v>34</v>
      </c>
      <c r="H4550" t="s">
        <v>18</v>
      </c>
      <c r="M4550" t="s">
        <v>1072</v>
      </c>
      <c r="N4550" t="s">
        <v>1072</v>
      </c>
      <c r="O4550" t="s">
        <v>23</v>
      </c>
      <c r="P4550" t="s">
        <v>24</v>
      </c>
      <c r="Q4550" t="s">
        <v>1071</v>
      </c>
      <c r="R4550" t="s">
        <v>1072</v>
      </c>
    </row>
    <row r="4551" spans="1:18" x14ac:dyDescent="0.25">
      <c r="A4551" t="s">
        <v>15861</v>
      </c>
      <c r="B4551" t="s">
        <v>5917</v>
      </c>
      <c r="C4551" t="str">
        <f>HYPERLINK("https://nematode.unl.edu/geoce5.jpg")</f>
        <v>https://nematode.unl.edu/geoce5.jpg</v>
      </c>
      <c r="D4551" t="s">
        <v>77</v>
      </c>
      <c r="G4551" t="s">
        <v>53</v>
      </c>
      <c r="I4551" t="s">
        <v>41</v>
      </c>
      <c r="M4551" t="s">
        <v>1072</v>
      </c>
      <c r="N4551" t="s">
        <v>1072</v>
      </c>
      <c r="O4551" t="s">
        <v>23</v>
      </c>
      <c r="P4551" t="s">
        <v>24</v>
      </c>
      <c r="Q4551" t="s">
        <v>1071</v>
      </c>
      <c r="R4551" t="s">
        <v>1072</v>
      </c>
    </row>
    <row r="4552" spans="1:18" x14ac:dyDescent="0.25">
      <c r="A4552" t="s">
        <v>15870</v>
      </c>
      <c r="B4552" t="s">
        <v>5928</v>
      </c>
      <c r="C4552" t="str">
        <f>HYPERLINK("https://nematode.unl.edu/geocenten1.jpg")</f>
        <v>https://nematode.unl.edu/geocenten1.jpg</v>
      </c>
      <c r="D4552" t="s">
        <v>77</v>
      </c>
      <c r="G4552" t="s">
        <v>44</v>
      </c>
      <c r="I4552" t="s">
        <v>19</v>
      </c>
      <c r="J4552" t="s">
        <v>5929</v>
      </c>
      <c r="L4552" t="s">
        <v>5930</v>
      </c>
      <c r="M4552" t="s">
        <v>5931</v>
      </c>
      <c r="N4552" t="s">
        <v>5931</v>
      </c>
      <c r="O4552" t="s">
        <v>23</v>
      </c>
      <c r="P4552" t="s">
        <v>24</v>
      </c>
      <c r="Q4552" t="s">
        <v>1071</v>
      </c>
      <c r="R4552" t="s">
        <v>1072</v>
      </c>
    </row>
    <row r="4553" spans="1:18" x14ac:dyDescent="0.25">
      <c r="A4553" t="s">
        <v>15867</v>
      </c>
      <c r="B4553" t="s">
        <v>5932</v>
      </c>
      <c r="C4553" t="str">
        <f>HYPERLINK("https://nematode.unl.edu/geocenten2.jpg")</f>
        <v>https://nematode.unl.edu/geocenten2.jpg</v>
      </c>
      <c r="D4553" t="s">
        <v>77</v>
      </c>
      <c r="G4553" t="s">
        <v>96</v>
      </c>
      <c r="H4553" t="s">
        <v>18</v>
      </c>
      <c r="I4553" t="s">
        <v>19</v>
      </c>
      <c r="M4553" t="s">
        <v>5931</v>
      </c>
      <c r="N4553" t="s">
        <v>5931</v>
      </c>
      <c r="O4553" t="s">
        <v>23</v>
      </c>
      <c r="P4553" t="s">
        <v>24</v>
      </c>
      <c r="Q4553" t="s">
        <v>1071</v>
      </c>
      <c r="R4553" t="s">
        <v>1072</v>
      </c>
    </row>
    <row r="4554" spans="1:18" x14ac:dyDescent="0.25">
      <c r="A4554" t="s">
        <v>15876</v>
      </c>
      <c r="B4554" t="s">
        <v>5933</v>
      </c>
      <c r="C4554" t="str">
        <f>HYPERLINK("https://nematode.unl.edu/geocenten3.jpg")</f>
        <v>https://nematode.unl.edu/geocenten3.jpg</v>
      </c>
      <c r="D4554" t="s">
        <v>77</v>
      </c>
      <c r="G4554" t="s">
        <v>28</v>
      </c>
      <c r="I4554" t="s">
        <v>19</v>
      </c>
      <c r="M4554" t="s">
        <v>5931</v>
      </c>
      <c r="N4554" t="s">
        <v>5931</v>
      </c>
      <c r="O4554" t="s">
        <v>23</v>
      </c>
      <c r="P4554" t="s">
        <v>24</v>
      </c>
      <c r="Q4554" t="s">
        <v>1071</v>
      </c>
      <c r="R4554" t="s">
        <v>1072</v>
      </c>
    </row>
    <row r="4555" spans="1:18" x14ac:dyDescent="0.25">
      <c r="A4555" t="s">
        <v>12261</v>
      </c>
      <c r="B4555" t="s">
        <v>5942</v>
      </c>
      <c r="C4555" t="str">
        <f>HYPERLINK("https://nematode.unl.edu/geomonae1.jpg")</f>
        <v>https://nematode.unl.edu/geomonae1.jpg</v>
      </c>
      <c r="D4555" t="s">
        <v>43</v>
      </c>
      <c r="G4555" t="s">
        <v>44</v>
      </c>
      <c r="I4555" t="s">
        <v>91</v>
      </c>
      <c r="J4555" t="s">
        <v>20</v>
      </c>
      <c r="L4555" t="s">
        <v>29</v>
      </c>
      <c r="M4555" t="s">
        <v>5943</v>
      </c>
      <c r="N4555" t="s">
        <v>5943</v>
      </c>
      <c r="O4555" t="s">
        <v>23</v>
      </c>
      <c r="P4555" t="s">
        <v>1024</v>
      </c>
      <c r="Q4555" t="s">
        <v>1025</v>
      </c>
      <c r="R4555" t="s">
        <v>1079</v>
      </c>
    </row>
    <row r="4556" spans="1:18" x14ac:dyDescent="0.25">
      <c r="A4556" t="s">
        <v>12259</v>
      </c>
      <c r="B4556" t="s">
        <v>5944</v>
      </c>
      <c r="C4556" t="str">
        <f>HYPERLINK("https://nematode.unl.edu/geomonae2.jpg")</f>
        <v>https://nematode.unl.edu/geomonae2.jpg</v>
      </c>
      <c r="D4556" t="s">
        <v>43</v>
      </c>
      <c r="G4556" t="s">
        <v>34</v>
      </c>
      <c r="H4556" t="s">
        <v>18</v>
      </c>
      <c r="I4556" t="s">
        <v>19</v>
      </c>
      <c r="J4556" t="s">
        <v>20</v>
      </c>
      <c r="L4556" t="s">
        <v>29</v>
      </c>
      <c r="M4556" t="s">
        <v>5943</v>
      </c>
      <c r="N4556" t="s">
        <v>5943</v>
      </c>
      <c r="O4556" t="s">
        <v>23</v>
      </c>
      <c r="P4556" t="s">
        <v>1024</v>
      </c>
      <c r="Q4556" t="s">
        <v>1025</v>
      </c>
      <c r="R4556" t="s">
        <v>1079</v>
      </c>
    </row>
    <row r="4557" spans="1:18" x14ac:dyDescent="0.25">
      <c r="A4557" t="s">
        <v>12257</v>
      </c>
      <c r="B4557" t="s">
        <v>5945</v>
      </c>
      <c r="C4557" t="str">
        <f>HYPERLINK("https://nematode.unl.edu/geomonae3.jpg")</f>
        <v>https://nematode.unl.edu/geomonae3.jpg</v>
      </c>
      <c r="D4557" t="s">
        <v>43</v>
      </c>
      <c r="G4557" t="s">
        <v>17</v>
      </c>
      <c r="H4557" t="s">
        <v>18</v>
      </c>
      <c r="I4557" t="s">
        <v>19</v>
      </c>
      <c r="J4557" t="s">
        <v>20</v>
      </c>
      <c r="L4557" t="s">
        <v>29</v>
      </c>
      <c r="M4557" t="s">
        <v>5943</v>
      </c>
      <c r="N4557" t="s">
        <v>5943</v>
      </c>
      <c r="O4557" t="s">
        <v>23</v>
      </c>
      <c r="P4557" t="s">
        <v>1024</v>
      </c>
      <c r="Q4557" t="s">
        <v>1025</v>
      </c>
      <c r="R4557" t="s">
        <v>1079</v>
      </c>
    </row>
    <row r="4558" spans="1:18" x14ac:dyDescent="0.25">
      <c r="A4558" t="s">
        <v>12263</v>
      </c>
      <c r="B4558" t="s">
        <v>5946</v>
      </c>
      <c r="C4558" t="str">
        <f>HYPERLINK("https://nematode.unl.edu/geomonae4.jpg")</f>
        <v>https://nematode.unl.edu/geomonae4.jpg</v>
      </c>
      <c r="D4558" t="s">
        <v>43</v>
      </c>
      <c r="G4558" t="s">
        <v>51</v>
      </c>
      <c r="I4558" t="s">
        <v>19</v>
      </c>
      <c r="J4558" t="s">
        <v>20</v>
      </c>
      <c r="L4558" t="s">
        <v>29</v>
      </c>
      <c r="M4558" t="s">
        <v>5943</v>
      </c>
      <c r="N4558" t="s">
        <v>5943</v>
      </c>
      <c r="O4558" t="s">
        <v>23</v>
      </c>
      <c r="P4558" t="s">
        <v>1024</v>
      </c>
      <c r="Q4558" t="s">
        <v>1025</v>
      </c>
      <c r="R4558" t="s">
        <v>1079</v>
      </c>
    </row>
    <row r="4559" spans="1:18" x14ac:dyDescent="0.25">
      <c r="A4559" t="s">
        <v>12262</v>
      </c>
      <c r="B4559" t="s">
        <v>5947</v>
      </c>
      <c r="C4559" t="str">
        <f>HYPERLINK("https://nematode.unl.edu/geomonae5.jpg")</f>
        <v>https://nematode.unl.edu/geomonae5.jpg</v>
      </c>
      <c r="D4559" t="s">
        <v>43</v>
      </c>
      <c r="G4559" t="s">
        <v>28</v>
      </c>
      <c r="I4559" t="s">
        <v>19</v>
      </c>
      <c r="J4559" t="s">
        <v>20</v>
      </c>
      <c r="M4559" t="s">
        <v>5943</v>
      </c>
      <c r="N4559" t="s">
        <v>5943</v>
      </c>
      <c r="O4559" t="s">
        <v>23</v>
      </c>
      <c r="P4559" t="s">
        <v>1024</v>
      </c>
      <c r="Q4559" t="s">
        <v>1025</v>
      </c>
      <c r="R4559" t="s">
        <v>1079</v>
      </c>
    </row>
    <row r="4560" spans="1:18" x14ac:dyDescent="0.25">
      <c r="A4560" t="s">
        <v>12260</v>
      </c>
      <c r="B4560" t="s">
        <v>5948</v>
      </c>
      <c r="C4560" t="str">
        <f>HYPERLINK("https://nematode.unl.edu/geomonae6.jpg")</f>
        <v>https://nematode.unl.edu/geomonae6.jpg</v>
      </c>
      <c r="D4560" t="s">
        <v>43</v>
      </c>
      <c r="G4560" t="s">
        <v>34</v>
      </c>
      <c r="H4560" t="s">
        <v>18</v>
      </c>
      <c r="J4560" t="s">
        <v>20</v>
      </c>
      <c r="M4560" t="s">
        <v>5943</v>
      </c>
      <c r="N4560" t="s">
        <v>5943</v>
      </c>
      <c r="O4560" t="s">
        <v>23</v>
      </c>
      <c r="P4560" t="s">
        <v>1024</v>
      </c>
      <c r="Q4560" t="s">
        <v>1025</v>
      </c>
      <c r="R4560" t="s">
        <v>1079</v>
      </c>
    </row>
    <row r="4561" spans="1:18" x14ac:dyDescent="0.25">
      <c r="A4561" t="s">
        <v>12258</v>
      </c>
      <c r="B4561" t="s">
        <v>5949</v>
      </c>
      <c r="C4561" t="str">
        <f>HYPERLINK("https://nematode.unl.edu/geomonae7.jpg")</f>
        <v>https://nematode.unl.edu/geomonae7.jpg</v>
      </c>
      <c r="D4561" t="s">
        <v>43</v>
      </c>
      <c r="G4561" t="s">
        <v>17</v>
      </c>
      <c r="H4561" t="s">
        <v>18</v>
      </c>
      <c r="I4561" t="s">
        <v>41</v>
      </c>
      <c r="J4561" t="s">
        <v>20</v>
      </c>
      <c r="M4561" t="s">
        <v>5943</v>
      </c>
      <c r="N4561" t="s">
        <v>5943</v>
      </c>
      <c r="O4561" t="s">
        <v>23</v>
      </c>
      <c r="P4561" t="s">
        <v>1024</v>
      </c>
      <c r="Q4561" t="s">
        <v>1025</v>
      </c>
      <c r="R4561" t="s">
        <v>1079</v>
      </c>
    </row>
    <row r="4562" spans="1:18" x14ac:dyDescent="0.25">
      <c r="A4562" t="s">
        <v>12264</v>
      </c>
      <c r="B4562" t="s">
        <v>5950</v>
      </c>
      <c r="C4562" t="str">
        <f>HYPERLINK("https://nematode.unl.edu/geomonae8.jpg")</f>
        <v>https://nematode.unl.edu/geomonae8.jpg</v>
      </c>
      <c r="D4562" t="s">
        <v>43</v>
      </c>
      <c r="G4562" t="s">
        <v>51</v>
      </c>
      <c r="I4562" t="s">
        <v>41</v>
      </c>
      <c r="J4562" t="s">
        <v>20</v>
      </c>
      <c r="L4562" t="s">
        <v>29</v>
      </c>
      <c r="M4562" t="s">
        <v>5943</v>
      </c>
      <c r="N4562" t="s">
        <v>5943</v>
      </c>
      <c r="O4562" t="s">
        <v>23</v>
      </c>
      <c r="P4562" t="s">
        <v>1024</v>
      </c>
      <c r="Q4562" t="s">
        <v>1025</v>
      </c>
      <c r="R4562" t="s">
        <v>1079</v>
      </c>
    </row>
    <row r="4563" spans="1:18" x14ac:dyDescent="0.25">
      <c r="A4563" t="s">
        <v>12256</v>
      </c>
      <c r="B4563" t="s">
        <v>5951</v>
      </c>
      <c r="C4563" t="str">
        <f>HYPERLINK("https://nematode.unl.edu/geomonae9.jpg")</f>
        <v>https://nematode.unl.edu/geomonae9.jpg</v>
      </c>
      <c r="D4563" t="s">
        <v>43</v>
      </c>
      <c r="G4563" t="s">
        <v>386</v>
      </c>
      <c r="H4563" t="s">
        <v>18</v>
      </c>
      <c r="I4563" t="s">
        <v>41</v>
      </c>
      <c r="J4563" t="s">
        <v>20</v>
      </c>
      <c r="M4563" t="s">
        <v>5943</v>
      </c>
      <c r="N4563" t="s">
        <v>5943</v>
      </c>
      <c r="O4563" t="s">
        <v>23</v>
      </c>
      <c r="P4563" t="s">
        <v>1024</v>
      </c>
      <c r="Q4563" t="s">
        <v>1025</v>
      </c>
      <c r="R4563" t="s">
        <v>1079</v>
      </c>
    </row>
    <row r="4564" spans="1:18" x14ac:dyDescent="0.25">
      <c r="A4564" t="s">
        <v>15871</v>
      </c>
      <c r="B4564" t="s">
        <v>5934</v>
      </c>
      <c r="C4564" t="str">
        <f>HYPERLINK("https://nematode.unl.edu/geoten1.jpg")</f>
        <v>https://nematode.unl.edu/geoten1.jpg</v>
      </c>
      <c r="D4564" t="s">
        <v>77</v>
      </c>
      <c r="G4564" t="s">
        <v>44</v>
      </c>
      <c r="I4564" t="s">
        <v>91</v>
      </c>
      <c r="J4564" t="s">
        <v>20</v>
      </c>
      <c r="L4564" t="s">
        <v>85</v>
      </c>
      <c r="M4564" t="s">
        <v>5931</v>
      </c>
      <c r="N4564" t="s">
        <v>5931</v>
      </c>
      <c r="O4564" t="s">
        <v>23</v>
      </c>
      <c r="P4564" t="s">
        <v>24</v>
      </c>
      <c r="Q4564" t="s">
        <v>1071</v>
      </c>
      <c r="R4564" t="s">
        <v>1072</v>
      </c>
    </row>
    <row r="4565" spans="1:18" x14ac:dyDescent="0.25">
      <c r="A4565" t="s">
        <v>15868</v>
      </c>
      <c r="B4565" t="s">
        <v>5935</v>
      </c>
      <c r="C4565" t="str">
        <f>HYPERLINK("https://nematode.unl.edu/geoten2.jpg")</f>
        <v>https://nematode.unl.edu/geoten2.jpg</v>
      </c>
      <c r="D4565" t="s">
        <v>77</v>
      </c>
      <c r="G4565" t="s">
        <v>34</v>
      </c>
      <c r="H4565" t="s">
        <v>18</v>
      </c>
      <c r="I4565" t="s">
        <v>19</v>
      </c>
      <c r="J4565" t="s">
        <v>20</v>
      </c>
      <c r="L4565" t="s">
        <v>85</v>
      </c>
      <c r="M4565" t="s">
        <v>5931</v>
      </c>
      <c r="N4565" t="s">
        <v>5931</v>
      </c>
      <c r="O4565" t="s">
        <v>23</v>
      </c>
      <c r="P4565" t="s">
        <v>24</v>
      </c>
      <c r="Q4565" t="s">
        <v>1071</v>
      </c>
      <c r="R4565" t="s">
        <v>1072</v>
      </c>
    </row>
    <row r="4566" spans="1:18" x14ac:dyDescent="0.25">
      <c r="A4566" t="s">
        <v>15877</v>
      </c>
      <c r="B4566" t="s">
        <v>5936</v>
      </c>
      <c r="C4566" t="str">
        <f>HYPERLINK("https://nematode.unl.edu/geoten3.jpg")</f>
        <v>https://nematode.unl.edu/geoten3.jpg</v>
      </c>
      <c r="D4566" t="s">
        <v>77</v>
      </c>
      <c r="G4566" t="s">
        <v>28</v>
      </c>
      <c r="M4566" t="s">
        <v>5931</v>
      </c>
      <c r="N4566" t="s">
        <v>5931</v>
      </c>
      <c r="O4566" t="s">
        <v>23</v>
      </c>
      <c r="P4566" t="s">
        <v>24</v>
      </c>
      <c r="Q4566" t="s">
        <v>1071</v>
      </c>
      <c r="R4566" t="s">
        <v>1072</v>
      </c>
    </row>
    <row r="4567" spans="1:18" x14ac:dyDescent="0.25">
      <c r="A4567" t="s">
        <v>15872</v>
      </c>
      <c r="B4567" t="s">
        <v>5937</v>
      </c>
      <c r="C4567" t="str">
        <f>HYPERLINK("https://nematode.unl.edu/geoten4.jpg")</f>
        <v>https://nematode.unl.edu/geoten4.jpg</v>
      </c>
      <c r="D4567" t="s">
        <v>77</v>
      </c>
      <c r="G4567" t="s">
        <v>1906</v>
      </c>
      <c r="I4567" t="s">
        <v>516</v>
      </c>
      <c r="J4567" t="s">
        <v>20</v>
      </c>
      <c r="L4567" t="s">
        <v>85</v>
      </c>
      <c r="M4567" t="s">
        <v>5931</v>
      </c>
      <c r="N4567" t="s">
        <v>5931</v>
      </c>
      <c r="O4567" t="s">
        <v>23</v>
      </c>
      <c r="P4567" t="s">
        <v>24</v>
      </c>
      <c r="Q4567" t="s">
        <v>1071</v>
      </c>
      <c r="R4567" t="s">
        <v>1072</v>
      </c>
    </row>
    <row r="4568" spans="1:18" x14ac:dyDescent="0.25">
      <c r="A4568" t="s">
        <v>15869</v>
      </c>
      <c r="B4568" t="s">
        <v>5938</v>
      </c>
      <c r="C4568" t="str">
        <f>HYPERLINK("https://nematode.unl.edu/geoten5.jpg")</f>
        <v>https://nematode.unl.edu/geoten5.jpg</v>
      </c>
      <c r="D4568" t="s">
        <v>77</v>
      </c>
      <c r="G4568" t="s">
        <v>34</v>
      </c>
      <c r="H4568" t="s">
        <v>18</v>
      </c>
      <c r="I4568" t="s">
        <v>41</v>
      </c>
      <c r="J4568" t="s">
        <v>20</v>
      </c>
      <c r="M4568" t="s">
        <v>5931</v>
      </c>
      <c r="N4568" t="s">
        <v>5931</v>
      </c>
      <c r="O4568" t="s">
        <v>23</v>
      </c>
      <c r="P4568" t="s">
        <v>24</v>
      </c>
      <c r="Q4568" t="s">
        <v>1071</v>
      </c>
      <c r="R4568" t="s">
        <v>1072</v>
      </c>
    </row>
    <row r="4569" spans="1:18" x14ac:dyDescent="0.25">
      <c r="A4569" t="s">
        <v>15875</v>
      </c>
      <c r="B4569" t="s">
        <v>5939</v>
      </c>
      <c r="C4569" t="str">
        <f>HYPERLINK("https://nematode.unl.edu/geoten6.jpg")</f>
        <v>https://nematode.unl.edu/geoten6.jpg</v>
      </c>
      <c r="D4569" t="s">
        <v>77</v>
      </c>
      <c r="G4569" t="s">
        <v>112</v>
      </c>
      <c r="I4569" t="s">
        <v>41</v>
      </c>
      <c r="J4569" t="s">
        <v>20</v>
      </c>
      <c r="M4569" t="s">
        <v>5931</v>
      </c>
      <c r="N4569" t="s">
        <v>5931</v>
      </c>
      <c r="O4569" t="s">
        <v>23</v>
      </c>
      <c r="P4569" t="s">
        <v>24</v>
      </c>
      <c r="Q4569" t="s">
        <v>1071</v>
      </c>
      <c r="R4569" t="s">
        <v>1072</v>
      </c>
    </row>
    <row r="4570" spans="1:18" x14ac:dyDescent="0.25">
      <c r="A4570" t="s">
        <v>15873</v>
      </c>
      <c r="B4570" t="s">
        <v>5940</v>
      </c>
      <c r="C4570" t="str">
        <f>HYPERLINK("https://nematode.unl.edu/geoten7.jpg")</f>
        <v>https://nematode.unl.edu/geoten7.jpg</v>
      </c>
      <c r="D4570" t="s">
        <v>77</v>
      </c>
      <c r="G4570" t="s">
        <v>53</v>
      </c>
      <c r="I4570" t="s">
        <v>41</v>
      </c>
      <c r="M4570" t="s">
        <v>5931</v>
      </c>
      <c r="N4570" t="s">
        <v>5931</v>
      </c>
      <c r="O4570" t="s">
        <v>23</v>
      </c>
      <c r="P4570" t="s">
        <v>24</v>
      </c>
      <c r="Q4570" t="s">
        <v>1071</v>
      </c>
      <c r="R4570" t="s">
        <v>1072</v>
      </c>
    </row>
    <row r="4571" spans="1:18" x14ac:dyDescent="0.25">
      <c r="A4571" t="s">
        <v>15874</v>
      </c>
      <c r="B4571" t="s">
        <v>5941</v>
      </c>
      <c r="C4571" t="str">
        <f>HYPERLINK("https://nematode.unl.edu/geoten8.jpg")</f>
        <v>https://nematode.unl.edu/geoten8.jpg</v>
      </c>
      <c r="D4571" t="s">
        <v>77</v>
      </c>
      <c r="G4571" t="s">
        <v>53</v>
      </c>
      <c r="I4571" t="s">
        <v>529</v>
      </c>
      <c r="J4571" t="s">
        <v>20</v>
      </c>
      <c r="L4571" t="s">
        <v>85</v>
      </c>
      <c r="M4571" t="s">
        <v>5931</v>
      </c>
      <c r="N4571" t="s">
        <v>5931</v>
      </c>
      <c r="O4571" t="s">
        <v>23</v>
      </c>
      <c r="P4571" t="s">
        <v>24</v>
      </c>
      <c r="Q4571" t="s">
        <v>1071</v>
      </c>
      <c r="R4571" t="s">
        <v>1072</v>
      </c>
    </row>
    <row r="4572" spans="1:18" x14ac:dyDescent="0.25">
      <c r="A4572" t="s">
        <v>12284</v>
      </c>
      <c r="B4572" t="s">
        <v>5964</v>
      </c>
      <c r="C4572" t="str">
        <f>HYPERLINK("https://nematode.unl.edu/geovi1.jpg")</f>
        <v>https://nematode.unl.edu/geovi1.jpg</v>
      </c>
      <c r="D4572" t="s">
        <v>43</v>
      </c>
      <c r="G4572" t="s">
        <v>44</v>
      </c>
      <c r="I4572" t="s">
        <v>91</v>
      </c>
      <c r="J4572" t="s">
        <v>20</v>
      </c>
      <c r="L4572" t="s">
        <v>456</v>
      </c>
      <c r="M4572" t="s">
        <v>1078</v>
      </c>
      <c r="N4572" t="s">
        <v>1078</v>
      </c>
      <c r="O4572" t="s">
        <v>23</v>
      </c>
      <c r="P4572" t="s">
        <v>1024</v>
      </c>
      <c r="Q4572" t="s">
        <v>1025</v>
      </c>
      <c r="R4572" t="s">
        <v>1079</v>
      </c>
    </row>
    <row r="4573" spans="1:18" x14ac:dyDescent="0.25">
      <c r="A4573" t="s">
        <v>12278</v>
      </c>
      <c r="B4573" t="s">
        <v>5965</v>
      </c>
      <c r="C4573" t="str">
        <f>HYPERLINK("https://nematode.unl.edu/geovi10.jpg")</f>
        <v>https://nematode.unl.edu/geovi10.jpg</v>
      </c>
      <c r="D4573" t="s">
        <v>43</v>
      </c>
      <c r="G4573" t="s">
        <v>34</v>
      </c>
      <c r="H4573" t="s">
        <v>18</v>
      </c>
      <c r="I4573" t="s">
        <v>19</v>
      </c>
      <c r="J4573" t="s">
        <v>20</v>
      </c>
      <c r="L4573" t="s">
        <v>38</v>
      </c>
      <c r="M4573" t="s">
        <v>1078</v>
      </c>
      <c r="N4573" t="s">
        <v>1078</v>
      </c>
      <c r="O4573" t="s">
        <v>23</v>
      </c>
      <c r="P4573" t="s">
        <v>1024</v>
      </c>
      <c r="Q4573" t="s">
        <v>1025</v>
      </c>
      <c r="R4573" t="s">
        <v>1079</v>
      </c>
    </row>
    <row r="4574" spans="1:18" x14ac:dyDescent="0.25">
      <c r="A4574" t="s">
        <v>12282</v>
      </c>
      <c r="B4574" t="s">
        <v>5966</v>
      </c>
      <c r="C4574" t="str">
        <f>HYPERLINK("https://nematode.unl.edu/geovi11.jpg")</f>
        <v>https://nematode.unl.edu/geovi11.jpg</v>
      </c>
      <c r="D4574" t="s">
        <v>43</v>
      </c>
      <c r="G4574" t="s">
        <v>87</v>
      </c>
      <c r="I4574" t="s">
        <v>19</v>
      </c>
      <c r="J4574" t="s">
        <v>20</v>
      </c>
      <c r="L4574" t="s">
        <v>38</v>
      </c>
      <c r="M4574" t="s">
        <v>1078</v>
      </c>
      <c r="N4574" t="s">
        <v>1078</v>
      </c>
      <c r="O4574" t="s">
        <v>23</v>
      </c>
      <c r="P4574" t="s">
        <v>1024</v>
      </c>
      <c r="Q4574" t="s">
        <v>1025</v>
      </c>
      <c r="R4574" t="s">
        <v>1079</v>
      </c>
    </row>
    <row r="4575" spans="1:18" x14ac:dyDescent="0.25">
      <c r="A4575" t="s">
        <v>12281</v>
      </c>
      <c r="B4575" t="s">
        <v>5967</v>
      </c>
      <c r="C4575" t="str">
        <f>HYPERLINK("https://nematode.unl.edu/geovi12.jpg")</f>
        <v>https://nematode.unl.edu/geovi12.jpg</v>
      </c>
      <c r="D4575" t="s">
        <v>43</v>
      </c>
      <c r="G4575" t="s">
        <v>905</v>
      </c>
      <c r="I4575" t="s">
        <v>19</v>
      </c>
      <c r="J4575" t="s">
        <v>20</v>
      </c>
      <c r="L4575" t="s">
        <v>38</v>
      </c>
      <c r="M4575" t="s">
        <v>1078</v>
      </c>
      <c r="N4575" t="s">
        <v>1078</v>
      </c>
      <c r="O4575" t="s">
        <v>23</v>
      </c>
      <c r="P4575" t="s">
        <v>1024</v>
      </c>
      <c r="Q4575" t="s">
        <v>1025</v>
      </c>
      <c r="R4575" t="s">
        <v>1079</v>
      </c>
    </row>
    <row r="4576" spans="1:18" x14ac:dyDescent="0.25">
      <c r="A4576" t="s">
        <v>12286</v>
      </c>
      <c r="B4576" t="s">
        <v>5968</v>
      </c>
      <c r="C4576" t="str">
        <f>HYPERLINK("https://nematode.unl.edu/geovi13.jpg")</f>
        <v>https://nematode.unl.edu/geovi13.jpg</v>
      </c>
      <c r="D4576" t="s">
        <v>43</v>
      </c>
      <c r="G4576" t="s">
        <v>28</v>
      </c>
      <c r="J4576" t="s">
        <v>20</v>
      </c>
      <c r="M4576" t="s">
        <v>1078</v>
      </c>
      <c r="N4576" t="s">
        <v>1078</v>
      </c>
      <c r="O4576" t="s">
        <v>23</v>
      </c>
      <c r="P4576" t="s">
        <v>1024</v>
      </c>
      <c r="Q4576" t="s">
        <v>1025</v>
      </c>
      <c r="R4576" t="s">
        <v>1079</v>
      </c>
    </row>
    <row r="4577" spans="1:18" x14ac:dyDescent="0.25">
      <c r="A4577" t="s">
        <v>12277</v>
      </c>
      <c r="B4577" t="s">
        <v>5969</v>
      </c>
      <c r="C4577" t="str">
        <f>HYPERLINK("https://nematode.unl.edu/geovi14.jpg")</f>
        <v>https://nematode.unl.edu/geovi14.jpg</v>
      </c>
      <c r="D4577" t="s">
        <v>43</v>
      </c>
      <c r="G4577" t="s">
        <v>96</v>
      </c>
      <c r="H4577" t="s">
        <v>18</v>
      </c>
      <c r="I4577" t="s">
        <v>137</v>
      </c>
      <c r="M4577" t="s">
        <v>1078</v>
      </c>
      <c r="N4577" t="s">
        <v>1078</v>
      </c>
      <c r="O4577" t="s">
        <v>23</v>
      </c>
      <c r="P4577" t="s">
        <v>1024</v>
      </c>
      <c r="Q4577" t="s">
        <v>1025</v>
      </c>
      <c r="R4577" t="s">
        <v>1079</v>
      </c>
    </row>
    <row r="4578" spans="1:18" x14ac:dyDescent="0.25">
      <c r="A4578" t="s">
        <v>12285</v>
      </c>
      <c r="B4578" t="s">
        <v>5970</v>
      </c>
      <c r="C4578" t="str">
        <f>HYPERLINK("https://nematode.unl.edu/geovi15.jpg")</f>
        <v>https://nematode.unl.edu/geovi15.jpg</v>
      </c>
      <c r="D4578" t="s">
        <v>43</v>
      </c>
      <c r="G4578" t="s">
        <v>181</v>
      </c>
      <c r="I4578" t="s">
        <v>137</v>
      </c>
      <c r="J4578" t="s">
        <v>20</v>
      </c>
      <c r="L4578" t="s">
        <v>141</v>
      </c>
      <c r="M4578" t="s">
        <v>1078</v>
      </c>
      <c r="N4578" t="s">
        <v>1078</v>
      </c>
      <c r="O4578" t="s">
        <v>23</v>
      </c>
      <c r="P4578" t="s">
        <v>1024</v>
      </c>
      <c r="Q4578" t="s">
        <v>1025</v>
      </c>
      <c r="R4578" t="s">
        <v>1079</v>
      </c>
    </row>
    <row r="4579" spans="1:18" x14ac:dyDescent="0.25">
      <c r="A4579" t="s">
        <v>12283</v>
      </c>
      <c r="B4579" t="s">
        <v>5971</v>
      </c>
      <c r="C4579" t="str">
        <f>HYPERLINK("https://nematode.unl.edu/geovi2.jpg")</f>
        <v>https://nematode.unl.edu/geovi2.jpg</v>
      </c>
      <c r="D4579" t="s">
        <v>43</v>
      </c>
      <c r="G4579" t="s">
        <v>87</v>
      </c>
      <c r="I4579" t="s">
        <v>19</v>
      </c>
      <c r="J4579" t="s">
        <v>20</v>
      </c>
      <c r="L4579" t="s">
        <v>64</v>
      </c>
      <c r="M4579" t="s">
        <v>1078</v>
      </c>
      <c r="N4579" t="s">
        <v>1078</v>
      </c>
      <c r="O4579" t="s">
        <v>23</v>
      </c>
      <c r="P4579" t="s">
        <v>1024</v>
      </c>
      <c r="Q4579" t="s">
        <v>1025</v>
      </c>
      <c r="R4579" t="s">
        <v>1079</v>
      </c>
    </row>
    <row r="4580" spans="1:18" x14ac:dyDescent="0.25">
      <c r="A4580" t="s">
        <v>12288</v>
      </c>
      <c r="B4580" t="s">
        <v>5972</v>
      </c>
      <c r="C4580" t="str">
        <f>HYPERLINK("https://nematode.unl.edu/geovi3.jpg")</f>
        <v>https://nematode.unl.edu/geovi3.jpg</v>
      </c>
      <c r="D4580" t="s">
        <v>43</v>
      </c>
      <c r="G4580" t="s">
        <v>51</v>
      </c>
      <c r="M4580" t="s">
        <v>1078</v>
      </c>
      <c r="N4580" t="s">
        <v>1078</v>
      </c>
      <c r="O4580" t="s">
        <v>23</v>
      </c>
      <c r="P4580" t="s">
        <v>1024</v>
      </c>
      <c r="Q4580" t="s">
        <v>1025</v>
      </c>
      <c r="R4580" t="s">
        <v>1079</v>
      </c>
    </row>
    <row r="4581" spans="1:18" x14ac:dyDescent="0.25">
      <c r="A4581" t="s">
        <v>12287</v>
      </c>
      <c r="B4581" t="s">
        <v>5973</v>
      </c>
      <c r="C4581" t="str">
        <f>HYPERLINK("https://nematode.unl.edu/geovi4.jpg")</f>
        <v>https://nematode.unl.edu/geovi4.jpg</v>
      </c>
      <c r="D4581" t="s">
        <v>43</v>
      </c>
      <c r="G4581" t="s">
        <v>28</v>
      </c>
      <c r="M4581" t="s">
        <v>1078</v>
      </c>
      <c r="N4581" t="s">
        <v>1078</v>
      </c>
      <c r="O4581" t="s">
        <v>23</v>
      </c>
      <c r="P4581" t="s">
        <v>1024</v>
      </c>
      <c r="Q4581" t="s">
        <v>1025</v>
      </c>
      <c r="R4581" t="s">
        <v>1079</v>
      </c>
    </row>
    <row r="4582" spans="1:18" x14ac:dyDescent="0.25">
      <c r="A4582" t="s">
        <v>12275</v>
      </c>
      <c r="B4582" t="s">
        <v>5974</v>
      </c>
      <c r="C4582" t="str">
        <f>HYPERLINK("https://nematode.unl.edu/geovi5.jpg")</f>
        <v>https://nematode.unl.edu/geovi5.jpg</v>
      </c>
      <c r="D4582" t="s">
        <v>43</v>
      </c>
      <c r="G4582" t="s">
        <v>386</v>
      </c>
      <c r="H4582" t="s">
        <v>18</v>
      </c>
      <c r="J4582" t="s">
        <v>20</v>
      </c>
      <c r="L4582" t="s">
        <v>64</v>
      </c>
      <c r="M4582" t="s">
        <v>1078</v>
      </c>
      <c r="N4582" t="s">
        <v>1078</v>
      </c>
      <c r="O4582" t="s">
        <v>23</v>
      </c>
      <c r="P4582" t="s">
        <v>1024</v>
      </c>
      <c r="Q4582" t="s">
        <v>1025</v>
      </c>
      <c r="R4582" t="s">
        <v>1079</v>
      </c>
    </row>
    <row r="4583" spans="1:18" x14ac:dyDescent="0.25">
      <c r="A4583" t="s">
        <v>12279</v>
      </c>
      <c r="B4583" t="s">
        <v>5975</v>
      </c>
      <c r="C4583" t="str">
        <f>HYPERLINK("https://nematode.unl.edu/geovi6.jpg")</f>
        <v>https://nematode.unl.edu/geovi6.jpg</v>
      </c>
      <c r="D4583" t="s">
        <v>43</v>
      </c>
      <c r="G4583" t="s">
        <v>34</v>
      </c>
      <c r="H4583" t="s">
        <v>18</v>
      </c>
      <c r="J4583" t="s">
        <v>20</v>
      </c>
      <c r="M4583" t="s">
        <v>1078</v>
      </c>
      <c r="N4583" t="s">
        <v>1078</v>
      </c>
      <c r="O4583" t="s">
        <v>23</v>
      </c>
      <c r="P4583" t="s">
        <v>1024</v>
      </c>
      <c r="Q4583" t="s">
        <v>1025</v>
      </c>
      <c r="R4583" t="s">
        <v>1079</v>
      </c>
    </row>
    <row r="4584" spans="1:18" x14ac:dyDescent="0.25">
      <c r="A4584" t="s">
        <v>12280</v>
      </c>
      <c r="B4584" t="s">
        <v>5976</v>
      </c>
      <c r="C4584" t="str">
        <f>HYPERLINK("https://nematode.unl.edu/geovi7.jpg")</f>
        <v>https://nematode.unl.edu/geovi7.jpg</v>
      </c>
      <c r="D4584" t="s">
        <v>43</v>
      </c>
      <c r="G4584" t="s">
        <v>34</v>
      </c>
      <c r="H4584" t="s">
        <v>18</v>
      </c>
      <c r="I4584" t="s">
        <v>41</v>
      </c>
      <c r="J4584" t="s">
        <v>20</v>
      </c>
      <c r="L4584" t="s">
        <v>64</v>
      </c>
      <c r="M4584" t="s">
        <v>1078</v>
      </c>
      <c r="N4584" t="s">
        <v>1078</v>
      </c>
      <c r="O4584" t="s">
        <v>23</v>
      </c>
      <c r="P4584" t="s">
        <v>1024</v>
      </c>
      <c r="Q4584" t="s">
        <v>1025</v>
      </c>
      <c r="R4584" t="s">
        <v>1079</v>
      </c>
    </row>
    <row r="4585" spans="1:18" x14ac:dyDescent="0.25">
      <c r="A4585" t="s">
        <v>12276</v>
      </c>
      <c r="B4585" t="s">
        <v>5977</v>
      </c>
      <c r="C4585" t="str">
        <f>HYPERLINK("https://nematode.unl.edu/geovi8.jpg")</f>
        <v>https://nematode.unl.edu/geovi8.jpg</v>
      </c>
      <c r="D4585" t="s">
        <v>43</v>
      </c>
      <c r="G4585" t="s">
        <v>386</v>
      </c>
      <c r="H4585" t="s">
        <v>18</v>
      </c>
      <c r="I4585" t="s">
        <v>41</v>
      </c>
      <c r="J4585" t="s">
        <v>20</v>
      </c>
      <c r="L4585" t="s">
        <v>64</v>
      </c>
      <c r="M4585" t="s">
        <v>1078</v>
      </c>
      <c r="N4585" t="s">
        <v>1078</v>
      </c>
      <c r="O4585" t="s">
        <v>23</v>
      </c>
      <c r="P4585" t="s">
        <v>1024</v>
      </c>
      <c r="Q4585" t="s">
        <v>1025</v>
      </c>
      <c r="R4585" t="s">
        <v>1079</v>
      </c>
    </row>
    <row r="4586" spans="1:18" x14ac:dyDescent="0.25">
      <c r="A4586" t="s">
        <v>12289</v>
      </c>
      <c r="B4586" t="s">
        <v>5978</v>
      </c>
      <c r="C4586" t="str">
        <f>HYPERLINK("https://nematode.unl.edu/geovi9.jpg")</f>
        <v>https://nematode.unl.edu/geovi9.jpg</v>
      </c>
      <c r="D4586" t="s">
        <v>43</v>
      </c>
      <c r="G4586" t="s">
        <v>51</v>
      </c>
      <c r="I4586" t="s">
        <v>41</v>
      </c>
      <c r="L4586" t="s">
        <v>64</v>
      </c>
      <c r="M4586" t="s">
        <v>1078</v>
      </c>
      <c r="N4586" t="s">
        <v>1078</v>
      </c>
      <c r="O4586" t="s">
        <v>23</v>
      </c>
      <c r="P4586" t="s">
        <v>1024</v>
      </c>
      <c r="Q4586" t="s">
        <v>1025</v>
      </c>
      <c r="R4586" t="s">
        <v>1079</v>
      </c>
    </row>
    <row r="4587" spans="1:18" x14ac:dyDescent="0.25">
      <c r="A4587" t="s">
        <v>18645</v>
      </c>
      <c r="B4587" t="s">
        <v>1608</v>
      </c>
      <c r="C4587" t="str">
        <f>HYPERLINK("https://nematode.unl.edu/glatscan.jpg")</f>
        <v>https://nematode.unl.edu/glatscan.jpg</v>
      </c>
      <c r="G4587" t="s">
        <v>108</v>
      </c>
      <c r="M4587" t="s">
        <v>1609</v>
      </c>
      <c r="N4587" t="s">
        <v>1610</v>
      </c>
      <c r="O4587" t="s">
        <v>23</v>
      </c>
      <c r="P4587" t="s">
        <v>24</v>
      </c>
      <c r="Q4587" t="s">
        <v>1592</v>
      </c>
      <c r="R4587" t="s">
        <v>1591</v>
      </c>
    </row>
    <row r="4588" spans="1:18" x14ac:dyDescent="0.25">
      <c r="A4588" t="s">
        <v>15865</v>
      </c>
      <c r="B4588" t="s">
        <v>5924</v>
      </c>
      <c r="C4588" t="str">
        <f>HYPERLINK("https://nematode.unl.edu/glongus1.jpg")</f>
        <v>https://nematode.unl.edu/glongus1.jpg</v>
      </c>
      <c r="D4588" t="s">
        <v>43</v>
      </c>
      <c r="G4588" t="s">
        <v>96</v>
      </c>
      <c r="H4588" t="s">
        <v>18</v>
      </c>
      <c r="M4588" t="s">
        <v>5925</v>
      </c>
      <c r="N4588" t="s">
        <v>5925</v>
      </c>
      <c r="O4588" t="s">
        <v>23</v>
      </c>
      <c r="P4588" t="s">
        <v>24</v>
      </c>
      <c r="Q4588" t="s">
        <v>1071</v>
      </c>
      <c r="R4588" t="s">
        <v>1072</v>
      </c>
    </row>
    <row r="4589" spans="1:18" x14ac:dyDescent="0.25">
      <c r="A4589" t="s">
        <v>15866</v>
      </c>
      <c r="B4589" t="s">
        <v>5926</v>
      </c>
      <c r="C4589" t="str">
        <f>HYPERLINK("https://nematode.unl.edu/glongus2.jpg")</f>
        <v>https://nematode.unl.edu/glongus2.jpg</v>
      </c>
      <c r="D4589" t="s">
        <v>43</v>
      </c>
      <c r="G4589" t="s">
        <v>4064</v>
      </c>
      <c r="H4589" t="s">
        <v>18</v>
      </c>
      <c r="I4589" t="s">
        <v>5919</v>
      </c>
      <c r="J4589" t="s">
        <v>5927</v>
      </c>
      <c r="K4589" t="s">
        <v>22845</v>
      </c>
      <c r="M4589" t="s">
        <v>5925</v>
      </c>
      <c r="N4589" t="s">
        <v>5925</v>
      </c>
      <c r="O4589" t="s">
        <v>23</v>
      </c>
      <c r="P4589" t="s">
        <v>24</v>
      </c>
      <c r="Q4589" t="s">
        <v>1071</v>
      </c>
      <c r="R4589" t="s">
        <v>1072</v>
      </c>
    </row>
    <row r="4590" spans="1:18" x14ac:dyDescent="0.25">
      <c r="A4590" t="s">
        <v>16261</v>
      </c>
      <c r="B4590" t="s">
        <v>5979</v>
      </c>
      <c r="C4590" t="str">
        <f>HYPERLINK("https://nematode.unl.edu/glopall1.jpg")</f>
        <v>https://nematode.unl.edu/glopall1.jpg</v>
      </c>
      <c r="D4590" t="s">
        <v>16</v>
      </c>
      <c r="G4590" t="s">
        <v>34</v>
      </c>
      <c r="H4590" t="s">
        <v>18</v>
      </c>
      <c r="I4590" t="s">
        <v>41</v>
      </c>
      <c r="M4590" t="s">
        <v>5980</v>
      </c>
      <c r="N4590" t="s">
        <v>5980</v>
      </c>
      <c r="O4590" t="s">
        <v>23</v>
      </c>
      <c r="P4590" t="s">
        <v>24</v>
      </c>
      <c r="Q4590" t="s">
        <v>448</v>
      </c>
      <c r="R4590" t="s">
        <v>5981</v>
      </c>
    </row>
    <row r="4591" spans="1:18" x14ac:dyDescent="0.25">
      <c r="A4591" t="s">
        <v>16266</v>
      </c>
      <c r="B4591" t="s">
        <v>5982</v>
      </c>
      <c r="C4591" t="str">
        <f>HYPERLINK("https://nematode.unl.edu/glopall10.jpg")</f>
        <v>https://nematode.unl.edu/glopall10.jpg</v>
      </c>
      <c r="D4591" t="s">
        <v>16</v>
      </c>
      <c r="G4591" t="s">
        <v>28</v>
      </c>
      <c r="I4591" t="s">
        <v>41</v>
      </c>
      <c r="M4591" t="s">
        <v>5980</v>
      </c>
      <c r="N4591" t="s">
        <v>5980</v>
      </c>
      <c r="O4591" t="s">
        <v>23</v>
      </c>
      <c r="P4591" t="s">
        <v>24</v>
      </c>
      <c r="Q4591" t="s">
        <v>448</v>
      </c>
      <c r="R4591" t="s">
        <v>5981</v>
      </c>
    </row>
    <row r="4592" spans="1:18" x14ac:dyDescent="0.25">
      <c r="A4592" t="s">
        <v>16257</v>
      </c>
      <c r="B4592" t="s">
        <v>5983</v>
      </c>
      <c r="C4592" t="str">
        <f>HYPERLINK("https://nematode.unl.edu/glopall11.jpg")</f>
        <v>https://nematode.unl.edu/glopall11.jpg</v>
      </c>
      <c r="D4592" t="s">
        <v>16</v>
      </c>
      <c r="G4592" t="s">
        <v>96</v>
      </c>
      <c r="H4592" t="s">
        <v>18</v>
      </c>
      <c r="I4592" t="s">
        <v>41</v>
      </c>
      <c r="M4592" t="s">
        <v>5980</v>
      </c>
      <c r="N4592" t="s">
        <v>5980</v>
      </c>
      <c r="O4592" t="s">
        <v>23</v>
      </c>
      <c r="P4592" t="s">
        <v>24</v>
      </c>
      <c r="Q4592" t="s">
        <v>448</v>
      </c>
      <c r="R4592" t="s">
        <v>5981</v>
      </c>
    </row>
    <row r="4593" spans="1:18" x14ac:dyDescent="0.25">
      <c r="A4593" t="s">
        <v>16267</v>
      </c>
      <c r="B4593" t="s">
        <v>5984</v>
      </c>
      <c r="C4593" t="str">
        <f>HYPERLINK("https://nematode.unl.edu/glopall12.jpg")</f>
        <v>https://nematode.unl.edu/glopall12.jpg</v>
      </c>
      <c r="D4593" t="s">
        <v>16</v>
      </c>
      <c r="G4593" t="s">
        <v>28</v>
      </c>
      <c r="I4593" t="s">
        <v>41</v>
      </c>
      <c r="M4593" t="s">
        <v>5980</v>
      </c>
      <c r="N4593" t="s">
        <v>5980</v>
      </c>
      <c r="O4593" t="s">
        <v>23</v>
      </c>
      <c r="P4593" t="s">
        <v>24</v>
      </c>
      <c r="Q4593" t="s">
        <v>448</v>
      </c>
      <c r="R4593" t="s">
        <v>5981</v>
      </c>
    </row>
    <row r="4594" spans="1:18" x14ac:dyDescent="0.25">
      <c r="A4594" t="s">
        <v>16258</v>
      </c>
      <c r="B4594" t="s">
        <v>5985</v>
      </c>
      <c r="C4594" t="str">
        <f>HYPERLINK("https://nematode.unl.edu/glopall13.jpg")</f>
        <v>https://nematode.unl.edu/glopall13.jpg</v>
      </c>
      <c r="D4594" t="s">
        <v>16</v>
      </c>
      <c r="G4594" t="s">
        <v>96</v>
      </c>
      <c r="H4594" t="s">
        <v>18</v>
      </c>
      <c r="I4594" t="s">
        <v>41</v>
      </c>
      <c r="M4594" t="s">
        <v>5980</v>
      </c>
      <c r="N4594" t="s">
        <v>5980</v>
      </c>
      <c r="O4594" t="s">
        <v>23</v>
      </c>
      <c r="P4594" t="s">
        <v>24</v>
      </c>
      <c r="Q4594" t="s">
        <v>448</v>
      </c>
      <c r="R4594" t="s">
        <v>5981</v>
      </c>
    </row>
    <row r="4595" spans="1:18" x14ac:dyDescent="0.25">
      <c r="A4595" t="s">
        <v>16268</v>
      </c>
      <c r="B4595" t="s">
        <v>5986</v>
      </c>
      <c r="C4595" t="str">
        <f>HYPERLINK("https://nematode.unl.edu/glopall14.jpg")</f>
        <v>https://nematode.unl.edu/glopall14.jpg</v>
      </c>
      <c r="D4595" t="s">
        <v>16</v>
      </c>
      <c r="G4595" t="s">
        <v>28</v>
      </c>
      <c r="I4595" t="s">
        <v>41</v>
      </c>
      <c r="M4595" t="s">
        <v>5980</v>
      </c>
      <c r="N4595" t="s">
        <v>5980</v>
      </c>
      <c r="O4595" t="s">
        <v>23</v>
      </c>
      <c r="P4595" t="s">
        <v>24</v>
      </c>
      <c r="Q4595" t="s">
        <v>448</v>
      </c>
      <c r="R4595" t="s">
        <v>5981</v>
      </c>
    </row>
    <row r="4596" spans="1:18" x14ac:dyDescent="0.25">
      <c r="A4596" t="s">
        <v>16264</v>
      </c>
      <c r="B4596" t="s">
        <v>5987</v>
      </c>
      <c r="C4596" t="str">
        <f>HYPERLINK("https://nematode.unl.edu/glopall2.jpg")</f>
        <v>https://nematode.unl.edu/glopall2.jpg</v>
      </c>
      <c r="D4596" t="s">
        <v>16</v>
      </c>
      <c r="G4596" t="s">
        <v>44</v>
      </c>
      <c r="I4596" t="s">
        <v>41</v>
      </c>
      <c r="M4596" t="s">
        <v>5980</v>
      </c>
      <c r="N4596" t="s">
        <v>5980</v>
      </c>
      <c r="O4596" t="s">
        <v>23</v>
      </c>
      <c r="P4596" t="s">
        <v>24</v>
      </c>
      <c r="Q4596" t="s">
        <v>448</v>
      </c>
      <c r="R4596" t="s">
        <v>5981</v>
      </c>
    </row>
    <row r="4597" spans="1:18" x14ac:dyDescent="0.25">
      <c r="A4597" t="s">
        <v>16260</v>
      </c>
      <c r="B4597" t="s">
        <v>5988</v>
      </c>
      <c r="C4597" t="str">
        <f>HYPERLINK("https://nematode.unl.edu/glopall3.jpg")</f>
        <v>https://nematode.unl.edu/glopall3.jpg</v>
      </c>
      <c r="D4597" t="s">
        <v>16</v>
      </c>
      <c r="G4597" t="s">
        <v>17</v>
      </c>
      <c r="H4597" t="s">
        <v>18</v>
      </c>
      <c r="I4597" t="s">
        <v>41</v>
      </c>
      <c r="M4597" t="s">
        <v>5980</v>
      </c>
      <c r="N4597" t="s">
        <v>5980</v>
      </c>
      <c r="O4597" t="s">
        <v>23</v>
      </c>
      <c r="P4597" t="s">
        <v>24</v>
      </c>
      <c r="Q4597" t="s">
        <v>448</v>
      </c>
      <c r="R4597" t="s">
        <v>5981</v>
      </c>
    </row>
    <row r="4598" spans="1:18" x14ac:dyDescent="0.25">
      <c r="A4598" t="s">
        <v>16269</v>
      </c>
      <c r="B4598" t="s">
        <v>5989</v>
      </c>
      <c r="C4598" t="str">
        <f>HYPERLINK("https://nematode.unl.edu/glopall4.jpg")</f>
        <v>https://nematode.unl.edu/glopall4.jpg</v>
      </c>
      <c r="D4598" t="s">
        <v>16</v>
      </c>
      <c r="G4598" t="s">
        <v>28</v>
      </c>
      <c r="I4598" t="s">
        <v>41</v>
      </c>
      <c r="M4598" t="s">
        <v>5980</v>
      </c>
      <c r="N4598" t="s">
        <v>5980</v>
      </c>
      <c r="O4598" t="s">
        <v>23</v>
      </c>
      <c r="P4598" t="s">
        <v>24</v>
      </c>
      <c r="Q4598" t="s">
        <v>448</v>
      </c>
      <c r="R4598" t="s">
        <v>5981</v>
      </c>
    </row>
    <row r="4599" spans="1:18" x14ac:dyDescent="0.25">
      <c r="A4599" t="s">
        <v>16262</v>
      </c>
      <c r="B4599" t="s">
        <v>5990</v>
      </c>
      <c r="C4599" t="str">
        <f>HYPERLINK("https://nematode.unl.edu/glopall5.jpg")</f>
        <v>https://nematode.unl.edu/glopall5.jpg</v>
      </c>
      <c r="D4599" t="s">
        <v>16</v>
      </c>
      <c r="G4599" t="s">
        <v>34</v>
      </c>
      <c r="H4599" t="s">
        <v>18</v>
      </c>
      <c r="M4599" t="s">
        <v>5980</v>
      </c>
      <c r="N4599" t="s">
        <v>5980</v>
      </c>
      <c r="O4599" t="s">
        <v>23</v>
      </c>
      <c r="P4599" t="s">
        <v>24</v>
      </c>
      <c r="Q4599" t="s">
        <v>448</v>
      </c>
      <c r="R4599" t="s">
        <v>5981</v>
      </c>
    </row>
    <row r="4600" spans="1:18" x14ac:dyDescent="0.25">
      <c r="A4600" t="s">
        <v>16263</v>
      </c>
      <c r="B4600" t="s">
        <v>5991</v>
      </c>
      <c r="C4600" t="str">
        <f>HYPERLINK("https://nematode.unl.edu/glopall6.jpg")</f>
        <v>https://nematode.unl.edu/glopall6.jpg</v>
      </c>
      <c r="D4600" t="s">
        <v>16</v>
      </c>
      <c r="G4600" t="s">
        <v>87</v>
      </c>
      <c r="I4600" t="s">
        <v>41</v>
      </c>
      <c r="M4600" t="s">
        <v>5980</v>
      </c>
      <c r="N4600" t="s">
        <v>5980</v>
      </c>
      <c r="O4600" t="s">
        <v>23</v>
      </c>
      <c r="P4600" t="s">
        <v>24</v>
      </c>
      <c r="Q4600" t="s">
        <v>448</v>
      </c>
      <c r="R4600" t="s">
        <v>5981</v>
      </c>
    </row>
    <row r="4601" spans="1:18" x14ac:dyDescent="0.25">
      <c r="A4601" t="s">
        <v>16270</v>
      </c>
      <c r="B4601" t="s">
        <v>5992</v>
      </c>
      <c r="C4601" t="str">
        <f>HYPERLINK("https://nematode.unl.edu/glopall7.jpg")</f>
        <v>https://nematode.unl.edu/glopall7.jpg</v>
      </c>
      <c r="D4601" t="s">
        <v>16</v>
      </c>
      <c r="G4601" t="s">
        <v>28</v>
      </c>
      <c r="I4601" t="s">
        <v>41</v>
      </c>
      <c r="M4601" t="s">
        <v>5980</v>
      </c>
      <c r="N4601" t="s">
        <v>5980</v>
      </c>
      <c r="O4601" t="s">
        <v>23</v>
      </c>
      <c r="P4601" t="s">
        <v>24</v>
      </c>
      <c r="Q4601" t="s">
        <v>448</v>
      </c>
      <c r="R4601" t="s">
        <v>5981</v>
      </c>
    </row>
    <row r="4602" spans="1:18" x14ac:dyDescent="0.25">
      <c r="A4602" t="s">
        <v>16265</v>
      </c>
      <c r="B4602" t="s">
        <v>5993</v>
      </c>
      <c r="C4602" t="str">
        <f>HYPERLINK("https://nematode.unl.edu/glopall8.jpg")</f>
        <v>https://nematode.unl.edu/glopall8.jpg</v>
      </c>
      <c r="D4602" t="s">
        <v>16</v>
      </c>
      <c r="G4602" t="s">
        <v>44</v>
      </c>
      <c r="M4602" t="s">
        <v>5980</v>
      </c>
      <c r="N4602" t="s">
        <v>5980</v>
      </c>
      <c r="O4602" t="s">
        <v>23</v>
      </c>
      <c r="P4602" t="s">
        <v>24</v>
      </c>
      <c r="Q4602" t="s">
        <v>448</v>
      </c>
      <c r="R4602" t="s">
        <v>5981</v>
      </c>
    </row>
    <row r="4603" spans="1:18" x14ac:dyDescent="0.25">
      <c r="A4603" t="s">
        <v>16259</v>
      </c>
      <c r="B4603" t="s">
        <v>5994</v>
      </c>
      <c r="C4603" t="str">
        <f>HYPERLINK("https://nematode.unl.edu/glopall9.jpg")</f>
        <v>https://nematode.unl.edu/glopall9.jpg</v>
      </c>
      <c r="D4603" t="s">
        <v>16</v>
      </c>
      <c r="G4603" t="s">
        <v>96</v>
      </c>
      <c r="H4603" t="s">
        <v>18</v>
      </c>
      <c r="I4603" t="s">
        <v>41</v>
      </c>
      <c r="M4603" t="s">
        <v>5980</v>
      </c>
      <c r="N4603" t="s">
        <v>5980</v>
      </c>
      <c r="O4603" t="s">
        <v>23</v>
      </c>
      <c r="P4603" t="s">
        <v>24</v>
      </c>
      <c r="Q4603" t="s">
        <v>448</v>
      </c>
      <c r="R4603" t="s">
        <v>5981</v>
      </c>
    </row>
    <row r="4604" spans="1:18" x14ac:dyDescent="0.25">
      <c r="A4604" t="s">
        <v>18625</v>
      </c>
      <c r="B4604" t="s">
        <v>1589</v>
      </c>
      <c r="C4604" t="str">
        <f>HYPERLINK("https://nematode.unl.edu/graci2.jpg")</f>
        <v>https://nematode.unl.edu/graci2.jpg</v>
      </c>
      <c r="D4604" t="s">
        <v>43</v>
      </c>
      <c r="G4604" t="s">
        <v>96</v>
      </c>
      <c r="H4604" t="s">
        <v>18</v>
      </c>
      <c r="I4604" t="s">
        <v>529</v>
      </c>
      <c r="J4604" t="s">
        <v>46</v>
      </c>
      <c r="L4604" t="s">
        <v>727</v>
      </c>
      <c r="M4604" t="s">
        <v>1590</v>
      </c>
      <c r="N4604" t="s">
        <v>1591</v>
      </c>
      <c r="O4604" t="s">
        <v>23</v>
      </c>
      <c r="P4604" t="s">
        <v>24</v>
      </c>
      <c r="Q4604" t="s">
        <v>1592</v>
      </c>
      <c r="R4604" t="s">
        <v>1591</v>
      </c>
    </row>
    <row r="4605" spans="1:18" x14ac:dyDescent="0.25">
      <c r="A4605" t="s">
        <v>18626</v>
      </c>
      <c r="B4605" t="s">
        <v>1593</v>
      </c>
      <c r="C4605" t="str">
        <f>HYPERLINK("https://nematode.unl.edu/gracic1.jpg")</f>
        <v>https://nematode.unl.edu/gracic1.jpg</v>
      </c>
      <c r="D4605" t="s">
        <v>43</v>
      </c>
      <c r="G4605" t="s">
        <v>34</v>
      </c>
      <c r="H4605" t="s">
        <v>18</v>
      </c>
      <c r="J4605" t="s">
        <v>20</v>
      </c>
      <c r="L4605" t="s">
        <v>141</v>
      </c>
      <c r="M4605" t="s">
        <v>1594</v>
      </c>
      <c r="N4605" t="s">
        <v>1595</v>
      </c>
      <c r="O4605" t="s">
        <v>23</v>
      </c>
      <c r="P4605" t="s">
        <v>24</v>
      </c>
      <c r="Q4605" t="s">
        <v>1592</v>
      </c>
      <c r="R4605" t="s">
        <v>1591</v>
      </c>
    </row>
    <row r="4606" spans="1:18" x14ac:dyDescent="0.25">
      <c r="A4606" t="s">
        <v>18631</v>
      </c>
      <c r="B4606" t="s">
        <v>1596</v>
      </c>
      <c r="C4606" t="str">
        <f>HYPERLINK("https://nematode.unl.edu/gracic2.jpg")</f>
        <v>https://nematode.unl.edu/gracic2.jpg</v>
      </c>
      <c r="D4606" t="s">
        <v>43</v>
      </c>
      <c r="G4606" t="s">
        <v>51</v>
      </c>
      <c r="I4606" t="s">
        <v>19</v>
      </c>
      <c r="J4606" t="s">
        <v>20</v>
      </c>
      <c r="L4606" t="s">
        <v>141</v>
      </c>
      <c r="M4606" t="s">
        <v>1594</v>
      </c>
      <c r="N4606" t="s">
        <v>1595</v>
      </c>
      <c r="O4606" t="s">
        <v>23</v>
      </c>
      <c r="P4606" t="s">
        <v>24</v>
      </c>
      <c r="Q4606" t="s">
        <v>1592</v>
      </c>
      <c r="R4606" t="s">
        <v>1591</v>
      </c>
    </row>
    <row r="4607" spans="1:18" x14ac:dyDescent="0.25">
      <c r="A4607" t="s">
        <v>18629</v>
      </c>
      <c r="B4607" t="s">
        <v>1597</v>
      </c>
      <c r="C4607" t="str">
        <f>HYPERLINK("https://nematode.unl.edu/gracic3.jpg")</f>
        <v>https://nematode.unl.edu/gracic3.jpg</v>
      </c>
      <c r="D4607" t="s">
        <v>43</v>
      </c>
      <c r="G4607" t="s">
        <v>28</v>
      </c>
      <c r="J4607" t="s">
        <v>20</v>
      </c>
      <c r="L4607" t="s">
        <v>141</v>
      </c>
      <c r="M4607" t="s">
        <v>1594</v>
      </c>
      <c r="N4607" t="s">
        <v>1595</v>
      </c>
      <c r="O4607" t="s">
        <v>23</v>
      </c>
      <c r="P4607" t="s">
        <v>24</v>
      </c>
      <c r="Q4607" t="s">
        <v>1592</v>
      </c>
      <c r="R4607" t="s">
        <v>1591</v>
      </c>
    </row>
    <row r="4608" spans="1:18" x14ac:dyDescent="0.25">
      <c r="A4608" t="s">
        <v>18627</v>
      </c>
      <c r="B4608" t="s">
        <v>1598</v>
      </c>
      <c r="C4608" t="str">
        <f>HYPERLINK("https://nematode.unl.edu/gracic4.jpg")</f>
        <v>https://nematode.unl.edu/gracic4.jpg</v>
      </c>
      <c r="D4608" t="s">
        <v>43</v>
      </c>
      <c r="G4608" t="s">
        <v>34</v>
      </c>
      <c r="H4608" t="s">
        <v>18</v>
      </c>
      <c r="I4608" t="s">
        <v>41</v>
      </c>
      <c r="J4608" t="s">
        <v>20</v>
      </c>
      <c r="L4608" t="s">
        <v>352</v>
      </c>
      <c r="M4608" t="s">
        <v>1594</v>
      </c>
      <c r="N4608" t="s">
        <v>1595</v>
      </c>
      <c r="O4608" t="s">
        <v>23</v>
      </c>
      <c r="P4608" t="s">
        <v>24</v>
      </c>
      <c r="Q4608" t="s">
        <v>1592</v>
      </c>
      <c r="R4608" t="s">
        <v>1591</v>
      </c>
    </row>
    <row r="4609" spans="1:18" x14ac:dyDescent="0.25">
      <c r="A4609" t="s">
        <v>18628</v>
      </c>
      <c r="B4609" t="s">
        <v>1599</v>
      </c>
      <c r="C4609" t="str">
        <f>HYPERLINK("https://nematode.unl.edu/gracic5.jpg")</f>
        <v>https://nematode.unl.edu/gracic5.jpg</v>
      </c>
      <c r="D4609" t="s">
        <v>43</v>
      </c>
      <c r="G4609" t="s">
        <v>53</v>
      </c>
      <c r="I4609" t="s">
        <v>41</v>
      </c>
      <c r="J4609" t="s">
        <v>20</v>
      </c>
      <c r="L4609" t="s">
        <v>141</v>
      </c>
      <c r="M4609" t="s">
        <v>1594</v>
      </c>
      <c r="N4609" t="s">
        <v>1595</v>
      </c>
      <c r="O4609" t="s">
        <v>23</v>
      </c>
      <c r="P4609" t="s">
        <v>24</v>
      </c>
      <c r="Q4609" t="s">
        <v>1592</v>
      </c>
      <c r="R4609" t="s">
        <v>1591</v>
      </c>
    </row>
    <row r="4610" spans="1:18" x14ac:dyDescent="0.25">
      <c r="A4610" t="s">
        <v>18630</v>
      </c>
      <c r="B4610" t="s">
        <v>1600</v>
      </c>
      <c r="C4610" t="str">
        <f>HYPERLINK("https://nematode.unl.edu/gracic6.jpg")</f>
        <v>https://nematode.unl.edu/gracic6.jpg</v>
      </c>
      <c r="D4610" t="s">
        <v>43</v>
      </c>
      <c r="G4610" t="s">
        <v>28</v>
      </c>
      <c r="I4610" t="s">
        <v>41</v>
      </c>
      <c r="J4610" t="s">
        <v>20</v>
      </c>
      <c r="L4610" t="s">
        <v>352</v>
      </c>
      <c r="M4610" t="s">
        <v>1594</v>
      </c>
      <c r="N4610" t="s">
        <v>1595</v>
      </c>
      <c r="O4610" t="s">
        <v>23</v>
      </c>
      <c r="P4610" t="s">
        <v>24</v>
      </c>
      <c r="Q4610" t="s">
        <v>1592</v>
      </c>
      <c r="R4610" t="s">
        <v>1591</v>
      </c>
    </row>
    <row r="4611" spans="1:18" x14ac:dyDescent="0.25">
      <c r="A4611" t="s">
        <v>18632</v>
      </c>
      <c r="B4611" t="s">
        <v>1601</v>
      </c>
      <c r="C4611" t="str">
        <f>HYPERLINK("https://nematode.unl.edu/gracul1.jpg")</f>
        <v>https://nematode.unl.edu/gracul1.jpg</v>
      </c>
      <c r="D4611" t="s">
        <v>43</v>
      </c>
      <c r="G4611" t="s">
        <v>44</v>
      </c>
      <c r="I4611" t="s">
        <v>516</v>
      </c>
      <c r="J4611" t="s">
        <v>20</v>
      </c>
      <c r="L4611" t="s">
        <v>456</v>
      </c>
      <c r="M4611" t="s">
        <v>1602</v>
      </c>
      <c r="N4611" t="s">
        <v>1603</v>
      </c>
      <c r="O4611" t="s">
        <v>23</v>
      </c>
      <c r="P4611" t="s">
        <v>24</v>
      </c>
      <c r="Q4611" t="s">
        <v>1592</v>
      </c>
      <c r="R4611" t="s">
        <v>1591</v>
      </c>
    </row>
    <row r="4612" spans="1:18" x14ac:dyDescent="0.25">
      <c r="A4612" t="s">
        <v>18635</v>
      </c>
      <c r="B4612" t="s">
        <v>1604</v>
      </c>
      <c r="C4612" t="str">
        <f>HYPERLINK("https://nematode.unl.edu/gracul2.jpg")</f>
        <v>https://nematode.unl.edu/gracul2.jpg</v>
      </c>
      <c r="D4612" t="s">
        <v>43</v>
      </c>
      <c r="G4612" t="s">
        <v>51</v>
      </c>
      <c r="I4612" t="s">
        <v>41</v>
      </c>
      <c r="J4612" t="s">
        <v>20</v>
      </c>
      <c r="M4612" t="s">
        <v>1602</v>
      </c>
      <c r="N4612" t="s">
        <v>1603</v>
      </c>
      <c r="O4612" t="s">
        <v>23</v>
      </c>
      <c r="P4612" t="s">
        <v>24</v>
      </c>
      <c r="Q4612" t="s">
        <v>1592</v>
      </c>
      <c r="R4612" t="s">
        <v>1591</v>
      </c>
    </row>
    <row r="4613" spans="1:18" x14ac:dyDescent="0.25">
      <c r="A4613" t="s">
        <v>18636</v>
      </c>
      <c r="B4613" t="s">
        <v>1605</v>
      </c>
      <c r="C4613" t="str">
        <f>HYPERLINK("https://nematode.unl.edu/gracul3.jpg")</f>
        <v>https://nematode.unl.edu/gracul3.jpg</v>
      </c>
      <c r="D4613" t="s">
        <v>43</v>
      </c>
      <c r="G4613" t="s">
        <v>51</v>
      </c>
      <c r="I4613" t="s">
        <v>41</v>
      </c>
      <c r="M4613" t="s">
        <v>1602</v>
      </c>
      <c r="N4613" t="s">
        <v>1603</v>
      </c>
      <c r="O4613" t="s">
        <v>23</v>
      </c>
      <c r="P4613" t="s">
        <v>24</v>
      </c>
      <c r="Q4613" t="s">
        <v>1592</v>
      </c>
      <c r="R4613" t="s">
        <v>1591</v>
      </c>
    </row>
    <row r="4614" spans="1:18" x14ac:dyDescent="0.25">
      <c r="A4614" t="s">
        <v>18634</v>
      </c>
      <c r="B4614" t="s">
        <v>1606</v>
      </c>
      <c r="C4614" t="str">
        <f>HYPERLINK("https://nematode.unl.edu/gracul4.jpg")</f>
        <v>https://nematode.unl.edu/gracul4.jpg</v>
      </c>
      <c r="D4614" t="s">
        <v>43</v>
      </c>
      <c r="G4614" t="s">
        <v>28</v>
      </c>
      <c r="I4614" t="s">
        <v>41</v>
      </c>
      <c r="J4614" t="s">
        <v>20</v>
      </c>
      <c r="L4614" t="s">
        <v>456</v>
      </c>
      <c r="M4614" t="s">
        <v>1602</v>
      </c>
      <c r="N4614" t="s">
        <v>1603</v>
      </c>
      <c r="O4614" t="s">
        <v>23</v>
      </c>
      <c r="P4614" t="s">
        <v>24</v>
      </c>
      <c r="Q4614" t="s">
        <v>1592</v>
      </c>
      <c r="R4614" t="s">
        <v>1591</v>
      </c>
    </row>
    <row r="4615" spans="1:18" x14ac:dyDescent="0.25">
      <c r="A4615" t="s">
        <v>18633</v>
      </c>
      <c r="B4615" t="s">
        <v>1607</v>
      </c>
      <c r="C4615" t="str">
        <f>HYPERLINK("https://nematode.unl.edu/graculcmp.jpg")</f>
        <v>https://nematode.unl.edu/graculcmp.jpg</v>
      </c>
      <c r="G4615" t="s">
        <v>108</v>
      </c>
      <c r="M4615" t="s">
        <v>1602</v>
      </c>
      <c r="N4615" t="s">
        <v>1603</v>
      </c>
      <c r="O4615" t="s">
        <v>23</v>
      </c>
      <c r="P4615" t="s">
        <v>24</v>
      </c>
      <c r="Q4615" t="s">
        <v>1592</v>
      </c>
      <c r="R4615" t="s">
        <v>1591</v>
      </c>
    </row>
    <row r="4616" spans="1:18" x14ac:dyDescent="0.25">
      <c r="A4616" t="s">
        <v>18643</v>
      </c>
      <c r="B4616" t="s">
        <v>1611</v>
      </c>
      <c r="C4616" t="str">
        <f>HYPERLINK("https://nematode.unl.edu/grala1.jpg")</f>
        <v>https://nematode.unl.edu/grala1.jpg</v>
      </c>
      <c r="D4616" t="s">
        <v>43</v>
      </c>
      <c r="G4616" t="s">
        <v>44</v>
      </c>
      <c r="I4616" t="s">
        <v>137</v>
      </c>
      <c r="J4616" t="s">
        <v>20</v>
      </c>
      <c r="L4616" t="s">
        <v>85</v>
      </c>
      <c r="M4616" t="s">
        <v>1609</v>
      </c>
      <c r="N4616" t="s">
        <v>1610</v>
      </c>
      <c r="O4616" t="s">
        <v>23</v>
      </c>
      <c r="P4616" t="s">
        <v>24</v>
      </c>
      <c r="Q4616" t="s">
        <v>1592</v>
      </c>
      <c r="R4616" t="s">
        <v>1591</v>
      </c>
    </row>
    <row r="4617" spans="1:18" x14ac:dyDescent="0.25">
      <c r="A4617" t="s">
        <v>18639</v>
      </c>
      <c r="B4617" t="s">
        <v>1612</v>
      </c>
      <c r="C4617" t="str">
        <f>HYPERLINK("https://nematode.unl.edu/grala10.jpg")</f>
        <v>https://nematode.unl.edu/grala10.jpg</v>
      </c>
      <c r="D4617" t="s">
        <v>43</v>
      </c>
      <c r="G4617" t="s">
        <v>34</v>
      </c>
      <c r="H4617" t="s">
        <v>18</v>
      </c>
      <c r="J4617" t="s">
        <v>20</v>
      </c>
      <c r="L4617" t="s">
        <v>193</v>
      </c>
      <c r="M4617" t="s">
        <v>1609</v>
      </c>
      <c r="N4617" t="s">
        <v>1610</v>
      </c>
      <c r="O4617" t="s">
        <v>23</v>
      </c>
      <c r="P4617" t="s">
        <v>24</v>
      </c>
      <c r="Q4617" t="s">
        <v>1592</v>
      </c>
      <c r="R4617" t="s">
        <v>1591</v>
      </c>
    </row>
    <row r="4618" spans="1:18" x14ac:dyDescent="0.25">
      <c r="A4618" t="s">
        <v>18647</v>
      </c>
      <c r="B4618" t="s">
        <v>1613</v>
      </c>
      <c r="C4618" t="str">
        <f>HYPERLINK("https://nematode.unl.edu/grala11.jpg")</f>
        <v>https://nematode.unl.edu/grala11.jpg</v>
      </c>
      <c r="D4618" t="s">
        <v>43</v>
      </c>
      <c r="G4618" t="s">
        <v>28</v>
      </c>
      <c r="J4618" t="s">
        <v>20</v>
      </c>
      <c r="L4618" t="s">
        <v>64</v>
      </c>
      <c r="M4618" t="s">
        <v>1609</v>
      </c>
      <c r="N4618" t="s">
        <v>1610</v>
      </c>
      <c r="O4618" t="s">
        <v>23</v>
      </c>
      <c r="P4618" t="s">
        <v>24</v>
      </c>
      <c r="Q4618" t="s">
        <v>1592</v>
      </c>
      <c r="R4618" t="s">
        <v>1591</v>
      </c>
    </row>
    <row r="4619" spans="1:18" x14ac:dyDescent="0.25">
      <c r="A4619" t="s">
        <v>18640</v>
      </c>
      <c r="B4619" t="s">
        <v>1614</v>
      </c>
      <c r="C4619" t="str">
        <f>HYPERLINK("https://nematode.unl.edu/grala12.jpg")</f>
        <v>https://nematode.unl.edu/grala12.jpg</v>
      </c>
      <c r="D4619" t="s">
        <v>43</v>
      </c>
      <c r="G4619" t="s">
        <v>34</v>
      </c>
      <c r="H4619" t="s">
        <v>18</v>
      </c>
      <c r="I4619" t="s">
        <v>41</v>
      </c>
      <c r="J4619" t="s">
        <v>20</v>
      </c>
      <c r="M4619" t="s">
        <v>1609</v>
      </c>
      <c r="N4619" t="s">
        <v>1610</v>
      </c>
      <c r="O4619" t="s">
        <v>23</v>
      </c>
      <c r="P4619" t="s">
        <v>24</v>
      </c>
      <c r="Q4619" t="s">
        <v>1592</v>
      </c>
      <c r="R4619" t="s">
        <v>1591</v>
      </c>
    </row>
    <row r="4620" spans="1:18" x14ac:dyDescent="0.25">
      <c r="A4620" t="s">
        <v>18644</v>
      </c>
      <c r="B4620" t="s">
        <v>1615</v>
      </c>
      <c r="C4620" t="str">
        <f>HYPERLINK("https://nematode.unl.edu/grala13.jpg")</f>
        <v>https://nematode.unl.edu/grala13.jpg</v>
      </c>
      <c r="D4620" t="s">
        <v>43</v>
      </c>
      <c r="G4620" t="s">
        <v>44</v>
      </c>
      <c r="I4620" t="s">
        <v>19</v>
      </c>
      <c r="J4620" t="s">
        <v>20</v>
      </c>
      <c r="L4620" t="s">
        <v>64</v>
      </c>
      <c r="M4620" t="s">
        <v>1609</v>
      </c>
      <c r="N4620" t="s">
        <v>1610</v>
      </c>
      <c r="O4620" t="s">
        <v>23</v>
      </c>
      <c r="P4620" t="s">
        <v>24</v>
      </c>
      <c r="Q4620" t="s">
        <v>1592</v>
      </c>
      <c r="R4620" t="s">
        <v>1591</v>
      </c>
    </row>
    <row r="4621" spans="1:18" x14ac:dyDescent="0.25">
      <c r="A4621" t="s">
        <v>18648</v>
      </c>
      <c r="B4621" t="s">
        <v>1616</v>
      </c>
      <c r="C4621" t="str">
        <f>HYPERLINK("https://nematode.unl.edu/grala14.jpg")</f>
        <v>https://nematode.unl.edu/grala14.jpg</v>
      </c>
      <c r="D4621" t="s">
        <v>43</v>
      </c>
      <c r="G4621" t="s">
        <v>28</v>
      </c>
      <c r="I4621" t="s">
        <v>41</v>
      </c>
      <c r="J4621" t="s">
        <v>20</v>
      </c>
      <c r="L4621" t="s">
        <v>64</v>
      </c>
      <c r="M4621" t="s">
        <v>1609</v>
      </c>
      <c r="N4621" t="s">
        <v>1610</v>
      </c>
      <c r="O4621" t="s">
        <v>23</v>
      </c>
      <c r="P4621" t="s">
        <v>24</v>
      </c>
      <c r="Q4621" t="s">
        <v>1592</v>
      </c>
      <c r="R4621" t="s">
        <v>1591</v>
      </c>
    </row>
    <row r="4622" spans="1:18" x14ac:dyDescent="0.25">
      <c r="A4622" t="s">
        <v>18642</v>
      </c>
      <c r="B4622" t="s">
        <v>1617</v>
      </c>
      <c r="C4622" t="str">
        <f>HYPERLINK("https://nematode.unl.edu/grala15.jpg")</f>
        <v>https://nematode.unl.edu/grala15.jpg</v>
      </c>
      <c r="D4622" t="s">
        <v>43</v>
      </c>
      <c r="G4622" t="s">
        <v>257</v>
      </c>
      <c r="H4622" t="s">
        <v>18</v>
      </c>
      <c r="I4622" t="s">
        <v>41</v>
      </c>
      <c r="J4622" t="s">
        <v>20</v>
      </c>
      <c r="L4622" t="s">
        <v>64</v>
      </c>
      <c r="M4622" t="s">
        <v>1609</v>
      </c>
      <c r="N4622" t="s">
        <v>1610</v>
      </c>
      <c r="O4622" t="s">
        <v>23</v>
      </c>
      <c r="P4622" t="s">
        <v>24</v>
      </c>
      <c r="Q4622" t="s">
        <v>1592</v>
      </c>
      <c r="R4622" t="s">
        <v>1591</v>
      </c>
    </row>
    <row r="4623" spans="1:18" x14ac:dyDescent="0.25">
      <c r="A4623" t="s">
        <v>18649</v>
      </c>
      <c r="B4623" t="s">
        <v>1618</v>
      </c>
      <c r="C4623" t="str">
        <f>HYPERLINK("https://nematode.unl.edu/grala2.jpg")</f>
        <v>https://nematode.unl.edu/grala2.jpg</v>
      </c>
      <c r="D4623" t="s">
        <v>43</v>
      </c>
      <c r="G4623" t="s">
        <v>28</v>
      </c>
      <c r="J4623" t="s">
        <v>20</v>
      </c>
      <c r="M4623" t="s">
        <v>1609</v>
      </c>
      <c r="N4623" t="s">
        <v>1610</v>
      </c>
      <c r="O4623" t="s">
        <v>23</v>
      </c>
      <c r="P4623" t="s">
        <v>24</v>
      </c>
      <c r="Q4623" t="s">
        <v>1592</v>
      </c>
      <c r="R4623" t="s">
        <v>1591</v>
      </c>
    </row>
    <row r="4624" spans="1:18" x14ac:dyDescent="0.25">
      <c r="A4624" t="s">
        <v>18638</v>
      </c>
      <c r="B4624" t="s">
        <v>1619</v>
      </c>
      <c r="C4624" t="str">
        <f>HYPERLINK("https://nematode.unl.edu/grala3.jpg")</f>
        <v>https://nematode.unl.edu/grala3.jpg</v>
      </c>
      <c r="D4624" t="s">
        <v>43</v>
      </c>
      <c r="G4624" t="s">
        <v>17</v>
      </c>
      <c r="H4624" t="s">
        <v>18</v>
      </c>
      <c r="I4624" t="s">
        <v>41</v>
      </c>
      <c r="J4624" t="s">
        <v>20</v>
      </c>
      <c r="L4624" t="s">
        <v>138</v>
      </c>
      <c r="M4624" t="s">
        <v>1609</v>
      </c>
      <c r="N4624" t="s">
        <v>1610</v>
      </c>
      <c r="O4624" t="s">
        <v>23</v>
      </c>
      <c r="P4624" t="s">
        <v>24</v>
      </c>
      <c r="Q4624" t="s">
        <v>1592</v>
      </c>
      <c r="R4624" t="s">
        <v>1591</v>
      </c>
    </row>
    <row r="4625" spans="1:18" x14ac:dyDescent="0.25">
      <c r="A4625" t="s">
        <v>18641</v>
      </c>
      <c r="B4625" t="s">
        <v>1620</v>
      </c>
      <c r="C4625" t="str">
        <f>HYPERLINK("https://nematode.unl.edu/grala4.jpg")</f>
        <v>https://nematode.unl.edu/grala4.jpg</v>
      </c>
      <c r="D4625" t="s">
        <v>43</v>
      </c>
      <c r="G4625" t="s">
        <v>34</v>
      </c>
      <c r="H4625" t="s">
        <v>18</v>
      </c>
      <c r="J4625" t="s">
        <v>20</v>
      </c>
      <c r="L4625" t="s">
        <v>141</v>
      </c>
      <c r="M4625" t="s">
        <v>1609</v>
      </c>
      <c r="N4625" t="s">
        <v>1610</v>
      </c>
      <c r="O4625" t="s">
        <v>23</v>
      </c>
      <c r="P4625" t="s">
        <v>24</v>
      </c>
      <c r="Q4625" t="s">
        <v>1592</v>
      </c>
      <c r="R4625" t="s">
        <v>1591</v>
      </c>
    </row>
    <row r="4626" spans="1:18" x14ac:dyDescent="0.25">
      <c r="A4626" t="s">
        <v>18650</v>
      </c>
      <c r="B4626" t="s">
        <v>1621</v>
      </c>
      <c r="C4626" t="str">
        <f>HYPERLINK("https://nematode.unl.edu/grala5.jpg")</f>
        <v>https://nematode.unl.edu/grala5.jpg</v>
      </c>
      <c r="D4626" t="s">
        <v>77</v>
      </c>
      <c r="G4626" t="s">
        <v>28</v>
      </c>
      <c r="J4626" t="s">
        <v>20</v>
      </c>
      <c r="L4626" t="s">
        <v>173</v>
      </c>
      <c r="M4626" t="s">
        <v>1609</v>
      </c>
      <c r="N4626" t="s">
        <v>1610</v>
      </c>
      <c r="O4626" t="s">
        <v>23</v>
      </c>
      <c r="P4626" t="s">
        <v>24</v>
      </c>
      <c r="Q4626" t="s">
        <v>1592</v>
      </c>
      <c r="R4626" t="s">
        <v>1591</v>
      </c>
    </row>
    <row r="4627" spans="1:18" x14ac:dyDescent="0.25">
      <c r="A4627" t="s">
        <v>18651</v>
      </c>
      <c r="B4627" t="s">
        <v>1622</v>
      </c>
      <c r="C4627" t="str">
        <f>HYPERLINK("https://nematode.unl.edu/grala6.jpg")</f>
        <v>https://nematode.unl.edu/grala6.jpg</v>
      </c>
      <c r="D4627" t="s">
        <v>43</v>
      </c>
      <c r="G4627" t="s">
        <v>28</v>
      </c>
      <c r="M4627" t="s">
        <v>1609</v>
      </c>
      <c r="N4627" t="s">
        <v>1610</v>
      </c>
      <c r="O4627" t="s">
        <v>23</v>
      </c>
      <c r="P4627" t="s">
        <v>24</v>
      </c>
      <c r="Q4627" t="s">
        <v>1592</v>
      </c>
      <c r="R4627" t="s">
        <v>1591</v>
      </c>
    </row>
    <row r="4628" spans="1:18" x14ac:dyDescent="0.25">
      <c r="A4628" t="s">
        <v>18637</v>
      </c>
      <c r="B4628" t="s">
        <v>1623</v>
      </c>
      <c r="C4628" t="str">
        <f>HYPERLINK("https://nematode.unl.edu/grala7.jpg")</f>
        <v>https://nematode.unl.edu/grala7.jpg</v>
      </c>
      <c r="D4628" t="s">
        <v>43</v>
      </c>
      <c r="G4628" t="s">
        <v>96</v>
      </c>
      <c r="H4628" t="s">
        <v>18</v>
      </c>
      <c r="I4628" t="s">
        <v>41</v>
      </c>
      <c r="J4628" t="s">
        <v>20</v>
      </c>
      <c r="M4628" t="s">
        <v>1609</v>
      </c>
      <c r="N4628" t="s">
        <v>1610</v>
      </c>
      <c r="O4628" t="s">
        <v>23</v>
      </c>
      <c r="P4628" t="s">
        <v>24</v>
      </c>
      <c r="Q4628" t="s">
        <v>1592</v>
      </c>
      <c r="R4628" t="s">
        <v>1591</v>
      </c>
    </row>
    <row r="4629" spans="1:18" x14ac:dyDescent="0.25">
      <c r="A4629" t="s">
        <v>18646</v>
      </c>
      <c r="B4629" t="s">
        <v>1624</v>
      </c>
      <c r="C4629" t="str">
        <f>HYPERLINK("https://nematode.unl.edu/grala8.jpg")</f>
        <v>https://nematode.unl.edu/grala8.jpg</v>
      </c>
      <c r="D4629" t="s">
        <v>43</v>
      </c>
      <c r="G4629" t="s">
        <v>53</v>
      </c>
      <c r="I4629" t="s">
        <v>41</v>
      </c>
      <c r="J4629" t="s">
        <v>20</v>
      </c>
      <c r="L4629" t="s">
        <v>183</v>
      </c>
      <c r="M4629" t="s">
        <v>1609</v>
      </c>
      <c r="N4629" t="s">
        <v>1610</v>
      </c>
      <c r="O4629" t="s">
        <v>23</v>
      </c>
      <c r="P4629" t="s">
        <v>24</v>
      </c>
      <c r="Q4629" t="s">
        <v>1592</v>
      </c>
      <c r="R4629" t="s">
        <v>1591</v>
      </c>
    </row>
    <row r="4630" spans="1:18" x14ac:dyDescent="0.25">
      <c r="A4630" t="s">
        <v>18652</v>
      </c>
      <c r="B4630" t="s">
        <v>1625</v>
      </c>
      <c r="C4630" t="str">
        <f>HYPERLINK("https://nematode.unl.edu/grala9.jpg")</f>
        <v>https://nematode.unl.edu/grala9.jpg</v>
      </c>
      <c r="D4630" t="s">
        <v>43</v>
      </c>
      <c r="G4630" t="s">
        <v>51</v>
      </c>
      <c r="I4630" t="s">
        <v>41</v>
      </c>
      <c r="J4630" t="s">
        <v>20</v>
      </c>
      <c r="M4630" t="s">
        <v>1609</v>
      </c>
      <c r="N4630" t="s">
        <v>1610</v>
      </c>
      <c r="O4630" t="s">
        <v>23</v>
      </c>
      <c r="P4630" t="s">
        <v>24</v>
      </c>
      <c r="Q4630" t="s">
        <v>1592</v>
      </c>
      <c r="R4630" t="s">
        <v>1591</v>
      </c>
    </row>
    <row r="4631" spans="1:18" x14ac:dyDescent="0.25">
      <c r="A4631" t="s">
        <v>16284</v>
      </c>
      <c r="B4631" t="s">
        <v>6363</v>
      </c>
      <c r="C4631" t="str">
        <f>HYPERLINK("https://nematode.unl.edu/havenut1.jpg")</f>
        <v>https://nematode.unl.edu/havenut1.jpg</v>
      </c>
      <c r="D4631" t="s">
        <v>16</v>
      </c>
      <c r="G4631" t="s">
        <v>44</v>
      </c>
      <c r="I4631" t="s">
        <v>516</v>
      </c>
      <c r="J4631" t="s">
        <v>6364</v>
      </c>
      <c r="L4631" t="s">
        <v>6365</v>
      </c>
      <c r="M4631" t="s">
        <v>6366</v>
      </c>
      <c r="N4631" t="s">
        <v>6366</v>
      </c>
      <c r="O4631" t="s">
        <v>23</v>
      </c>
      <c r="P4631" t="s">
        <v>24</v>
      </c>
      <c r="Q4631" t="s">
        <v>448</v>
      </c>
      <c r="R4631" t="s">
        <v>1084</v>
      </c>
    </row>
    <row r="4632" spans="1:18" x14ac:dyDescent="0.25">
      <c r="A4632" t="s">
        <v>16274</v>
      </c>
      <c r="B4632" t="s">
        <v>6367</v>
      </c>
      <c r="C4632" t="str">
        <f>HYPERLINK("https://nematode.unl.edu/havenut2.jpg")</f>
        <v>https://nematode.unl.edu/havenut2.jpg</v>
      </c>
      <c r="D4632" t="s">
        <v>16</v>
      </c>
      <c r="G4632" t="s">
        <v>34</v>
      </c>
      <c r="H4632" t="s">
        <v>18</v>
      </c>
      <c r="I4632" t="s">
        <v>41</v>
      </c>
      <c r="J4632" t="s">
        <v>708</v>
      </c>
      <c r="M4632" t="s">
        <v>6366</v>
      </c>
      <c r="N4632" t="s">
        <v>6366</v>
      </c>
      <c r="O4632" t="s">
        <v>23</v>
      </c>
      <c r="P4632" t="s">
        <v>24</v>
      </c>
      <c r="Q4632" t="s">
        <v>448</v>
      </c>
      <c r="R4632" t="s">
        <v>1084</v>
      </c>
    </row>
    <row r="4633" spans="1:18" x14ac:dyDescent="0.25">
      <c r="A4633" t="s">
        <v>16289</v>
      </c>
      <c r="B4633" t="s">
        <v>6368</v>
      </c>
      <c r="C4633" t="str">
        <f>HYPERLINK("https://nematode.unl.edu/havenut3.jpg")</f>
        <v>https://nematode.unl.edu/havenut3.jpg</v>
      </c>
      <c r="D4633" t="s">
        <v>16</v>
      </c>
      <c r="G4633" t="s">
        <v>6369</v>
      </c>
      <c r="I4633" t="s">
        <v>41</v>
      </c>
      <c r="J4633" t="s">
        <v>6364</v>
      </c>
      <c r="L4633" t="s">
        <v>6365</v>
      </c>
      <c r="M4633" t="s">
        <v>6366</v>
      </c>
      <c r="N4633" t="s">
        <v>6366</v>
      </c>
      <c r="O4633" t="s">
        <v>23</v>
      </c>
      <c r="P4633" t="s">
        <v>24</v>
      </c>
      <c r="Q4633" t="s">
        <v>448</v>
      </c>
      <c r="R4633" t="s">
        <v>1084</v>
      </c>
    </row>
    <row r="4634" spans="1:18" x14ac:dyDescent="0.25">
      <c r="A4634" t="s">
        <v>16290</v>
      </c>
      <c r="B4634" t="s">
        <v>6370</v>
      </c>
      <c r="C4634" t="str">
        <f>HYPERLINK("https://nematode.unl.edu/havenut4.jpg")</f>
        <v>https://nematode.unl.edu/havenut4.jpg</v>
      </c>
      <c r="D4634" t="s">
        <v>16</v>
      </c>
      <c r="G4634" t="s">
        <v>6371</v>
      </c>
      <c r="I4634" t="s">
        <v>41</v>
      </c>
      <c r="J4634" t="s">
        <v>6364</v>
      </c>
      <c r="L4634" t="s">
        <v>6372</v>
      </c>
      <c r="M4634" t="s">
        <v>6366</v>
      </c>
      <c r="N4634" t="s">
        <v>6366</v>
      </c>
      <c r="O4634" t="s">
        <v>23</v>
      </c>
      <c r="P4634" t="s">
        <v>24</v>
      </c>
      <c r="Q4634" t="s">
        <v>448</v>
      </c>
      <c r="R4634" t="s">
        <v>1084</v>
      </c>
    </row>
    <row r="4635" spans="1:18" x14ac:dyDescent="0.25">
      <c r="A4635" t="s">
        <v>16296</v>
      </c>
      <c r="B4635" t="s">
        <v>6373</v>
      </c>
      <c r="C4635" t="str">
        <f>HYPERLINK("https://nematode.unl.edu/havenut5.jpg")</f>
        <v>https://nematode.unl.edu/havenut5.jpg</v>
      </c>
      <c r="D4635" t="s">
        <v>16</v>
      </c>
      <c r="G4635" t="s">
        <v>28</v>
      </c>
      <c r="I4635" t="s">
        <v>41</v>
      </c>
      <c r="J4635" t="s">
        <v>708</v>
      </c>
      <c r="M4635" t="s">
        <v>6366</v>
      </c>
      <c r="N4635" t="s">
        <v>6366</v>
      </c>
      <c r="O4635" t="s">
        <v>23</v>
      </c>
      <c r="P4635" t="s">
        <v>24</v>
      </c>
      <c r="Q4635" t="s">
        <v>448</v>
      </c>
      <c r="R4635" t="s">
        <v>1084</v>
      </c>
    </row>
    <row r="4636" spans="1:18" x14ac:dyDescent="0.25">
      <c r="A4636" t="s">
        <v>16308</v>
      </c>
      <c r="B4636" t="s">
        <v>6405</v>
      </c>
      <c r="C4636" t="str">
        <f>HYPERLINK("https://nematode.unl.edu/hegly1.jpg")</f>
        <v>https://nematode.unl.edu/hegly1.jpg</v>
      </c>
      <c r="G4636" t="s">
        <v>3596</v>
      </c>
      <c r="M4636" t="s">
        <v>6406</v>
      </c>
      <c r="N4636" t="s">
        <v>6406</v>
      </c>
      <c r="O4636" t="s">
        <v>23</v>
      </c>
      <c r="P4636" t="s">
        <v>24</v>
      </c>
      <c r="Q4636" t="s">
        <v>448</v>
      </c>
      <c r="R4636" t="s">
        <v>1084</v>
      </c>
    </row>
    <row r="4637" spans="1:18" x14ac:dyDescent="0.25">
      <c r="A4637" t="s">
        <v>16309</v>
      </c>
      <c r="B4637" t="s">
        <v>6407</v>
      </c>
      <c r="C4637" t="str">
        <f>HYPERLINK("https://nematode.unl.edu/hegly5.jpg")</f>
        <v>https://nematode.unl.edu/hegly5.jpg</v>
      </c>
      <c r="G4637" t="s">
        <v>3596</v>
      </c>
      <c r="M4637" t="s">
        <v>6406</v>
      </c>
      <c r="N4637" t="s">
        <v>6406</v>
      </c>
      <c r="O4637" t="s">
        <v>23</v>
      </c>
      <c r="P4637" t="s">
        <v>24</v>
      </c>
      <c r="Q4637" t="s">
        <v>448</v>
      </c>
      <c r="R4637" t="s">
        <v>1084</v>
      </c>
    </row>
    <row r="4638" spans="1:18" x14ac:dyDescent="0.25">
      <c r="A4638" t="s">
        <v>16310</v>
      </c>
      <c r="B4638" t="s">
        <v>6408</v>
      </c>
      <c r="C4638" t="str">
        <f>HYPERLINK("https://nematode.unl.edu/hegly6.jpg")</f>
        <v>https://nematode.unl.edu/hegly6.jpg</v>
      </c>
      <c r="G4638" t="s">
        <v>3596</v>
      </c>
      <c r="M4638" t="s">
        <v>6406</v>
      </c>
      <c r="N4638" t="s">
        <v>6406</v>
      </c>
      <c r="O4638" t="s">
        <v>23</v>
      </c>
      <c r="P4638" t="s">
        <v>24</v>
      </c>
      <c r="Q4638" t="s">
        <v>448</v>
      </c>
      <c r="R4638" t="s">
        <v>1084</v>
      </c>
    </row>
    <row r="4639" spans="1:18" x14ac:dyDescent="0.25">
      <c r="A4639" t="s">
        <v>16311</v>
      </c>
      <c r="B4639" t="s">
        <v>6409</v>
      </c>
      <c r="C4639" t="str">
        <f>HYPERLINK("https://nematode.unl.edu/hegly7.jpg")</f>
        <v>https://nematode.unl.edu/hegly7.jpg</v>
      </c>
      <c r="G4639" t="s">
        <v>3596</v>
      </c>
      <c r="M4639" t="s">
        <v>6406</v>
      </c>
      <c r="N4639" t="s">
        <v>6406</v>
      </c>
      <c r="O4639" t="s">
        <v>23</v>
      </c>
      <c r="P4639" t="s">
        <v>24</v>
      </c>
      <c r="Q4639" t="s">
        <v>448</v>
      </c>
      <c r="R4639" t="s">
        <v>1084</v>
      </c>
    </row>
    <row r="4640" spans="1:18" x14ac:dyDescent="0.25">
      <c r="A4640" t="s">
        <v>16312</v>
      </c>
      <c r="B4640" t="s">
        <v>6410</v>
      </c>
      <c r="C4640" t="str">
        <f>HYPERLINK("https://nematode.unl.edu/hegly8.jpg")</f>
        <v>https://nematode.unl.edu/hegly8.jpg</v>
      </c>
      <c r="G4640" t="s">
        <v>3596</v>
      </c>
      <c r="M4640" t="s">
        <v>6406</v>
      </c>
      <c r="N4640" t="s">
        <v>6406</v>
      </c>
      <c r="O4640" t="s">
        <v>23</v>
      </c>
      <c r="P4640" t="s">
        <v>24</v>
      </c>
      <c r="Q4640" t="s">
        <v>448</v>
      </c>
      <c r="R4640" t="s">
        <v>1084</v>
      </c>
    </row>
    <row r="4641" spans="1:18" x14ac:dyDescent="0.25">
      <c r="A4641" t="s">
        <v>16470</v>
      </c>
      <c r="B4641" t="s">
        <v>6072</v>
      </c>
      <c r="C4641" t="str">
        <f>HYPERLINK("https://nematode.unl.edu/helab1.jpg")</f>
        <v>https://nematode.unl.edu/helab1.jpg</v>
      </c>
      <c r="D4641" t="s">
        <v>16</v>
      </c>
      <c r="G4641" t="s">
        <v>34</v>
      </c>
      <c r="H4641" t="s">
        <v>18</v>
      </c>
      <c r="I4641" t="s">
        <v>19</v>
      </c>
      <c r="J4641" t="s">
        <v>20</v>
      </c>
      <c r="L4641" t="s">
        <v>217</v>
      </c>
      <c r="M4641" t="s">
        <v>6073</v>
      </c>
      <c r="N4641" t="s">
        <v>6073</v>
      </c>
      <c r="O4641" t="s">
        <v>23</v>
      </c>
      <c r="P4641" t="s">
        <v>24</v>
      </c>
      <c r="Q4641" t="s">
        <v>2454</v>
      </c>
      <c r="R4641" t="s">
        <v>5996</v>
      </c>
    </row>
    <row r="4642" spans="1:18" x14ac:dyDescent="0.25">
      <c r="A4642" t="s">
        <v>16471</v>
      </c>
      <c r="B4642" t="s">
        <v>6074</v>
      </c>
      <c r="C4642" t="str">
        <f>HYPERLINK("https://nematode.unl.edu/helab10.jpg")</f>
        <v>https://nematode.unl.edu/helab10.jpg</v>
      </c>
      <c r="D4642" t="s">
        <v>43</v>
      </c>
      <c r="G4642" t="s">
        <v>34</v>
      </c>
      <c r="H4642" t="s">
        <v>18</v>
      </c>
      <c r="I4642" t="s">
        <v>19</v>
      </c>
      <c r="L4642" t="s">
        <v>85</v>
      </c>
      <c r="M4642" t="s">
        <v>6073</v>
      </c>
      <c r="N4642" t="s">
        <v>6073</v>
      </c>
      <c r="O4642" t="s">
        <v>23</v>
      </c>
      <c r="P4642" t="s">
        <v>24</v>
      </c>
      <c r="Q4642" t="s">
        <v>2454</v>
      </c>
      <c r="R4642" t="s">
        <v>5996</v>
      </c>
    </row>
    <row r="4643" spans="1:18" x14ac:dyDescent="0.25">
      <c r="A4643" t="s">
        <v>16484</v>
      </c>
      <c r="B4643" t="s">
        <v>6075</v>
      </c>
      <c r="C4643" t="str">
        <f>HYPERLINK("https://nematode.unl.edu/helab11.jpg")</f>
        <v>https://nematode.unl.edu/helab11.jpg</v>
      </c>
      <c r="D4643" t="s">
        <v>43</v>
      </c>
      <c r="G4643" t="s">
        <v>51</v>
      </c>
      <c r="I4643" t="s">
        <v>19</v>
      </c>
      <c r="M4643" t="s">
        <v>6073</v>
      </c>
      <c r="N4643" t="s">
        <v>6073</v>
      </c>
      <c r="O4643" t="s">
        <v>23</v>
      </c>
      <c r="P4643" t="s">
        <v>24</v>
      </c>
      <c r="Q4643" t="s">
        <v>2454</v>
      </c>
      <c r="R4643" t="s">
        <v>5996</v>
      </c>
    </row>
    <row r="4644" spans="1:18" x14ac:dyDescent="0.25">
      <c r="A4644" t="s">
        <v>16479</v>
      </c>
      <c r="B4644" t="s">
        <v>6076</v>
      </c>
      <c r="C4644" t="str">
        <f>HYPERLINK("https://nematode.unl.edu/helab12.jpg")</f>
        <v>https://nematode.unl.edu/helab12.jpg</v>
      </c>
      <c r="D4644" t="s">
        <v>43</v>
      </c>
      <c r="G4644" t="s">
        <v>28</v>
      </c>
      <c r="J4644" t="s">
        <v>20</v>
      </c>
      <c r="L4644" t="s">
        <v>85</v>
      </c>
      <c r="M4644" t="s">
        <v>6073</v>
      </c>
      <c r="N4644" t="s">
        <v>6073</v>
      </c>
      <c r="O4644" t="s">
        <v>23</v>
      </c>
      <c r="P4644" t="s">
        <v>24</v>
      </c>
      <c r="Q4644" t="s">
        <v>2454</v>
      </c>
      <c r="R4644" t="s">
        <v>5996</v>
      </c>
    </row>
    <row r="4645" spans="1:18" x14ac:dyDescent="0.25">
      <c r="A4645" t="s">
        <v>16472</v>
      </c>
      <c r="B4645" t="s">
        <v>6077</v>
      </c>
      <c r="C4645" t="str">
        <f>HYPERLINK("https://nematode.unl.edu/helab2.jpg")</f>
        <v>https://nematode.unl.edu/helab2.jpg</v>
      </c>
      <c r="D4645" t="s">
        <v>16</v>
      </c>
      <c r="G4645" t="s">
        <v>34</v>
      </c>
      <c r="H4645" t="s">
        <v>18</v>
      </c>
      <c r="I4645" t="s">
        <v>41</v>
      </c>
      <c r="J4645" t="s">
        <v>20</v>
      </c>
      <c r="L4645" t="s">
        <v>64</v>
      </c>
      <c r="M4645" t="s">
        <v>6073</v>
      </c>
      <c r="N4645" t="s">
        <v>6073</v>
      </c>
      <c r="O4645" t="s">
        <v>23</v>
      </c>
      <c r="P4645" t="s">
        <v>24</v>
      </c>
      <c r="Q4645" t="s">
        <v>2454</v>
      </c>
      <c r="R4645" t="s">
        <v>5996</v>
      </c>
    </row>
    <row r="4646" spans="1:18" x14ac:dyDescent="0.25">
      <c r="A4646" t="s">
        <v>16480</v>
      </c>
      <c r="B4646" t="s">
        <v>6078</v>
      </c>
      <c r="C4646" t="str">
        <f>HYPERLINK("https://nematode.unl.edu/helab3.jpg")</f>
        <v>https://nematode.unl.edu/helab3.jpg</v>
      </c>
      <c r="D4646" t="s">
        <v>16</v>
      </c>
      <c r="G4646" t="s">
        <v>28</v>
      </c>
      <c r="I4646" t="s">
        <v>41</v>
      </c>
      <c r="J4646" t="s">
        <v>20</v>
      </c>
      <c r="L4646" t="s">
        <v>193</v>
      </c>
      <c r="M4646" t="s">
        <v>6073</v>
      </c>
      <c r="N4646" t="s">
        <v>6073</v>
      </c>
      <c r="O4646" t="s">
        <v>23</v>
      </c>
      <c r="P4646" t="s">
        <v>24</v>
      </c>
      <c r="Q4646" t="s">
        <v>2454</v>
      </c>
      <c r="R4646" t="s">
        <v>5996</v>
      </c>
    </row>
    <row r="4647" spans="1:18" x14ac:dyDescent="0.25">
      <c r="A4647" t="s">
        <v>16473</v>
      </c>
      <c r="B4647" t="s">
        <v>6079</v>
      </c>
      <c r="C4647" t="str">
        <f>HYPERLINK("https://nematode.unl.edu/helab4.jpg")</f>
        <v>https://nematode.unl.edu/helab4.jpg</v>
      </c>
      <c r="D4647" t="s">
        <v>16</v>
      </c>
      <c r="G4647" t="s">
        <v>34</v>
      </c>
      <c r="H4647" t="s">
        <v>18</v>
      </c>
      <c r="I4647" t="s">
        <v>41</v>
      </c>
      <c r="J4647" t="s">
        <v>20</v>
      </c>
      <c r="L4647" t="s">
        <v>193</v>
      </c>
      <c r="M4647" t="s">
        <v>6073</v>
      </c>
      <c r="N4647" t="s">
        <v>6073</v>
      </c>
      <c r="O4647" t="s">
        <v>23</v>
      </c>
      <c r="P4647" t="s">
        <v>24</v>
      </c>
      <c r="Q4647" t="s">
        <v>2454</v>
      </c>
      <c r="R4647" t="s">
        <v>5996</v>
      </c>
    </row>
    <row r="4648" spans="1:18" x14ac:dyDescent="0.25">
      <c r="A4648" t="s">
        <v>16474</v>
      </c>
      <c r="B4648" t="s">
        <v>6080</v>
      </c>
      <c r="C4648" t="str">
        <f>HYPERLINK("https://nematode.unl.edu/helab5.jpg")</f>
        <v>https://nematode.unl.edu/helab5.jpg</v>
      </c>
      <c r="D4648" t="s">
        <v>16</v>
      </c>
      <c r="G4648" t="s">
        <v>34</v>
      </c>
      <c r="H4648" t="s">
        <v>18</v>
      </c>
      <c r="I4648" t="s">
        <v>19</v>
      </c>
      <c r="J4648" t="s">
        <v>20</v>
      </c>
      <c r="L4648" t="s">
        <v>217</v>
      </c>
      <c r="M4648" t="s">
        <v>6073</v>
      </c>
      <c r="N4648" t="s">
        <v>6073</v>
      </c>
      <c r="O4648" t="s">
        <v>23</v>
      </c>
      <c r="P4648" t="s">
        <v>24</v>
      </c>
      <c r="Q4648" t="s">
        <v>2454</v>
      </c>
      <c r="R4648" t="s">
        <v>5996</v>
      </c>
    </row>
    <row r="4649" spans="1:18" x14ac:dyDescent="0.25">
      <c r="A4649" t="s">
        <v>16481</v>
      </c>
      <c r="B4649" t="s">
        <v>6081</v>
      </c>
      <c r="C4649" t="str">
        <f>HYPERLINK("https://nematode.unl.edu/helab6.jpg")</f>
        <v>https://nematode.unl.edu/helab6.jpg</v>
      </c>
      <c r="D4649" t="s">
        <v>16</v>
      </c>
      <c r="G4649" t="s">
        <v>28</v>
      </c>
      <c r="I4649" t="s">
        <v>19</v>
      </c>
      <c r="J4649" t="s">
        <v>20</v>
      </c>
      <c r="L4649" t="s">
        <v>141</v>
      </c>
      <c r="M4649" t="s">
        <v>6073</v>
      </c>
      <c r="N4649" t="s">
        <v>6073</v>
      </c>
      <c r="O4649" t="s">
        <v>23</v>
      </c>
      <c r="P4649" t="s">
        <v>24</v>
      </c>
      <c r="Q4649" t="s">
        <v>2454</v>
      </c>
      <c r="R4649" t="s">
        <v>5996</v>
      </c>
    </row>
    <row r="4650" spans="1:18" x14ac:dyDescent="0.25">
      <c r="A4650" t="s">
        <v>16475</v>
      </c>
      <c r="B4650" t="s">
        <v>6082</v>
      </c>
      <c r="C4650" t="str">
        <f>HYPERLINK("https://nematode.unl.edu/helab7.jpg")</f>
        <v>https://nematode.unl.edu/helab7.jpg</v>
      </c>
      <c r="D4650" t="s">
        <v>16</v>
      </c>
      <c r="G4650" t="s">
        <v>34</v>
      </c>
      <c r="H4650" t="s">
        <v>18</v>
      </c>
      <c r="I4650" t="s">
        <v>19</v>
      </c>
      <c r="J4650" t="s">
        <v>20</v>
      </c>
      <c r="L4650" t="s">
        <v>193</v>
      </c>
      <c r="M4650" t="s">
        <v>6073</v>
      </c>
      <c r="N4650" t="s">
        <v>6073</v>
      </c>
      <c r="O4650" t="s">
        <v>23</v>
      </c>
      <c r="P4650" t="s">
        <v>24</v>
      </c>
      <c r="Q4650" t="s">
        <v>2454</v>
      </c>
      <c r="R4650" t="s">
        <v>5996</v>
      </c>
    </row>
    <row r="4651" spans="1:18" x14ac:dyDescent="0.25">
      <c r="A4651" t="s">
        <v>16482</v>
      </c>
      <c r="B4651" t="s">
        <v>6083</v>
      </c>
      <c r="C4651" t="str">
        <f>HYPERLINK("https://nematode.unl.edu/helab8.jpg")</f>
        <v>https://nematode.unl.edu/helab8.jpg</v>
      </c>
      <c r="D4651" t="s">
        <v>16</v>
      </c>
      <c r="G4651" t="s">
        <v>28</v>
      </c>
      <c r="I4651" t="s">
        <v>19</v>
      </c>
      <c r="J4651" t="s">
        <v>20</v>
      </c>
      <c r="L4651" t="s">
        <v>141</v>
      </c>
      <c r="M4651" t="s">
        <v>6073</v>
      </c>
      <c r="N4651" t="s">
        <v>6073</v>
      </c>
      <c r="O4651" t="s">
        <v>23</v>
      </c>
      <c r="P4651" t="s">
        <v>24</v>
      </c>
      <c r="Q4651" t="s">
        <v>2454</v>
      </c>
      <c r="R4651" t="s">
        <v>5996</v>
      </c>
    </row>
    <row r="4652" spans="1:18" x14ac:dyDescent="0.25">
      <c r="A4652" t="s">
        <v>16477</v>
      </c>
      <c r="B4652" t="s">
        <v>6084</v>
      </c>
      <c r="C4652" t="str">
        <f>HYPERLINK("https://nematode.unl.edu/helab9.jpg")</f>
        <v>https://nematode.unl.edu/helab9.jpg</v>
      </c>
      <c r="D4652" t="s">
        <v>43</v>
      </c>
      <c r="G4652" t="s">
        <v>44</v>
      </c>
      <c r="I4652" t="s">
        <v>1008</v>
      </c>
      <c r="J4652" t="s">
        <v>20</v>
      </c>
      <c r="L4652" t="s">
        <v>85</v>
      </c>
      <c r="M4652" t="s">
        <v>6073</v>
      </c>
      <c r="N4652" t="s">
        <v>6073</v>
      </c>
      <c r="O4652" t="s">
        <v>23</v>
      </c>
      <c r="P4652" t="s">
        <v>24</v>
      </c>
      <c r="Q4652" t="s">
        <v>2454</v>
      </c>
      <c r="R4652" t="s">
        <v>5996</v>
      </c>
    </row>
    <row r="4653" spans="1:18" x14ac:dyDescent="0.25">
      <c r="A4653" t="s">
        <v>16478</v>
      </c>
      <c r="B4653" t="s">
        <v>6085</v>
      </c>
      <c r="C4653" t="str">
        <f>HYPERLINK("https://nematode.unl.edu/helabcmp.jpg")</f>
        <v>https://nematode.unl.edu/helabcmp.jpg</v>
      </c>
      <c r="G4653" t="s">
        <v>108</v>
      </c>
      <c r="M4653" t="s">
        <v>6073</v>
      </c>
      <c r="N4653" t="s">
        <v>6073</v>
      </c>
      <c r="O4653" t="s">
        <v>23</v>
      </c>
      <c r="P4653" t="s">
        <v>24</v>
      </c>
      <c r="Q4653" t="s">
        <v>2454</v>
      </c>
      <c r="R4653" t="s">
        <v>5996</v>
      </c>
    </row>
    <row r="4654" spans="1:18" x14ac:dyDescent="0.25">
      <c r="A4654" t="s">
        <v>16476</v>
      </c>
      <c r="B4654" t="s">
        <v>6086</v>
      </c>
      <c r="C4654" t="str">
        <f>HYPERLINK("https://nematode.unl.edu/helabio1.jpg")</f>
        <v>https://nematode.unl.edu/helabio1.jpg</v>
      </c>
      <c r="D4654" t="s">
        <v>43</v>
      </c>
      <c r="G4654" t="s">
        <v>34</v>
      </c>
      <c r="H4654" t="s">
        <v>18</v>
      </c>
      <c r="I4654" t="s">
        <v>19</v>
      </c>
      <c r="L4654" t="s">
        <v>105</v>
      </c>
      <c r="M4654" t="s">
        <v>6073</v>
      </c>
      <c r="N4654" t="s">
        <v>6073</v>
      </c>
      <c r="O4654" t="s">
        <v>23</v>
      </c>
      <c r="P4654" t="s">
        <v>24</v>
      </c>
      <c r="Q4654" t="s">
        <v>2454</v>
      </c>
      <c r="R4654" t="s">
        <v>5996</v>
      </c>
    </row>
    <row r="4655" spans="1:18" x14ac:dyDescent="0.25">
      <c r="A4655" t="s">
        <v>16483</v>
      </c>
      <c r="B4655" t="s">
        <v>6087</v>
      </c>
      <c r="C4655" t="str">
        <f>HYPERLINK("https://nematode.unl.edu/helabio2.jpg")</f>
        <v>https://nematode.unl.edu/helabio2.jpg</v>
      </c>
      <c r="D4655" t="s">
        <v>43</v>
      </c>
      <c r="G4655" t="s">
        <v>28</v>
      </c>
      <c r="L4655" t="s">
        <v>105</v>
      </c>
      <c r="M4655" t="s">
        <v>6073</v>
      </c>
      <c r="N4655" t="s">
        <v>6073</v>
      </c>
      <c r="O4655" t="s">
        <v>23</v>
      </c>
      <c r="P4655" t="s">
        <v>24</v>
      </c>
      <c r="Q4655" t="s">
        <v>2454</v>
      </c>
      <c r="R4655" t="s">
        <v>5996</v>
      </c>
    </row>
    <row r="4656" spans="1:18" x14ac:dyDescent="0.25">
      <c r="A4656" t="s">
        <v>16423</v>
      </c>
      <c r="B4656" t="s">
        <v>6024</v>
      </c>
      <c r="C4656" t="str">
        <f>HYPERLINK("https://nematode.unl.edu/heldig1.jpg")</f>
        <v>https://nematode.unl.edu/heldig1.jpg</v>
      </c>
      <c r="D4656" t="s">
        <v>43</v>
      </c>
      <c r="G4656" t="s">
        <v>34</v>
      </c>
      <c r="H4656" t="s">
        <v>18</v>
      </c>
      <c r="M4656" t="s">
        <v>6025</v>
      </c>
      <c r="N4656" t="s">
        <v>6025</v>
      </c>
      <c r="O4656" t="s">
        <v>23</v>
      </c>
      <c r="P4656" t="s">
        <v>24</v>
      </c>
      <c r="Q4656" t="s">
        <v>2454</v>
      </c>
      <c r="R4656" t="s">
        <v>5996</v>
      </c>
    </row>
    <row r="4657" spans="1:18" x14ac:dyDescent="0.25">
      <c r="A4657" t="s">
        <v>16449</v>
      </c>
      <c r="B4657" t="s">
        <v>6026</v>
      </c>
      <c r="C4657" t="str">
        <f>HYPERLINK("https://nematode.unl.edu/heldig2.jpg")</f>
        <v>https://nematode.unl.edu/heldig2.jpg</v>
      </c>
      <c r="D4657" t="s">
        <v>77</v>
      </c>
      <c r="G4657" t="s">
        <v>28</v>
      </c>
      <c r="M4657" t="s">
        <v>6025</v>
      </c>
      <c r="N4657" t="s">
        <v>6025</v>
      </c>
      <c r="O4657" t="s">
        <v>23</v>
      </c>
      <c r="P4657" t="s">
        <v>24</v>
      </c>
      <c r="Q4657" t="s">
        <v>2454</v>
      </c>
      <c r="R4657" t="s">
        <v>5996</v>
      </c>
    </row>
    <row r="4658" spans="1:18" x14ac:dyDescent="0.25">
      <c r="A4658" t="s">
        <v>16424</v>
      </c>
      <c r="B4658" t="s">
        <v>6027</v>
      </c>
      <c r="C4658" t="str">
        <f>HYPERLINK("https://nematode.unl.edu/heldig3.jpg")</f>
        <v>https://nematode.unl.edu/heldig3.jpg</v>
      </c>
      <c r="D4658" t="s">
        <v>43</v>
      </c>
      <c r="G4658" t="s">
        <v>34</v>
      </c>
      <c r="H4658" t="s">
        <v>18</v>
      </c>
      <c r="M4658" t="s">
        <v>6025</v>
      </c>
      <c r="N4658" t="s">
        <v>6025</v>
      </c>
      <c r="O4658" t="s">
        <v>23</v>
      </c>
      <c r="P4658" t="s">
        <v>24</v>
      </c>
      <c r="Q4658" t="s">
        <v>2454</v>
      </c>
      <c r="R4658" t="s">
        <v>5996</v>
      </c>
    </row>
    <row r="4659" spans="1:18" x14ac:dyDescent="0.25">
      <c r="A4659" t="s">
        <v>16467</v>
      </c>
      <c r="B4659" t="s">
        <v>6028</v>
      </c>
      <c r="C4659" t="str">
        <f>HYPERLINK("https://nematode.unl.edu/heldig4.jpg")</f>
        <v>https://nematode.unl.edu/heldig4.jpg</v>
      </c>
      <c r="D4659" t="s">
        <v>43</v>
      </c>
      <c r="G4659" t="s">
        <v>51</v>
      </c>
      <c r="I4659" t="s">
        <v>19</v>
      </c>
      <c r="M4659" t="s">
        <v>6025</v>
      </c>
      <c r="N4659" t="s">
        <v>6025</v>
      </c>
      <c r="O4659" t="s">
        <v>23</v>
      </c>
      <c r="P4659" t="s">
        <v>24</v>
      </c>
      <c r="Q4659" t="s">
        <v>2454</v>
      </c>
      <c r="R4659" t="s">
        <v>5996</v>
      </c>
    </row>
    <row r="4660" spans="1:18" x14ac:dyDescent="0.25">
      <c r="A4660" t="s">
        <v>16450</v>
      </c>
      <c r="B4660" t="s">
        <v>6029</v>
      </c>
      <c r="C4660" t="str">
        <f>HYPERLINK("https://nematode.unl.edu/heldig5.jpg")</f>
        <v>https://nematode.unl.edu/heldig5.jpg</v>
      </c>
      <c r="D4660" t="s">
        <v>43</v>
      </c>
      <c r="G4660" t="s">
        <v>28</v>
      </c>
      <c r="M4660" t="s">
        <v>6025</v>
      </c>
      <c r="N4660" t="s">
        <v>6025</v>
      </c>
      <c r="O4660" t="s">
        <v>23</v>
      </c>
      <c r="P4660" t="s">
        <v>24</v>
      </c>
      <c r="Q4660" t="s">
        <v>2454</v>
      </c>
      <c r="R4660" t="s">
        <v>5996</v>
      </c>
    </row>
    <row r="4661" spans="1:18" x14ac:dyDescent="0.25">
      <c r="A4661" t="s">
        <v>16406</v>
      </c>
      <c r="B4661" t="s">
        <v>5995</v>
      </c>
      <c r="C4661" t="str">
        <f>HYPERLINK("https://nematode.unl.edu/heli1.jpg")</f>
        <v>https://nematode.unl.edu/heli1.jpg</v>
      </c>
      <c r="D4661" t="s">
        <v>43</v>
      </c>
      <c r="G4661" t="s">
        <v>44</v>
      </c>
      <c r="I4661" t="s">
        <v>45</v>
      </c>
      <c r="J4661" t="s">
        <v>116</v>
      </c>
      <c r="L4661" t="s">
        <v>105</v>
      </c>
      <c r="M4661" t="s">
        <v>5996</v>
      </c>
      <c r="N4661" t="s">
        <v>5996</v>
      </c>
      <c r="O4661" t="s">
        <v>23</v>
      </c>
      <c r="P4661" t="s">
        <v>24</v>
      </c>
      <c r="Q4661" t="s">
        <v>2454</v>
      </c>
      <c r="R4661" t="s">
        <v>5996</v>
      </c>
    </row>
    <row r="4662" spans="1:18" x14ac:dyDescent="0.25">
      <c r="A4662" t="s">
        <v>16412</v>
      </c>
      <c r="B4662" t="s">
        <v>5997</v>
      </c>
      <c r="C4662" t="str">
        <f>HYPERLINK("https://nematode.unl.edu/heli10.jpg")</f>
        <v>https://nematode.unl.edu/heli10.jpg</v>
      </c>
      <c r="D4662" t="s">
        <v>43</v>
      </c>
      <c r="G4662" t="s">
        <v>28</v>
      </c>
      <c r="I4662" t="s">
        <v>19</v>
      </c>
      <c r="L4662" t="s">
        <v>105</v>
      </c>
      <c r="M4662" t="s">
        <v>5996</v>
      </c>
      <c r="N4662" t="s">
        <v>5996</v>
      </c>
      <c r="O4662" t="s">
        <v>23</v>
      </c>
      <c r="P4662" t="s">
        <v>24</v>
      </c>
      <c r="Q4662" t="s">
        <v>2454</v>
      </c>
      <c r="R4662" t="s">
        <v>5996</v>
      </c>
    </row>
    <row r="4663" spans="1:18" x14ac:dyDescent="0.25">
      <c r="A4663" t="s">
        <v>16398</v>
      </c>
      <c r="B4663" t="s">
        <v>5998</v>
      </c>
      <c r="C4663" t="str">
        <f>HYPERLINK("https://nematode.unl.edu/heli11.jpg")</f>
        <v>https://nematode.unl.edu/heli11.jpg</v>
      </c>
      <c r="D4663" t="s">
        <v>43</v>
      </c>
      <c r="G4663" t="s">
        <v>34</v>
      </c>
      <c r="H4663" t="s">
        <v>18</v>
      </c>
      <c r="I4663" t="s">
        <v>41</v>
      </c>
      <c r="L4663" t="s">
        <v>105</v>
      </c>
      <c r="M4663" t="s">
        <v>5996</v>
      </c>
      <c r="N4663" t="s">
        <v>5996</v>
      </c>
      <c r="O4663" t="s">
        <v>23</v>
      </c>
      <c r="P4663" t="s">
        <v>24</v>
      </c>
      <c r="Q4663" t="s">
        <v>2454</v>
      </c>
      <c r="R4663" t="s">
        <v>5996</v>
      </c>
    </row>
    <row r="4664" spans="1:18" x14ac:dyDescent="0.25">
      <c r="A4664" t="s">
        <v>16411</v>
      </c>
      <c r="B4664" t="s">
        <v>5999</v>
      </c>
      <c r="C4664" t="str">
        <f>HYPERLINK("https://nematode.unl.edu/heli12.jpg")</f>
        <v>https://nematode.unl.edu/heli12.jpg</v>
      </c>
      <c r="D4664" t="s">
        <v>43</v>
      </c>
      <c r="G4664" t="s">
        <v>2029</v>
      </c>
      <c r="I4664" t="s">
        <v>529</v>
      </c>
      <c r="J4664" t="s">
        <v>116</v>
      </c>
      <c r="L4664" t="s">
        <v>105</v>
      </c>
      <c r="M4664" t="s">
        <v>5996</v>
      </c>
      <c r="N4664" t="s">
        <v>5996</v>
      </c>
      <c r="O4664" t="s">
        <v>23</v>
      </c>
      <c r="P4664" t="s">
        <v>24</v>
      </c>
      <c r="Q4664" t="s">
        <v>2454</v>
      </c>
      <c r="R4664" t="s">
        <v>5996</v>
      </c>
    </row>
    <row r="4665" spans="1:18" x14ac:dyDescent="0.25">
      <c r="A4665" t="s">
        <v>16413</v>
      </c>
      <c r="B4665" t="s">
        <v>6000</v>
      </c>
      <c r="C4665" t="str">
        <f>HYPERLINK("https://nematode.unl.edu/heli13.jpg")</f>
        <v>https://nematode.unl.edu/heli13.jpg</v>
      </c>
      <c r="D4665" t="s">
        <v>43</v>
      </c>
      <c r="G4665" t="s">
        <v>28</v>
      </c>
      <c r="I4665" t="s">
        <v>41</v>
      </c>
      <c r="L4665" t="s">
        <v>105</v>
      </c>
      <c r="M4665" t="s">
        <v>5996</v>
      </c>
      <c r="N4665" t="s">
        <v>5996</v>
      </c>
      <c r="O4665" t="s">
        <v>23</v>
      </c>
      <c r="P4665" t="s">
        <v>24</v>
      </c>
      <c r="Q4665" t="s">
        <v>2454</v>
      </c>
      <c r="R4665" t="s">
        <v>5996</v>
      </c>
    </row>
    <row r="4666" spans="1:18" x14ac:dyDescent="0.25">
      <c r="A4666" t="s">
        <v>16414</v>
      </c>
      <c r="B4666" t="s">
        <v>6001</v>
      </c>
      <c r="C4666" t="str">
        <f>HYPERLINK("https://nematode.unl.edu/heli14.jpg")</f>
        <v>https://nematode.unl.edu/heli14.jpg</v>
      </c>
      <c r="D4666" t="s">
        <v>43</v>
      </c>
      <c r="G4666" t="s">
        <v>28</v>
      </c>
      <c r="L4666" t="s">
        <v>105</v>
      </c>
      <c r="M4666" t="s">
        <v>5996</v>
      </c>
      <c r="N4666" t="s">
        <v>5996</v>
      </c>
      <c r="O4666" t="s">
        <v>23</v>
      </c>
      <c r="P4666" t="s">
        <v>24</v>
      </c>
      <c r="Q4666" t="s">
        <v>2454</v>
      </c>
      <c r="R4666" t="s">
        <v>5996</v>
      </c>
    </row>
    <row r="4667" spans="1:18" x14ac:dyDescent="0.25">
      <c r="A4667" t="s">
        <v>16399</v>
      </c>
      <c r="B4667" t="s">
        <v>6002</v>
      </c>
      <c r="C4667" t="str">
        <f>HYPERLINK("https://nematode.unl.edu/heli2.jpg")</f>
        <v>https://nematode.unl.edu/heli2.jpg</v>
      </c>
      <c r="D4667" t="s">
        <v>43</v>
      </c>
      <c r="G4667" t="s">
        <v>34</v>
      </c>
      <c r="H4667" t="s">
        <v>18</v>
      </c>
      <c r="L4667" t="s">
        <v>105</v>
      </c>
      <c r="M4667" t="s">
        <v>5996</v>
      </c>
      <c r="N4667" t="s">
        <v>5996</v>
      </c>
      <c r="O4667" t="s">
        <v>23</v>
      </c>
      <c r="P4667" t="s">
        <v>24</v>
      </c>
      <c r="Q4667" t="s">
        <v>2454</v>
      </c>
      <c r="R4667" t="s">
        <v>5996</v>
      </c>
    </row>
    <row r="4668" spans="1:18" x14ac:dyDescent="0.25">
      <c r="A4668" t="s">
        <v>16420</v>
      </c>
      <c r="B4668" t="s">
        <v>6003</v>
      </c>
      <c r="C4668" t="str">
        <f>HYPERLINK("https://nematode.unl.edu/heli3.jpg")</f>
        <v>https://nematode.unl.edu/heli3.jpg</v>
      </c>
      <c r="D4668" t="s">
        <v>43</v>
      </c>
      <c r="G4668" t="s">
        <v>51</v>
      </c>
      <c r="I4668" t="s">
        <v>19</v>
      </c>
      <c r="L4668" t="s">
        <v>105</v>
      </c>
      <c r="M4668" t="s">
        <v>5996</v>
      </c>
      <c r="N4668" t="s">
        <v>5996</v>
      </c>
      <c r="O4668" t="s">
        <v>23</v>
      </c>
      <c r="P4668" t="s">
        <v>24</v>
      </c>
      <c r="Q4668" t="s">
        <v>2454</v>
      </c>
      <c r="R4668" t="s">
        <v>5996</v>
      </c>
    </row>
    <row r="4669" spans="1:18" x14ac:dyDescent="0.25">
      <c r="A4669" t="s">
        <v>16415</v>
      </c>
      <c r="B4669" t="s">
        <v>6004</v>
      </c>
      <c r="C4669" t="str">
        <f>HYPERLINK("https://nematode.unl.edu/heli4.jpg")</f>
        <v>https://nematode.unl.edu/heli4.jpg</v>
      </c>
      <c r="D4669" t="s">
        <v>43</v>
      </c>
      <c r="G4669" t="s">
        <v>28</v>
      </c>
      <c r="L4669" t="s">
        <v>105</v>
      </c>
      <c r="M4669" t="s">
        <v>5996</v>
      </c>
      <c r="N4669" t="s">
        <v>5996</v>
      </c>
      <c r="O4669" t="s">
        <v>23</v>
      </c>
      <c r="P4669" t="s">
        <v>24</v>
      </c>
      <c r="Q4669" t="s">
        <v>2454</v>
      </c>
      <c r="R4669" t="s">
        <v>5996</v>
      </c>
    </row>
    <row r="4670" spans="1:18" x14ac:dyDescent="0.25">
      <c r="A4670" t="s">
        <v>16400</v>
      </c>
      <c r="B4670" t="s">
        <v>6005</v>
      </c>
      <c r="C4670" t="str">
        <f>HYPERLINK("https://nematode.unl.edu/heli5.jpg")</f>
        <v>https://nematode.unl.edu/heli5.jpg</v>
      </c>
      <c r="D4670" t="s">
        <v>43</v>
      </c>
      <c r="G4670" t="s">
        <v>34</v>
      </c>
      <c r="H4670" t="s">
        <v>18</v>
      </c>
      <c r="I4670" t="s">
        <v>41</v>
      </c>
      <c r="L4670" t="s">
        <v>105</v>
      </c>
      <c r="M4670" t="s">
        <v>5996</v>
      </c>
      <c r="N4670" t="s">
        <v>5996</v>
      </c>
      <c r="O4670" t="s">
        <v>23</v>
      </c>
      <c r="P4670" t="s">
        <v>24</v>
      </c>
      <c r="Q4670" t="s">
        <v>2454</v>
      </c>
      <c r="R4670" t="s">
        <v>5996</v>
      </c>
    </row>
    <row r="4671" spans="1:18" x14ac:dyDescent="0.25">
      <c r="A4671" t="s">
        <v>16416</v>
      </c>
      <c r="B4671" t="s">
        <v>6006</v>
      </c>
      <c r="C4671" t="str">
        <f>HYPERLINK("https://nematode.unl.edu/heli6.jpg")</f>
        <v>https://nematode.unl.edu/heli6.jpg</v>
      </c>
      <c r="D4671" t="s">
        <v>43</v>
      </c>
      <c r="G4671" t="s">
        <v>28</v>
      </c>
      <c r="L4671" t="s">
        <v>105</v>
      </c>
      <c r="M4671" t="s">
        <v>5996</v>
      </c>
      <c r="N4671" t="s">
        <v>5996</v>
      </c>
      <c r="O4671" t="s">
        <v>23</v>
      </c>
      <c r="P4671" t="s">
        <v>24</v>
      </c>
      <c r="Q4671" t="s">
        <v>2454</v>
      </c>
      <c r="R4671" t="s">
        <v>5996</v>
      </c>
    </row>
    <row r="4672" spans="1:18" x14ac:dyDescent="0.25">
      <c r="A4672" t="s">
        <v>16407</v>
      </c>
      <c r="B4672" t="s">
        <v>6007</v>
      </c>
      <c r="C4672" t="str">
        <f>HYPERLINK("https://nematode.unl.edu/heli7.jpg")</f>
        <v>https://nematode.unl.edu/heli7.jpg</v>
      </c>
      <c r="D4672" t="s">
        <v>43</v>
      </c>
      <c r="G4672" t="s">
        <v>44</v>
      </c>
      <c r="I4672" t="s">
        <v>137</v>
      </c>
      <c r="J4672" t="s">
        <v>116</v>
      </c>
      <c r="L4672" t="s">
        <v>105</v>
      </c>
      <c r="M4672" t="s">
        <v>5996</v>
      </c>
      <c r="N4672" t="s">
        <v>5996</v>
      </c>
      <c r="O4672" t="s">
        <v>23</v>
      </c>
      <c r="P4672" t="s">
        <v>24</v>
      </c>
      <c r="Q4672" t="s">
        <v>2454</v>
      </c>
      <c r="R4672" t="s">
        <v>5996</v>
      </c>
    </row>
    <row r="4673" spans="1:18" x14ac:dyDescent="0.25">
      <c r="A4673" t="s">
        <v>16401</v>
      </c>
      <c r="B4673" t="s">
        <v>6008</v>
      </c>
      <c r="C4673" t="str">
        <f>HYPERLINK("https://nematode.unl.edu/heli8.jpg")</f>
        <v>https://nematode.unl.edu/heli8.jpg</v>
      </c>
      <c r="D4673" t="s">
        <v>43</v>
      </c>
      <c r="G4673" t="s">
        <v>34</v>
      </c>
      <c r="H4673" t="s">
        <v>18</v>
      </c>
      <c r="I4673" t="s">
        <v>19</v>
      </c>
      <c r="L4673" t="s">
        <v>105</v>
      </c>
      <c r="M4673" t="s">
        <v>5996</v>
      </c>
      <c r="N4673" t="s">
        <v>5996</v>
      </c>
      <c r="O4673" t="s">
        <v>23</v>
      </c>
      <c r="P4673" t="s">
        <v>24</v>
      </c>
      <c r="Q4673" t="s">
        <v>2454</v>
      </c>
      <c r="R4673" t="s">
        <v>5996</v>
      </c>
    </row>
    <row r="4674" spans="1:18" x14ac:dyDescent="0.25">
      <c r="A4674" t="s">
        <v>16421</v>
      </c>
      <c r="B4674" t="s">
        <v>6009</v>
      </c>
      <c r="C4674" t="str">
        <f>HYPERLINK("https://nematode.unl.edu/heli9.jpg")</f>
        <v>https://nematode.unl.edu/heli9.jpg</v>
      </c>
      <c r="D4674" t="s">
        <v>43</v>
      </c>
      <c r="G4674" t="s">
        <v>51</v>
      </c>
      <c r="I4674" t="s">
        <v>19</v>
      </c>
      <c r="L4674" t="s">
        <v>105</v>
      </c>
      <c r="M4674" t="s">
        <v>5996</v>
      </c>
      <c r="N4674" t="s">
        <v>5996</v>
      </c>
      <c r="O4674" t="s">
        <v>23</v>
      </c>
      <c r="P4674" t="s">
        <v>24</v>
      </c>
      <c r="Q4674" t="s">
        <v>2454</v>
      </c>
      <c r="R4674" t="s">
        <v>5996</v>
      </c>
    </row>
    <row r="4675" spans="1:18" x14ac:dyDescent="0.25">
      <c r="A4675" t="s">
        <v>16408</v>
      </c>
      <c r="B4675" t="s">
        <v>6010</v>
      </c>
      <c r="C4675" t="str">
        <f>HYPERLINK("https://nematode.unl.edu/helicobb1.jpg")</f>
        <v>https://nematode.unl.edu/helicobb1.jpg</v>
      </c>
      <c r="D4675" t="s">
        <v>43</v>
      </c>
      <c r="G4675" t="s">
        <v>44</v>
      </c>
      <c r="I4675" t="s">
        <v>137</v>
      </c>
      <c r="J4675" t="s">
        <v>6011</v>
      </c>
      <c r="K4675" t="s">
        <v>22857</v>
      </c>
      <c r="L4675" t="s">
        <v>6012</v>
      </c>
      <c r="M4675" t="s">
        <v>5996</v>
      </c>
      <c r="N4675" t="s">
        <v>5996</v>
      </c>
      <c r="O4675" t="s">
        <v>23</v>
      </c>
      <c r="P4675" t="s">
        <v>24</v>
      </c>
      <c r="Q4675" t="s">
        <v>2454</v>
      </c>
      <c r="R4675" t="s">
        <v>5996</v>
      </c>
    </row>
    <row r="4676" spans="1:18" x14ac:dyDescent="0.25">
      <c r="A4676" t="s">
        <v>16409</v>
      </c>
      <c r="B4676" t="s">
        <v>6013</v>
      </c>
      <c r="C4676" t="str">
        <f>HYPERLINK("https://nematode.unl.edu/helicobb2.jpg")</f>
        <v>https://nematode.unl.edu/helicobb2.jpg</v>
      </c>
      <c r="D4676" t="s">
        <v>43</v>
      </c>
      <c r="G4676" t="s">
        <v>44</v>
      </c>
      <c r="I4676" t="s">
        <v>516</v>
      </c>
      <c r="J4676" t="s">
        <v>6011</v>
      </c>
      <c r="K4676" t="s">
        <v>22857</v>
      </c>
      <c r="L4676" t="s">
        <v>6012</v>
      </c>
      <c r="M4676" t="s">
        <v>5996</v>
      </c>
      <c r="N4676" t="s">
        <v>5996</v>
      </c>
      <c r="O4676" t="s">
        <v>23</v>
      </c>
      <c r="P4676" t="s">
        <v>24</v>
      </c>
      <c r="Q4676" t="s">
        <v>2454</v>
      </c>
      <c r="R4676" t="s">
        <v>5996</v>
      </c>
    </row>
    <row r="4677" spans="1:18" x14ac:dyDescent="0.25">
      <c r="A4677" t="s">
        <v>16402</v>
      </c>
      <c r="B4677" t="s">
        <v>6014</v>
      </c>
      <c r="C4677" t="str">
        <f>HYPERLINK("https://nematode.unl.edu/helicobb3.jpg")</f>
        <v>https://nematode.unl.edu/helicobb3.jpg</v>
      </c>
      <c r="D4677" t="s">
        <v>43</v>
      </c>
      <c r="G4677" t="s">
        <v>34</v>
      </c>
      <c r="H4677" t="s">
        <v>18</v>
      </c>
      <c r="I4677" t="s">
        <v>41</v>
      </c>
      <c r="M4677" t="s">
        <v>5996</v>
      </c>
      <c r="N4677" t="s">
        <v>5996</v>
      </c>
      <c r="O4677" t="s">
        <v>23</v>
      </c>
      <c r="P4677" t="s">
        <v>24</v>
      </c>
      <c r="Q4677" t="s">
        <v>2454</v>
      </c>
      <c r="R4677" t="s">
        <v>5996</v>
      </c>
    </row>
    <row r="4678" spans="1:18" x14ac:dyDescent="0.25">
      <c r="A4678" t="s">
        <v>16422</v>
      </c>
      <c r="B4678" t="s">
        <v>6015</v>
      </c>
      <c r="C4678" t="str">
        <f>HYPERLINK("https://nematode.unl.edu/helicobb4.jpg")</f>
        <v>https://nematode.unl.edu/helicobb4.jpg</v>
      </c>
      <c r="D4678" t="s">
        <v>43</v>
      </c>
      <c r="G4678" t="s">
        <v>51</v>
      </c>
      <c r="I4678" t="s">
        <v>41</v>
      </c>
      <c r="M4678" t="s">
        <v>5996</v>
      </c>
      <c r="N4678" t="s">
        <v>5996</v>
      </c>
      <c r="O4678" t="s">
        <v>23</v>
      </c>
      <c r="P4678" t="s">
        <v>24</v>
      </c>
      <c r="Q4678" t="s">
        <v>2454</v>
      </c>
      <c r="R4678" t="s">
        <v>5996</v>
      </c>
    </row>
    <row r="4679" spans="1:18" x14ac:dyDescent="0.25">
      <c r="A4679" t="s">
        <v>16417</v>
      </c>
      <c r="B4679" t="s">
        <v>6016</v>
      </c>
      <c r="C4679" t="str">
        <f>HYPERLINK("https://nematode.unl.edu/helicobb5.jpg")</f>
        <v>https://nematode.unl.edu/helicobb5.jpg</v>
      </c>
      <c r="D4679" t="s">
        <v>43</v>
      </c>
      <c r="G4679" t="s">
        <v>28</v>
      </c>
      <c r="M4679" t="s">
        <v>5996</v>
      </c>
      <c r="N4679" t="s">
        <v>5996</v>
      </c>
      <c r="O4679" t="s">
        <v>23</v>
      </c>
      <c r="P4679" t="s">
        <v>24</v>
      </c>
      <c r="Q4679" t="s">
        <v>2454</v>
      </c>
      <c r="R4679" t="s">
        <v>5996</v>
      </c>
    </row>
    <row r="4680" spans="1:18" x14ac:dyDescent="0.25">
      <c r="A4680" t="s">
        <v>16497</v>
      </c>
      <c r="B4680" t="s">
        <v>6088</v>
      </c>
      <c r="C4680" t="str">
        <f>HYPERLINK("https://nematode.unl.edu/helicops1.jpg")</f>
        <v>https://nematode.unl.edu/helicops1.jpg</v>
      </c>
      <c r="D4680" t="s">
        <v>43</v>
      </c>
      <c r="G4680" t="s">
        <v>44</v>
      </c>
      <c r="I4680" t="s">
        <v>516</v>
      </c>
      <c r="J4680" t="s">
        <v>6089</v>
      </c>
      <c r="L4680" t="s">
        <v>6090</v>
      </c>
      <c r="M4680" t="s">
        <v>6091</v>
      </c>
      <c r="N4680" t="s">
        <v>6091</v>
      </c>
      <c r="O4680" t="s">
        <v>23</v>
      </c>
      <c r="P4680" t="s">
        <v>24</v>
      </c>
      <c r="Q4680" t="s">
        <v>2454</v>
      </c>
      <c r="R4680" t="s">
        <v>5996</v>
      </c>
    </row>
    <row r="4681" spans="1:18" x14ac:dyDescent="0.25">
      <c r="A4681" t="s">
        <v>16485</v>
      </c>
      <c r="B4681" t="s">
        <v>6092</v>
      </c>
      <c r="C4681" t="str">
        <f>HYPERLINK("https://nematode.unl.edu/helicops2.jpg")</f>
        <v>https://nematode.unl.edu/helicops2.jpg</v>
      </c>
      <c r="D4681" t="s">
        <v>43</v>
      </c>
      <c r="G4681" t="s">
        <v>34</v>
      </c>
      <c r="H4681" t="s">
        <v>18</v>
      </c>
      <c r="M4681" t="s">
        <v>6091</v>
      </c>
      <c r="N4681" t="s">
        <v>6091</v>
      </c>
      <c r="O4681" t="s">
        <v>23</v>
      </c>
      <c r="P4681" t="s">
        <v>24</v>
      </c>
      <c r="Q4681" t="s">
        <v>2454</v>
      </c>
      <c r="R4681" t="s">
        <v>5996</v>
      </c>
    </row>
    <row r="4682" spans="1:18" x14ac:dyDescent="0.25">
      <c r="A4682" t="s">
        <v>16508</v>
      </c>
      <c r="B4682" t="s">
        <v>6093</v>
      </c>
      <c r="C4682" t="str">
        <f>HYPERLINK("https://nematode.unl.edu/helicops3.jpg")</f>
        <v>https://nematode.unl.edu/helicops3.jpg</v>
      </c>
      <c r="D4682" t="s">
        <v>43</v>
      </c>
      <c r="G4682" t="s">
        <v>28</v>
      </c>
      <c r="M4682" t="s">
        <v>6091</v>
      </c>
      <c r="N4682" t="s">
        <v>6091</v>
      </c>
      <c r="O4682" t="s">
        <v>23</v>
      </c>
      <c r="P4682" t="s">
        <v>24</v>
      </c>
      <c r="Q4682" t="s">
        <v>2454</v>
      </c>
      <c r="R4682" t="s">
        <v>5996</v>
      </c>
    </row>
    <row r="4683" spans="1:18" x14ac:dyDescent="0.25">
      <c r="A4683" t="s">
        <v>16437</v>
      </c>
      <c r="B4683" t="s">
        <v>6030</v>
      </c>
      <c r="C4683" t="str">
        <f>HYPERLINK("https://nematode.unl.edu/helid1.jpg")</f>
        <v>https://nematode.unl.edu/helid1.jpg</v>
      </c>
      <c r="D4683" t="s">
        <v>43</v>
      </c>
      <c r="G4683" t="s">
        <v>44</v>
      </c>
      <c r="I4683" t="s">
        <v>45</v>
      </c>
      <c r="J4683" t="s">
        <v>20</v>
      </c>
      <c r="L4683" t="s">
        <v>85</v>
      </c>
      <c r="M4683" t="s">
        <v>6025</v>
      </c>
      <c r="N4683" t="s">
        <v>6025</v>
      </c>
      <c r="O4683" t="s">
        <v>23</v>
      </c>
      <c r="P4683" t="s">
        <v>24</v>
      </c>
      <c r="Q4683" t="s">
        <v>2454</v>
      </c>
      <c r="R4683" t="s">
        <v>5996</v>
      </c>
    </row>
    <row r="4684" spans="1:18" x14ac:dyDescent="0.25">
      <c r="A4684" t="s">
        <v>16425</v>
      </c>
      <c r="B4684" t="s">
        <v>6031</v>
      </c>
      <c r="C4684" t="str">
        <f>HYPERLINK("https://nematode.unl.edu/helid10.jpg")</f>
        <v>https://nematode.unl.edu/helid10.jpg</v>
      </c>
      <c r="D4684" t="s">
        <v>43</v>
      </c>
      <c r="G4684" t="s">
        <v>34</v>
      </c>
      <c r="H4684" t="s">
        <v>18</v>
      </c>
      <c r="I4684" t="s">
        <v>41</v>
      </c>
      <c r="J4684" t="s">
        <v>20</v>
      </c>
      <c r="L4684" t="s">
        <v>141</v>
      </c>
      <c r="M4684" t="s">
        <v>6025</v>
      </c>
      <c r="N4684" t="s">
        <v>6025</v>
      </c>
      <c r="O4684" t="s">
        <v>23</v>
      </c>
      <c r="P4684" t="s">
        <v>24</v>
      </c>
      <c r="Q4684" t="s">
        <v>2454</v>
      </c>
      <c r="R4684" t="s">
        <v>5996</v>
      </c>
    </row>
    <row r="4685" spans="1:18" x14ac:dyDescent="0.25">
      <c r="A4685" t="s">
        <v>16451</v>
      </c>
      <c r="B4685" t="s">
        <v>6032</v>
      </c>
      <c r="C4685" t="str">
        <f>HYPERLINK("https://nematode.unl.edu/helid11.jpg")</f>
        <v>https://nematode.unl.edu/helid11.jpg</v>
      </c>
      <c r="D4685" t="s">
        <v>43</v>
      </c>
      <c r="G4685" t="s">
        <v>28</v>
      </c>
      <c r="J4685" t="s">
        <v>20</v>
      </c>
      <c r="M4685" t="s">
        <v>6025</v>
      </c>
      <c r="N4685" t="s">
        <v>6025</v>
      </c>
      <c r="O4685" t="s">
        <v>23</v>
      </c>
      <c r="P4685" t="s">
        <v>24</v>
      </c>
      <c r="Q4685" t="s">
        <v>2454</v>
      </c>
      <c r="R4685" t="s">
        <v>5996</v>
      </c>
    </row>
    <row r="4686" spans="1:18" x14ac:dyDescent="0.25">
      <c r="A4686" t="s">
        <v>16426</v>
      </c>
      <c r="B4686" t="s">
        <v>6033</v>
      </c>
      <c r="C4686" t="str">
        <f>HYPERLINK("https://nematode.unl.edu/helid12.jpg")</f>
        <v>https://nematode.unl.edu/helid12.jpg</v>
      </c>
      <c r="D4686" t="s">
        <v>43</v>
      </c>
      <c r="G4686" t="s">
        <v>34</v>
      </c>
      <c r="H4686" t="s">
        <v>18</v>
      </c>
      <c r="J4686" t="s">
        <v>20</v>
      </c>
      <c r="L4686" t="s">
        <v>141</v>
      </c>
      <c r="M4686" t="s">
        <v>6025</v>
      </c>
      <c r="N4686" t="s">
        <v>6025</v>
      </c>
      <c r="O4686" t="s">
        <v>23</v>
      </c>
      <c r="P4686" t="s">
        <v>24</v>
      </c>
      <c r="Q4686" t="s">
        <v>2454</v>
      </c>
      <c r="R4686" t="s">
        <v>5996</v>
      </c>
    </row>
    <row r="4687" spans="1:18" x14ac:dyDescent="0.25">
      <c r="A4687" t="s">
        <v>16452</v>
      </c>
      <c r="B4687" t="s">
        <v>6034</v>
      </c>
      <c r="C4687" t="str">
        <f>HYPERLINK("https://nematode.unl.edu/helid13.jpg")</f>
        <v>https://nematode.unl.edu/helid13.jpg</v>
      </c>
      <c r="D4687" t="s">
        <v>43</v>
      </c>
      <c r="G4687" t="s">
        <v>28</v>
      </c>
      <c r="J4687" t="s">
        <v>20</v>
      </c>
      <c r="M4687" t="s">
        <v>6025</v>
      </c>
      <c r="N4687" t="s">
        <v>6025</v>
      </c>
      <c r="O4687" t="s">
        <v>23</v>
      </c>
      <c r="P4687" t="s">
        <v>24</v>
      </c>
      <c r="Q4687" t="s">
        <v>2454</v>
      </c>
      <c r="R4687" t="s">
        <v>5996</v>
      </c>
    </row>
    <row r="4688" spans="1:18" x14ac:dyDescent="0.25">
      <c r="A4688" t="s">
        <v>16453</v>
      </c>
      <c r="B4688" t="s">
        <v>6035</v>
      </c>
      <c r="C4688" t="str">
        <f>HYPERLINK("https://nematode.unl.edu/helid14.jpg")</f>
        <v>https://nematode.unl.edu/helid14.jpg</v>
      </c>
      <c r="D4688" t="s">
        <v>43</v>
      </c>
      <c r="G4688" t="s">
        <v>28</v>
      </c>
      <c r="I4688" t="s">
        <v>41</v>
      </c>
      <c r="J4688" t="s">
        <v>20</v>
      </c>
      <c r="M4688" t="s">
        <v>6025</v>
      </c>
      <c r="N4688" t="s">
        <v>6025</v>
      </c>
      <c r="O4688" t="s">
        <v>23</v>
      </c>
      <c r="P4688" t="s">
        <v>24</v>
      </c>
      <c r="Q4688" t="s">
        <v>2454</v>
      </c>
      <c r="R4688" t="s">
        <v>5996</v>
      </c>
    </row>
    <row r="4689" spans="1:18" x14ac:dyDescent="0.25">
      <c r="A4689" t="s">
        <v>16427</v>
      </c>
      <c r="B4689" t="s">
        <v>6036</v>
      </c>
      <c r="C4689" t="str">
        <f>HYPERLINK("https://nematode.unl.edu/helid15.jpg")</f>
        <v>https://nematode.unl.edu/helid15.jpg</v>
      </c>
      <c r="D4689" t="s">
        <v>43</v>
      </c>
      <c r="G4689" t="s">
        <v>34</v>
      </c>
      <c r="H4689" t="s">
        <v>18</v>
      </c>
      <c r="I4689" t="s">
        <v>41</v>
      </c>
      <c r="J4689" t="s">
        <v>20</v>
      </c>
      <c r="L4689" t="s">
        <v>29</v>
      </c>
      <c r="M4689" t="s">
        <v>6025</v>
      </c>
      <c r="N4689" t="s">
        <v>6025</v>
      </c>
      <c r="O4689" t="s">
        <v>23</v>
      </c>
      <c r="P4689" t="s">
        <v>24</v>
      </c>
      <c r="Q4689" t="s">
        <v>2454</v>
      </c>
      <c r="R4689" t="s">
        <v>5996</v>
      </c>
    </row>
    <row r="4690" spans="1:18" x14ac:dyDescent="0.25">
      <c r="A4690" t="s">
        <v>16428</v>
      </c>
      <c r="B4690" t="s">
        <v>6037</v>
      </c>
      <c r="C4690" t="str">
        <f>HYPERLINK("https://nematode.unl.edu/helid16.jpg")</f>
        <v>https://nematode.unl.edu/helid16.jpg</v>
      </c>
      <c r="D4690" t="s">
        <v>43</v>
      </c>
      <c r="G4690" t="s">
        <v>34</v>
      </c>
      <c r="H4690" t="s">
        <v>18</v>
      </c>
      <c r="I4690" t="s">
        <v>41</v>
      </c>
      <c r="J4690" t="s">
        <v>20</v>
      </c>
      <c r="L4690" t="s">
        <v>38</v>
      </c>
      <c r="M4690" t="s">
        <v>6025</v>
      </c>
      <c r="N4690" t="s">
        <v>6025</v>
      </c>
      <c r="O4690" t="s">
        <v>23</v>
      </c>
      <c r="P4690" t="s">
        <v>24</v>
      </c>
      <c r="Q4690" t="s">
        <v>2454</v>
      </c>
      <c r="R4690" t="s">
        <v>5996</v>
      </c>
    </row>
    <row r="4691" spans="1:18" x14ac:dyDescent="0.25">
      <c r="A4691" t="s">
        <v>16454</v>
      </c>
      <c r="B4691" t="s">
        <v>6038</v>
      </c>
      <c r="C4691" t="str">
        <f>HYPERLINK("https://nematode.unl.edu/helid17.jpg")</f>
        <v>https://nematode.unl.edu/helid17.jpg</v>
      </c>
      <c r="D4691" t="s">
        <v>43</v>
      </c>
      <c r="G4691" t="s">
        <v>28</v>
      </c>
      <c r="I4691" t="s">
        <v>41</v>
      </c>
      <c r="J4691" t="s">
        <v>20</v>
      </c>
      <c r="L4691" t="s">
        <v>38</v>
      </c>
      <c r="M4691" t="s">
        <v>6025</v>
      </c>
      <c r="N4691" t="s">
        <v>6025</v>
      </c>
      <c r="O4691" t="s">
        <v>23</v>
      </c>
      <c r="P4691" t="s">
        <v>24</v>
      </c>
      <c r="Q4691" t="s">
        <v>2454</v>
      </c>
      <c r="R4691" t="s">
        <v>5996</v>
      </c>
    </row>
    <row r="4692" spans="1:18" x14ac:dyDescent="0.25">
      <c r="A4692" t="s">
        <v>16429</v>
      </c>
      <c r="B4692" t="s">
        <v>6039</v>
      </c>
      <c r="C4692" t="str">
        <f>HYPERLINK("https://nematode.unl.edu/helid18.jpg")</f>
        <v>https://nematode.unl.edu/helid18.jpg</v>
      </c>
      <c r="D4692" t="s">
        <v>43</v>
      </c>
      <c r="G4692" t="s">
        <v>34</v>
      </c>
      <c r="H4692" t="s">
        <v>18</v>
      </c>
      <c r="I4692" t="s">
        <v>516</v>
      </c>
      <c r="J4692" t="s">
        <v>20</v>
      </c>
      <c r="L4692" t="s">
        <v>38</v>
      </c>
      <c r="M4692" t="s">
        <v>6025</v>
      </c>
      <c r="N4692" t="s">
        <v>6025</v>
      </c>
      <c r="O4692" t="s">
        <v>23</v>
      </c>
      <c r="P4692" t="s">
        <v>24</v>
      </c>
      <c r="Q4692" t="s">
        <v>2454</v>
      </c>
      <c r="R4692" t="s">
        <v>5996</v>
      </c>
    </row>
    <row r="4693" spans="1:18" x14ac:dyDescent="0.25">
      <c r="A4693" t="s">
        <v>16438</v>
      </c>
      <c r="B4693" t="s">
        <v>6040</v>
      </c>
      <c r="C4693" t="str">
        <f>HYPERLINK("https://nematode.unl.edu/helid19.jpg")</f>
        <v>https://nematode.unl.edu/helid19.jpg</v>
      </c>
      <c r="D4693" t="s">
        <v>43</v>
      </c>
      <c r="G4693" t="s">
        <v>44</v>
      </c>
      <c r="I4693" t="s">
        <v>499</v>
      </c>
      <c r="J4693" t="s">
        <v>20</v>
      </c>
      <c r="L4693" t="s">
        <v>29</v>
      </c>
      <c r="M4693" t="s">
        <v>6025</v>
      </c>
      <c r="N4693" t="s">
        <v>6025</v>
      </c>
      <c r="O4693" t="s">
        <v>23</v>
      </c>
      <c r="P4693" t="s">
        <v>24</v>
      </c>
      <c r="Q4693" t="s">
        <v>2454</v>
      </c>
      <c r="R4693" t="s">
        <v>5996</v>
      </c>
    </row>
    <row r="4694" spans="1:18" x14ac:dyDescent="0.25">
      <c r="A4694" t="s">
        <v>16455</v>
      </c>
      <c r="B4694" t="s">
        <v>6041</v>
      </c>
      <c r="C4694" t="str">
        <f>HYPERLINK("https://nematode.unl.edu/helid2.jpg")</f>
        <v>https://nematode.unl.edu/helid2.jpg</v>
      </c>
      <c r="D4694" t="s">
        <v>43</v>
      </c>
      <c r="G4694" t="s">
        <v>28</v>
      </c>
      <c r="J4694" t="s">
        <v>20</v>
      </c>
      <c r="M4694" t="s">
        <v>6025</v>
      </c>
      <c r="N4694" t="s">
        <v>6025</v>
      </c>
      <c r="O4694" t="s">
        <v>23</v>
      </c>
      <c r="P4694" t="s">
        <v>24</v>
      </c>
      <c r="Q4694" t="s">
        <v>2454</v>
      </c>
      <c r="R4694" t="s">
        <v>5996</v>
      </c>
    </row>
    <row r="4695" spans="1:18" x14ac:dyDescent="0.25">
      <c r="A4695" t="s">
        <v>16439</v>
      </c>
      <c r="B4695" t="s">
        <v>6042</v>
      </c>
      <c r="C4695" t="str">
        <f>HYPERLINK("https://nematode.unl.edu/helid20.jpg")</f>
        <v>https://nematode.unl.edu/helid20.jpg</v>
      </c>
      <c r="D4695" t="s">
        <v>43</v>
      </c>
      <c r="G4695" t="s">
        <v>44</v>
      </c>
      <c r="I4695" t="s">
        <v>45</v>
      </c>
      <c r="J4695" t="s">
        <v>20</v>
      </c>
      <c r="L4695" t="s">
        <v>38</v>
      </c>
      <c r="M4695" t="s">
        <v>6025</v>
      </c>
      <c r="N4695" t="s">
        <v>6025</v>
      </c>
      <c r="O4695" t="s">
        <v>23</v>
      </c>
      <c r="P4695" t="s">
        <v>24</v>
      </c>
      <c r="Q4695" t="s">
        <v>2454</v>
      </c>
      <c r="R4695" t="s">
        <v>5996</v>
      </c>
    </row>
    <row r="4696" spans="1:18" x14ac:dyDescent="0.25">
      <c r="A4696" t="s">
        <v>16430</v>
      </c>
      <c r="B4696" t="s">
        <v>6043</v>
      </c>
      <c r="C4696" t="str">
        <f>HYPERLINK("https://nematode.unl.edu/helid21.jpg")</f>
        <v>https://nematode.unl.edu/helid21.jpg</v>
      </c>
      <c r="D4696" t="s">
        <v>43</v>
      </c>
      <c r="G4696" t="s">
        <v>34</v>
      </c>
      <c r="H4696" t="s">
        <v>18</v>
      </c>
      <c r="J4696" t="s">
        <v>20</v>
      </c>
      <c r="L4696" t="s">
        <v>38</v>
      </c>
      <c r="M4696" t="s">
        <v>6025</v>
      </c>
      <c r="N4696" t="s">
        <v>6025</v>
      </c>
      <c r="O4696" t="s">
        <v>23</v>
      </c>
      <c r="P4696" t="s">
        <v>24</v>
      </c>
      <c r="Q4696" t="s">
        <v>2454</v>
      </c>
      <c r="R4696" t="s">
        <v>5996</v>
      </c>
    </row>
    <row r="4697" spans="1:18" x14ac:dyDescent="0.25">
      <c r="A4697" t="s">
        <v>16456</v>
      </c>
      <c r="B4697" t="s">
        <v>6044</v>
      </c>
      <c r="C4697" t="str">
        <f>HYPERLINK("https://nematode.unl.edu/helid22.jpg")</f>
        <v>https://nematode.unl.edu/helid22.jpg</v>
      </c>
      <c r="D4697" t="s">
        <v>43</v>
      </c>
      <c r="G4697" t="s">
        <v>28</v>
      </c>
      <c r="J4697" t="s">
        <v>20</v>
      </c>
      <c r="L4697" t="s">
        <v>38</v>
      </c>
      <c r="M4697" t="s">
        <v>6025</v>
      </c>
      <c r="N4697" t="s">
        <v>6025</v>
      </c>
      <c r="O4697" t="s">
        <v>23</v>
      </c>
      <c r="P4697" t="s">
        <v>24</v>
      </c>
      <c r="Q4697" t="s">
        <v>2454</v>
      </c>
      <c r="R4697" t="s">
        <v>5996</v>
      </c>
    </row>
    <row r="4698" spans="1:18" x14ac:dyDescent="0.25">
      <c r="A4698" t="s">
        <v>16431</v>
      </c>
      <c r="B4698" t="s">
        <v>6045</v>
      </c>
      <c r="C4698" t="str">
        <f>HYPERLINK("https://nematode.unl.edu/helid3.jpg")</f>
        <v>https://nematode.unl.edu/helid3.jpg</v>
      </c>
      <c r="D4698" t="s">
        <v>43</v>
      </c>
      <c r="G4698" t="s">
        <v>34</v>
      </c>
      <c r="H4698" t="s">
        <v>18</v>
      </c>
      <c r="I4698" t="s">
        <v>19</v>
      </c>
      <c r="J4698" t="s">
        <v>20</v>
      </c>
      <c r="L4698" t="s">
        <v>85</v>
      </c>
      <c r="M4698" t="s">
        <v>6025</v>
      </c>
      <c r="N4698" t="s">
        <v>6025</v>
      </c>
      <c r="O4698" t="s">
        <v>23</v>
      </c>
      <c r="P4698" t="s">
        <v>24</v>
      </c>
      <c r="Q4698" t="s">
        <v>2454</v>
      </c>
      <c r="R4698" t="s">
        <v>5996</v>
      </c>
    </row>
    <row r="4699" spans="1:18" x14ac:dyDescent="0.25">
      <c r="A4699" t="s">
        <v>16457</v>
      </c>
      <c r="B4699" t="s">
        <v>6046</v>
      </c>
      <c r="C4699" t="str">
        <f>HYPERLINK("https://nematode.unl.edu/helid4.jpg")</f>
        <v>https://nematode.unl.edu/helid4.jpg</v>
      </c>
      <c r="D4699" t="s">
        <v>43</v>
      </c>
      <c r="G4699" t="s">
        <v>28</v>
      </c>
      <c r="I4699" t="s">
        <v>19</v>
      </c>
      <c r="J4699" t="s">
        <v>20</v>
      </c>
      <c r="L4699" t="s">
        <v>85</v>
      </c>
      <c r="M4699" t="s">
        <v>6025</v>
      </c>
      <c r="N4699" t="s">
        <v>6025</v>
      </c>
      <c r="O4699" t="s">
        <v>23</v>
      </c>
      <c r="P4699" t="s">
        <v>24</v>
      </c>
      <c r="Q4699" t="s">
        <v>2454</v>
      </c>
      <c r="R4699" t="s">
        <v>5996</v>
      </c>
    </row>
    <row r="4700" spans="1:18" x14ac:dyDescent="0.25">
      <c r="A4700" t="s">
        <v>16440</v>
      </c>
      <c r="B4700" t="s">
        <v>6047</v>
      </c>
      <c r="C4700" t="str">
        <f>HYPERLINK("https://nematode.unl.edu/helid5.jpg")</f>
        <v>https://nematode.unl.edu/helid5.jpg</v>
      </c>
      <c r="D4700" t="s">
        <v>43</v>
      </c>
      <c r="G4700" t="s">
        <v>44</v>
      </c>
      <c r="I4700" t="s">
        <v>45</v>
      </c>
      <c r="J4700" t="s">
        <v>20</v>
      </c>
      <c r="L4700" t="s">
        <v>85</v>
      </c>
      <c r="M4700" t="s">
        <v>6025</v>
      </c>
      <c r="N4700" t="s">
        <v>6025</v>
      </c>
      <c r="O4700" t="s">
        <v>23</v>
      </c>
      <c r="P4700" t="s">
        <v>24</v>
      </c>
      <c r="Q4700" t="s">
        <v>2454</v>
      </c>
      <c r="R4700" t="s">
        <v>5996</v>
      </c>
    </row>
    <row r="4701" spans="1:18" x14ac:dyDescent="0.25">
      <c r="A4701" t="s">
        <v>16458</v>
      </c>
      <c r="B4701" t="s">
        <v>6048</v>
      </c>
      <c r="C4701" t="str">
        <f>HYPERLINK("https://nematode.unl.edu/helid6.jpg")</f>
        <v>https://nematode.unl.edu/helid6.jpg</v>
      </c>
      <c r="D4701" t="s">
        <v>43</v>
      </c>
      <c r="G4701" t="s">
        <v>28</v>
      </c>
      <c r="I4701" t="s">
        <v>516</v>
      </c>
      <c r="J4701" t="s">
        <v>20</v>
      </c>
      <c r="L4701" t="s">
        <v>85</v>
      </c>
      <c r="M4701" t="s">
        <v>6025</v>
      </c>
      <c r="N4701" t="s">
        <v>6025</v>
      </c>
      <c r="O4701" t="s">
        <v>23</v>
      </c>
      <c r="P4701" t="s">
        <v>24</v>
      </c>
      <c r="Q4701" t="s">
        <v>2454</v>
      </c>
      <c r="R4701" t="s">
        <v>5996</v>
      </c>
    </row>
    <row r="4702" spans="1:18" x14ac:dyDescent="0.25">
      <c r="A4702" t="s">
        <v>16441</v>
      </c>
      <c r="B4702" t="s">
        <v>6049</v>
      </c>
      <c r="C4702" t="str">
        <f>HYPERLINK("https://nematode.unl.edu/helid7.jpg")</f>
        <v>https://nematode.unl.edu/helid7.jpg</v>
      </c>
      <c r="D4702" t="s">
        <v>43</v>
      </c>
      <c r="G4702" t="s">
        <v>44</v>
      </c>
      <c r="I4702" t="s">
        <v>45</v>
      </c>
      <c r="J4702" t="s">
        <v>20</v>
      </c>
      <c r="L4702" t="s">
        <v>85</v>
      </c>
      <c r="M4702" t="s">
        <v>6025</v>
      </c>
      <c r="N4702" t="s">
        <v>6025</v>
      </c>
      <c r="O4702" t="s">
        <v>23</v>
      </c>
      <c r="P4702" t="s">
        <v>24</v>
      </c>
      <c r="Q4702" t="s">
        <v>2454</v>
      </c>
      <c r="R4702" t="s">
        <v>5996</v>
      </c>
    </row>
    <row r="4703" spans="1:18" x14ac:dyDescent="0.25">
      <c r="A4703" t="s">
        <v>16459</v>
      </c>
      <c r="B4703" t="s">
        <v>6050</v>
      </c>
      <c r="C4703" t="str">
        <f>HYPERLINK("https://nematode.unl.edu/helid8.jpg")</f>
        <v>https://nematode.unl.edu/helid8.jpg</v>
      </c>
      <c r="D4703" t="s">
        <v>43</v>
      </c>
      <c r="G4703" t="s">
        <v>28</v>
      </c>
      <c r="I4703" t="s">
        <v>19</v>
      </c>
      <c r="J4703" t="s">
        <v>20</v>
      </c>
      <c r="L4703" t="s">
        <v>85</v>
      </c>
      <c r="M4703" t="s">
        <v>6025</v>
      </c>
      <c r="N4703" t="s">
        <v>6025</v>
      </c>
      <c r="O4703" t="s">
        <v>23</v>
      </c>
      <c r="P4703" t="s">
        <v>24</v>
      </c>
      <c r="Q4703" t="s">
        <v>2454</v>
      </c>
      <c r="R4703" t="s">
        <v>5996</v>
      </c>
    </row>
    <row r="4704" spans="1:18" x14ac:dyDescent="0.25">
      <c r="A4704" t="s">
        <v>16432</v>
      </c>
      <c r="B4704" t="s">
        <v>6051</v>
      </c>
      <c r="C4704" t="str">
        <f>HYPERLINK("https://nematode.unl.edu/helid9.jpg")</f>
        <v>https://nematode.unl.edu/helid9.jpg</v>
      </c>
      <c r="D4704" t="s">
        <v>43</v>
      </c>
      <c r="G4704" t="s">
        <v>34</v>
      </c>
      <c r="H4704" t="s">
        <v>18</v>
      </c>
      <c r="I4704" t="s">
        <v>19</v>
      </c>
      <c r="J4704" t="s">
        <v>20</v>
      </c>
      <c r="L4704" t="s">
        <v>85</v>
      </c>
      <c r="M4704" t="s">
        <v>6025</v>
      </c>
      <c r="N4704" t="s">
        <v>6025</v>
      </c>
      <c r="O4704" t="s">
        <v>23</v>
      </c>
      <c r="P4704" t="s">
        <v>24</v>
      </c>
      <c r="Q4704" t="s">
        <v>2454</v>
      </c>
      <c r="R4704" t="s">
        <v>5996</v>
      </c>
    </row>
    <row r="4705" spans="1:18" x14ac:dyDescent="0.25">
      <c r="A4705" t="s">
        <v>16448</v>
      </c>
      <c r="B4705" t="s">
        <v>6052</v>
      </c>
      <c r="C4705" t="str">
        <f>HYPERLINK("https://nematode.unl.edu/helidcmp.jpg")</f>
        <v>https://nematode.unl.edu/helidcmp.jpg</v>
      </c>
      <c r="G4705" t="s">
        <v>108</v>
      </c>
      <c r="M4705" t="s">
        <v>6025</v>
      </c>
      <c r="N4705" t="s">
        <v>6025</v>
      </c>
      <c r="O4705" t="s">
        <v>23</v>
      </c>
      <c r="P4705" t="s">
        <v>24</v>
      </c>
      <c r="Q4705" t="s">
        <v>2454</v>
      </c>
      <c r="R4705" t="s">
        <v>5996</v>
      </c>
    </row>
    <row r="4706" spans="1:18" x14ac:dyDescent="0.25">
      <c r="A4706" t="s">
        <v>16442</v>
      </c>
      <c r="B4706" t="s">
        <v>6053</v>
      </c>
      <c r="C4706" t="str">
        <f>HYPERLINK("https://nematode.unl.edu/helidig1.jpg")</f>
        <v>https://nematode.unl.edu/helidig1.jpg</v>
      </c>
      <c r="D4706" t="s">
        <v>16</v>
      </c>
      <c r="G4706" t="s">
        <v>44</v>
      </c>
      <c r="I4706" t="s">
        <v>137</v>
      </c>
      <c r="J4706" t="s">
        <v>46</v>
      </c>
      <c r="L4706" t="s">
        <v>727</v>
      </c>
      <c r="M4706" t="s">
        <v>6025</v>
      </c>
      <c r="N4706" t="s">
        <v>6025</v>
      </c>
      <c r="O4706" t="s">
        <v>23</v>
      </c>
      <c r="P4706" t="s">
        <v>24</v>
      </c>
      <c r="Q4706" t="s">
        <v>2454</v>
      </c>
      <c r="R4706" t="s">
        <v>5996</v>
      </c>
    </row>
    <row r="4707" spans="1:18" x14ac:dyDescent="0.25">
      <c r="A4707" t="s">
        <v>16433</v>
      </c>
      <c r="B4707" t="s">
        <v>6054</v>
      </c>
      <c r="C4707" t="str">
        <f>HYPERLINK("https://nematode.unl.edu/helidig10.jpg")</f>
        <v>https://nematode.unl.edu/helidig10.jpg</v>
      </c>
      <c r="D4707" t="s">
        <v>43</v>
      </c>
      <c r="G4707" t="s">
        <v>34</v>
      </c>
      <c r="H4707" t="s">
        <v>18</v>
      </c>
      <c r="I4707" t="s">
        <v>19</v>
      </c>
      <c r="J4707" t="s">
        <v>46</v>
      </c>
      <c r="L4707" t="s">
        <v>105</v>
      </c>
      <c r="M4707" t="s">
        <v>6025</v>
      </c>
      <c r="N4707" t="s">
        <v>6025</v>
      </c>
      <c r="O4707" t="s">
        <v>23</v>
      </c>
      <c r="P4707" t="s">
        <v>24</v>
      </c>
      <c r="Q4707" t="s">
        <v>2454</v>
      </c>
      <c r="R4707" t="s">
        <v>5996</v>
      </c>
    </row>
    <row r="4708" spans="1:18" x14ac:dyDescent="0.25">
      <c r="A4708" t="s">
        <v>16468</v>
      </c>
      <c r="B4708" t="s">
        <v>6055</v>
      </c>
      <c r="C4708" t="str">
        <f>HYPERLINK("https://nematode.unl.edu/helidig11.jpg")</f>
        <v>https://nematode.unl.edu/helidig11.jpg</v>
      </c>
      <c r="D4708" t="s">
        <v>43</v>
      </c>
      <c r="G4708" t="s">
        <v>51</v>
      </c>
      <c r="J4708" t="s">
        <v>46</v>
      </c>
      <c r="L4708" t="s">
        <v>105</v>
      </c>
      <c r="M4708" t="s">
        <v>6025</v>
      </c>
      <c r="N4708" t="s">
        <v>6025</v>
      </c>
      <c r="O4708" t="s">
        <v>23</v>
      </c>
      <c r="P4708" t="s">
        <v>24</v>
      </c>
      <c r="Q4708" t="s">
        <v>2454</v>
      </c>
      <c r="R4708" t="s">
        <v>5996</v>
      </c>
    </row>
    <row r="4709" spans="1:18" x14ac:dyDescent="0.25">
      <c r="A4709" t="s">
        <v>16469</v>
      </c>
      <c r="B4709" t="s">
        <v>6056</v>
      </c>
      <c r="C4709" t="str">
        <f>HYPERLINK("https://nematode.unl.edu/helidig12.jpg")</f>
        <v>https://nematode.unl.edu/helidig12.jpg</v>
      </c>
      <c r="D4709" t="s">
        <v>43</v>
      </c>
      <c r="G4709" t="s">
        <v>51</v>
      </c>
      <c r="I4709" t="s">
        <v>19</v>
      </c>
      <c r="J4709" t="s">
        <v>46</v>
      </c>
      <c r="M4709" t="s">
        <v>6025</v>
      </c>
      <c r="N4709" t="s">
        <v>6025</v>
      </c>
      <c r="O4709" t="s">
        <v>23</v>
      </c>
      <c r="P4709" t="s">
        <v>24</v>
      </c>
      <c r="Q4709" t="s">
        <v>2454</v>
      </c>
      <c r="R4709" t="s">
        <v>5996</v>
      </c>
    </row>
    <row r="4710" spans="1:18" x14ac:dyDescent="0.25">
      <c r="A4710" t="s">
        <v>16460</v>
      </c>
      <c r="B4710" t="s">
        <v>6057</v>
      </c>
      <c r="C4710" t="str">
        <f>HYPERLINK("https://nematode.unl.edu/helidig13.jpg")</f>
        <v>https://nematode.unl.edu/helidig13.jpg</v>
      </c>
      <c r="D4710" t="s">
        <v>43</v>
      </c>
      <c r="G4710" t="s">
        <v>28</v>
      </c>
      <c r="J4710" t="s">
        <v>46</v>
      </c>
      <c r="L4710" t="s">
        <v>105</v>
      </c>
      <c r="M4710" t="s">
        <v>6025</v>
      </c>
      <c r="N4710" t="s">
        <v>6025</v>
      </c>
      <c r="O4710" t="s">
        <v>23</v>
      </c>
      <c r="P4710" t="s">
        <v>24</v>
      </c>
      <c r="Q4710" t="s">
        <v>2454</v>
      </c>
      <c r="R4710" t="s">
        <v>5996</v>
      </c>
    </row>
    <row r="4711" spans="1:18" x14ac:dyDescent="0.25">
      <c r="A4711" t="s">
        <v>16461</v>
      </c>
      <c r="B4711" t="s">
        <v>6058</v>
      </c>
      <c r="C4711" t="str">
        <f>HYPERLINK("https://nematode.unl.edu/helidig14.jpg")</f>
        <v>https://nematode.unl.edu/helidig14.jpg</v>
      </c>
      <c r="D4711" t="s">
        <v>43</v>
      </c>
      <c r="G4711" t="s">
        <v>28</v>
      </c>
      <c r="I4711" t="s">
        <v>19</v>
      </c>
      <c r="J4711" t="s">
        <v>46</v>
      </c>
      <c r="L4711" t="s">
        <v>105</v>
      </c>
      <c r="M4711" t="s">
        <v>6025</v>
      </c>
      <c r="N4711" t="s">
        <v>6025</v>
      </c>
      <c r="O4711" t="s">
        <v>23</v>
      </c>
      <c r="P4711" t="s">
        <v>24</v>
      </c>
      <c r="Q4711" t="s">
        <v>2454</v>
      </c>
      <c r="R4711" t="s">
        <v>5996</v>
      </c>
    </row>
    <row r="4712" spans="1:18" x14ac:dyDescent="0.25">
      <c r="A4712" t="s">
        <v>16462</v>
      </c>
      <c r="B4712" t="s">
        <v>6059</v>
      </c>
      <c r="C4712" t="str">
        <f>HYPERLINK("https://nematode.unl.edu/helidig15.jpg")</f>
        <v>https://nematode.unl.edu/helidig15.jpg</v>
      </c>
      <c r="D4712" t="s">
        <v>43</v>
      </c>
      <c r="G4712" t="s">
        <v>28</v>
      </c>
      <c r="I4712" t="s">
        <v>19</v>
      </c>
      <c r="J4712" t="s">
        <v>46</v>
      </c>
      <c r="L4712" t="s">
        <v>105</v>
      </c>
      <c r="M4712" t="s">
        <v>6025</v>
      </c>
      <c r="N4712" t="s">
        <v>6025</v>
      </c>
      <c r="O4712" t="s">
        <v>23</v>
      </c>
      <c r="P4712" t="s">
        <v>24</v>
      </c>
      <c r="Q4712" t="s">
        <v>2454</v>
      </c>
      <c r="R4712" t="s">
        <v>5996</v>
      </c>
    </row>
    <row r="4713" spans="1:18" x14ac:dyDescent="0.25">
      <c r="A4713" t="s">
        <v>16463</v>
      </c>
      <c r="B4713" t="s">
        <v>6060</v>
      </c>
      <c r="C4713" t="str">
        <f>HYPERLINK("https://nematode.unl.edu/helidig16.jpg")</f>
        <v>https://nematode.unl.edu/helidig16.jpg</v>
      </c>
      <c r="D4713" t="s">
        <v>43</v>
      </c>
      <c r="G4713" t="s">
        <v>28</v>
      </c>
      <c r="I4713" t="s">
        <v>19</v>
      </c>
      <c r="J4713" t="s">
        <v>46</v>
      </c>
      <c r="L4713" t="s">
        <v>727</v>
      </c>
      <c r="M4713" t="s">
        <v>6025</v>
      </c>
      <c r="N4713" t="s">
        <v>6025</v>
      </c>
      <c r="O4713" t="s">
        <v>23</v>
      </c>
      <c r="P4713" t="s">
        <v>24</v>
      </c>
      <c r="Q4713" t="s">
        <v>2454</v>
      </c>
      <c r="R4713" t="s">
        <v>5996</v>
      </c>
    </row>
    <row r="4714" spans="1:18" x14ac:dyDescent="0.25">
      <c r="A4714" t="s">
        <v>16464</v>
      </c>
      <c r="B4714" t="s">
        <v>6061</v>
      </c>
      <c r="C4714" t="str">
        <f>HYPERLINK("https://nematode.unl.edu/helidig17.jpg")</f>
        <v>https://nematode.unl.edu/helidig17.jpg</v>
      </c>
      <c r="D4714" t="s">
        <v>43</v>
      </c>
      <c r="G4714" t="s">
        <v>28</v>
      </c>
      <c r="J4714" t="s">
        <v>46</v>
      </c>
      <c r="L4714" t="s">
        <v>727</v>
      </c>
      <c r="M4714" t="s">
        <v>6025</v>
      </c>
      <c r="N4714" t="s">
        <v>6025</v>
      </c>
      <c r="O4714" t="s">
        <v>23</v>
      </c>
      <c r="P4714" t="s">
        <v>24</v>
      </c>
      <c r="Q4714" t="s">
        <v>2454</v>
      </c>
      <c r="R4714" t="s">
        <v>5996</v>
      </c>
    </row>
    <row r="4715" spans="1:18" x14ac:dyDescent="0.25">
      <c r="A4715" t="s">
        <v>16465</v>
      </c>
      <c r="B4715" t="s">
        <v>6062</v>
      </c>
      <c r="C4715" t="str">
        <f>HYPERLINK("https://nematode.unl.edu/helidig18.jpg")</f>
        <v>https://nematode.unl.edu/helidig18.jpg</v>
      </c>
      <c r="D4715" t="s">
        <v>43</v>
      </c>
      <c r="G4715" t="s">
        <v>28</v>
      </c>
      <c r="L4715" t="s">
        <v>105</v>
      </c>
      <c r="M4715" t="s">
        <v>6025</v>
      </c>
      <c r="N4715" t="s">
        <v>6025</v>
      </c>
      <c r="O4715" t="s">
        <v>23</v>
      </c>
      <c r="P4715" t="s">
        <v>24</v>
      </c>
      <c r="Q4715" t="s">
        <v>2454</v>
      </c>
      <c r="R4715" t="s">
        <v>5996</v>
      </c>
    </row>
    <row r="4716" spans="1:18" x14ac:dyDescent="0.25">
      <c r="A4716" t="s">
        <v>16443</v>
      </c>
      <c r="B4716" t="s">
        <v>6063</v>
      </c>
      <c r="C4716" t="str">
        <f>HYPERLINK("https://nematode.unl.edu/helidig19.jpg")</f>
        <v>https://nematode.unl.edu/helidig19.jpg</v>
      </c>
      <c r="D4716" t="s">
        <v>43</v>
      </c>
      <c r="G4716" t="s">
        <v>44</v>
      </c>
      <c r="I4716" t="s">
        <v>45</v>
      </c>
      <c r="J4716" t="s">
        <v>46</v>
      </c>
      <c r="L4716" t="s">
        <v>727</v>
      </c>
      <c r="M4716" t="s">
        <v>6025</v>
      </c>
      <c r="N4716" t="s">
        <v>6025</v>
      </c>
      <c r="O4716" t="s">
        <v>23</v>
      </c>
      <c r="P4716" t="s">
        <v>24</v>
      </c>
      <c r="Q4716" t="s">
        <v>2454</v>
      </c>
      <c r="R4716" t="s">
        <v>5996</v>
      </c>
    </row>
    <row r="4717" spans="1:18" x14ac:dyDescent="0.25">
      <c r="A4717" t="s">
        <v>16444</v>
      </c>
      <c r="B4717" t="s">
        <v>6064</v>
      </c>
      <c r="C4717" t="str">
        <f>HYPERLINK("https://nematode.unl.edu/helidig2.jpg")</f>
        <v>https://nematode.unl.edu/helidig2.jpg</v>
      </c>
      <c r="D4717" t="s">
        <v>16</v>
      </c>
      <c r="G4717" t="s">
        <v>44</v>
      </c>
      <c r="I4717" t="s">
        <v>137</v>
      </c>
      <c r="J4717" t="s">
        <v>46</v>
      </c>
      <c r="L4717" t="s">
        <v>727</v>
      </c>
      <c r="M4717" t="s">
        <v>6025</v>
      </c>
      <c r="N4717" t="s">
        <v>6025</v>
      </c>
      <c r="O4717" t="s">
        <v>23</v>
      </c>
      <c r="P4717" t="s">
        <v>24</v>
      </c>
      <c r="Q4717" t="s">
        <v>2454</v>
      </c>
      <c r="R4717" t="s">
        <v>5996</v>
      </c>
    </row>
    <row r="4718" spans="1:18" x14ac:dyDescent="0.25">
      <c r="A4718" t="s">
        <v>16434</v>
      </c>
      <c r="B4718" t="s">
        <v>6065</v>
      </c>
      <c r="C4718" t="str">
        <f>HYPERLINK("https://nematode.unl.edu/helidig3.jpg")</f>
        <v>https://nematode.unl.edu/helidig3.jpg</v>
      </c>
      <c r="D4718" t="s">
        <v>16</v>
      </c>
      <c r="G4718" t="s">
        <v>34</v>
      </c>
      <c r="H4718" t="s">
        <v>18</v>
      </c>
      <c r="J4718" t="s">
        <v>46</v>
      </c>
      <c r="L4718" t="s">
        <v>727</v>
      </c>
      <c r="M4718" t="s">
        <v>6025</v>
      </c>
      <c r="N4718" t="s">
        <v>6025</v>
      </c>
      <c r="O4718" t="s">
        <v>23</v>
      </c>
      <c r="P4718" t="s">
        <v>24</v>
      </c>
      <c r="Q4718" t="s">
        <v>2454</v>
      </c>
      <c r="R4718" t="s">
        <v>5996</v>
      </c>
    </row>
    <row r="4719" spans="1:18" x14ac:dyDescent="0.25">
      <c r="A4719" t="s">
        <v>16466</v>
      </c>
      <c r="B4719" t="s">
        <v>6066</v>
      </c>
      <c r="C4719" t="str">
        <f>HYPERLINK("https://nematode.unl.edu/helidig4.jpg")</f>
        <v>https://nematode.unl.edu/helidig4.jpg</v>
      </c>
      <c r="D4719" t="s">
        <v>16</v>
      </c>
      <c r="G4719" t="s">
        <v>28</v>
      </c>
      <c r="I4719" t="s">
        <v>19</v>
      </c>
      <c r="J4719" t="s">
        <v>46</v>
      </c>
      <c r="L4719" t="s">
        <v>727</v>
      </c>
      <c r="M4719" t="s">
        <v>6025</v>
      </c>
      <c r="N4719" t="s">
        <v>6025</v>
      </c>
      <c r="O4719" t="s">
        <v>23</v>
      </c>
      <c r="P4719" t="s">
        <v>24</v>
      </c>
      <c r="Q4719" t="s">
        <v>2454</v>
      </c>
      <c r="R4719" t="s">
        <v>5996</v>
      </c>
    </row>
    <row r="4720" spans="1:18" x14ac:dyDescent="0.25">
      <c r="A4720" t="s">
        <v>16445</v>
      </c>
      <c r="B4720" t="s">
        <v>6067</v>
      </c>
      <c r="C4720" t="str">
        <f>HYPERLINK("https://nematode.unl.edu/helidig5.jpg")</f>
        <v>https://nematode.unl.edu/helidig5.jpg</v>
      </c>
      <c r="D4720" t="s">
        <v>77</v>
      </c>
      <c r="G4720" t="s">
        <v>44</v>
      </c>
      <c r="I4720" t="s">
        <v>45</v>
      </c>
      <c r="J4720" t="s">
        <v>46</v>
      </c>
      <c r="L4720" t="s">
        <v>727</v>
      </c>
      <c r="M4720" t="s">
        <v>6025</v>
      </c>
      <c r="N4720" t="s">
        <v>6025</v>
      </c>
      <c r="O4720" t="s">
        <v>23</v>
      </c>
      <c r="P4720" t="s">
        <v>24</v>
      </c>
      <c r="Q4720" t="s">
        <v>2454</v>
      </c>
      <c r="R4720" t="s">
        <v>5996</v>
      </c>
    </row>
    <row r="4721" spans="1:18" x14ac:dyDescent="0.25">
      <c r="A4721" t="s">
        <v>16446</v>
      </c>
      <c r="B4721" t="s">
        <v>6068</v>
      </c>
      <c r="C4721" t="str">
        <f>HYPERLINK("https://nematode.unl.edu/helidig6.jpg")</f>
        <v>https://nematode.unl.edu/helidig6.jpg</v>
      </c>
      <c r="D4721" t="s">
        <v>43</v>
      </c>
      <c r="G4721" t="s">
        <v>44</v>
      </c>
      <c r="I4721" t="s">
        <v>137</v>
      </c>
      <c r="J4721" t="s">
        <v>46</v>
      </c>
      <c r="L4721" t="s">
        <v>727</v>
      </c>
      <c r="M4721" t="s">
        <v>6025</v>
      </c>
      <c r="N4721" t="s">
        <v>6025</v>
      </c>
      <c r="O4721" t="s">
        <v>23</v>
      </c>
      <c r="P4721" t="s">
        <v>24</v>
      </c>
      <c r="Q4721" t="s">
        <v>2454</v>
      </c>
      <c r="R4721" t="s">
        <v>5996</v>
      </c>
    </row>
    <row r="4722" spans="1:18" x14ac:dyDescent="0.25">
      <c r="A4722" t="s">
        <v>16447</v>
      </c>
      <c r="B4722" t="s">
        <v>6069</v>
      </c>
      <c r="C4722" t="str">
        <f>HYPERLINK("https://nematode.unl.edu/helidig7.jpg")</f>
        <v>https://nematode.unl.edu/helidig7.jpg</v>
      </c>
      <c r="D4722" t="s">
        <v>43</v>
      </c>
      <c r="G4722" t="s">
        <v>44</v>
      </c>
      <c r="I4722" t="s">
        <v>499</v>
      </c>
      <c r="J4722" t="s">
        <v>46</v>
      </c>
      <c r="L4722" t="s">
        <v>105</v>
      </c>
      <c r="M4722" t="s">
        <v>6025</v>
      </c>
      <c r="N4722" t="s">
        <v>6025</v>
      </c>
      <c r="O4722" t="s">
        <v>23</v>
      </c>
      <c r="P4722" t="s">
        <v>24</v>
      </c>
      <c r="Q4722" t="s">
        <v>2454</v>
      </c>
      <c r="R4722" t="s">
        <v>5996</v>
      </c>
    </row>
    <row r="4723" spans="1:18" x14ac:dyDescent="0.25">
      <c r="A4723" t="s">
        <v>16435</v>
      </c>
      <c r="B4723" t="s">
        <v>6070</v>
      </c>
      <c r="C4723" t="str">
        <f>HYPERLINK("https://nematode.unl.edu/helidig8.jpg")</f>
        <v>https://nematode.unl.edu/helidig8.jpg</v>
      </c>
      <c r="D4723" t="s">
        <v>43</v>
      </c>
      <c r="G4723" t="s">
        <v>34</v>
      </c>
      <c r="H4723" t="s">
        <v>18</v>
      </c>
      <c r="I4723" t="s">
        <v>19</v>
      </c>
      <c r="J4723" t="s">
        <v>46</v>
      </c>
      <c r="L4723" t="s">
        <v>105</v>
      </c>
      <c r="M4723" t="s">
        <v>6025</v>
      </c>
      <c r="N4723" t="s">
        <v>6025</v>
      </c>
      <c r="O4723" t="s">
        <v>23</v>
      </c>
      <c r="P4723" t="s">
        <v>24</v>
      </c>
      <c r="Q4723" t="s">
        <v>2454</v>
      </c>
      <c r="R4723" t="s">
        <v>5996</v>
      </c>
    </row>
    <row r="4724" spans="1:18" x14ac:dyDescent="0.25">
      <c r="A4724" t="s">
        <v>16436</v>
      </c>
      <c r="B4724" t="s">
        <v>6071</v>
      </c>
      <c r="C4724" t="str">
        <f>HYPERLINK("https://nematode.unl.edu/helidig9.jpg")</f>
        <v>https://nematode.unl.edu/helidig9.jpg</v>
      </c>
      <c r="D4724" t="s">
        <v>43</v>
      </c>
      <c r="G4724" t="s">
        <v>34</v>
      </c>
      <c r="H4724" t="s">
        <v>18</v>
      </c>
      <c r="I4724" t="s">
        <v>19</v>
      </c>
      <c r="J4724" t="s">
        <v>46</v>
      </c>
      <c r="L4724" t="s">
        <v>105</v>
      </c>
      <c r="M4724" t="s">
        <v>6025</v>
      </c>
      <c r="N4724" t="s">
        <v>6025</v>
      </c>
      <c r="O4724" t="s">
        <v>23</v>
      </c>
      <c r="P4724" t="s">
        <v>24</v>
      </c>
      <c r="Q4724" t="s">
        <v>2454</v>
      </c>
      <c r="R4724" t="s">
        <v>5996</v>
      </c>
    </row>
    <row r="4725" spans="1:18" x14ac:dyDescent="0.25">
      <c r="A4725" t="s">
        <v>16403</v>
      </c>
      <c r="B4725" t="s">
        <v>6017</v>
      </c>
      <c r="C4725" t="str">
        <f>HYPERLINK("https://nematode.unl.edu/helisp1.jpg")</f>
        <v>https://nematode.unl.edu/helisp1.jpg</v>
      </c>
      <c r="D4725" t="s">
        <v>16</v>
      </c>
      <c r="G4725" t="s">
        <v>34</v>
      </c>
      <c r="H4725" t="s">
        <v>18</v>
      </c>
      <c r="M4725" t="s">
        <v>5996</v>
      </c>
      <c r="N4725" t="s">
        <v>5996</v>
      </c>
      <c r="O4725" t="s">
        <v>23</v>
      </c>
      <c r="P4725" t="s">
        <v>24</v>
      </c>
      <c r="Q4725" t="s">
        <v>2454</v>
      </c>
      <c r="R4725" t="s">
        <v>5996</v>
      </c>
    </row>
    <row r="4726" spans="1:18" x14ac:dyDescent="0.25">
      <c r="A4726" t="s">
        <v>16410</v>
      </c>
      <c r="B4726" t="s">
        <v>6018</v>
      </c>
      <c r="C4726" t="str">
        <f>HYPERLINK("https://nematode.unl.edu/helisp2.jpg")</f>
        <v>https://nematode.unl.edu/helisp2.jpg</v>
      </c>
      <c r="D4726" t="s">
        <v>16</v>
      </c>
      <c r="G4726" t="s">
        <v>44</v>
      </c>
      <c r="I4726" t="s">
        <v>19</v>
      </c>
      <c r="J4726" t="s">
        <v>6019</v>
      </c>
      <c r="L4726" t="s">
        <v>5526</v>
      </c>
      <c r="M4726" t="s">
        <v>5996</v>
      </c>
      <c r="N4726" t="s">
        <v>5996</v>
      </c>
      <c r="O4726" t="s">
        <v>23</v>
      </c>
      <c r="P4726" t="s">
        <v>24</v>
      </c>
      <c r="Q4726" t="s">
        <v>2454</v>
      </c>
      <c r="R4726" t="s">
        <v>5996</v>
      </c>
    </row>
    <row r="4727" spans="1:18" x14ac:dyDescent="0.25">
      <c r="A4727" t="s">
        <v>16404</v>
      </c>
      <c r="B4727" t="s">
        <v>6020</v>
      </c>
      <c r="C4727" t="str">
        <f>HYPERLINK("https://nematode.unl.edu/helisp3.jpg")</f>
        <v>https://nematode.unl.edu/helisp3.jpg</v>
      </c>
      <c r="D4727" t="s">
        <v>16</v>
      </c>
      <c r="G4727" t="s">
        <v>34</v>
      </c>
      <c r="H4727" t="s">
        <v>18</v>
      </c>
      <c r="I4727" t="s">
        <v>41</v>
      </c>
      <c r="J4727" t="s">
        <v>6019</v>
      </c>
      <c r="L4727" t="s">
        <v>5526</v>
      </c>
      <c r="M4727" t="s">
        <v>5996</v>
      </c>
      <c r="N4727" t="s">
        <v>5996</v>
      </c>
      <c r="O4727" t="s">
        <v>23</v>
      </c>
      <c r="P4727" t="s">
        <v>24</v>
      </c>
      <c r="Q4727" t="s">
        <v>2454</v>
      </c>
      <c r="R4727" t="s">
        <v>5996</v>
      </c>
    </row>
    <row r="4728" spans="1:18" x14ac:dyDescent="0.25">
      <c r="A4728" t="s">
        <v>16418</v>
      </c>
      <c r="B4728" t="s">
        <v>6021</v>
      </c>
      <c r="C4728" t="str">
        <f>HYPERLINK("https://nematode.unl.edu/helisp4.jpg")</f>
        <v>https://nematode.unl.edu/helisp4.jpg</v>
      </c>
      <c r="D4728" t="s">
        <v>16</v>
      </c>
      <c r="G4728" t="s">
        <v>28</v>
      </c>
      <c r="M4728" t="s">
        <v>5996</v>
      </c>
      <c r="N4728" t="s">
        <v>5996</v>
      </c>
      <c r="O4728" t="s">
        <v>23</v>
      </c>
      <c r="P4728" t="s">
        <v>24</v>
      </c>
      <c r="Q4728" t="s">
        <v>2454</v>
      </c>
      <c r="R4728" t="s">
        <v>5996</v>
      </c>
    </row>
    <row r="4729" spans="1:18" x14ac:dyDescent="0.25">
      <c r="A4729" t="s">
        <v>16405</v>
      </c>
      <c r="B4729" t="s">
        <v>6022</v>
      </c>
      <c r="C4729" t="str">
        <f>HYPERLINK("https://nematode.unl.edu/helisp5.jpg")</f>
        <v>https://nematode.unl.edu/helisp5.jpg</v>
      </c>
      <c r="D4729" t="s">
        <v>16</v>
      </c>
      <c r="G4729" t="s">
        <v>34</v>
      </c>
      <c r="H4729" t="s">
        <v>18</v>
      </c>
      <c r="M4729" t="s">
        <v>5996</v>
      </c>
      <c r="N4729" t="s">
        <v>5996</v>
      </c>
      <c r="O4729" t="s">
        <v>23</v>
      </c>
      <c r="P4729" t="s">
        <v>24</v>
      </c>
      <c r="Q4729" t="s">
        <v>2454</v>
      </c>
      <c r="R4729" t="s">
        <v>5996</v>
      </c>
    </row>
    <row r="4730" spans="1:18" x14ac:dyDescent="0.25">
      <c r="A4730" t="s">
        <v>16419</v>
      </c>
      <c r="B4730" t="s">
        <v>6023</v>
      </c>
      <c r="C4730" t="str">
        <f>HYPERLINK("https://nematode.unl.edu/helisp6.jpg")</f>
        <v>https://nematode.unl.edu/helisp6.jpg</v>
      </c>
      <c r="D4730" t="s">
        <v>16</v>
      </c>
      <c r="G4730" t="s">
        <v>28</v>
      </c>
      <c r="M4730" t="s">
        <v>5996</v>
      </c>
      <c r="N4730" t="s">
        <v>5996</v>
      </c>
      <c r="O4730" t="s">
        <v>23</v>
      </c>
      <c r="P4730" t="s">
        <v>24</v>
      </c>
      <c r="Q4730" t="s">
        <v>2454</v>
      </c>
      <c r="R4730" t="s">
        <v>5996</v>
      </c>
    </row>
    <row r="4731" spans="1:18" x14ac:dyDescent="0.25">
      <c r="A4731" t="s">
        <v>16498</v>
      </c>
      <c r="B4731" t="s">
        <v>6094</v>
      </c>
      <c r="C4731" t="str">
        <f>HYPERLINK("https://nematode.unl.edu/helpla1.jpg")</f>
        <v>https://nematode.unl.edu/helpla1.jpg</v>
      </c>
      <c r="D4731" t="s">
        <v>77</v>
      </c>
      <c r="G4731" t="s">
        <v>44</v>
      </c>
      <c r="I4731" t="s">
        <v>499</v>
      </c>
      <c r="J4731" t="s">
        <v>20</v>
      </c>
      <c r="L4731" t="s">
        <v>85</v>
      </c>
      <c r="M4731" t="s">
        <v>6091</v>
      </c>
      <c r="N4731" t="s">
        <v>6091</v>
      </c>
      <c r="O4731" t="s">
        <v>23</v>
      </c>
      <c r="P4731" t="s">
        <v>24</v>
      </c>
      <c r="Q4731" t="s">
        <v>2454</v>
      </c>
      <c r="R4731" t="s">
        <v>5996</v>
      </c>
    </row>
    <row r="4732" spans="1:18" x14ac:dyDescent="0.25">
      <c r="A4732" t="s">
        <v>16499</v>
      </c>
      <c r="B4732" t="s">
        <v>6095</v>
      </c>
      <c r="C4732" t="str">
        <f>HYPERLINK("https://nematode.unl.edu/helpla10.jpg")</f>
        <v>https://nematode.unl.edu/helpla10.jpg</v>
      </c>
      <c r="D4732" t="s">
        <v>77</v>
      </c>
      <c r="G4732" t="s">
        <v>44</v>
      </c>
      <c r="I4732" t="s">
        <v>45</v>
      </c>
      <c r="J4732" t="s">
        <v>20</v>
      </c>
      <c r="L4732" t="s">
        <v>64</v>
      </c>
      <c r="M4732" t="s">
        <v>6091</v>
      </c>
      <c r="N4732" t="s">
        <v>6091</v>
      </c>
      <c r="O4732" t="s">
        <v>23</v>
      </c>
      <c r="P4732" t="s">
        <v>24</v>
      </c>
      <c r="Q4732" t="s">
        <v>2454</v>
      </c>
      <c r="R4732" t="s">
        <v>5996</v>
      </c>
    </row>
    <row r="4733" spans="1:18" x14ac:dyDescent="0.25">
      <c r="A4733" t="s">
        <v>16509</v>
      </c>
      <c r="B4733" t="s">
        <v>6096</v>
      </c>
      <c r="C4733" t="str">
        <f>HYPERLINK("https://nematode.unl.edu/helpla11.jpg")</f>
        <v>https://nematode.unl.edu/helpla11.jpg</v>
      </c>
      <c r="D4733" t="s">
        <v>43</v>
      </c>
      <c r="G4733" t="s">
        <v>28</v>
      </c>
      <c r="J4733" t="s">
        <v>20</v>
      </c>
      <c r="L4733" t="s">
        <v>220</v>
      </c>
      <c r="M4733" t="s">
        <v>6091</v>
      </c>
      <c r="N4733" t="s">
        <v>6091</v>
      </c>
      <c r="O4733" t="s">
        <v>23</v>
      </c>
      <c r="P4733" t="s">
        <v>24</v>
      </c>
      <c r="Q4733" t="s">
        <v>2454</v>
      </c>
      <c r="R4733" t="s">
        <v>5996</v>
      </c>
    </row>
    <row r="4734" spans="1:18" x14ac:dyDescent="0.25">
      <c r="A4734" t="s">
        <v>16510</v>
      </c>
      <c r="B4734" t="s">
        <v>6097</v>
      </c>
      <c r="C4734" t="str">
        <f>HYPERLINK("https://nematode.unl.edu/helpla12.jpg")</f>
        <v>https://nematode.unl.edu/helpla12.jpg</v>
      </c>
      <c r="D4734" t="s">
        <v>43</v>
      </c>
      <c r="G4734" t="s">
        <v>28</v>
      </c>
      <c r="I4734" t="s">
        <v>19</v>
      </c>
      <c r="J4734" t="s">
        <v>20</v>
      </c>
      <c r="L4734" t="s">
        <v>220</v>
      </c>
      <c r="M4734" t="s">
        <v>6091</v>
      </c>
      <c r="N4734" t="s">
        <v>6091</v>
      </c>
      <c r="O4734" t="s">
        <v>23</v>
      </c>
      <c r="P4734" t="s">
        <v>24</v>
      </c>
      <c r="Q4734" t="s">
        <v>2454</v>
      </c>
      <c r="R4734" t="s">
        <v>5996</v>
      </c>
    </row>
    <row r="4735" spans="1:18" x14ac:dyDescent="0.25">
      <c r="A4735" t="s">
        <v>16486</v>
      </c>
      <c r="B4735" t="s">
        <v>6098</v>
      </c>
      <c r="C4735" t="str">
        <f>HYPERLINK("https://nematode.unl.edu/helpla13.jpg")</f>
        <v>https://nematode.unl.edu/helpla13.jpg</v>
      </c>
      <c r="D4735" t="s">
        <v>43</v>
      </c>
      <c r="G4735" t="s">
        <v>34</v>
      </c>
      <c r="H4735" t="s">
        <v>18</v>
      </c>
      <c r="J4735" t="s">
        <v>20</v>
      </c>
      <c r="L4735" t="s">
        <v>64</v>
      </c>
      <c r="M4735" t="s">
        <v>6091</v>
      </c>
      <c r="N4735" t="s">
        <v>6091</v>
      </c>
      <c r="O4735" t="s">
        <v>23</v>
      </c>
      <c r="P4735" t="s">
        <v>24</v>
      </c>
      <c r="Q4735" t="s">
        <v>2454</v>
      </c>
      <c r="R4735" t="s">
        <v>5996</v>
      </c>
    </row>
    <row r="4736" spans="1:18" x14ac:dyDescent="0.25">
      <c r="A4736" t="s">
        <v>16511</v>
      </c>
      <c r="B4736" t="s">
        <v>6099</v>
      </c>
      <c r="C4736" t="str">
        <f>HYPERLINK("https://nematode.unl.edu/helpla14.jpg")</f>
        <v>https://nematode.unl.edu/helpla14.jpg</v>
      </c>
      <c r="D4736" t="s">
        <v>43</v>
      </c>
      <c r="G4736" t="s">
        <v>28</v>
      </c>
      <c r="J4736" t="s">
        <v>20</v>
      </c>
      <c r="L4736" t="s">
        <v>64</v>
      </c>
      <c r="M4736" t="s">
        <v>6091</v>
      </c>
      <c r="N4736" t="s">
        <v>6091</v>
      </c>
      <c r="O4736" t="s">
        <v>23</v>
      </c>
      <c r="P4736" t="s">
        <v>24</v>
      </c>
      <c r="Q4736" t="s">
        <v>2454</v>
      </c>
      <c r="R4736" t="s">
        <v>5996</v>
      </c>
    </row>
    <row r="4737" spans="1:18" x14ac:dyDescent="0.25">
      <c r="A4737" t="s">
        <v>16487</v>
      </c>
      <c r="B4737" t="s">
        <v>6100</v>
      </c>
      <c r="C4737" t="str">
        <f>HYPERLINK("https://nematode.unl.edu/helpla15.jpg")</f>
        <v>https://nematode.unl.edu/helpla15.jpg</v>
      </c>
      <c r="D4737" t="s">
        <v>43</v>
      </c>
      <c r="G4737" t="s">
        <v>34</v>
      </c>
      <c r="H4737" t="s">
        <v>18</v>
      </c>
      <c r="J4737" t="s">
        <v>20</v>
      </c>
      <c r="L4737" t="s">
        <v>64</v>
      </c>
      <c r="M4737" t="s">
        <v>6091</v>
      </c>
      <c r="N4737" t="s">
        <v>6091</v>
      </c>
      <c r="O4737" t="s">
        <v>23</v>
      </c>
      <c r="P4737" t="s">
        <v>24</v>
      </c>
      <c r="Q4737" t="s">
        <v>2454</v>
      </c>
      <c r="R4737" t="s">
        <v>5996</v>
      </c>
    </row>
    <row r="4738" spans="1:18" x14ac:dyDescent="0.25">
      <c r="A4738" t="s">
        <v>16512</v>
      </c>
      <c r="B4738" t="s">
        <v>6101</v>
      </c>
      <c r="C4738" t="str">
        <f>HYPERLINK("https://nematode.unl.edu/helpla16.jpg")</f>
        <v>https://nematode.unl.edu/helpla16.jpg</v>
      </c>
      <c r="D4738" t="s">
        <v>43</v>
      </c>
      <c r="G4738" t="s">
        <v>28</v>
      </c>
      <c r="J4738" t="s">
        <v>20</v>
      </c>
      <c r="L4738" t="s">
        <v>64</v>
      </c>
      <c r="M4738" t="s">
        <v>6091</v>
      </c>
      <c r="N4738" t="s">
        <v>6091</v>
      </c>
      <c r="O4738" t="s">
        <v>23</v>
      </c>
      <c r="P4738" t="s">
        <v>24</v>
      </c>
      <c r="Q4738" t="s">
        <v>2454</v>
      </c>
      <c r="R4738" t="s">
        <v>5996</v>
      </c>
    </row>
    <row r="4739" spans="1:18" x14ac:dyDescent="0.25">
      <c r="A4739" t="s">
        <v>16500</v>
      </c>
      <c r="B4739" t="s">
        <v>6102</v>
      </c>
      <c r="C4739" t="str">
        <f>HYPERLINK("https://nematode.unl.edu/helpla17.jpg")</f>
        <v>https://nematode.unl.edu/helpla17.jpg</v>
      </c>
      <c r="D4739" t="s">
        <v>43</v>
      </c>
      <c r="G4739" t="s">
        <v>44</v>
      </c>
      <c r="I4739" t="s">
        <v>45</v>
      </c>
      <c r="J4739" t="s">
        <v>20</v>
      </c>
      <c r="L4739" t="s">
        <v>64</v>
      </c>
      <c r="M4739" t="s">
        <v>6091</v>
      </c>
      <c r="N4739" t="s">
        <v>6091</v>
      </c>
      <c r="O4739" t="s">
        <v>23</v>
      </c>
      <c r="P4739" t="s">
        <v>24</v>
      </c>
      <c r="Q4739" t="s">
        <v>2454</v>
      </c>
      <c r="R4739" t="s">
        <v>5996</v>
      </c>
    </row>
    <row r="4740" spans="1:18" x14ac:dyDescent="0.25">
      <c r="A4740" t="s">
        <v>16513</v>
      </c>
      <c r="B4740" t="s">
        <v>6103</v>
      </c>
      <c r="C4740" t="str">
        <f>HYPERLINK("https://nematode.unl.edu/helpla18.jpg")</f>
        <v>https://nematode.unl.edu/helpla18.jpg</v>
      </c>
      <c r="D4740" t="s">
        <v>43</v>
      </c>
      <c r="G4740" t="s">
        <v>28</v>
      </c>
      <c r="J4740" t="s">
        <v>20</v>
      </c>
      <c r="L4740" t="s">
        <v>64</v>
      </c>
      <c r="M4740" t="s">
        <v>6091</v>
      </c>
      <c r="N4740" t="s">
        <v>6091</v>
      </c>
      <c r="O4740" t="s">
        <v>23</v>
      </c>
      <c r="P4740" t="s">
        <v>24</v>
      </c>
      <c r="Q4740" t="s">
        <v>2454</v>
      </c>
      <c r="R4740" t="s">
        <v>5996</v>
      </c>
    </row>
    <row r="4741" spans="1:18" x14ac:dyDescent="0.25">
      <c r="A4741" t="s">
        <v>16507</v>
      </c>
      <c r="B4741" t="s">
        <v>6104</v>
      </c>
      <c r="C4741" t="str">
        <f>HYPERLINK("https://nematode.unl.edu/helpla19.jpg")</f>
        <v>https://nematode.unl.edu/helpla19.jpg</v>
      </c>
      <c r="D4741" t="s">
        <v>43</v>
      </c>
      <c r="G4741" t="s">
        <v>53</v>
      </c>
      <c r="I4741" t="s">
        <v>41</v>
      </c>
      <c r="J4741" t="s">
        <v>20</v>
      </c>
      <c r="L4741" t="s">
        <v>141</v>
      </c>
      <c r="M4741" t="s">
        <v>6091</v>
      </c>
      <c r="N4741" t="s">
        <v>6091</v>
      </c>
      <c r="O4741" t="s">
        <v>23</v>
      </c>
      <c r="P4741" t="s">
        <v>24</v>
      </c>
      <c r="Q4741" t="s">
        <v>2454</v>
      </c>
      <c r="R4741" t="s">
        <v>5996</v>
      </c>
    </row>
    <row r="4742" spans="1:18" x14ac:dyDescent="0.25">
      <c r="A4742" t="s">
        <v>16514</v>
      </c>
      <c r="B4742" t="s">
        <v>6105</v>
      </c>
      <c r="C4742" t="str">
        <f>HYPERLINK("https://nematode.unl.edu/helpla2.jpg")</f>
        <v>https://nematode.unl.edu/helpla2.jpg</v>
      </c>
      <c r="D4742" t="s">
        <v>43</v>
      </c>
      <c r="G4742" t="s">
        <v>28</v>
      </c>
      <c r="L4742" t="s">
        <v>85</v>
      </c>
      <c r="M4742" t="s">
        <v>6091</v>
      </c>
      <c r="N4742" t="s">
        <v>6091</v>
      </c>
      <c r="O4742" t="s">
        <v>23</v>
      </c>
      <c r="P4742" t="s">
        <v>24</v>
      </c>
      <c r="Q4742" t="s">
        <v>2454</v>
      </c>
      <c r="R4742" t="s">
        <v>5996</v>
      </c>
    </row>
    <row r="4743" spans="1:18" x14ac:dyDescent="0.25">
      <c r="A4743" t="s">
        <v>16488</v>
      </c>
      <c r="B4743" t="s">
        <v>6106</v>
      </c>
      <c r="C4743" t="str">
        <f>HYPERLINK("https://nematode.unl.edu/helpla20.jpg")</f>
        <v>https://nematode.unl.edu/helpla20.jpg</v>
      </c>
      <c r="D4743" t="s">
        <v>43</v>
      </c>
      <c r="G4743" t="s">
        <v>34</v>
      </c>
      <c r="H4743" t="s">
        <v>18</v>
      </c>
      <c r="I4743" t="s">
        <v>19</v>
      </c>
      <c r="J4743" t="s">
        <v>20</v>
      </c>
      <c r="L4743" t="s">
        <v>727</v>
      </c>
      <c r="M4743" t="s">
        <v>6091</v>
      </c>
      <c r="N4743" t="s">
        <v>6091</v>
      </c>
      <c r="O4743" t="s">
        <v>23</v>
      </c>
      <c r="P4743" t="s">
        <v>24</v>
      </c>
      <c r="Q4743" t="s">
        <v>2454</v>
      </c>
      <c r="R4743" t="s">
        <v>5996</v>
      </c>
    </row>
    <row r="4744" spans="1:18" x14ac:dyDescent="0.25">
      <c r="A4744" t="s">
        <v>16501</v>
      </c>
      <c r="B4744" t="s">
        <v>6107</v>
      </c>
      <c r="C4744" t="str">
        <f>HYPERLINK("https://nematode.unl.edu/helpla21.jpg")</f>
        <v>https://nematode.unl.edu/helpla21.jpg</v>
      </c>
      <c r="D4744" t="s">
        <v>43</v>
      </c>
      <c r="G4744" t="s">
        <v>44</v>
      </c>
      <c r="I4744" t="s">
        <v>45</v>
      </c>
      <c r="J4744" t="s">
        <v>20</v>
      </c>
      <c r="L4744" t="s">
        <v>206</v>
      </c>
      <c r="M4744" t="s">
        <v>6091</v>
      </c>
      <c r="N4744" t="s">
        <v>6091</v>
      </c>
      <c r="O4744" t="s">
        <v>23</v>
      </c>
      <c r="P4744" t="s">
        <v>24</v>
      </c>
      <c r="Q4744" t="s">
        <v>2454</v>
      </c>
      <c r="R4744" t="s">
        <v>5996</v>
      </c>
    </row>
    <row r="4745" spans="1:18" x14ac:dyDescent="0.25">
      <c r="A4745" t="s">
        <v>16489</v>
      </c>
      <c r="B4745" t="s">
        <v>6108</v>
      </c>
      <c r="C4745" t="str">
        <f>HYPERLINK("https://nematode.unl.edu/helpla22.jpg")</f>
        <v>https://nematode.unl.edu/helpla22.jpg</v>
      </c>
      <c r="D4745" t="s">
        <v>43</v>
      </c>
      <c r="G4745" t="s">
        <v>34</v>
      </c>
      <c r="H4745" t="s">
        <v>18</v>
      </c>
      <c r="J4745" t="s">
        <v>20</v>
      </c>
      <c r="M4745" t="s">
        <v>6091</v>
      </c>
      <c r="N4745" t="s">
        <v>6091</v>
      </c>
      <c r="O4745" t="s">
        <v>23</v>
      </c>
      <c r="P4745" t="s">
        <v>24</v>
      </c>
      <c r="Q4745" t="s">
        <v>2454</v>
      </c>
      <c r="R4745" t="s">
        <v>5996</v>
      </c>
    </row>
    <row r="4746" spans="1:18" x14ac:dyDescent="0.25">
      <c r="A4746" t="s">
        <v>16515</v>
      </c>
      <c r="B4746" t="s">
        <v>6109</v>
      </c>
      <c r="C4746" t="str">
        <f>HYPERLINK("https://nematode.unl.edu/helpla23.jpg")</f>
        <v>https://nematode.unl.edu/helpla23.jpg</v>
      </c>
      <c r="D4746" t="s">
        <v>43</v>
      </c>
      <c r="G4746" t="s">
        <v>28</v>
      </c>
      <c r="J4746" t="s">
        <v>20</v>
      </c>
      <c r="L4746" t="s">
        <v>206</v>
      </c>
      <c r="M4746" t="s">
        <v>6091</v>
      </c>
      <c r="N4746" t="s">
        <v>6091</v>
      </c>
      <c r="O4746" t="s">
        <v>23</v>
      </c>
      <c r="P4746" t="s">
        <v>24</v>
      </c>
      <c r="Q4746" t="s">
        <v>2454</v>
      </c>
      <c r="R4746" t="s">
        <v>5996</v>
      </c>
    </row>
    <row r="4747" spans="1:18" x14ac:dyDescent="0.25">
      <c r="A4747" t="s">
        <v>16490</v>
      </c>
      <c r="B4747" t="s">
        <v>6110</v>
      </c>
      <c r="C4747" t="str">
        <f>HYPERLINK("https://nematode.unl.edu/helpla3.jpg")</f>
        <v>https://nematode.unl.edu/helpla3.jpg</v>
      </c>
      <c r="D4747" t="s">
        <v>43</v>
      </c>
      <c r="G4747" t="s">
        <v>34</v>
      </c>
      <c r="H4747" t="s">
        <v>18</v>
      </c>
      <c r="M4747" t="s">
        <v>6091</v>
      </c>
      <c r="N4747" t="s">
        <v>6091</v>
      </c>
      <c r="O4747" t="s">
        <v>23</v>
      </c>
      <c r="P4747" t="s">
        <v>24</v>
      </c>
      <c r="Q4747" t="s">
        <v>2454</v>
      </c>
      <c r="R4747" t="s">
        <v>5996</v>
      </c>
    </row>
    <row r="4748" spans="1:18" x14ac:dyDescent="0.25">
      <c r="A4748" t="s">
        <v>16491</v>
      </c>
      <c r="B4748" t="s">
        <v>6111</v>
      </c>
      <c r="C4748" t="str">
        <f>HYPERLINK("https://nematode.unl.edu/helpla4.jpg")</f>
        <v>https://nematode.unl.edu/helpla4.jpg</v>
      </c>
      <c r="D4748" t="s">
        <v>43</v>
      </c>
      <c r="G4748" t="s">
        <v>34</v>
      </c>
      <c r="H4748" t="s">
        <v>18</v>
      </c>
      <c r="J4748" t="s">
        <v>20</v>
      </c>
      <c r="L4748" t="s">
        <v>85</v>
      </c>
      <c r="M4748" t="s">
        <v>6091</v>
      </c>
      <c r="N4748" t="s">
        <v>6091</v>
      </c>
      <c r="O4748" t="s">
        <v>23</v>
      </c>
      <c r="P4748" t="s">
        <v>24</v>
      </c>
      <c r="Q4748" t="s">
        <v>2454</v>
      </c>
      <c r="R4748" t="s">
        <v>5996</v>
      </c>
    </row>
    <row r="4749" spans="1:18" x14ac:dyDescent="0.25">
      <c r="A4749" t="s">
        <v>16516</v>
      </c>
      <c r="B4749" t="s">
        <v>6112</v>
      </c>
      <c r="C4749" t="str">
        <f>HYPERLINK("https://nematode.unl.edu/helpla5.jpg")</f>
        <v>https://nematode.unl.edu/helpla5.jpg</v>
      </c>
      <c r="D4749" t="s">
        <v>43</v>
      </c>
      <c r="G4749" t="s">
        <v>28</v>
      </c>
      <c r="J4749" t="s">
        <v>20</v>
      </c>
      <c r="M4749" t="s">
        <v>6091</v>
      </c>
      <c r="N4749" t="s">
        <v>6091</v>
      </c>
      <c r="O4749" t="s">
        <v>23</v>
      </c>
      <c r="P4749" t="s">
        <v>24</v>
      </c>
      <c r="Q4749" t="s">
        <v>2454</v>
      </c>
      <c r="R4749" t="s">
        <v>5996</v>
      </c>
    </row>
    <row r="4750" spans="1:18" x14ac:dyDescent="0.25">
      <c r="A4750" t="s">
        <v>16517</v>
      </c>
      <c r="B4750" t="s">
        <v>6113</v>
      </c>
      <c r="C4750" t="str">
        <f>HYPERLINK("https://nematode.unl.edu/helpla6.jpg")</f>
        <v>https://nematode.unl.edu/helpla6.jpg</v>
      </c>
      <c r="D4750" t="s">
        <v>43</v>
      </c>
      <c r="G4750" t="s">
        <v>28</v>
      </c>
      <c r="I4750" t="s">
        <v>19</v>
      </c>
      <c r="J4750" t="s">
        <v>20</v>
      </c>
      <c r="M4750" t="s">
        <v>6091</v>
      </c>
      <c r="N4750" t="s">
        <v>6091</v>
      </c>
      <c r="O4750" t="s">
        <v>23</v>
      </c>
      <c r="P4750" t="s">
        <v>24</v>
      </c>
      <c r="Q4750" t="s">
        <v>2454</v>
      </c>
      <c r="R4750" t="s">
        <v>5996</v>
      </c>
    </row>
    <row r="4751" spans="1:18" x14ac:dyDescent="0.25">
      <c r="A4751" t="s">
        <v>16502</v>
      </c>
      <c r="B4751" t="s">
        <v>6114</v>
      </c>
      <c r="C4751" t="str">
        <f>HYPERLINK("https://nematode.unl.edu/helpla7.jpg")</f>
        <v>https://nematode.unl.edu/helpla7.jpg</v>
      </c>
      <c r="D4751" t="s">
        <v>43</v>
      </c>
      <c r="G4751" t="s">
        <v>44</v>
      </c>
      <c r="I4751" t="s">
        <v>499</v>
      </c>
      <c r="J4751" t="s">
        <v>20</v>
      </c>
      <c r="L4751" t="s">
        <v>85</v>
      </c>
      <c r="M4751" t="s">
        <v>6091</v>
      </c>
      <c r="N4751" t="s">
        <v>6091</v>
      </c>
      <c r="O4751" t="s">
        <v>23</v>
      </c>
      <c r="P4751" t="s">
        <v>24</v>
      </c>
      <c r="Q4751" t="s">
        <v>2454</v>
      </c>
      <c r="R4751" t="s">
        <v>5996</v>
      </c>
    </row>
    <row r="4752" spans="1:18" x14ac:dyDescent="0.25">
      <c r="A4752" t="s">
        <v>16503</v>
      </c>
      <c r="B4752" t="s">
        <v>6115</v>
      </c>
      <c r="C4752" t="str">
        <f>HYPERLINK("https://nematode.unl.edu/helpla8.jpg")</f>
        <v>https://nematode.unl.edu/helpla8.jpg</v>
      </c>
      <c r="D4752" t="s">
        <v>77</v>
      </c>
      <c r="G4752" t="s">
        <v>44</v>
      </c>
      <c r="I4752" t="s">
        <v>45</v>
      </c>
      <c r="J4752" t="s">
        <v>20</v>
      </c>
      <c r="L4752" t="s">
        <v>85</v>
      </c>
      <c r="M4752" t="s">
        <v>6091</v>
      </c>
      <c r="N4752" t="s">
        <v>6091</v>
      </c>
      <c r="O4752" t="s">
        <v>23</v>
      </c>
      <c r="P4752" t="s">
        <v>24</v>
      </c>
      <c r="Q4752" t="s">
        <v>2454</v>
      </c>
      <c r="R4752" t="s">
        <v>5996</v>
      </c>
    </row>
    <row r="4753" spans="1:18" x14ac:dyDescent="0.25">
      <c r="A4753" t="s">
        <v>16518</v>
      </c>
      <c r="B4753" t="s">
        <v>6116</v>
      </c>
      <c r="C4753" t="str">
        <f>HYPERLINK("https://nematode.unl.edu/helpla9.jpg")</f>
        <v>https://nematode.unl.edu/helpla9.jpg</v>
      </c>
      <c r="D4753" t="s">
        <v>43</v>
      </c>
      <c r="G4753" t="s">
        <v>28</v>
      </c>
      <c r="I4753" t="s">
        <v>19</v>
      </c>
      <c r="M4753" t="s">
        <v>6091</v>
      </c>
      <c r="N4753" t="s">
        <v>6091</v>
      </c>
      <c r="O4753" t="s">
        <v>23</v>
      </c>
      <c r="P4753" t="s">
        <v>24</v>
      </c>
      <c r="Q4753" t="s">
        <v>2454</v>
      </c>
      <c r="R4753" t="s">
        <v>5996</v>
      </c>
    </row>
    <row r="4754" spans="1:18" x14ac:dyDescent="0.25">
      <c r="A4754" t="s">
        <v>16506</v>
      </c>
      <c r="B4754" t="s">
        <v>6117</v>
      </c>
      <c r="C4754" t="str">
        <f>HYPERLINK("https://nematode.unl.edu/helplacmp.jpg")</f>
        <v>https://nematode.unl.edu/helplacmp.jpg</v>
      </c>
      <c r="G4754" t="s">
        <v>108</v>
      </c>
      <c r="M4754" t="s">
        <v>6091</v>
      </c>
      <c r="N4754" t="s">
        <v>6091</v>
      </c>
      <c r="O4754" t="s">
        <v>23</v>
      </c>
      <c r="P4754" t="s">
        <v>24</v>
      </c>
      <c r="Q4754" t="s">
        <v>2454</v>
      </c>
      <c r="R4754" t="s">
        <v>5996</v>
      </c>
    </row>
    <row r="4755" spans="1:18" x14ac:dyDescent="0.25">
      <c r="A4755" t="s">
        <v>16504</v>
      </c>
      <c r="B4755" t="s">
        <v>6118</v>
      </c>
      <c r="C4755" t="str">
        <f>HYPERLINK("https://nematode.unl.edu/helplat1.jpg")</f>
        <v>https://nematode.unl.edu/helplat1.jpg</v>
      </c>
      <c r="D4755" t="s">
        <v>43</v>
      </c>
      <c r="G4755" t="s">
        <v>44</v>
      </c>
      <c r="I4755" t="s">
        <v>45</v>
      </c>
      <c r="J4755" t="s">
        <v>46</v>
      </c>
      <c r="L4755" t="s">
        <v>727</v>
      </c>
      <c r="M4755" t="s">
        <v>6091</v>
      </c>
      <c r="N4755" t="s">
        <v>6091</v>
      </c>
      <c r="O4755" t="s">
        <v>23</v>
      </c>
      <c r="P4755" t="s">
        <v>24</v>
      </c>
      <c r="Q4755" t="s">
        <v>2454</v>
      </c>
      <c r="R4755" t="s">
        <v>5996</v>
      </c>
    </row>
    <row r="4756" spans="1:18" x14ac:dyDescent="0.25">
      <c r="A4756" t="s">
        <v>16492</v>
      </c>
      <c r="B4756" t="s">
        <v>6119</v>
      </c>
      <c r="C4756" t="str">
        <f>HYPERLINK("https://nematode.unl.edu/helplat10.jpg")</f>
        <v>https://nematode.unl.edu/helplat10.jpg</v>
      </c>
      <c r="D4756" t="s">
        <v>16</v>
      </c>
      <c r="G4756" t="s">
        <v>34</v>
      </c>
      <c r="H4756" t="s">
        <v>18</v>
      </c>
      <c r="I4756" t="s">
        <v>516</v>
      </c>
      <c r="J4756" t="s">
        <v>46</v>
      </c>
      <c r="L4756" t="s">
        <v>105</v>
      </c>
      <c r="M4756" t="s">
        <v>6091</v>
      </c>
      <c r="N4756" t="s">
        <v>6091</v>
      </c>
      <c r="O4756" t="s">
        <v>23</v>
      </c>
      <c r="P4756" t="s">
        <v>24</v>
      </c>
      <c r="Q4756" t="s">
        <v>2454</v>
      </c>
      <c r="R4756" t="s">
        <v>5996</v>
      </c>
    </row>
    <row r="4757" spans="1:18" x14ac:dyDescent="0.25">
      <c r="A4757" t="s">
        <v>16493</v>
      </c>
      <c r="B4757" t="s">
        <v>6120</v>
      </c>
      <c r="C4757" t="str">
        <f>HYPERLINK("https://nematode.unl.edu/helplat11.jpg")</f>
        <v>https://nematode.unl.edu/helplat11.jpg</v>
      </c>
      <c r="D4757" t="s">
        <v>16</v>
      </c>
      <c r="G4757" t="s">
        <v>34</v>
      </c>
      <c r="H4757" t="s">
        <v>18</v>
      </c>
      <c r="J4757" t="s">
        <v>46</v>
      </c>
      <c r="L4757" t="s">
        <v>105</v>
      </c>
      <c r="M4757" t="s">
        <v>6091</v>
      </c>
      <c r="N4757" t="s">
        <v>6091</v>
      </c>
      <c r="O4757" t="s">
        <v>23</v>
      </c>
      <c r="P4757" t="s">
        <v>24</v>
      </c>
      <c r="Q4757" t="s">
        <v>2454</v>
      </c>
      <c r="R4757" t="s">
        <v>5996</v>
      </c>
    </row>
    <row r="4758" spans="1:18" x14ac:dyDescent="0.25">
      <c r="A4758" t="s">
        <v>16519</v>
      </c>
      <c r="B4758" t="s">
        <v>6121</v>
      </c>
      <c r="C4758" t="str">
        <f>HYPERLINK("https://nematode.unl.edu/helplat12.jpg")</f>
        <v>https://nematode.unl.edu/helplat12.jpg</v>
      </c>
      <c r="D4758" t="s">
        <v>16</v>
      </c>
      <c r="G4758" t="s">
        <v>28</v>
      </c>
      <c r="J4758" t="s">
        <v>46</v>
      </c>
      <c r="L4758" t="s">
        <v>105</v>
      </c>
      <c r="M4758" t="s">
        <v>6091</v>
      </c>
      <c r="N4758" t="s">
        <v>6091</v>
      </c>
      <c r="O4758" t="s">
        <v>23</v>
      </c>
      <c r="P4758" t="s">
        <v>24</v>
      </c>
      <c r="Q4758" t="s">
        <v>2454</v>
      </c>
      <c r="R4758" t="s">
        <v>5996</v>
      </c>
    </row>
    <row r="4759" spans="1:18" x14ac:dyDescent="0.25">
      <c r="A4759" t="s">
        <v>16520</v>
      </c>
      <c r="B4759" t="s">
        <v>6122</v>
      </c>
      <c r="C4759" t="str">
        <f>HYPERLINK("https://nematode.unl.edu/helplat13.jpg")</f>
        <v>https://nematode.unl.edu/helplat13.jpg</v>
      </c>
      <c r="D4759" t="s">
        <v>16</v>
      </c>
      <c r="G4759" t="s">
        <v>28</v>
      </c>
      <c r="I4759" t="s">
        <v>19</v>
      </c>
      <c r="J4759" t="s">
        <v>46</v>
      </c>
      <c r="L4759" t="s">
        <v>727</v>
      </c>
      <c r="M4759" t="s">
        <v>6091</v>
      </c>
      <c r="N4759" t="s">
        <v>6091</v>
      </c>
      <c r="O4759" t="s">
        <v>23</v>
      </c>
      <c r="P4759" t="s">
        <v>24</v>
      </c>
      <c r="Q4759" t="s">
        <v>2454</v>
      </c>
      <c r="R4759" t="s">
        <v>5996</v>
      </c>
    </row>
    <row r="4760" spans="1:18" x14ac:dyDescent="0.25">
      <c r="A4760" t="s">
        <v>16494</v>
      </c>
      <c r="B4760" t="s">
        <v>6123</v>
      </c>
      <c r="C4760" t="str">
        <f>HYPERLINK("https://nematode.unl.edu/helplat2.jpg")</f>
        <v>https://nematode.unl.edu/helplat2.jpg</v>
      </c>
      <c r="D4760" t="s">
        <v>43</v>
      </c>
      <c r="G4760" t="s">
        <v>34</v>
      </c>
      <c r="H4760" t="s">
        <v>18</v>
      </c>
      <c r="J4760" t="s">
        <v>46</v>
      </c>
      <c r="L4760" t="s">
        <v>105</v>
      </c>
      <c r="M4760" t="s">
        <v>6091</v>
      </c>
      <c r="N4760" t="s">
        <v>6091</v>
      </c>
      <c r="O4760" t="s">
        <v>23</v>
      </c>
      <c r="P4760" t="s">
        <v>24</v>
      </c>
      <c r="Q4760" t="s">
        <v>2454</v>
      </c>
      <c r="R4760" t="s">
        <v>5996</v>
      </c>
    </row>
    <row r="4761" spans="1:18" x14ac:dyDescent="0.25">
      <c r="A4761" t="s">
        <v>16495</v>
      </c>
      <c r="B4761" t="s">
        <v>6124</v>
      </c>
      <c r="C4761" t="str">
        <f>HYPERLINK("https://nematode.unl.edu/helplat3.jpg")</f>
        <v>https://nematode.unl.edu/helplat3.jpg</v>
      </c>
      <c r="D4761" t="s">
        <v>43</v>
      </c>
      <c r="G4761" t="s">
        <v>34</v>
      </c>
      <c r="H4761" t="s">
        <v>18</v>
      </c>
      <c r="J4761" t="s">
        <v>46</v>
      </c>
      <c r="L4761" t="s">
        <v>105</v>
      </c>
      <c r="M4761" t="s">
        <v>6091</v>
      </c>
      <c r="N4761" t="s">
        <v>6091</v>
      </c>
      <c r="O4761" t="s">
        <v>23</v>
      </c>
      <c r="P4761" t="s">
        <v>24</v>
      </c>
      <c r="Q4761" t="s">
        <v>2454</v>
      </c>
      <c r="R4761" t="s">
        <v>5996</v>
      </c>
    </row>
    <row r="4762" spans="1:18" x14ac:dyDescent="0.25">
      <c r="A4762" t="s">
        <v>16496</v>
      </c>
      <c r="B4762" t="s">
        <v>6125</v>
      </c>
      <c r="C4762" t="str">
        <f>HYPERLINK("https://nematode.unl.edu/helplat4.jpg")</f>
        <v>https://nematode.unl.edu/helplat4.jpg</v>
      </c>
      <c r="D4762" t="s">
        <v>43</v>
      </c>
      <c r="G4762" t="s">
        <v>34</v>
      </c>
      <c r="H4762" t="s">
        <v>18</v>
      </c>
      <c r="J4762" t="s">
        <v>46</v>
      </c>
      <c r="L4762" t="s">
        <v>105</v>
      </c>
      <c r="M4762" t="s">
        <v>6091</v>
      </c>
      <c r="N4762" t="s">
        <v>6091</v>
      </c>
      <c r="O4762" t="s">
        <v>23</v>
      </c>
      <c r="P4762" t="s">
        <v>24</v>
      </c>
      <c r="Q4762" t="s">
        <v>2454</v>
      </c>
      <c r="R4762" t="s">
        <v>5996</v>
      </c>
    </row>
    <row r="4763" spans="1:18" x14ac:dyDescent="0.25">
      <c r="A4763" t="s">
        <v>16521</v>
      </c>
      <c r="B4763" t="s">
        <v>6126</v>
      </c>
      <c r="C4763" t="str">
        <f>HYPERLINK("https://nematode.unl.edu/helplat5.jpg")</f>
        <v>https://nematode.unl.edu/helplat5.jpg</v>
      </c>
      <c r="D4763" t="s">
        <v>43</v>
      </c>
      <c r="G4763" t="s">
        <v>28</v>
      </c>
      <c r="J4763" t="s">
        <v>46</v>
      </c>
      <c r="L4763" t="s">
        <v>105</v>
      </c>
      <c r="M4763" t="s">
        <v>6091</v>
      </c>
      <c r="N4763" t="s">
        <v>6091</v>
      </c>
      <c r="O4763" t="s">
        <v>23</v>
      </c>
      <c r="P4763" t="s">
        <v>24</v>
      </c>
      <c r="Q4763" t="s">
        <v>2454</v>
      </c>
      <c r="R4763" t="s">
        <v>5996</v>
      </c>
    </row>
    <row r="4764" spans="1:18" x14ac:dyDescent="0.25">
      <c r="A4764" t="s">
        <v>16522</v>
      </c>
      <c r="B4764" t="s">
        <v>6127</v>
      </c>
      <c r="C4764" t="str">
        <f>HYPERLINK("https://nematode.unl.edu/helplat6.jpg")</f>
        <v>https://nematode.unl.edu/helplat6.jpg</v>
      </c>
      <c r="D4764" t="s">
        <v>43</v>
      </c>
      <c r="G4764" t="s">
        <v>28</v>
      </c>
      <c r="J4764" t="s">
        <v>46</v>
      </c>
      <c r="L4764" t="s">
        <v>727</v>
      </c>
      <c r="M4764" t="s">
        <v>6091</v>
      </c>
      <c r="N4764" t="s">
        <v>6091</v>
      </c>
      <c r="O4764" t="s">
        <v>23</v>
      </c>
      <c r="P4764" t="s">
        <v>24</v>
      </c>
      <c r="Q4764" t="s">
        <v>2454</v>
      </c>
      <c r="R4764" t="s">
        <v>5996</v>
      </c>
    </row>
    <row r="4765" spans="1:18" x14ac:dyDescent="0.25">
      <c r="A4765" t="s">
        <v>16523</v>
      </c>
      <c r="B4765" t="s">
        <v>6128</v>
      </c>
      <c r="C4765" t="str">
        <f>HYPERLINK("https://nematode.unl.edu/helplat7.jpg")</f>
        <v>https://nematode.unl.edu/helplat7.jpg</v>
      </c>
      <c r="D4765" t="s">
        <v>43</v>
      </c>
      <c r="G4765" t="s">
        <v>28</v>
      </c>
      <c r="J4765" t="s">
        <v>46</v>
      </c>
      <c r="L4765" t="s">
        <v>727</v>
      </c>
      <c r="M4765" t="s">
        <v>6091</v>
      </c>
      <c r="N4765" t="s">
        <v>6091</v>
      </c>
      <c r="O4765" t="s">
        <v>23</v>
      </c>
      <c r="P4765" t="s">
        <v>24</v>
      </c>
      <c r="Q4765" t="s">
        <v>2454</v>
      </c>
      <c r="R4765" t="s">
        <v>5996</v>
      </c>
    </row>
    <row r="4766" spans="1:18" x14ac:dyDescent="0.25">
      <c r="A4766" t="s">
        <v>16524</v>
      </c>
      <c r="B4766" t="s">
        <v>6129</v>
      </c>
      <c r="C4766" t="str">
        <f>HYPERLINK("https://nematode.unl.edu/helplat8.jpg")</f>
        <v>https://nematode.unl.edu/helplat8.jpg</v>
      </c>
      <c r="D4766" t="s">
        <v>43</v>
      </c>
      <c r="G4766" t="s">
        <v>28</v>
      </c>
      <c r="J4766" t="s">
        <v>46</v>
      </c>
      <c r="L4766" t="s">
        <v>105</v>
      </c>
      <c r="M4766" t="s">
        <v>6091</v>
      </c>
      <c r="N4766" t="s">
        <v>6091</v>
      </c>
      <c r="O4766" t="s">
        <v>23</v>
      </c>
      <c r="P4766" t="s">
        <v>24</v>
      </c>
      <c r="Q4766" t="s">
        <v>2454</v>
      </c>
      <c r="R4766" t="s">
        <v>5996</v>
      </c>
    </row>
    <row r="4767" spans="1:18" x14ac:dyDescent="0.25">
      <c r="A4767" t="s">
        <v>16505</v>
      </c>
      <c r="B4767" t="s">
        <v>6130</v>
      </c>
      <c r="C4767" t="str">
        <f>HYPERLINK("https://nematode.unl.edu/helplat9.jpg")</f>
        <v>https://nematode.unl.edu/helplat9.jpg</v>
      </c>
      <c r="D4767" t="s">
        <v>16</v>
      </c>
      <c r="G4767" t="s">
        <v>44</v>
      </c>
      <c r="I4767" t="s">
        <v>137</v>
      </c>
      <c r="J4767" t="s">
        <v>46</v>
      </c>
      <c r="L4767" t="s">
        <v>105</v>
      </c>
      <c r="M4767" t="s">
        <v>6091</v>
      </c>
      <c r="N4767" t="s">
        <v>6091</v>
      </c>
      <c r="O4767" t="s">
        <v>23</v>
      </c>
      <c r="P4767" t="s">
        <v>24</v>
      </c>
      <c r="Q4767" t="s">
        <v>2454</v>
      </c>
      <c r="R4767" t="s">
        <v>5996</v>
      </c>
    </row>
    <row r="4768" spans="1:18" x14ac:dyDescent="0.25">
      <c r="A4768" t="s">
        <v>16525</v>
      </c>
      <c r="B4768" t="s">
        <v>6131</v>
      </c>
      <c r="C4768" t="str">
        <f>HYPERLINK("https://nematode.unl.edu/helps1.jpg")</f>
        <v>https://nematode.unl.edu/helps1.jpg</v>
      </c>
      <c r="D4768" t="s">
        <v>16</v>
      </c>
      <c r="G4768" t="s">
        <v>34</v>
      </c>
      <c r="H4768" t="s">
        <v>18</v>
      </c>
      <c r="I4768" t="s">
        <v>19</v>
      </c>
      <c r="J4768" t="s">
        <v>46</v>
      </c>
      <c r="L4768" t="s">
        <v>105</v>
      </c>
      <c r="M4768" t="s">
        <v>6132</v>
      </c>
      <c r="N4768" t="s">
        <v>6132</v>
      </c>
      <c r="O4768" t="s">
        <v>23</v>
      </c>
      <c r="P4768" t="s">
        <v>24</v>
      </c>
      <c r="Q4768" t="s">
        <v>2454</v>
      </c>
      <c r="R4768" t="s">
        <v>5996</v>
      </c>
    </row>
    <row r="4769" spans="1:18" x14ac:dyDescent="0.25">
      <c r="A4769" t="s">
        <v>16540</v>
      </c>
      <c r="B4769" t="s">
        <v>6133</v>
      </c>
      <c r="C4769" t="str">
        <f>HYPERLINK("https://nematode.unl.edu/helps2.jpg")</f>
        <v>https://nematode.unl.edu/helps2.jpg</v>
      </c>
      <c r="D4769" t="s">
        <v>16</v>
      </c>
      <c r="G4769" t="s">
        <v>28</v>
      </c>
      <c r="I4769" t="s">
        <v>19</v>
      </c>
      <c r="J4769" t="s">
        <v>46</v>
      </c>
      <c r="L4769" t="s">
        <v>105</v>
      </c>
      <c r="M4769" t="s">
        <v>6132</v>
      </c>
      <c r="N4769" t="s">
        <v>6132</v>
      </c>
      <c r="O4769" t="s">
        <v>23</v>
      </c>
      <c r="P4769" t="s">
        <v>24</v>
      </c>
      <c r="Q4769" t="s">
        <v>2454</v>
      </c>
      <c r="R4769" t="s">
        <v>5996</v>
      </c>
    </row>
    <row r="4770" spans="1:18" x14ac:dyDescent="0.25">
      <c r="A4770" t="s">
        <v>16541</v>
      </c>
      <c r="B4770" t="s">
        <v>6134</v>
      </c>
      <c r="C4770" t="str">
        <f>HYPERLINK("https://nematode.unl.edu/helps3.jpg")</f>
        <v>https://nematode.unl.edu/helps3.jpg</v>
      </c>
      <c r="D4770" t="s">
        <v>16</v>
      </c>
      <c r="G4770" t="s">
        <v>28</v>
      </c>
      <c r="I4770" t="s">
        <v>19</v>
      </c>
      <c r="J4770" t="s">
        <v>46</v>
      </c>
      <c r="L4770" t="s">
        <v>105</v>
      </c>
      <c r="M4770" t="s">
        <v>6132</v>
      </c>
      <c r="N4770" t="s">
        <v>6132</v>
      </c>
      <c r="O4770" t="s">
        <v>23</v>
      </c>
      <c r="P4770" t="s">
        <v>24</v>
      </c>
      <c r="Q4770" t="s">
        <v>2454</v>
      </c>
      <c r="R4770" t="s">
        <v>5996</v>
      </c>
    </row>
    <row r="4771" spans="1:18" x14ac:dyDescent="0.25">
      <c r="A4771" t="s">
        <v>16526</v>
      </c>
      <c r="B4771" t="s">
        <v>6135</v>
      </c>
      <c r="C4771" t="str">
        <f>HYPERLINK("https://nematode.unl.edu/helpse1.jpg")</f>
        <v>https://nematode.unl.edu/helpse1.jpg</v>
      </c>
      <c r="D4771" t="s">
        <v>43</v>
      </c>
      <c r="G4771" t="s">
        <v>34</v>
      </c>
      <c r="H4771" t="s">
        <v>18</v>
      </c>
      <c r="L4771" t="s">
        <v>85</v>
      </c>
      <c r="M4771" t="s">
        <v>6132</v>
      </c>
      <c r="N4771" t="s">
        <v>6132</v>
      </c>
      <c r="O4771" t="s">
        <v>23</v>
      </c>
      <c r="P4771" t="s">
        <v>24</v>
      </c>
      <c r="Q4771" t="s">
        <v>2454</v>
      </c>
      <c r="R4771" t="s">
        <v>5996</v>
      </c>
    </row>
    <row r="4772" spans="1:18" x14ac:dyDescent="0.25">
      <c r="A4772" t="s">
        <v>16542</v>
      </c>
      <c r="B4772" t="s">
        <v>6136</v>
      </c>
      <c r="C4772" t="str">
        <f>HYPERLINK("https://nematode.unl.edu/helpse10.jpg")</f>
        <v>https://nematode.unl.edu/helpse10.jpg</v>
      </c>
      <c r="D4772" t="s">
        <v>43</v>
      </c>
      <c r="G4772" t="s">
        <v>28</v>
      </c>
      <c r="J4772" t="s">
        <v>20</v>
      </c>
      <c r="L4772" t="s">
        <v>141</v>
      </c>
      <c r="M4772" t="s">
        <v>6132</v>
      </c>
      <c r="N4772" t="s">
        <v>6132</v>
      </c>
      <c r="O4772" t="s">
        <v>23</v>
      </c>
      <c r="P4772" t="s">
        <v>24</v>
      </c>
      <c r="Q4772" t="s">
        <v>2454</v>
      </c>
      <c r="R4772" t="s">
        <v>5996</v>
      </c>
    </row>
    <row r="4773" spans="1:18" x14ac:dyDescent="0.25">
      <c r="A4773" t="s">
        <v>16527</v>
      </c>
      <c r="B4773" t="s">
        <v>6137</v>
      </c>
      <c r="C4773" t="str">
        <f>HYPERLINK("https://nematode.unl.edu/helpse11.jpg")</f>
        <v>https://nematode.unl.edu/helpse11.jpg</v>
      </c>
      <c r="D4773" t="s">
        <v>43</v>
      </c>
      <c r="G4773" t="s">
        <v>34</v>
      </c>
      <c r="H4773" t="s">
        <v>18</v>
      </c>
      <c r="M4773" t="s">
        <v>6132</v>
      </c>
      <c r="N4773" t="s">
        <v>6132</v>
      </c>
      <c r="O4773" t="s">
        <v>23</v>
      </c>
      <c r="P4773" t="s">
        <v>24</v>
      </c>
      <c r="Q4773" t="s">
        <v>2454</v>
      </c>
      <c r="R4773" t="s">
        <v>5996</v>
      </c>
    </row>
    <row r="4774" spans="1:18" x14ac:dyDescent="0.25">
      <c r="A4774" t="s">
        <v>16531</v>
      </c>
      <c r="B4774" t="s">
        <v>6138</v>
      </c>
      <c r="C4774" t="str">
        <f>HYPERLINK("https://nematode.unl.edu/helpse12.jpg")</f>
        <v>https://nematode.unl.edu/helpse12.jpg</v>
      </c>
      <c r="D4774" t="s">
        <v>16</v>
      </c>
      <c r="G4774" t="s">
        <v>44</v>
      </c>
      <c r="I4774" t="s">
        <v>45</v>
      </c>
      <c r="J4774" t="s">
        <v>6139</v>
      </c>
      <c r="L4774" t="s">
        <v>85</v>
      </c>
      <c r="M4774" t="s">
        <v>6132</v>
      </c>
      <c r="N4774" t="s">
        <v>6132</v>
      </c>
      <c r="O4774" t="s">
        <v>23</v>
      </c>
      <c r="P4774" t="s">
        <v>24</v>
      </c>
      <c r="Q4774" t="s">
        <v>2454</v>
      </c>
      <c r="R4774" t="s">
        <v>5996</v>
      </c>
    </row>
    <row r="4775" spans="1:18" x14ac:dyDescent="0.25">
      <c r="A4775" t="s">
        <v>16543</v>
      </c>
      <c r="B4775" t="s">
        <v>6140</v>
      </c>
      <c r="C4775" t="str">
        <f>HYPERLINK("https://nematode.unl.edu/helpse13.jpg")</f>
        <v>https://nematode.unl.edu/helpse13.jpg</v>
      </c>
      <c r="D4775" t="s">
        <v>16</v>
      </c>
      <c r="G4775" t="s">
        <v>28</v>
      </c>
      <c r="I4775" t="s">
        <v>19</v>
      </c>
      <c r="M4775" t="s">
        <v>6132</v>
      </c>
      <c r="N4775" t="s">
        <v>6132</v>
      </c>
      <c r="O4775" t="s">
        <v>23</v>
      </c>
      <c r="P4775" t="s">
        <v>24</v>
      </c>
      <c r="Q4775" t="s">
        <v>2454</v>
      </c>
      <c r="R4775" t="s">
        <v>5996</v>
      </c>
    </row>
    <row r="4776" spans="1:18" x14ac:dyDescent="0.25">
      <c r="A4776" t="s">
        <v>16532</v>
      </c>
      <c r="B4776" t="s">
        <v>6141</v>
      </c>
      <c r="C4776" t="str">
        <f>HYPERLINK("https://nematode.unl.edu/helpse14.jpg")</f>
        <v>https://nematode.unl.edu/helpse14.jpg</v>
      </c>
      <c r="D4776" t="s">
        <v>16</v>
      </c>
      <c r="G4776" t="s">
        <v>44</v>
      </c>
      <c r="I4776" t="s">
        <v>45</v>
      </c>
      <c r="J4776" t="s">
        <v>20</v>
      </c>
      <c r="L4776" t="s">
        <v>85</v>
      </c>
      <c r="M4776" t="s">
        <v>6132</v>
      </c>
      <c r="N4776" t="s">
        <v>6132</v>
      </c>
      <c r="O4776" t="s">
        <v>23</v>
      </c>
      <c r="P4776" t="s">
        <v>24</v>
      </c>
      <c r="Q4776" t="s">
        <v>2454</v>
      </c>
      <c r="R4776" t="s">
        <v>5996</v>
      </c>
    </row>
    <row r="4777" spans="1:18" x14ac:dyDescent="0.25">
      <c r="A4777" t="s">
        <v>16528</v>
      </c>
      <c r="B4777" t="s">
        <v>6142</v>
      </c>
      <c r="C4777" t="str">
        <f>HYPERLINK("https://nematode.unl.edu/helpse15.jpg")</f>
        <v>https://nematode.unl.edu/helpse15.jpg</v>
      </c>
      <c r="D4777" t="s">
        <v>16</v>
      </c>
      <c r="G4777" t="s">
        <v>34</v>
      </c>
      <c r="H4777" t="s">
        <v>18</v>
      </c>
      <c r="J4777" t="s">
        <v>20</v>
      </c>
      <c r="L4777" t="s">
        <v>141</v>
      </c>
      <c r="M4777" t="s">
        <v>6132</v>
      </c>
      <c r="N4777" t="s">
        <v>6132</v>
      </c>
      <c r="O4777" t="s">
        <v>23</v>
      </c>
      <c r="P4777" t="s">
        <v>24</v>
      </c>
      <c r="Q4777" t="s">
        <v>2454</v>
      </c>
      <c r="R4777" t="s">
        <v>5996</v>
      </c>
    </row>
    <row r="4778" spans="1:18" x14ac:dyDescent="0.25">
      <c r="A4778" t="s">
        <v>16533</v>
      </c>
      <c r="B4778" t="s">
        <v>6143</v>
      </c>
      <c r="C4778" t="str">
        <f>HYPERLINK("https://nematode.unl.edu/helpse16.jpg")</f>
        <v>https://nematode.unl.edu/helpse16.jpg</v>
      </c>
      <c r="D4778" t="s">
        <v>43</v>
      </c>
      <c r="G4778" t="s">
        <v>44</v>
      </c>
      <c r="I4778" t="s">
        <v>137</v>
      </c>
      <c r="J4778" t="s">
        <v>20</v>
      </c>
      <c r="L4778" t="s">
        <v>85</v>
      </c>
      <c r="M4778" t="s">
        <v>6132</v>
      </c>
      <c r="N4778" t="s">
        <v>6132</v>
      </c>
      <c r="O4778" t="s">
        <v>23</v>
      </c>
      <c r="P4778" t="s">
        <v>24</v>
      </c>
      <c r="Q4778" t="s">
        <v>2454</v>
      </c>
      <c r="R4778" t="s">
        <v>5996</v>
      </c>
    </row>
    <row r="4779" spans="1:18" x14ac:dyDescent="0.25">
      <c r="A4779" t="s">
        <v>16534</v>
      </c>
      <c r="B4779" t="s">
        <v>6144</v>
      </c>
      <c r="C4779" t="str">
        <f>HYPERLINK("https://nematode.unl.edu/helpse17.jpg")</f>
        <v>https://nematode.unl.edu/helpse17.jpg</v>
      </c>
      <c r="D4779" t="s">
        <v>43</v>
      </c>
      <c r="G4779" t="s">
        <v>44</v>
      </c>
      <c r="I4779" t="s">
        <v>45</v>
      </c>
      <c r="J4779" t="s">
        <v>20</v>
      </c>
      <c r="L4779" t="s">
        <v>85</v>
      </c>
      <c r="M4779" t="s">
        <v>6132</v>
      </c>
      <c r="N4779" t="s">
        <v>6132</v>
      </c>
      <c r="O4779" t="s">
        <v>23</v>
      </c>
      <c r="P4779" t="s">
        <v>24</v>
      </c>
      <c r="Q4779" t="s">
        <v>2454</v>
      </c>
      <c r="R4779" t="s">
        <v>5996</v>
      </c>
    </row>
    <row r="4780" spans="1:18" x14ac:dyDescent="0.25">
      <c r="A4780" t="s">
        <v>16544</v>
      </c>
      <c r="B4780" t="s">
        <v>6145</v>
      </c>
      <c r="C4780" t="str">
        <f>HYPERLINK("https://nematode.unl.edu/helpse2.jpg")</f>
        <v>https://nematode.unl.edu/helpse2.jpg</v>
      </c>
      <c r="D4780" t="s">
        <v>43</v>
      </c>
      <c r="G4780" t="s">
        <v>28</v>
      </c>
      <c r="I4780" t="s">
        <v>19</v>
      </c>
      <c r="M4780" t="s">
        <v>6132</v>
      </c>
      <c r="N4780" t="s">
        <v>6132</v>
      </c>
      <c r="O4780" t="s">
        <v>23</v>
      </c>
      <c r="P4780" t="s">
        <v>24</v>
      </c>
      <c r="Q4780" t="s">
        <v>2454</v>
      </c>
      <c r="R4780" t="s">
        <v>5996</v>
      </c>
    </row>
    <row r="4781" spans="1:18" x14ac:dyDescent="0.25">
      <c r="A4781" t="s">
        <v>16529</v>
      </c>
      <c r="B4781" t="s">
        <v>6146</v>
      </c>
      <c r="C4781" t="str">
        <f>HYPERLINK("https://nematode.unl.edu/helpse3.jpg")</f>
        <v>https://nematode.unl.edu/helpse3.jpg</v>
      </c>
      <c r="D4781" t="s">
        <v>43</v>
      </c>
      <c r="G4781" t="s">
        <v>34</v>
      </c>
      <c r="H4781" t="s">
        <v>18</v>
      </c>
      <c r="J4781" t="s">
        <v>20</v>
      </c>
      <c r="M4781" t="s">
        <v>6132</v>
      </c>
      <c r="N4781" t="s">
        <v>6132</v>
      </c>
      <c r="O4781" t="s">
        <v>23</v>
      </c>
      <c r="P4781" t="s">
        <v>24</v>
      </c>
      <c r="Q4781" t="s">
        <v>2454</v>
      </c>
      <c r="R4781" t="s">
        <v>5996</v>
      </c>
    </row>
    <row r="4782" spans="1:18" x14ac:dyDescent="0.25">
      <c r="A4782" t="s">
        <v>16535</v>
      </c>
      <c r="B4782" t="s">
        <v>6147</v>
      </c>
      <c r="C4782" t="str">
        <f>HYPERLINK("https://nematode.unl.edu/helpse5.jpg")</f>
        <v>https://nematode.unl.edu/helpse5.jpg</v>
      </c>
      <c r="D4782" t="s">
        <v>43</v>
      </c>
      <c r="G4782" t="s">
        <v>44</v>
      </c>
      <c r="I4782" t="s">
        <v>45</v>
      </c>
      <c r="J4782" t="s">
        <v>20</v>
      </c>
      <c r="L4782" t="s">
        <v>85</v>
      </c>
      <c r="M4782" t="s">
        <v>6132</v>
      </c>
      <c r="N4782" t="s">
        <v>6132</v>
      </c>
      <c r="O4782" t="s">
        <v>23</v>
      </c>
      <c r="P4782" t="s">
        <v>24</v>
      </c>
      <c r="Q4782" t="s">
        <v>2454</v>
      </c>
      <c r="R4782" t="s">
        <v>5996</v>
      </c>
    </row>
    <row r="4783" spans="1:18" x14ac:dyDescent="0.25">
      <c r="A4783" t="s">
        <v>16545</v>
      </c>
      <c r="B4783" t="s">
        <v>6148</v>
      </c>
      <c r="C4783" t="str">
        <f>HYPERLINK("https://nematode.unl.edu/helpse6.jpg")</f>
        <v>https://nematode.unl.edu/helpse6.jpg</v>
      </c>
      <c r="D4783" t="s">
        <v>43</v>
      </c>
      <c r="G4783" t="s">
        <v>28</v>
      </c>
      <c r="I4783" t="s">
        <v>19</v>
      </c>
      <c r="J4783" t="s">
        <v>20</v>
      </c>
      <c r="L4783" t="s">
        <v>85</v>
      </c>
      <c r="M4783" t="s">
        <v>6132</v>
      </c>
      <c r="N4783" t="s">
        <v>6132</v>
      </c>
      <c r="O4783" t="s">
        <v>23</v>
      </c>
      <c r="P4783" t="s">
        <v>24</v>
      </c>
      <c r="Q4783" t="s">
        <v>2454</v>
      </c>
      <c r="R4783" t="s">
        <v>5996</v>
      </c>
    </row>
    <row r="4784" spans="1:18" x14ac:dyDescent="0.25">
      <c r="A4784" t="s">
        <v>16530</v>
      </c>
      <c r="B4784" t="s">
        <v>6149</v>
      </c>
      <c r="C4784" t="str">
        <f>HYPERLINK("https://nematode.unl.edu/helpse7.jpg")</f>
        <v>https://nematode.unl.edu/helpse7.jpg</v>
      </c>
      <c r="D4784" t="s">
        <v>43</v>
      </c>
      <c r="G4784" t="s">
        <v>34</v>
      </c>
      <c r="H4784" t="s">
        <v>18</v>
      </c>
      <c r="J4784" t="s">
        <v>20</v>
      </c>
      <c r="M4784" t="s">
        <v>6132</v>
      </c>
      <c r="N4784" t="s">
        <v>6132</v>
      </c>
      <c r="O4784" t="s">
        <v>23</v>
      </c>
      <c r="P4784" t="s">
        <v>24</v>
      </c>
      <c r="Q4784" t="s">
        <v>2454</v>
      </c>
      <c r="R4784" t="s">
        <v>5996</v>
      </c>
    </row>
    <row r="4785" spans="1:18" x14ac:dyDescent="0.25">
      <c r="A4785" t="s">
        <v>16546</v>
      </c>
      <c r="B4785" t="s">
        <v>6150</v>
      </c>
      <c r="C4785" t="str">
        <f>HYPERLINK("https://nematode.unl.edu/helpse8.jpg")</f>
        <v>https://nematode.unl.edu/helpse8.jpg</v>
      </c>
      <c r="D4785" t="s">
        <v>43</v>
      </c>
      <c r="G4785" t="s">
        <v>28</v>
      </c>
      <c r="I4785" t="s">
        <v>19</v>
      </c>
      <c r="J4785" t="s">
        <v>20</v>
      </c>
      <c r="M4785" t="s">
        <v>6132</v>
      </c>
      <c r="N4785" t="s">
        <v>6132</v>
      </c>
      <c r="O4785" t="s">
        <v>23</v>
      </c>
      <c r="P4785" t="s">
        <v>24</v>
      </c>
      <c r="Q4785" t="s">
        <v>2454</v>
      </c>
      <c r="R4785" t="s">
        <v>5996</v>
      </c>
    </row>
    <row r="4786" spans="1:18" x14ac:dyDescent="0.25">
      <c r="A4786" t="s">
        <v>16547</v>
      </c>
      <c r="B4786" t="s">
        <v>6151</v>
      </c>
      <c r="C4786" t="str">
        <f>HYPERLINK("https://nematode.unl.edu/helpse9.jpg")</f>
        <v>https://nematode.unl.edu/helpse9.jpg</v>
      </c>
      <c r="D4786" t="s">
        <v>43</v>
      </c>
      <c r="G4786" t="s">
        <v>28</v>
      </c>
      <c r="I4786" t="s">
        <v>19</v>
      </c>
      <c r="J4786" t="s">
        <v>20</v>
      </c>
      <c r="M4786" t="s">
        <v>6132</v>
      </c>
      <c r="N4786" t="s">
        <v>6132</v>
      </c>
      <c r="O4786" t="s">
        <v>23</v>
      </c>
      <c r="P4786" t="s">
        <v>24</v>
      </c>
      <c r="Q4786" t="s">
        <v>2454</v>
      </c>
      <c r="R4786" t="s">
        <v>5996</v>
      </c>
    </row>
    <row r="4787" spans="1:18" x14ac:dyDescent="0.25">
      <c r="A4787" t="s">
        <v>16538</v>
      </c>
      <c r="B4787" t="s">
        <v>6152</v>
      </c>
      <c r="C4787" t="str">
        <f>HYPERLINK("https://nematode.unl.edu/helpsecmp.jpg")</f>
        <v>https://nematode.unl.edu/helpsecmp.jpg</v>
      </c>
      <c r="G4787" t="s">
        <v>108</v>
      </c>
      <c r="M4787" t="s">
        <v>6132</v>
      </c>
      <c r="N4787" t="s">
        <v>6132</v>
      </c>
      <c r="O4787" t="s">
        <v>23</v>
      </c>
      <c r="P4787" t="s">
        <v>24</v>
      </c>
      <c r="Q4787" t="s">
        <v>2454</v>
      </c>
      <c r="R4787" t="s">
        <v>5996</v>
      </c>
    </row>
    <row r="4788" spans="1:18" x14ac:dyDescent="0.25">
      <c r="A4788" t="s">
        <v>16081</v>
      </c>
      <c r="B4788" t="s">
        <v>6158</v>
      </c>
      <c r="C4788" t="str">
        <f>HYPERLINK("https://nematode.unl.edu/hemicagw1.jpg")</f>
        <v>https://nematode.unl.edu/hemicagw1.jpg</v>
      </c>
      <c r="D4788" t="s">
        <v>43</v>
      </c>
      <c r="G4788" t="s">
        <v>44</v>
      </c>
      <c r="I4788" t="s">
        <v>45</v>
      </c>
      <c r="J4788" t="s">
        <v>6159</v>
      </c>
      <c r="L4788" t="s">
        <v>6160</v>
      </c>
      <c r="M4788" t="s">
        <v>6161</v>
      </c>
      <c r="N4788" t="s">
        <v>6161</v>
      </c>
      <c r="O4788" t="s">
        <v>23</v>
      </c>
      <c r="P4788" t="s">
        <v>24</v>
      </c>
      <c r="Q4788" t="s">
        <v>6162</v>
      </c>
      <c r="R4788" t="s">
        <v>6161</v>
      </c>
    </row>
    <row r="4789" spans="1:18" x14ac:dyDescent="0.25">
      <c r="A4789" t="s">
        <v>16082</v>
      </c>
      <c r="B4789" t="s">
        <v>6163</v>
      </c>
      <c r="C4789" t="str">
        <f>HYPERLINK("https://nematode.unl.edu/hemicagw2.jpg")</f>
        <v>https://nematode.unl.edu/hemicagw2.jpg</v>
      </c>
      <c r="D4789" t="s">
        <v>43</v>
      </c>
      <c r="G4789" t="s">
        <v>44</v>
      </c>
      <c r="I4789" t="s">
        <v>19</v>
      </c>
      <c r="J4789" t="s">
        <v>6159</v>
      </c>
      <c r="L4789" t="s">
        <v>6164</v>
      </c>
      <c r="M4789" t="s">
        <v>6161</v>
      </c>
      <c r="N4789" t="s">
        <v>6161</v>
      </c>
      <c r="O4789" t="s">
        <v>23</v>
      </c>
      <c r="P4789" t="s">
        <v>24</v>
      </c>
      <c r="Q4789" t="s">
        <v>6162</v>
      </c>
      <c r="R4789" t="s">
        <v>6161</v>
      </c>
    </row>
    <row r="4790" spans="1:18" x14ac:dyDescent="0.25">
      <c r="A4790" t="s">
        <v>16077</v>
      </c>
      <c r="B4790" t="s">
        <v>6165</v>
      </c>
      <c r="C4790" t="str">
        <f>HYPERLINK("https://nematode.unl.edu/hemicagw3.jpg")</f>
        <v>https://nematode.unl.edu/hemicagw3.jpg</v>
      </c>
      <c r="D4790" t="s">
        <v>43</v>
      </c>
      <c r="G4790" t="s">
        <v>34</v>
      </c>
      <c r="H4790" t="s">
        <v>18</v>
      </c>
      <c r="I4790" t="s">
        <v>19</v>
      </c>
      <c r="M4790" t="s">
        <v>6161</v>
      </c>
      <c r="N4790" t="s">
        <v>6161</v>
      </c>
      <c r="O4790" t="s">
        <v>23</v>
      </c>
      <c r="P4790" t="s">
        <v>24</v>
      </c>
      <c r="Q4790" t="s">
        <v>6162</v>
      </c>
      <c r="R4790" t="s">
        <v>6161</v>
      </c>
    </row>
    <row r="4791" spans="1:18" x14ac:dyDescent="0.25">
      <c r="A4791" t="s">
        <v>16088</v>
      </c>
      <c r="B4791" t="s">
        <v>6166</v>
      </c>
      <c r="C4791" t="str">
        <f>HYPERLINK("https://nematode.unl.edu/hemicagw4.jpg")</f>
        <v>https://nematode.unl.edu/hemicagw4.jpg</v>
      </c>
      <c r="D4791" t="s">
        <v>43</v>
      </c>
      <c r="G4791" t="s">
        <v>28</v>
      </c>
      <c r="I4791" t="s">
        <v>516</v>
      </c>
      <c r="J4791" t="s">
        <v>6159</v>
      </c>
      <c r="L4791" t="s">
        <v>6164</v>
      </c>
      <c r="M4791" t="s">
        <v>6161</v>
      </c>
      <c r="N4791" t="s">
        <v>6161</v>
      </c>
      <c r="O4791" t="s">
        <v>23</v>
      </c>
      <c r="P4791" t="s">
        <v>24</v>
      </c>
      <c r="Q4791" t="s">
        <v>6162</v>
      </c>
      <c r="R4791" t="s">
        <v>6161</v>
      </c>
    </row>
    <row r="4792" spans="1:18" x14ac:dyDescent="0.25">
      <c r="A4792" t="s">
        <v>16086</v>
      </c>
      <c r="B4792" t="s">
        <v>6167</v>
      </c>
      <c r="C4792" t="str">
        <f>HYPERLINK("https://nematode.unl.edu/hemicagw5.jpg")</f>
        <v>https://nematode.unl.edu/hemicagw5.jpg</v>
      </c>
      <c r="D4792" t="s">
        <v>43</v>
      </c>
      <c r="G4792" t="s">
        <v>53</v>
      </c>
      <c r="I4792" t="s">
        <v>19</v>
      </c>
      <c r="J4792" t="s">
        <v>2572</v>
      </c>
      <c r="M4792" t="s">
        <v>6161</v>
      </c>
      <c r="N4792" t="s">
        <v>6161</v>
      </c>
      <c r="O4792" t="s">
        <v>23</v>
      </c>
      <c r="P4792" t="s">
        <v>24</v>
      </c>
      <c r="Q4792" t="s">
        <v>6162</v>
      </c>
      <c r="R4792" t="s">
        <v>6161</v>
      </c>
    </row>
    <row r="4793" spans="1:18" x14ac:dyDescent="0.25">
      <c r="A4793" t="s">
        <v>16083</v>
      </c>
      <c r="B4793" t="s">
        <v>6168</v>
      </c>
      <c r="C4793" t="str">
        <f>HYPERLINK("https://nematode.unl.edu/hemicalsp1.jpg")</f>
        <v>https://nematode.unl.edu/hemicalsp1.jpg</v>
      </c>
      <c r="D4793" t="s">
        <v>16</v>
      </c>
      <c r="G4793" t="s">
        <v>44</v>
      </c>
      <c r="I4793" t="s">
        <v>45</v>
      </c>
      <c r="J4793" t="s">
        <v>6169</v>
      </c>
      <c r="L4793" t="s">
        <v>6170</v>
      </c>
      <c r="M4793" t="s">
        <v>6161</v>
      </c>
      <c r="N4793" t="s">
        <v>6161</v>
      </c>
      <c r="O4793" t="s">
        <v>23</v>
      </c>
      <c r="P4793" t="s">
        <v>24</v>
      </c>
      <c r="Q4793" t="s">
        <v>6162</v>
      </c>
      <c r="R4793" t="s">
        <v>6161</v>
      </c>
    </row>
    <row r="4794" spans="1:18" x14ac:dyDescent="0.25">
      <c r="A4794" t="s">
        <v>16084</v>
      </c>
      <c r="B4794" t="s">
        <v>6171</v>
      </c>
      <c r="C4794" t="str">
        <f>HYPERLINK("https://nematode.unl.edu/hemicalsp2.jpg")</f>
        <v>https://nematode.unl.edu/hemicalsp2.jpg</v>
      </c>
      <c r="D4794" t="s">
        <v>16</v>
      </c>
      <c r="G4794" t="s">
        <v>44</v>
      </c>
      <c r="I4794" t="s">
        <v>516</v>
      </c>
      <c r="J4794" t="s">
        <v>6169</v>
      </c>
      <c r="L4794" t="s">
        <v>6170</v>
      </c>
      <c r="M4794" t="s">
        <v>6161</v>
      </c>
      <c r="N4794" t="s">
        <v>6161</v>
      </c>
      <c r="O4794" t="s">
        <v>23</v>
      </c>
      <c r="P4794" t="s">
        <v>24</v>
      </c>
      <c r="Q4794" t="s">
        <v>6162</v>
      </c>
      <c r="R4794" t="s">
        <v>6161</v>
      </c>
    </row>
    <row r="4795" spans="1:18" x14ac:dyDescent="0.25">
      <c r="A4795" t="s">
        <v>16078</v>
      </c>
      <c r="B4795" t="s">
        <v>6172</v>
      </c>
      <c r="C4795" t="str">
        <f>HYPERLINK("https://nematode.unl.edu/hemicalsp3.jpg")</f>
        <v>https://nematode.unl.edu/hemicalsp3.jpg</v>
      </c>
      <c r="D4795" t="s">
        <v>16</v>
      </c>
      <c r="G4795" t="s">
        <v>34</v>
      </c>
      <c r="H4795" t="s">
        <v>18</v>
      </c>
      <c r="I4795" t="s">
        <v>19</v>
      </c>
      <c r="J4795" t="s">
        <v>4543</v>
      </c>
      <c r="M4795" t="s">
        <v>6161</v>
      </c>
      <c r="N4795" t="s">
        <v>6161</v>
      </c>
      <c r="O4795" t="s">
        <v>23</v>
      </c>
      <c r="P4795" t="s">
        <v>24</v>
      </c>
      <c r="Q4795" t="s">
        <v>6162</v>
      </c>
      <c r="R4795" t="s">
        <v>6161</v>
      </c>
    </row>
    <row r="4796" spans="1:18" x14ac:dyDescent="0.25">
      <c r="A4796" t="s">
        <v>16087</v>
      </c>
      <c r="B4796" t="s">
        <v>6173</v>
      </c>
      <c r="C4796" t="str">
        <f>HYPERLINK("https://nematode.unl.edu/hemicalsp4.jpg")</f>
        <v>https://nematode.unl.edu/hemicalsp4.jpg</v>
      </c>
      <c r="D4796" t="s">
        <v>16</v>
      </c>
      <c r="G4796" t="s">
        <v>53</v>
      </c>
      <c r="I4796" t="s">
        <v>19</v>
      </c>
      <c r="J4796" t="s">
        <v>4543</v>
      </c>
      <c r="M4796" t="s">
        <v>6161</v>
      </c>
      <c r="N4796" t="s">
        <v>6161</v>
      </c>
      <c r="O4796" t="s">
        <v>23</v>
      </c>
      <c r="P4796" t="s">
        <v>24</v>
      </c>
      <c r="Q4796" t="s">
        <v>6162</v>
      </c>
      <c r="R4796" t="s">
        <v>6161</v>
      </c>
    </row>
    <row r="4797" spans="1:18" x14ac:dyDescent="0.25">
      <c r="A4797" t="s">
        <v>16079</v>
      </c>
      <c r="B4797" t="s">
        <v>6174</v>
      </c>
      <c r="C4797" t="str">
        <f>HYPERLINK("https://nematode.unl.edu/hemicalsp5.jpg")</f>
        <v>https://nematode.unl.edu/hemicalsp5.jpg</v>
      </c>
      <c r="D4797" t="s">
        <v>16</v>
      </c>
      <c r="G4797" t="s">
        <v>34</v>
      </c>
      <c r="H4797" t="s">
        <v>18</v>
      </c>
      <c r="I4797" t="s">
        <v>41</v>
      </c>
      <c r="J4797" t="s">
        <v>4543</v>
      </c>
      <c r="M4797" t="s">
        <v>6161</v>
      </c>
      <c r="N4797" t="s">
        <v>6161</v>
      </c>
      <c r="O4797" t="s">
        <v>23</v>
      </c>
      <c r="P4797" t="s">
        <v>24</v>
      </c>
      <c r="Q4797" t="s">
        <v>6162</v>
      </c>
      <c r="R4797" t="s">
        <v>6161</v>
      </c>
    </row>
    <row r="4798" spans="1:18" x14ac:dyDescent="0.25">
      <c r="A4798" t="s">
        <v>16085</v>
      </c>
      <c r="B4798" t="s">
        <v>6175</v>
      </c>
      <c r="C4798" t="str">
        <f>HYPERLINK("https://nematode.unl.edu/hemicalsp6.jpg")</f>
        <v>https://nematode.unl.edu/hemicalsp6.jpg</v>
      </c>
      <c r="D4798" t="s">
        <v>16</v>
      </c>
      <c r="G4798" t="s">
        <v>44</v>
      </c>
      <c r="I4798" t="s">
        <v>516</v>
      </c>
      <c r="J4798" t="s">
        <v>6169</v>
      </c>
      <c r="L4798" t="s">
        <v>6170</v>
      </c>
      <c r="M4798" t="s">
        <v>6161</v>
      </c>
      <c r="N4798" t="s">
        <v>6161</v>
      </c>
      <c r="O4798" t="s">
        <v>23</v>
      </c>
      <c r="P4798" t="s">
        <v>24</v>
      </c>
      <c r="Q4798" t="s">
        <v>6162</v>
      </c>
      <c r="R4798" t="s">
        <v>6161</v>
      </c>
    </row>
    <row r="4799" spans="1:18" x14ac:dyDescent="0.25">
      <c r="A4799" t="s">
        <v>16080</v>
      </c>
      <c r="B4799" t="s">
        <v>6176</v>
      </c>
      <c r="C4799" t="str">
        <f>HYPERLINK("https://nematode.unl.edu/hemicalsp7.jpg")</f>
        <v>https://nematode.unl.edu/hemicalsp7.jpg</v>
      </c>
      <c r="D4799" t="s">
        <v>16</v>
      </c>
      <c r="G4799" t="s">
        <v>34</v>
      </c>
      <c r="H4799" t="s">
        <v>18</v>
      </c>
      <c r="I4799" t="s">
        <v>41</v>
      </c>
      <c r="J4799" t="s">
        <v>4543</v>
      </c>
      <c r="M4799" t="s">
        <v>6161</v>
      </c>
      <c r="N4799" t="s">
        <v>6161</v>
      </c>
      <c r="O4799" t="s">
        <v>23</v>
      </c>
      <c r="P4799" t="s">
        <v>24</v>
      </c>
      <c r="Q4799" t="s">
        <v>6162</v>
      </c>
      <c r="R4799" t="s">
        <v>6161</v>
      </c>
    </row>
    <row r="4800" spans="1:18" x14ac:dyDescent="0.25">
      <c r="A4800" t="s">
        <v>16089</v>
      </c>
      <c r="B4800" t="s">
        <v>6177</v>
      </c>
      <c r="C4800" t="str">
        <f>HYPERLINK("https://nematode.unl.edu/hemicalsp8.jpg")</f>
        <v>https://nematode.unl.edu/hemicalsp8.jpg</v>
      </c>
      <c r="D4800" t="s">
        <v>16</v>
      </c>
      <c r="G4800" t="s">
        <v>28</v>
      </c>
      <c r="I4800" t="s">
        <v>41</v>
      </c>
      <c r="J4800" t="s">
        <v>4543</v>
      </c>
      <c r="M4800" t="s">
        <v>6161</v>
      </c>
      <c r="N4800" t="s">
        <v>6161</v>
      </c>
      <c r="O4800" t="s">
        <v>23</v>
      </c>
      <c r="P4800" t="s">
        <v>24</v>
      </c>
      <c r="Q4800" t="s">
        <v>6162</v>
      </c>
      <c r="R4800" t="s">
        <v>6161</v>
      </c>
    </row>
    <row r="4801" spans="1:18" x14ac:dyDescent="0.25">
      <c r="A4801" t="s">
        <v>16090</v>
      </c>
      <c r="B4801" t="s">
        <v>6178</v>
      </c>
      <c r="C4801" t="str">
        <f>HYPERLINK("https://nematode.unl.edu/hemicalsp9.jpg")</f>
        <v>https://nematode.unl.edu/hemicalsp9.jpg</v>
      </c>
      <c r="D4801" t="s">
        <v>16</v>
      </c>
      <c r="G4801" t="s">
        <v>28</v>
      </c>
      <c r="I4801" t="s">
        <v>41</v>
      </c>
      <c r="J4801" t="s">
        <v>4543</v>
      </c>
      <c r="M4801" t="s">
        <v>6161</v>
      </c>
      <c r="N4801" t="s">
        <v>6161</v>
      </c>
      <c r="O4801" t="s">
        <v>23</v>
      </c>
      <c r="P4801" t="s">
        <v>24</v>
      </c>
      <c r="Q4801" t="s">
        <v>6162</v>
      </c>
      <c r="R4801" t="s">
        <v>6161</v>
      </c>
    </row>
    <row r="4802" spans="1:18" x14ac:dyDescent="0.25">
      <c r="A4802" t="s">
        <v>13936</v>
      </c>
      <c r="B4802" t="s">
        <v>6179</v>
      </c>
      <c r="C4802" t="str">
        <f>HYPERLINK("https://nematode.unl.edu/hemicraf1.jpg")</f>
        <v>https://nematode.unl.edu/hemicraf1.jpg</v>
      </c>
      <c r="D4802" t="s">
        <v>43</v>
      </c>
      <c r="G4802" t="s">
        <v>44</v>
      </c>
      <c r="I4802" t="s">
        <v>19</v>
      </c>
      <c r="J4802" t="s">
        <v>6180</v>
      </c>
      <c r="K4802" t="s">
        <v>22848</v>
      </c>
      <c r="L4802" t="s">
        <v>6181</v>
      </c>
      <c r="M4802" t="s">
        <v>6182</v>
      </c>
      <c r="N4802" t="s">
        <v>6182</v>
      </c>
      <c r="O4802" t="s">
        <v>23</v>
      </c>
      <c r="P4802" t="s">
        <v>24</v>
      </c>
      <c r="Q4802" t="s">
        <v>642</v>
      </c>
      <c r="R4802" t="s">
        <v>6183</v>
      </c>
    </row>
    <row r="4803" spans="1:18" x14ac:dyDescent="0.25">
      <c r="A4803" t="s">
        <v>13933</v>
      </c>
      <c r="B4803" t="s">
        <v>6184</v>
      </c>
      <c r="C4803" t="str">
        <f>HYPERLINK("https://nematode.unl.edu/hemicraf2.jpg")</f>
        <v>https://nematode.unl.edu/hemicraf2.jpg</v>
      </c>
      <c r="D4803" t="s">
        <v>43</v>
      </c>
      <c r="G4803" t="s">
        <v>34</v>
      </c>
      <c r="H4803" t="s">
        <v>18</v>
      </c>
      <c r="I4803" t="s">
        <v>41</v>
      </c>
      <c r="J4803" t="s">
        <v>4654</v>
      </c>
      <c r="M4803" t="s">
        <v>6182</v>
      </c>
      <c r="N4803" t="s">
        <v>6182</v>
      </c>
      <c r="O4803" t="s">
        <v>23</v>
      </c>
      <c r="P4803" t="s">
        <v>24</v>
      </c>
      <c r="Q4803" t="s">
        <v>642</v>
      </c>
      <c r="R4803" t="s">
        <v>6183</v>
      </c>
    </row>
    <row r="4804" spans="1:18" x14ac:dyDescent="0.25">
      <c r="A4804" t="s">
        <v>13945</v>
      </c>
      <c r="B4804" t="s">
        <v>6185</v>
      </c>
      <c r="C4804" t="str">
        <f>HYPERLINK("https://nematode.unl.edu/hemicraf3.jpg")</f>
        <v>https://nematode.unl.edu/hemicraf3.jpg</v>
      </c>
      <c r="D4804" t="s">
        <v>43</v>
      </c>
      <c r="G4804" t="s">
        <v>28</v>
      </c>
      <c r="I4804" t="s">
        <v>41</v>
      </c>
      <c r="J4804" t="s">
        <v>4654</v>
      </c>
      <c r="M4804" t="s">
        <v>6182</v>
      </c>
      <c r="N4804" t="s">
        <v>6182</v>
      </c>
      <c r="O4804" t="s">
        <v>23</v>
      </c>
      <c r="P4804" t="s">
        <v>24</v>
      </c>
      <c r="Q4804" t="s">
        <v>642</v>
      </c>
      <c r="R4804" t="s">
        <v>6183</v>
      </c>
    </row>
    <row r="4805" spans="1:18" x14ac:dyDescent="0.25">
      <c r="A4805" t="s">
        <v>13940</v>
      </c>
      <c r="B4805" t="s">
        <v>6186</v>
      </c>
      <c r="C4805" t="str">
        <f>HYPERLINK("https://nematode.unl.edu/hemicraf4.jpg")</f>
        <v>https://nematode.unl.edu/hemicraf4.jpg</v>
      </c>
      <c r="D4805" t="s">
        <v>43</v>
      </c>
      <c r="G4805" t="s">
        <v>224</v>
      </c>
      <c r="J4805" t="s">
        <v>4654</v>
      </c>
      <c r="M4805" t="s">
        <v>6182</v>
      </c>
      <c r="N4805" t="s">
        <v>6182</v>
      </c>
      <c r="O4805" t="s">
        <v>23</v>
      </c>
      <c r="P4805" t="s">
        <v>24</v>
      </c>
      <c r="Q4805" t="s">
        <v>642</v>
      </c>
      <c r="R4805" t="s">
        <v>6183</v>
      </c>
    </row>
    <row r="4806" spans="1:18" x14ac:dyDescent="0.25">
      <c r="A4806" t="s">
        <v>13937</v>
      </c>
      <c r="B4806" t="s">
        <v>6187</v>
      </c>
      <c r="C4806" t="str">
        <f>HYPERLINK("https://nematode.unl.edu/hemicriche1.jpg")</f>
        <v>https://nematode.unl.edu/hemicriche1.jpg</v>
      </c>
      <c r="D4806" t="s">
        <v>43</v>
      </c>
      <c r="G4806" t="s">
        <v>44</v>
      </c>
      <c r="I4806" t="s">
        <v>19</v>
      </c>
      <c r="J4806" t="s">
        <v>6188</v>
      </c>
      <c r="L4806" t="s">
        <v>6189</v>
      </c>
      <c r="M4806" t="s">
        <v>6182</v>
      </c>
      <c r="N4806" t="s">
        <v>6182</v>
      </c>
      <c r="O4806" t="s">
        <v>23</v>
      </c>
      <c r="P4806" t="s">
        <v>24</v>
      </c>
      <c r="Q4806" t="s">
        <v>642</v>
      </c>
      <c r="R4806" t="s">
        <v>6183</v>
      </c>
    </row>
    <row r="4807" spans="1:18" x14ac:dyDescent="0.25">
      <c r="A4807" t="s">
        <v>13934</v>
      </c>
      <c r="B4807" t="s">
        <v>6190</v>
      </c>
      <c r="C4807" t="str">
        <f>HYPERLINK("https://nematode.unl.edu/hemicriche2.jpg")</f>
        <v>https://nematode.unl.edu/hemicriche2.jpg</v>
      </c>
      <c r="D4807" t="s">
        <v>43</v>
      </c>
      <c r="G4807" t="s">
        <v>34</v>
      </c>
      <c r="H4807" t="s">
        <v>18</v>
      </c>
      <c r="I4807" t="s">
        <v>41</v>
      </c>
      <c r="J4807" t="s">
        <v>4654</v>
      </c>
      <c r="M4807" t="s">
        <v>6182</v>
      </c>
      <c r="N4807" t="s">
        <v>6182</v>
      </c>
      <c r="O4807" t="s">
        <v>23</v>
      </c>
      <c r="P4807" t="s">
        <v>24</v>
      </c>
      <c r="Q4807" t="s">
        <v>642</v>
      </c>
      <c r="R4807" t="s">
        <v>6183</v>
      </c>
    </row>
    <row r="4808" spans="1:18" x14ac:dyDescent="0.25">
      <c r="A4808" t="s">
        <v>13946</v>
      </c>
      <c r="B4808" t="s">
        <v>6191</v>
      </c>
      <c r="C4808" t="str">
        <f>HYPERLINK("https://nematode.unl.edu/hemicriche3.jpg")</f>
        <v>https://nematode.unl.edu/hemicriche3.jpg</v>
      </c>
      <c r="D4808" t="s">
        <v>43</v>
      </c>
      <c r="G4808" t="s">
        <v>28</v>
      </c>
      <c r="I4808" t="s">
        <v>41</v>
      </c>
      <c r="J4808" t="s">
        <v>4654</v>
      </c>
      <c r="M4808" t="s">
        <v>6182</v>
      </c>
      <c r="N4808" t="s">
        <v>6182</v>
      </c>
      <c r="O4808" t="s">
        <v>23</v>
      </c>
      <c r="P4808" t="s">
        <v>24</v>
      </c>
      <c r="Q4808" t="s">
        <v>642</v>
      </c>
      <c r="R4808" t="s">
        <v>6183</v>
      </c>
    </row>
    <row r="4809" spans="1:18" x14ac:dyDescent="0.25">
      <c r="A4809" t="s">
        <v>13938</v>
      </c>
      <c r="B4809" t="s">
        <v>6192</v>
      </c>
      <c r="C4809" t="str">
        <f>HYPERLINK("https://nematode.unl.edu/hemicriche4.jpg")</f>
        <v>https://nematode.unl.edu/hemicriche4.jpg</v>
      </c>
      <c r="D4809" t="s">
        <v>16</v>
      </c>
      <c r="G4809" t="s">
        <v>44</v>
      </c>
      <c r="I4809" t="s">
        <v>19</v>
      </c>
      <c r="J4809" t="s">
        <v>6188</v>
      </c>
      <c r="L4809" t="s">
        <v>6189</v>
      </c>
      <c r="M4809" t="s">
        <v>6182</v>
      </c>
      <c r="N4809" t="s">
        <v>6182</v>
      </c>
      <c r="O4809" t="s">
        <v>23</v>
      </c>
      <c r="P4809" t="s">
        <v>24</v>
      </c>
      <c r="Q4809" t="s">
        <v>642</v>
      </c>
      <c r="R4809" t="s">
        <v>6183</v>
      </c>
    </row>
    <row r="4810" spans="1:18" x14ac:dyDescent="0.25">
      <c r="A4810" t="s">
        <v>13941</v>
      </c>
      <c r="B4810" t="s">
        <v>6193</v>
      </c>
      <c r="C4810" t="str">
        <f>HYPERLINK("https://nematode.unl.edu/hemicriche5.jpg")</f>
        <v>https://nematode.unl.edu/hemicriche5.jpg</v>
      </c>
      <c r="D4810" t="s">
        <v>16</v>
      </c>
      <c r="G4810" t="s">
        <v>224</v>
      </c>
      <c r="I4810" t="s">
        <v>19</v>
      </c>
      <c r="J4810" t="s">
        <v>4654</v>
      </c>
      <c r="M4810" t="s">
        <v>6182</v>
      </c>
      <c r="N4810" t="s">
        <v>6182</v>
      </c>
      <c r="O4810" t="s">
        <v>23</v>
      </c>
      <c r="P4810" t="s">
        <v>24</v>
      </c>
      <c r="Q4810" t="s">
        <v>642</v>
      </c>
      <c r="R4810" t="s">
        <v>6183</v>
      </c>
    </row>
    <row r="4811" spans="1:18" x14ac:dyDescent="0.25">
      <c r="A4811" t="s">
        <v>13931</v>
      </c>
      <c r="B4811" t="s">
        <v>6194</v>
      </c>
      <c r="C4811" t="str">
        <f>HYPERLINK("https://nematode.unl.edu/hemicriche6.jpg")</f>
        <v>https://nematode.unl.edu/hemicriche6.jpg</v>
      </c>
      <c r="D4811" t="s">
        <v>16</v>
      </c>
      <c r="G4811" t="s">
        <v>96</v>
      </c>
      <c r="H4811" t="s">
        <v>18</v>
      </c>
      <c r="I4811" t="s">
        <v>41</v>
      </c>
      <c r="J4811" t="s">
        <v>4654</v>
      </c>
      <c r="M4811" t="s">
        <v>6182</v>
      </c>
      <c r="N4811" t="s">
        <v>6182</v>
      </c>
      <c r="O4811" t="s">
        <v>23</v>
      </c>
      <c r="P4811" t="s">
        <v>24</v>
      </c>
      <c r="Q4811" t="s">
        <v>642</v>
      </c>
      <c r="R4811" t="s">
        <v>6183</v>
      </c>
    </row>
    <row r="4812" spans="1:18" x14ac:dyDescent="0.25">
      <c r="A4812" t="s">
        <v>13947</v>
      </c>
      <c r="B4812" t="s">
        <v>6195</v>
      </c>
      <c r="C4812" t="str">
        <f>HYPERLINK("https://nematode.unl.edu/hemicriche7.jpg")</f>
        <v>https://nematode.unl.edu/hemicriche7.jpg</v>
      </c>
      <c r="D4812" t="s">
        <v>16</v>
      </c>
      <c r="G4812" t="s">
        <v>28</v>
      </c>
      <c r="I4812" t="s">
        <v>41</v>
      </c>
      <c r="J4812" t="s">
        <v>4654</v>
      </c>
      <c r="M4812" t="s">
        <v>6182</v>
      </c>
      <c r="N4812" t="s">
        <v>6182</v>
      </c>
      <c r="O4812" t="s">
        <v>23</v>
      </c>
      <c r="P4812" t="s">
        <v>24</v>
      </c>
      <c r="Q4812" t="s">
        <v>642</v>
      </c>
      <c r="R4812" t="s">
        <v>6183</v>
      </c>
    </row>
    <row r="4813" spans="1:18" x14ac:dyDescent="0.25">
      <c r="A4813" t="s">
        <v>13942</v>
      </c>
      <c r="B4813" t="s">
        <v>6196</v>
      </c>
      <c r="C4813" t="str">
        <f>HYPERLINK("https://nematode.unl.edu/hemicriche8.jpg")</f>
        <v>https://nematode.unl.edu/hemicriche8.jpg</v>
      </c>
      <c r="D4813" t="s">
        <v>16</v>
      </c>
      <c r="G4813" t="s">
        <v>224</v>
      </c>
      <c r="I4813" t="s">
        <v>41</v>
      </c>
      <c r="J4813" t="s">
        <v>4654</v>
      </c>
      <c r="M4813" t="s">
        <v>6182</v>
      </c>
      <c r="N4813" t="s">
        <v>6182</v>
      </c>
      <c r="O4813" t="s">
        <v>23</v>
      </c>
      <c r="P4813" t="s">
        <v>24</v>
      </c>
      <c r="Q4813" t="s">
        <v>642</v>
      </c>
      <c r="R4813" t="s">
        <v>6183</v>
      </c>
    </row>
    <row r="4814" spans="1:18" x14ac:dyDescent="0.25">
      <c r="A4814" t="s">
        <v>13932</v>
      </c>
      <c r="B4814" t="s">
        <v>6197</v>
      </c>
      <c r="C4814" t="str">
        <f>HYPERLINK("https://nematode.unl.edu/hemicriche9.jpg")</f>
        <v>https://nematode.unl.edu/hemicriche9.jpg</v>
      </c>
      <c r="D4814" t="s">
        <v>16</v>
      </c>
      <c r="G4814" t="s">
        <v>96</v>
      </c>
      <c r="H4814" t="s">
        <v>18</v>
      </c>
      <c r="I4814" t="s">
        <v>41</v>
      </c>
      <c r="J4814" t="s">
        <v>4654</v>
      </c>
      <c r="M4814" t="s">
        <v>6182</v>
      </c>
      <c r="N4814" t="s">
        <v>6182</v>
      </c>
      <c r="O4814" t="s">
        <v>23</v>
      </c>
      <c r="P4814" t="s">
        <v>24</v>
      </c>
      <c r="Q4814" t="s">
        <v>642</v>
      </c>
      <c r="R4814" t="s">
        <v>6183</v>
      </c>
    </row>
    <row r="4815" spans="1:18" x14ac:dyDescent="0.25">
      <c r="A4815" t="s">
        <v>16123</v>
      </c>
      <c r="B4815" t="s">
        <v>6204</v>
      </c>
      <c r="C4815" t="str">
        <f>HYPERLINK("https://nematode.unl.edu/hemicyclc1.jpg")</f>
        <v>https://nematode.unl.edu/hemicyclc1.jpg</v>
      </c>
      <c r="D4815" t="s">
        <v>43</v>
      </c>
      <c r="G4815" t="s">
        <v>44</v>
      </c>
      <c r="I4815" t="s">
        <v>4020</v>
      </c>
      <c r="J4815" t="s">
        <v>1517</v>
      </c>
      <c r="L4815" t="s">
        <v>6205</v>
      </c>
      <c r="M4815" t="s">
        <v>6206</v>
      </c>
      <c r="N4815" t="s">
        <v>6206</v>
      </c>
      <c r="O4815" t="s">
        <v>23</v>
      </c>
      <c r="P4815" t="s">
        <v>24</v>
      </c>
      <c r="Q4815" t="s">
        <v>6162</v>
      </c>
      <c r="R4815" t="s">
        <v>6206</v>
      </c>
    </row>
    <row r="4816" spans="1:18" x14ac:dyDescent="0.25">
      <c r="A4816" t="s">
        <v>16124</v>
      </c>
      <c r="B4816" t="s">
        <v>6207</v>
      </c>
      <c r="C4816" t="str">
        <f>HYPERLINK("https://nematode.unl.edu/hemicyclc10.jpg")</f>
        <v>https://nematode.unl.edu/hemicyclc10.jpg</v>
      </c>
      <c r="D4816" t="s">
        <v>16</v>
      </c>
      <c r="G4816" t="s">
        <v>44</v>
      </c>
      <c r="I4816" t="s">
        <v>499</v>
      </c>
      <c r="J4816" t="s">
        <v>1517</v>
      </c>
      <c r="L4816" t="s">
        <v>6208</v>
      </c>
      <c r="M4816" t="s">
        <v>6206</v>
      </c>
      <c r="N4816" t="s">
        <v>6206</v>
      </c>
      <c r="O4816" t="s">
        <v>23</v>
      </c>
      <c r="P4816" t="s">
        <v>24</v>
      </c>
      <c r="Q4816" t="s">
        <v>6162</v>
      </c>
      <c r="R4816" t="s">
        <v>6206</v>
      </c>
    </row>
    <row r="4817" spans="1:18" x14ac:dyDescent="0.25">
      <c r="A4817" t="s">
        <v>16091</v>
      </c>
      <c r="B4817" t="s">
        <v>6209</v>
      </c>
      <c r="C4817" t="str">
        <f>HYPERLINK("https://nematode.unl.edu/hemicyclc11.jpg")</f>
        <v>https://nematode.unl.edu/hemicyclc11.jpg</v>
      </c>
      <c r="D4817" t="s">
        <v>16</v>
      </c>
      <c r="G4817" t="s">
        <v>96</v>
      </c>
      <c r="H4817" t="s">
        <v>18</v>
      </c>
      <c r="J4817" t="s">
        <v>1517</v>
      </c>
      <c r="M4817" t="s">
        <v>6206</v>
      </c>
      <c r="N4817" t="s">
        <v>6206</v>
      </c>
      <c r="O4817" t="s">
        <v>23</v>
      </c>
      <c r="P4817" t="s">
        <v>24</v>
      </c>
      <c r="Q4817" t="s">
        <v>6162</v>
      </c>
      <c r="R4817" t="s">
        <v>6206</v>
      </c>
    </row>
    <row r="4818" spans="1:18" x14ac:dyDescent="0.25">
      <c r="A4818" t="s">
        <v>16153</v>
      </c>
      <c r="B4818" t="s">
        <v>6210</v>
      </c>
      <c r="C4818" t="str">
        <f>HYPERLINK("https://nematode.unl.edu/hemicyclc12.jpg")</f>
        <v>https://nematode.unl.edu/hemicyclc12.jpg</v>
      </c>
      <c r="D4818" t="s">
        <v>16</v>
      </c>
      <c r="G4818" t="s">
        <v>181</v>
      </c>
      <c r="J4818" t="s">
        <v>1517</v>
      </c>
      <c r="M4818" t="s">
        <v>6206</v>
      </c>
      <c r="N4818" t="s">
        <v>6206</v>
      </c>
      <c r="O4818" t="s">
        <v>23</v>
      </c>
      <c r="P4818" t="s">
        <v>24</v>
      </c>
      <c r="Q4818" t="s">
        <v>6162</v>
      </c>
      <c r="R4818" t="s">
        <v>6206</v>
      </c>
    </row>
    <row r="4819" spans="1:18" x14ac:dyDescent="0.25">
      <c r="A4819" t="s">
        <v>16092</v>
      </c>
      <c r="B4819" t="s">
        <v>6211</v>
      </c>
      <c r="C4819" t="str">
        <f>HYPERLINK("https://nematode.unl.edu/hemicyclc2.jpg")</f>
        <v>https://nematode.unl.edu/hemicyclc2.jpg</v>
      </c>
      <c r="D4819" t="s">
        <v>77</v>
      </c>
      <c r="G4819" t="s">
        <v>96</v>
      </c>
      <c r="H4819" t="s">
        <v>18</v>
      </c>
      <c r="J4819" t="s">
        <v>1525</v>
      </c>
      <c r="L4819" t="s">
        <v>1526</v>
      </c>
      <c r="M4819" t="s">
        <v>6206</v>
      </c>
      <c r="N4819" t="s">
        <v>6206</v>
      </c>
      <c r="O4819" t="s">
        <v>23</v>
      </c>
      <c r="P4819" t="s">
        <v>24</v>
      </c>
      <c r="Q4819" t="s">
        <v>6162</v>
      </c>
      <c r="R4819" t="s">
        <v>6206</v>
      </c>
    </row>
    <row r="4820" spans="1:18" x14ac:dyDescent="0.25">
      <c r="A4820" t="s">
        <v>16159</v>
      </c>
      <c r="B4820" t="s">
        <v>6212</v>
      </c>
      <c r="C4820" t="str">
        <f>HYPERLINK("https://nematode.unl.edu/hemicyclc3.jpg")</f>
        <v>https://nematode.unl.edu/hemicyclc3.jpg</v>
      </c>
      <c r="D4820" t="s">
        <v>43</v>
      </c>
      <c r="G4820" t="s">
        <v>674</v>
      </c>
      <c r="I4820" t="s">
        <v>516</v>
      </c>
      <c r="J4820" t="s">
        <v>1517</v>
      </c>
      <c r="L4820" t="s">
        <v>6205</v>
      </c>
      <c r="M4820" t="s">
        <v>6206</v>
      </c>
      <c r="N4820" t="s">
        <v>6206</v>
      </c>
      <c r="O4820" t="s">
        <v>23</v>
      </c>
      <c r="P4820" t="s">
        <v>24</v>
      </c>
      <c r="Q4820" t="s">
        <v>6162</v>
      </c>
      <c r="R4820" t="s">
        <v>6206</v>
      </c>
    </row>
    <row r="4821" spans="1:18" x14ac:dyDescent="0.25">
      <c r="A4821" t="s">
        <v>16107</v>
      </c>
      <c r="B4821" t="s">
        <v>6213</v>
      </c>
      <c r="C4821" t="str">
        <f>HYPERLINK("https://nematode.unl.edu/hemicyclc4.jpg")</f>
        <v>https://nematode.unl.edu/hemicyclc4.jpg</v>
      </c>
      <c r="D4821" t="s">
        <v>43</v>
      </c>
      <c r="G4821" t="s">
        <v>34</v>
      </c>
      <c r="H4821" t="s">
        <v>18</v>
      </c>
      <c r="I4821" t="s">
        <v>19</v>
      </c>
      <c r="J4821" t="s">
        <v>1517</v>
      </c>
      <c r="L4821" t="s">
        <v>6205</v>
      </c>
      <c r="M4821" t="s">
        <v>6206</v>
      </c>
      <c r="N4821" t="s">
        <v>6206</v>
      </c>
      <c r="O4821" t="s">
        <v>23</v>
      </c>
      <c r="P4821" t="s">
        <v>24</v>
      </c>
      <c r="Q4821" t="s">
        <v>6162</v>
      </c>
      <c r="R4821" t="s">
        <v>6206</v>
      </c>
    </row>
    <row r="4822" spans="1:18" x14ac:dyDescent="0.25">
      <c r="A4822" t="s">
        <v>16154</v>
      </c>
      <c r="B4822" t="s">
        <v>6214</v>
      </c>
      <c r="C4822" t="str">
        <f>HYPERLINK("https://nematode.unl.edu/hemicyclc5.jpg")</f>
        <v>https://nematode.unl.edu/hemicyclc5.jpg</v>
      </c>
      <c r="D4822" t="s">
        <v>43</v>
      </c>
      <c r="G4822" t="s">
        <v>181</v>
      </c>
      <c r="I4822" t="s">
        <v>516</v>
      </c>
      <c r="J4822" t="s">
        <v>1517</v>
      </c>
      <c r="L4822" t="s">
        <v>6205</v>
      </c>
      <c r="M4822" t="s">
        <v>6206</v>
      </c>
      <c r="N4822" t="s">
        <v>6206</v>
      </c>
      <c r="O4822" t="s">
        <v>23</v>
      </c>
      <c r="P4822" t="s">
        <v>24</v>
      </c>
      <c r="Q4822" t="s">
        <v>6162</v>
      </c>
      <c r="R4822" t="s">
        <v>6206</v>
      </c>
    </row>
    <row r="4823" spans="1:18" x14ac:dyDescent="0.25">
      <c r="A4823" t="s">
        <v>16125</v>
      </c>
      <c r="B4823" t="s">
        <v>6215</v>
      </c>
      <c r="C4823" t="str">
        <f>HYPERLINK("https://nematode.unl.edu/hemicyclc6.jpg")</f>
        <v>https://nematode.unl.edu/hemicyclc6.jpg</v>
      </c>
      <c r="D4823" t="s">
        <v>43</v>
      </c>
      <c r="G4823" t="s">
        <v>44</v>
      </c>
      <c r="I4823" t="s">
        <v>137</v>
      </c>
      <c r="J4823" t="s">
        <v>1517</v>
      </c>
      <c r="L4823" t="s">
        <v>6205</v>
      </c>
      <c r="M4823" t="s">
        <v>6206</v>
      </c>
      <c r="N4823" t="s">
        <v>6206</v>
      </c>
      <c r="O4823" t="s">
        <v>23</v>
      </c>
      <c r="P4823" t="s">
        <v>24</v>
      </c>
      <c r="Q4823" t="s">
        <v>6162</v>
      </c>
      <c r="R4823" t="s">
        <v>6206</v>
      </c>
    </row>
    <row r="4824" spans="1:18" x14ac:dyDescent="0.25">
      <c r="A4824" t="s">
        <v>16160</v>
      </c>
      <c r="B4824" t="s">
        <v>6216</v>
      </c>
      <c r="C4824" t="str">
        <f>HYPERLINK("https://nematode.unl.edu/hemicyclc7.jpg")</f>
        <v>https://nematode.unl.edu/hemicyclc7.jpg</v>
      </c>
      <c r="D4824" t="s">
        <v>43</v>
      </c>
      <c r="G4824" t="s">
        <v>674</v>
      </c>
      <c r="I4824" t="s">
        <v>19</v>
      </c>
      <c r="J4824" t="s">
        <v>1525</v>
      </c>
      <c r="L4824" t="s">
        <v>1526</v>
      </c>
      <c r="M4824" t="s">
        <v>6206</v>
      </c>
      <c r="N4824" t="s">
        <v>6206</v>
      </c>
      <c r="O4824" t="s">
        <v>23</v>
      </c>
      <c r="P4824" t="s">
        <v>24</v>
      </c>
      <c r="Q4824" t="s">
        <v>6162</v>
      </c>
      <c r="R4824" t="s">
        <v>6206</v>
      </c>
    </row>
    <row r="4825" spans="1:18" x14ac:dyDescent="0.25">
      <c r="A4825" t="s">
        <v>16108</v>
      </c>
      <c r="B4825" t="s">
        <v>6217</v>
      </c>
      <c r="C4825" t="str">
        <f>HYPERLINK("https://nematode.unl.edu/hemicyclc8.jpg")</f>
        <v>https://nematode.unl.edu/hemicyclc8.jpg</v>
      </c>
      <c r="D4825" t="s">
        <v>43</v>
      </c>
      <c r="G4825" t="s">
        <v>34</v>
      </c>
      <c r="H4825" t="s">
        <v>18</v>
      </c>
      <c r="J4825" t="s">
        <v>1525</v>
      </c>
      <c r="L4825" t="s">
        <v>1526</v>
      </c>
      <c r="M4825" t="s">
        <v>6206</v>
      </c>
      <c r="N4825" t="s">
        <v>6206</v>
      </c>
      <c r="O4825" t="s">
        <v>23</v>
      </c>
      <c r="P4825" t="s">
        <v>24</v>
      </c>
      <c r="Q4825" t="s">
        <v>6162</v>
      </c>
      <c r="R4825" t="s">
        <v>6206</v>
      </c>
    </row>
    <row r="4826" spans="1:18" x14ac:dyDescent="0.25">
      <c r="A4826" t="s">
        <v>16163</v>
      </c>
      <c r="B4826" t="s">
        <v>6218</v>
      </c>
      <c r="C4826" t="str">
        <f>HYPERLINK("https://nematode.unl.edu/hemicyclc9.jpg")</f>
        <v>https://nematode.unl.edu/hemicyclc9.jpg</v>
      </c>
      <c r="D4826" t="s">
        <v>43</v>
      </c>
      <c r="G4826" t="s">
        <v>28</v>
      </c>
      <c r="M4826" t="s">
        <v>6206</v>
      </c>
      <c r="N4826" t="s">
        <v>6206</v>
      </c>
      <c r="O4826" t="s">
        <v>23</v>
      </c>
      <c r="P4826" t="s">
        <v>24</v>
      </c>
      <c r="Q4826" t="s">
        <v>6162</v>
      </c>
      <c r="R4826" t="s">
        <v>6206</v>
      </c>
    </row>
    <row r="4827" spans="1:18" x14ac:dyDescent="0.25">
      <c r="A4827" t="s">
        <v>16164</v>
      </c>
      <c r="B4827" t="s">
        <v>6219</v>
      </c>
      <c r="C4827" t="str">
        <f>HYPERLINK("https://nematode.unl.edu/hemicyco4.jpg")</f>
        <v>https://nematode.unl.edu/hemicyco4.jpg</v>
      </c>
      <c r="D4827" t="s">
        <v>77</v>
      </c>
      <c r="G4827" t="s">
        <v>28</v>
      </c>
      <c r="M4827" t="s">
        <v>6206</v>
      </c>
      <c r="N4827" t="s">
        <v>6206</v>
      </c>
      <c r="O4827" t="s">
        <v>23</v>
      </c>
      <c r="P4827" t="s">
        <v>24</v>
      </c>
      <c r="Q4827" t="s">
        <v>6162</v>
      </c>
      <c r="R4827" t="s">
        <v>6206</v>
      </c>
    </row>
    <row r="4828" spans="1:18" x14ac:dyDescent="0.25">
      <c r="A4828" t="s">
        <v>16126</v>
      </c>
      <c r="B4828" t="s">
        <v>6220</v>
      </c>
      <c r="C4828" t="str">
        <f>HYPERLINK("https://nematode.unl.edu/hemicycolo1.jpg")</f>
        <v>https://nematode.unl.edu/hemicycolo1.jpg</v>
      </c>
      <c r="D4828" t="s">
        <v>16</v>
      </c>
      <c r="G4828" t="s">
        <v>44</v>
      </c>
      <c r="I4828" t="s">
        <v>19</v>
      </c>
      <c r="J4828" t="s">
        <v>4032</v>
      </c>
      <c r="L4828" t="s">
        <v>6221</v>
      </c>
      <c r="M4828" t="s">
        <v>6206</v>
      </c>
      <c r="N4828" t="s">
        <v>6206</v>
      </c>
      <c r="O4828" t="s">
        <v>23</v>
      </c>
      <c r="P4828" t="s">
        <v>24</v>
      </c>
      <c r="Q4828" t="s">
        <v>6162</v>
      </c>
      <c r="R4828" t="s">
        <v>6206</v>
      </c>
    </row>
    <row r="4829" spans="1:18" x14ac:dyDescent="0.25">
      <c r="A4829" t="s">
        <v>16093</v>
      </c>
      <c r="B4829" t="s">
        <v>6222</v>
      </c>
      <c r="C4829" t="str">
        <f>HYPERLINK("https://nematode.unl.edu/hemicycolo10.jpg")</f>
        <v>https://nematode.unl.edu/hemicycolo10.jpg</v>
      </c>
      <c r="D4829" t="s">
        <v>43</v>
      </c>
      <c r="G4829" t="s">
        <v>96</v>
      </c>
      <c r="H4829" t="s">
        <v>18</v>
      </c>
      <c r="M4829" t="s">
        <v>6206</v>
      </c>
      <c r="N4829" t="s">
        <v>6206</v>
      </c>
      <c r="O4829" t="s">
        <v>23</v>
      </c>
      <c r="P4829" t="s">
        <v>24</v>
      </c>
      <c r="Q4829" t="s">
        <v>6162</v>
      </c>
      <c r="R4829" t="s">
        <v>6206</v>
      </c>
    </row>
    <row r="4830" spans="1:18" x14ac:dyDescent="0.25">
      <c r="A4830" t="s">
        <v>16155</v>
      </c>
      <c r="B4830" t="s">
        <v>6223</v>
      </c>
      <c r="C4830" t="str">
        <f>HYPERLINK("https://nematode.unl.edu/hemicycolo11.jpg")</f>
        <v>https://nematode.unl.edu/hemicycolo11.jpg</v>
      </c>
      <c r="D4830" t="s">
        <v>43</v>
      </c>
      <c r="G4830" t="s">
        <v>181</v>
      </c>
      <c r="I4830" t="s">
        <v>19</v>
      </c>
      <c r="J4830" t="s">
        <v>4032</v>
      </c>
      <c r="M4830" t="s">
        <v>6206</v>
      </c>
      <c r="N4830" t="s">
        <v>6206</v>
      </c>
      <c r="O4830" t="s">
        <v>23</v>
      </c>
      <c r="P4830" t="s">
        <v>24</v>
      </c>
      <c r="Q4830" t="s">
        <v>6162</v>
      </c>
      <c r="R4830" t="s">
        <v>6206</v>
      </c>
    </row>
    <row r="4831" spans="1:18" x14ac:dyDescent="0.25">
      <c r="A4831" t="s">
        <v>16094</v>
      </c>
      <c r="B4831" t="s">
        <v>6224</v>
      </c>
      <c r="C4831" t="str">
        <f>HYPERLINK("https://nematode.unl.edu/hemicycolo12.jpg")</f>
        <v>https://nematode.unl.edu/hemicycolo12.jpg</v>
      </c>
      <c r="D4831" t="s">
        <v>43</v>
      </c>
      <c r="G4831" t="s">
        <v>96</v>
      </c>
      <c r="H4831" t="s">
        <v>18</v>
      </c>
      <c r="I4831" t="s">
        <v>41</v>
      </c>
      <c r="J4831" t="s">
        <v>4032</v>
      </c>
      <c r="M4831" t="s">
        <v>6206</v>
      </c>
      <c r="N4831" t="s">
        <v>6206</v>
      </c>
      <c r="O4831" t="s">
        <v>23</v>
      </c>
      <c r="P4831" t="s">
        <v>24</v>
      </c>
      <c r="Q4831" t="s">
        <v>6162</v>
      </c>
      <c r="R4831" t="s">
        <v>6206</v>
      </c>
    </row>
    <row r="4832" spans="1:18" x14ac:dyDescent="0.25">
      <c r="A4832" t="s">
        <v>16106</v>
      </c>
      <c r="B4832" t="s">
        <v>6225</v>
      </c>
      <c r="C4832" t="str">
        <f>HYPERLINK("https://nematode.unl.edu/hemicycolo13.jpg")</f>
        <v>https://nematode.unl.edu/hemicycolo13.jpg</v>
      </c>
      <c r="D4832" t="s">
        <v>43</v>
      </c>
      <c r="G4832" t="s">
        <v>6226</v>
      </c>
      <c r="H4832" t="s">
        <v>18</v>
      </c>
      <c r="I4832" t="s">
        <v>41</v>
      </c>
      <c r="J4832" t="s">
        <v>4032</v>
      </c>
      <c r="L4832" t="s">
        <v>6221</v>
      </c>
      <c r="M4832" t="s">
        <v>6206</v>
      </c>
      <c r="N4832" t="s">
        <v>6206</v>
      </c>
      <c r="O4832" t="s">
        <v>23</v>
      </c>
      <c r="P4832" t="s">
        <v>24</v>
      </c>
      <c r="Q4832" t="s">
        <v>6162</v>
      </c>
      <c r="R4832" t="s">
        <v>6206</v>
      </c>
    </row>
    <row r="4833" spans="1:18" x14ac:dyDescent="0.25">
      <c r="A4833" t="s">
        <v>16165</v>
      </c>
      <c r="B4833" t="s">
        <v>6227</v>
      </c>
      <c r="C4833" t="str">
        <f>HYPERLINK("https://nematode.unl.edu/hemicycolo14.jpg")</f>
        <v>https://nematode.unl.edu/hemicycolo14.jpg</v>
      </c>
      <c r="D4833" t="s">
        <v>43</v>
      </c>
      <c r="G4833" t="s">
        <v>28</v>
      </c>
      <c r="J4833" t="s">
        <v>4032</v>
      </c>
      <c r="M4833" t="s">
        <v>6206</v>
      </c>
      <c r="N4833" t="s">
        <v>6206</v>
      </c>
      <c r="O4833" t="s">
        <v>23</v>
      </c>
      <c r="P4833" t="s">
        <v>24</v>
      </c>
      <c r="Q4833" t="s">
        <v>6162</v>
      </c>
      <c r="R4833" t="s">
        <v>6206</v>
      </c>
    </row>
    <row r="4834" spans="1:18" x14ac:dyDescent="0.25">
      <c r="A4834" t="s">
        <v>16147</v>
      </c>
      <c r="B4834" t="s">
        <v>6228</v>
      </c>
      <c r="C4834" t="str">
        <f>HYPERLINK("https://nematode.unl.edu/hemicycolo15.jpg")</f>
        <v>https://nematode.unl.edu/hemicycolo15.jpg</v>
      </c>
      <c r="D4834" t="s">
        <v>43</v>
      </c>
      <c r="G4834" t="s">
        <v>3111</v>
      </c>
      <c r="J4834" t="s">
        <v>4032</v>
      </c>
      <c r="M4834" t="s">
        <v>6206</v>
      </c>
      <c r="N4834" t="s">
        <v>6206</v>
      </c>
      <c r="O4834" t="s">
        <v>23</v>
      </c>
      <c r="P4834" t="s">
        <v>24</v>
      </c>
      <c r="Q4834" t="s">
        <v>6162</v>
      </c>
      <c r="R4834" t="s">
        <v>6206</v>
      </c>
    </row>
    <row r="4835" spans="1:18" x14ac:dyDescent="0.25">
      <c r="A4835" t="s">
        <v>16184</v>
      </c>
      <c r="B4835" t="s">
        <v>6229</v>
      </c>
      <c r="C4835" t="str">
        <f>HYPERLINK("https://nematode.unl.edu/hemicycolo16.jpg")</f>
        <v>https://nematode.unl.edu/hemicycolo16.jpg</v>
      </c>
      <c r="D4835" t="s">
        <v>43</v>
      </c>
      <c r="G4835" t="s">
        <v>51</v>
      </c>
      <c r="I4835" t="s">
        <v>41</v>
      </c>
      <c r="J4835" t="s">
        <v>4032</v>
      </c>
      <c r="M4835" t="s">
        <v>6206</v>
      </c>
      <c r="N4835" t="s">
        <v>6206</v>
      </c>
      <c r="O4835" t="s">
        <v>23</v>
      </c>
      <c r="P4835" t="s">
        <v>24</v>
      </c>
      <c r="Q4835" t="s">
        <v>6162</v>
      </c>
      <c r="R4835" t="s">
        <v>6206</v>
      </c>
    </row>
    <row r="4836" spans="1:18" x14ac:dyDescent="0.25">
      <c r="A4836" t="s">
        <v>16185</v>
      </c>
      <c r="B4836" t="s">
        <v>6230</v>
      </c>
      <c r="C4836" t="str">
        <f>HYPERLINK("https://nematode.unl.edu/hemicycolo17.jpg")</f>
        <v>https://nematode.unl.edu/hemicycolo17.jpg</v>
      </c>
      <c r="D4836" t="s">
        <v>43</v>
      </c>
      <c r="G4836" t="s">
        <v>51</v>
      </c>
      <c r="I4836" t="s">
        <v>41</v>
      </c>
      <c r="J4836" t="s">
        <v>4032</v>
      </c>
      <c r="L4836" t="s">
        <v>6221</v>
      </c>
      <c r="M4836" t="s">
        <v>6206</v>
      </c>
      <c r="N4836" t="s">
        <v>6206</v>
      </c>
      <c r="O4836" t="s">
        <v>23</v>
      </c>
      <c r="P4836" t="s">
        <v>24</v>
      </c>
      <c r="Q4836" t="s">
        <v>6162</v>
      </c>
      <c r="R4836" t="s">
        <v>6206</v>
      </c>
    </row>
    <row r="4837" spans="1:18" x14ac:dyDescent="0.25">
      <c r="A4837" t="s">
        <v>16109</v>
      </c>
      <c r="B4837" t="s">
        <v>6231</v>
      </c>
      <c r="C4837" t="str">
        <f>HYPERLINK("https://nematode.unl.edu/hemicycolo2.jpg")</f>
        <v>https://nematode.unl.edu/hemicycolo2.jpg</v>
      </c>
      <c r="D4837" t="s">
        <v>16</v>
      </c>
      <c r="G4837" t="s">
        <v>34</v>
      </c>
      <c r="H4837" t="s">
        <v>18</v>
      </c>
      <c r="J4837" t="s">
        <v>440</v>
      </c>
      <c r="M4837" t="s">
        <v>6206</v>
      </c>
      <c r="N4837" t="s">
        <v>6206</v>
      </c>
      <c r="O4837" t="s">
        <v>23</v>
      </c>
      <c r="P4837" t="s">
        <v>24</v>
      </c>
      <c r="Q4837" t="s">
        <v>6162</v>
      </c>
      <c r="R4837" t="s">
        <v>6206</v>
      </c>
    </row>
    <row r="4838" spans="1:18" x14ac:dyDescent="0.25">
      <c r="A4838" t="s">
        <v>16166</v>
      </c>
      <c r="B4838" t="s">
        <v>6232</v>
      </c>
      <c r="C4838" t="str">
        <f>HYPERLINK("https://nematode.unl.edu/hemicycolo3.jpg")</f>
        <v>https://nematode.unl.edu/hemicycolo3.jpg</v>
      </c>
      <c r="D4838" t="s">
        <v>16</v>
      </c>
      <c r="G4838" t="s">
        <v>28</v>
      </c>
      <c r="J4838" t="s">
        <v>440</v>
      </c>
      <c r="M4838" t="s">
        <v>6206</v>
      </c>
      <c r="N4838" t="s">
        <v>6206</v>
      </c>
      <c r="O4838" t="s">
        <v>23</v>
      </c>
      <c r="P4838" t="s">
        <v>24</v>
      </c>
      <c r="Q4838" t="s">
        <v>6162</v>
      </c>
      <c r="R4838" t="s">
        <v>6206</v>
      </c>
    </row>
    <row r="4839" spans="1:18" x14ac:dyDescent="0.25">
      <c r="A4839" t="s">
        <v>16145</v>
      </c>
      <c r="B4839" t="s">
        <v>6233</v>
      </c>
      <c r="C4839" t="str">
        <f>HYPERLINK("https://nematode.unl.edu/hemicycolo4.jpg")</f>
        <v>https://nematode.unl.edu/hemicycolo4.jpg</v>
      </c>
      <c r="D4839" t="s">
        <v>16</v>
      </c>
      <c r="G4839" t="s">
        <v>6234</v>
      </c>
      <c r="I4839" t="s">
        <v>41</v>
      </c>
      <c r="J4839" t="s">
        <v>440</v>
      </c>
      <c r="L4839" t="s">
        <v>6221</v>
      </c>
      <c r="M4839" t="s">
        <v>6206</v>
      </c>
      <c r="N4839" t="s">
        <v>6206</v>
      </c>
      <c r="O4839" t="s">
        <v>23</v>
      </c>
      <c r="P4839" t="s">
        <v>24</v>
      </c>
      <c r="Q4839" t="s">
        <v>6162</v>
      </c>
      <c r="R4839" t="s">
        <v>6206</v>
      </c>
    </row>
    <row r="4840" spans="1:18" x14ac:dyDescent="0.25">
      <c r="A4840" t="s">
        <v>16127</v>
      </c>
      <c r="B4840" t="s">
        <v>6235</v>
      </c>
      <c r="C4840" t="str">
        <f>HYPERLINK("https://nematode.unl.edu/hemicycolo5.jpg")</f>
        <v>https://nematode.unl.edu/hemicycolo5.jpg</v>
      </c>
      <c r="D4840" t="s">
        <v>43</v>
      </c>
      <c r="G4840" t="s">
        <v>44</v>
      </c>
      <c r="I4840" t="s">
        <v>516</v>
      </c>
      <c r="J4840" t="s">
        <v>4032</v>
      </c>
      <c r="L4840" t="s">
        <v>6221</v>
      </c>
      <c r="M4840" t="s">
        <v>6206</v>
      </c>
      <c r="N4840" t="s">
        <v>6206</v>
      </c>
      <c r="O4840" t="s">
        <v>23</v>
      </c>
      <c r="P4840" t="s">
        <v>24</v>
      </c>
      <c r="Q4840" t="s">
        <v>6162</v>
      </c>
      <c r="R4840" t="s">
        <v>6206</v>
      </c>
    </row>
    <row r="4841" spans="1:18" x14ac:dyDescent="0.25">
      <c r="A4841" t="s">
        <v>16110</v>
      </c>
      <c r="B4841" t="s">
        <v>6236</v>
      </c>
      <c r="C4841" t="str">
        <f>HYPERLINK("https://nematode.unl.edu/hemicycolo6.jpg")</f>
        <v>https://nematode.unl.edu/hemicycolo6.jpg</v>
      </c>
      <c r="D4841" t="s">
        <v>43</v>
      </c>
      <c r="G4841" t="s">
        <v>34</v>
      </c>
      <c r="H4841" t="s">
        <v>18</v>
      </c>
      <c r="J4841" t="s">
        <v>4032</v>
      </c>
      <c r="M4841" t="s">
        <v>6206</v>
      </c>
      <c r="N4841" t="s">
        <v>6206</v>
      </c>
      <c r="O4841" t="s">
        <v>23</v>
      </c>
      <c r="P4841" t="s">
        <v>24</v>
      </c>
      <c r="Q4841" t="s">
        <v>6162</v>
      </c>
      <c r="R4841" t="s">
        <v>6206</v>
      </c>
    </row>
    <row r="4842" spans="1:18" x14ac:dyDescent="0.25">
      <c r="A4842" t="s">
        <v>16148</v>
      </c>
      <c r="B4842" t="s">
        <v>6237</v>
      </c>
      <c r="C4842" t="str">
        <f>HYPERLINK("https://nematode.unl.edu/hemicycolo7.jpg")</f>
        <v>https://nematode.unl.edu/hemicycolo7.jpg</v>
      </c>
      <c r="D4842" t="s">
        <v>43</v>
      </c>
      <c r="G4842" t="s">
        <v>3111</v>
      </c>
      <c r="I4842" t="s">
        <v>41</v>
      </c>
      <c r="M4842" t="s">
        <v>6206</v>
      </c>
      <c r="N4842" t="s">
        <v>6206</v>
      </c>
      <c r="O4842" t="s">
        <v>23</v>
      </c>
      <c r="P4842" t="s">
        <v>24</v>
      </c>
      <c r="Q4842" t="s">
        <v>6162</v>
      </c>
      <c r="R4842" t="s">
        <v>6206</v>
      </c>
    </row>
    <row r="4843" spans="1:18" x14ac:dyDescent="0.25">
      <c r="A4843" t="s">
        <v>16186</v>
      </c>
      <c r="B4843" t="s">
        <v>6238</v>
      </c>
      <c r="C4843" t="str">
        <f>HYPERLINK("https://nematode.unl.edu/hemicycolo8.jpg")</f>
        <v>https://nematode.unl.edu/hemicycolo8.jpg</v>
      </c>
      <c r="D4843" t="s">
        <v>43</v>
      </c>
      <c r="G4843" t="s">
        <v>51</v>
      </c>
      <c r="I4843" t="s">
        <v>41</v>
      </c>
      <c r="M4843" t="s">
        <v>6206</v>
      </c>
      <c r="N4843" t="s">
        <v>6206</v>
      </c>
      <c r="O4843" t="s">
        <v>23</v>
      </c>
      <c r="P4843" t="s">
        <v>24</v>
      </c>
      <c r="Q4843" t="s">
        <v>6162</v>
      </c>
      <c r="R4843" t="s">
        <v>6206</v>
      </c>
    </row>
    <row r="4844" spans="1:18" x14ac:dyDescent="0.25">
      <c r="A4844" t="s">
        <v>16167</v>
      </c>
      <c r="B4844" t="s">
        <v>6239</v>
      </c>
      <c r="C4844" t="str">
        <f>HYPERLINK("https://nematode.unl.edu/hemicycolo9.jpg")</f>
        <v>https://nematode.unl.edu/hemicycolo9.jpg</v>
      </c>
      <c r="D4844" t="s">
        <v>43</v>
      </c>
      <c r="G4844" t="s">
        <v>28</v>
      </c>
      <c r="I4844" t="s">
        <v>529</v>
      </c>
      <c r="J4844" t="s">
        <v>4032</v>
      </c>
      <c r="L4844" t="s">
        <v>6221</v>
      </c>
      <c r="M4844" t="s">
        <v>6206</v>
      </c>
      <c r="N4844" t="s">
        <v>6206</v>
      </c>
      <c r="O4844" t="s">
        <v>23</v>
      </c>
      <c r="P4844" t="s">
        <v>24</v>
      </c>
      <c r="Q4844" t="s">
        <v>6162</v>
      </c>
      <c r="R4844" t="s">
        <v>6206</v>
      </c>
    </row>
    <row r="4845" spans="1:18" x14ac:dyDescent="0.25">
      <c r="A4845" t="s">
        <v>16111</v>
      </c>
      <c r="B4845" t="s">
        <v>6240</v>
      </c>
      <c r="C4845" t="str">
        <f>HYPERLINK("https://nematode.unl.edu/hemicyf1.jpg")</f>
        <v>https://nematode.unl.edu/hemicyf1.jpg</v>
      </c>
      <c r="D4845" t="s">
        <v>43</v>
      </c>
      <c r="G4845" t="s">
        <v>34</v>
      </c>
      <c r="H4845" t="s">
        <v>18</v>
      </c>
      <c r="I4845" t="s">
        <v>516</v>
      </c>
      <c r="J4845" t="s">
        <v>6180</v>
      </c>
      <c r="K4845" t="s">
        <v>22848</v>
      </c>
      <c r="L4845" t="s">
        <v>6241</v>
      </c>
      <c r="M4845" t="s">
        <v>6206</v>
      </c>
      <c r="N4845" t="s">
        <v>6206</v>
      </c>
      <c r="O4845" t="s">
        <v>23</v>
      </c>
      <c r="P4845" t="s">
        <v>24</v>
      </c>
      <c r="Q4845" t="s">
        <v>6162</v>
      </c>
      <c r="R4845" t="s">
        <v>6206</v>
      </c>
    </row>
    <row r="4846" spans="1:18" x14ac:dyDescent="0.25">
      <c r="A4846" t="s">
        <v>16168</v>
      </c>
      <c r="B4846" t="s">
        <v>6242</v>
      </c>
      <c r="C4846" t="str">
        <f>HYPERLINK("https://nematode.unl.edu/hemicyf2.jpg")</f>
        <v>https://nematode.unl.edu/hemicyf2.jpg</v>
      </c>
      <c r="D4846" t="s">
        <v>43</v>
      </c>
      <c r="G4846" t="s">
        <v>28</v>
      </c>
      <c r="I4846" t="s">
        <v>516</v>
      </c>
      <c r="J4846" t="s">
        <v>6180</v>
      </c>
      <c r="K4846" t="s">
        <v>22848</v>
      </c>
      <c r="L4846" t="s">
        <v>6241</v>
      </c>
      <c r="M4846" t="s">
        <v>6206</v>
      </c>
      <c r="N4846" t="s">
        <v>6206</v>
      </c>
      <c r="O4846" t="s">
        <v>23</v>
      </c>
      <c r="P4846" t="s">
        <v>24</v>
      </c>
      <c r="Q4846" t="s">
        <v>6162</v>
      </c>
      <c r="R4846" t="s">
        <v>6206</v>
      </c>
    </row>
    <row r="4847" spans="1:18" x14ac:dyDescent="0.25">
      <c r="A4847" t="s">
        <v>16144</v>
      </c>
      <c r="B4847" t="s">
        <v>6243</v>
      </c>
      <c r="C4847" t="str">
        <f>HYPERLINK("https://nematode.unl.edu/hemicyf3.jpg")</f>
        <v>https://nematode.unl.edu/hemicyf3.jpg</v>
      </c>
      <c r="D4847" t="s">
        <v>43</v>
      </c>
      <c r="G4847" t="s">
        <v>53</v>
      </c>
      <c r="J4847" t="s">
        <v>4654</v>
      </c>
      <c r="M4847" t="s">
        <v>6206</v>
      </c>
      <c r="N4847" t="s">
        <v>6206</v>
      </c>
      <c r="O4847" t="s">
        <v>23</v>
      </c>
      <c r="P4847" t="s">
        <v>24</v>
      </c>
      <c r="Q4847" t="s">
        <v>6162</v>
      </c>
      <c r="R4847" t="s">
        <v>6206</v>
      </c>
    </row>
    <row r="4848" spans="1:18" x14ac:dyDescent="0.25">
      <c r="A4848" t="s">
        <v>16112</v>
      </c>
      <c r="B4848" t="s">
        <v>6244</v>
      </c>
      <c r="C4848" t="str">
        <f>HYPERLINK("https://nematode.unl.edu/hemicyf4.jpg")</f>
        <v>https://nematode.unl.edu/hemicyf4.jpg</v>
      </c>
      <c r="D4848" t="s">
        <v>16</v>
      </c>
      <c r="G4848" t="s">
        <v>34</v>
      </c>
      <c r="H4848" t="s">
        <v>18</v>
      </c>
      <c r="I4848" t="s">
        <v>516</v>
      </c>
      <c r="J4848" t="s">
        <v>6180</v>
      </c>
      <c r="K4848" t="s">
        <v>22848</v>
      </c>
      <c r="L4848" t="s">
        <v>6241</v>
      </c>
      <c r="M4848" t="s">
        <v>6206</v>
      </c>
      <c r="N4848" t="s">
        <v>6206</v>
      </c>
      <c r="O4848" t="s">
        <v>23</v>
      </c>
      <c r="P4848" t="s">
        <v>24</v>
      </c>
      <c r="Q4848" t="s">
        <v>6162</v>
      </c>
      <c r="R4848" t="s">
        <v>6206</v>
      </c>
    </row>
    <row r="4849" spans="1:18" x14ac:dyDescent="0.25">
      <c r="A4849" t="s">
        <v>16169</v>
      </c>
      <c r="B4849" t="s">
        <v>6245</v>
      </c>
      <c r="C4849" t="str">
        <f>HYPERLINK("https://nematode.unl.edu/hemicyf5.jpg")</f>
        <v>https://nematode.unl.edu/hemicyf5.jpg</v>
      </c>
      <c r="D4849" t="s">
        <v>16</v>
      </c>
      <c r="G4849" t="s">
        <v>28</v>
      </c>
      <c r="I4849" t="s">
        <v>19</v>
      </c>
      <c r="J4849" t="s">
        <v>6180</v>
      </c>
      <c r="K4849" t="s">
        <v>22848</v>
      </c>
      <c r="L4849" t="s">
        <v>6241</v>
      </c>
      <c r="M4849" t="s">
        <v>6206</v>
      </c>
      <c r="N4849" t="s">
        <v>6206</v>
      </c>
      <c r="O4849" t="s">
        <v>23</v>
      </c>
      <c r="P4849" t="s">
        <v>24</v>
      </c>
      <c r="Q4849" t="s">
        <v>6162</v>
      </c>
      <c r="R4849" t="s">
        <v>6206</v>
      </c>
    </row>
    <row r="4850" spans="1:18" x14ac:dyDescent="0.25">
      <c r="A4850" t="s">
        <v>16170</v>
      </c>
      <c r="B4850" t="s">
        <v>6246</v>
      </c>
      <c r="C4850" t="str">
        <f>HYPERLINK("https://nematode.unl.edu/hemicyf6.jpg")</f>
        <v>https://nematode.unl.edu/hemicyf6.jpg</v>
      </c>
      <c r="D4850" t="s">
        <v>16</v>
      </c>
      <c r="G4850" t="s">
        <v>28</v>
      </c>
      <c r="I4850" t="s">
        <v>516</v>
      </c>
      <c r="J4850" t="s">
        <v>6180</v>
      </c>
      <c r="K4850" t="s">
        <v>22848</v>
      </c>
      <c r="L4850" t="s">
        <v>6241</v>
      </c>
      <c r="M4850" t="s">
        <v>6206</v>
      </c>
      <c r="N4850" t="s">
        <v>6206</v>
      </c>
      <c r="O4850" t="s">
        <v>23</v>
      </c>
      <c r="P4850" t="s">
        <v>24</v>
      </c>
      <c r="Q4850" t="s">
        <v>6162</v>
      </c>
      <c r="R4850" t="s">
        <v>6206</v>
      </c>
    </row>
    <row r="4851" spans="1:18" x14ac:dyDescent="0.25">
      <c r="A4851" t="s">
        <v>16192</v>
      </c>
      <c r="B4851" t="s">
        <v>6317</v>
      </c>
      <c r="C4851" t="str">
        <f>HYPERLINK("https://nematode.unl.edu/hemicygne1.jpg")</f>
        <v>https://nematode.unl.edu/hemicygne1.jpg</v>
      </c>
      <c r="D4851" t="s">
        <v>77</v>
      </c>
      <c r="G4851" t="s">
        <v>44</v>
      </c>
      <c r="I4851" t="s">
        <v>516</v>
      </c>
      <c r="J4851" t="s">
        <v>6318</v>
      </c>
      <c r="L4851" t="s">
        <v>4584</v>
      </c>
      <c r="M4851" t="s">
        <v>6319</v>
      </c>
      <c r="N4851" t="s">
        <v>6319</v>
      </c>
      <c r="O4851" t="s">
        <v>23</v>
      </c>
      <c r="P4851" t="s">
        <v>24</v>
      </c>
      <c r="Q4851" t="s">
        <v>6162</v>
      </c>
      <c r="R4851" t="s">
        <v>6206</v>
      </c>
    </row>
    <row r="4852" spans="1:18" x14ac:dyDescent="0.25">
      <c r="A4852" t="s">
        <v>16189</v>
      </c>
      <c r="B4852" t="s">
        <v>6320</v>
      </c>
      <c r="C4852" t="str">
        <f>HYPERLINK("https://nematode.unl.edu/hemicygne2.jpg")</f>
        <v>https://nematode.unl.edu/hemicygne2.jpg</v>
      </c>
      <c r="D4852" t="s">
        <v>43</v>
      </c>
      <c r="G4852" t="s">
        <v>34</v>
      </c>
      <c r="H4852" t="s">
        <v>18</v>
      </c>
      <c r="I4852" t="s">
        <v>41</v>
      </c>
      <c r="M4852" t="s">
        <v>6319</v>
      </c>
      <c r="N4852" t="s">
        <v>6319</v>
      </c>
      <c r="O4852" t="s">
        <v>23</v>
      </c>
      <c r="P4852" t="s">
        <v>24</v>
      </c>
      <c r="Q4852" t="s">
        <v>6162</v>
      </c>
      <c r="R4852" t="s">
        <v>6206</v>
      </c>
    </row>
    <row r="4853" spans="1:18" x14ac:dyDescent="0.25">
      <c r="A4853" t="s">
        <v>16199</v>
      </c>
      <c r="B4853" t="s">
        <v>6321</v>
      </c>
      <c r="C4853" t="str">
        <f>HYPERLINK("https://nematode.unl.edu/hemicygne3.jpg")</f>
        <v>https://nematode.unl.edu/hemicygne3.jpg</v>
      </c>
      <c r="D4853" t="s">
        <v>43</v>
      </c>
      <c r="G4853" t="s">
        <v>28</v>
      </c>
      <c r="I4853" t="s">
        <v>41</v>
      </c>
      <c r="M4853" t="s">
        <v>6319</v>
      </c>
      <c r="N4853" t="s">
        <v>6319</v>
      </c>
      <c r="O4853" t="s">
        <v>23</v>
      </c>
      <c r="P4853" t="s">
        <v>24</v>
      </c>
      <c r="Q4853" t="s">
        <v>6162</v>
      </c>
      <c r="R4853" t="s">
        <v>6206</v>
      </c>
    </row>
    <row r="4854" spans="1:18" x14ac:dyDescent="0.25">
      <c r="A4854" t="s">
        <v>16193</v>
      </c>
      <c r="B4854" t="s">
        <v>6322</v>
      </c>
      <c r="C4854" t="str">
        <f>HYPERLINK("https://nematode.unl.edu/hemicygrabb1.jpg")</f>
        <v>https://nematode.unl.edu/hemicygrabb1.jpg</v>
      </c>
      <c r="D4854" t="s">
        <v>43</v>
      </c>
      <c r="G4854" t="s">
        <v>44</v>
      </c>
      <c r="I4854" t="s">
        <v>4020</v>
      </c>
      <c r="J4854" t="s">
        <v>6011</v>
      </c>
      <c r="K4854" t="s">
        <v>22857</v>
      </c>
      <c r="L4854" t="s">
        <v>6323</v>
      </c>
      <c r="M4854" t="s">
        <v>6319</v>
      </c>
      <c r="N4854" t="s">
        <v>6319</v>
      </c>
      <c r="O4854" t="s">
        <v>23</v>
      </c>
      <c r="P4854" t="s">
        <v>24</v>
      </c>
      <c r="Q4854" t="s">
        <v>6162</v>
      </c>
      <c r="R4854" t="s">
        <v>6206</v>
      </c>
    </row>
    <row r="4855" spans="1:18" x14ac:dyDescent="0.25">
      <c r="A4855" t="s">
        <v>16191</v>
      </c>
      <c r="B4855" t="s">
        <v>6324</v>
      </c>
      <c r="C4855" t="str">
        <f>HYPERLINK("https://nematode.unl.edu/hemicygrabb10.jpg")</f>
        <v>https://nematode.unl.edu/hemicygrabb10.jpg</v>
      </c>
      <c r="D4855" t="s">
        <v>16</v>
      </c>
      <c r="G4855" t="s">
        <v>6325</v>
      </c>
      <c r="I4855" t="s">
        <v>41</v>
      </c>
      <c r="J4855" t="s">
        <v>6011</v>
      </c>
      <c r="K4855" t="s">
        <v>22857</v>
      </c>
      <c r="L4855" t="s">
        <v>6326</v>
      </c>
      <c r="M4855" t="s">
        <v>6319</v>
      </c>
      <c r="N4855" t="s">
        <v>6319</v>
      </c>
      <c r="O4855" t="s">
        <v>23</v>
      </c>
      <c r="P4855" t="s">
        <v>24</v>
      </c>
      <c r="Q4855" t="s">
        <v>6162</v>
      </c>
      <c r="R4855" t="s">
        <v>6206</v>
      </c>
    </row>
    <row r="4856" spans="1:18" x14ac:dyDescent="0.25">
      <c r="A4856" t="s">
        <v>16194</v>
      </c>
      <c r="B4856" t="s">
        <v>6327</v>
      </c>
      <c r="C4856" t="str">
        <f>HYPERLINK("https://nematode.unl.edu/hemicygrabb2.jpg")</f>
        <v>https://nematode.unl.edu/hemicygrabb2.jpg</v>
      </c>
      <c r="D4856" t="s">
        <v>43</v>
      </c>
      <c r="G4856" t="s">
        <v>44</v>
      </c>
      <c r="I4856" t="s">
        <v>19</v>
      </c>
      <c r="J4856" t="s">
        <v>6011</v>
      </c>
      <c r="K4856" t="s">
        <v>22857</v>
      </c>
      <c r="L4856" t="s">
        <v>6323</v>
      </c>
      <c r="M4856" t="s">
        <v>6319</v>
      </c>
      <c r="N4856" t="s">
        <v>6319</v>
      </c>
      <c r="O4856" t="s">
        <v>23</v>
      </c>
      <c r="P4856" t="s">
        <v>24</v>
      </c>
      <c r="Q4856" t="s">
        <v>6162</v>
      </c>
      <c r="R4856" t="s">
        <v>6206</v>
      </c>
    </row>
    <row r="4857" spans="1:18" x14ac:dyDescent="0.25">
      <c r="A4857" t="s">
        <v>16187</v>
      </c>
      <c r="B4857" t="s">
        <v>6328</v>
      </c>
      <c r="C4857" t="str">
        <f>HYPERLINK("https://nematode.unl.edu/hemicygrabb3.jpg")</f>
        <v>https://nematode.unl.edu/hemicygrabb3.jpg</v>
      </c>
      <c r="D4857" t="s">
        <v>43</v>
      </c>
      <c r="G4857" t="s">
        <v>96</v>
      </c>
      <c r="H4857" t="s">
        <v>18</v>
      </c>
      <c r="I4857" t="s">
        <v>19</v>
      </c>
      <c r="J4857" t="s">
        <v>6011</v>
      </c>
      <c r="K4857" t="s">
        <v>22857</v>
      </c>
      <c r="L4857" t="s">
        <v>6170</v>
      </c>
      <c r="M4857" t="s">
        <v>6319</v>
      </c>
      <c r="N4857" t="s">
        <v>6319</v>
      </c>
      <c r="O4857" t="s">
        <v>23</v>
      </c>
      <c r="P4857" t="s">
        <v>24</v>
      </c>
      <c r="Q4857" t="s">
        <v>6162</v>
      </c>
      <c r="R4857" t="s">
        <v>6206</v>
      </c>
    </row>
    <row r="4858" spans="1:18" x14ac:dyDescent="0.25">
      <c r="A4858" t="s">
        <v>16188</v>
      </c>
      <c r="B4858" t="s">
        <v>6329</v>
      </c>
      <c r="C4858" t="str">
        <f>HYPERLINK("https://nematode.unl.edu/hemicygrabb4.jpg")</f>
        <v>https://nematode.unl.edu/hemicygrabb4.jpg</v>
      </c>
      <c r="D4858" t="s">
        <v>43</v>
      </c>
      <c r="G4858" t="s">
        <v>96</v>
      </c>
      <c r="H4858" t="s">
        <v>18</v>
      </c>
      <c r="I4858" t="s">
        <v>41</v>
      </c>
      <c r="M4858" t="s">
        <v>6319</v>
      </c>
      <c r="N4858" t="s">
        <v>6319</v>
      </c>
      <c r="O4858" t="s">
        <v>23</v>
      </c>
      <c r="P4858" t="s">
        <v>24</v>
      </c>
      <c r="Q4858" t="s">
        <v>6162</v>
      </c>
      <c r="R4858" t="s">
        <v>6206</v>
      </c>
    </row>
    <row r="4859" spans="1:18" x14ac:dyDescent="0.25">
      <c r="A4859" t="s">
        <v>16198</v>
      </c>
      <c r="B4859" t="s">
        <v>6330</v>
      </c>
      <c r="C4859" t="str">
        <f>HYPERLINK("https://nematode.unl.edu/hemicygrabb5.jpg")</f>
        <v>https://nematode.unl.edu/hemicygrabb5.jpg</v>
      </c>
      <c r="D4859" t="s">
        <v>43</v>
      </c>
      <c r="G4859" t="s">
        <v>181</v>
      </c>
      <c r="I4859" t="s">
        <v>41</v>
      </c>
      <c r="M4859" t="s">
        <v>6319</v>
      </c>
      <c r="N4859" t="s">
        <v>6319</v>
      </c>
      <c r="O4859" t="s">
        <v>23</v>
      </c>
      <c r="P4859" t="s">
        <v>24</v>
      </c>
      <c r="Q4859" t="s">
        <v>6162</v>
      </c>
      <c r="R4859" t="s">
        <v>6206</v>
      </c>
    </row>
    <row r="4860" spans="1:18" x14ac:dyDescent="0.25">
      <c r="A4860" t="s">
        <v>16197</v>
      </c>
      <c r="B4860" t="s">
        <v>6331</v>
      </c>
      <c r="C4860" t="str">
        <f>HYPERLINK("https://nematode.unl.edu/hemicygrabb6.jpg")</f>
        <v>https://nematode.unl.edu/hemicygrabb6.jpg</v>
      </c>
      <c r="D4860" t="s">
        <v>43</v>
      </c>
      <c r="G4860" t="s">
        <v>224</v>
      </c>
      <c r="M4860" t="s">
        <v>6319</v>
      </c>
      <c r="N4860" t="s">
        <v>6319</v>
      </c>
      <c r="O4860" t="s">
        <v>23</v>
      </c>
      <c r="P4860" t="s">
        <v>24</v>
      </c>
      <c r="Q4860" t="s">
        <v>6162</v>
      </c>
      <c r="R4860" t="s">
        <v>6206</v>
      </c>
    </row>
    <row r="4861" spans="1:18" x14ac:dyDescent="0.25">
      <c r="A4861" t="s">
        <v>16195</v>
      </c>
      <c r="B4861" t="s">
        <v>6332</v>
      </c>
      <c r="C4861" t="str">
        <f>HYPERLINK("https://nematode.unl.edu/hemicygrabb7.jpg")</f>
        <v>https://nematode.unl.edu/hemicygrabb7.jpg</v>
      </c>
      <c r="D4861" t="s">
        <v>16</v>
      </c>
      <c r="G4861" t="s">
        <v>44</v>
      </c>
      <c r="I4861" t="s">
        <v>516</v>
      </c>
      <c r="J4861" t="s">
        <v>6011</v>
      </c>
      <c r="K4861" t="s">
        <v>22857</v>
      </c>
      <c r="L4861" t="s">
        <v>6326</v>
      </c>
      <c r="M4861" t="s">
        <v>6319</v>
      </c>
      <c r="N4861" t="s">
        <v>6319</v>
      </c>
      <c r="O4861" t="s">
        <v>23</v>
      </c>
      <c r="P4861" t="s">
        <v>24</v>
      </c>
      <c r="Q4861" t="s">
        <v>6162</v>
      </c>
      <c r="R4861" t="s">
        <v>6206</v>
      </c>
    </row>
    <row r="4862" spans="1:18" x14ac:dyDescent="0.25">
      <c r="A4862" t="s">
        <v>16190</v>
      </c>
      <c r="B4862" t="s">
        <v>6333</v>
      </c>
      <c r="C4862" t="str">
        <f>HYPERLINK("https://nematode.unl.edu/hemicygrabb8.jpg")</f>
        <v>https://nematode.unl.edu/hemicygrabb8.jpg</v>
      </c>
      <c r="D4862" t="s">
        <v>16</v>
      </c>
      <c r="G4862" t="s">
        <v>34</v>
      </c>
      <c r="H4862" t="s">
        <v>18</v>
      </c>
      <c r="M4862" t="s">
        <v>6319</v>
      </c>
      <c r="N4862" t="s">
        <v>6319</v>
      </c>
      <c r="O4862" t="s">
        <v>23</v>
      </c>
      <c r="P4862" t="s">
        <v>24</v>
      </c>
      <c r="Q4862" t="s">
        <v>6162</v>
      </c>
      <c r="R4862" t="s">
        <v>6206</v>
      </c>
    </row>
    <row r="4863" spans="1:18" x14ac:dyDescent="0.25">
      <c r="A4863" t="s">
        <v>16200</v>
      </c>
      <c r="B4863" t="s">
        <v>6334</v>
      </c>
      <c r="C4863" t="str">
        <f>HYPERLINK("https://nematode.unl.edu/hemicygrabb9.jpg")</f>
        <v>https://nematode.unl.edu/hemicygrabb9.jpg</v>
      </c>
      <c r="D4863" t="s">
        <v>16</v>
      </c>
      <c r="G4863" t="s">
        <v>28</v>
      </c>
      <c r="I4863" t="s">
        <v>41</v>
      </c>
      <c r="M4863" t="s">
        <v>6319</v>
      </c>
      <c r="N4863" t="s">
        <v>6319</v>
      </c>
      <c r="O4863" t="s">
        <v>23</v>
      </c>
      <c r="P4863" t="s">
        <v>24</v>
      </c>
      <c r="Q4863" t="s">
        <v>6162</v>
      </c>
      <c r="R4863" t="s">
        <v>6206</v>
      </c>
    </row>
    <row r="4864" spans="1:18" x14ac:dyDescent="0.25">
      <c r="A4864" t="s">
        <v>16196</v>
      </c>
      <c r="B4864" t="s">
        <v>6335</v>
      </c>
      <c r="C4864" t="str">
        <f>HYPERLINK("https://nematode.unl.edu/hemicygracidrw.jpg")</f>
        <v>https://nematode.unl.edu/hemicygracidrw.jpg</v>
      </c>
      <c r="G4864" t="s">
        <v>108</v>
      </c>
      <c r="M4864" t="s">
        <v>6319</v>
      </c>
      <c r="N4864" t="s">
        <v>6319</v>
      </c>
      <c r="O4864" t="s">
        <v>23</v>
      </c>
      <c r="P4864" t="s">
        <v>24</v>
      </c>
      <c r="Q4864" t="s">
        <v>6162</v>
      </c>
      <c r="R4864" t="s">
        <v>6206</v>
      </c>
    </row>
    <row r="4865" spans="1:18" x14ac:dyDescent="0.25">
      <c r="A4865" t="s">
        <v>16205</v>
      </c>
      <c r="B4865" t="s">
        <v>6336</v>
      </c>
      <c r="C4865" t="str">
        <f>HYPERLINK("https://nematode.unl.edu/hemicygrc1.jpg")</f>
        <v>https://nematode.unl.edu/hemicygrc1.jpg</v>
      </c>
      <c r="D4865" t="s">
        <v>43</v>
      </c>
      <c r="G4865" t="s">
        <v>44</v>
      </c>
      <c r="I4865" t="s">
        <v>137</v>
      </c>
      <c r="J4865" t="s">
        <v>6337</v>
      </c>
      <c r="M4865" t="s">
        <v>6338</v>
      </c>
      <c r="N4865" t="s">
        <v>6338</v>
      </c>
      <c r="O4865" t="s">
        <v>23</v>
      </c>
      <c r="P4865" t="s">
        <v>24</v>
      </c>
      <c r="Q4865" t="s">
        <v>6162</v>
      </c>
      <c r="R4865" t="s">
        <v>6206</v>
      </c>
    </row>
    <row r="4866" spans="1:18" x14ac:dyDescent="0.25">
      <c r="A4866" t="s">
        <v>16206</v>
      </c>
      <c r="B4866" t="s">
        <v>6339</v>
      </c>
      <c r="C4866" t="str">
        <f>HYPERLINK("https://nematode.unl.edu/hemicygrc10.jpg")</f>
        <v>https://nematode.unl.edu/hemicygrc10.jpg</v>
      </c>
      <c r="D4866" t="s">
        <v>43</v>
      </c>
      <c r="G4866" t="s">
        <v>44</v>
      </c>
      <c r="I4866" t="s">
        <v>4020</v>
      </c>
      <c r="J4866" t="s">
        <v>6337</v>
      </c>
      <c r="M4866" t="s">
        <v>6338</v>
      </c>
      <c r="N4866" t="s">
        <v>6338</v>
      </c>
      <c r="O4866" t="s">
        <v>23</v>
      </c>
      <c r="P4866" t="s">
        <v>24</v>
      </c>
      <c r="Q4866" t="s">
        <v>6162</v>
      </c>
      <c r="R4866" t="s">
        <v>6206</v>
      </c>
    </row>
    <row r="4867" spans="1:18" x14ac:dyDescent="0.25">
      <c r="A4867" t="s">
        <v>16201</v>
      </c>
      <c r="B4867" t="s">
        <v>6340</v>
      </c>
      <c r="C4867" t="str">
        <f>HYPERLINK("https://nematode.unl.edu/hemicygrc11.jpg")</f>
        <v>https://nematode.unl.edu/hemicygrc11.jpg</v>
      </c>
      <c r="D4867" t="s">
        <v>43</v>
      </c>
      <c r="G4867" t="s">
        <v>96</v>
      </c>
      <c r="H4867" t="s">
        <v>18</v>
      </c>
      <c r="I4867" t="s">
        <v>19</v>
      </c>
      <c r="M4867" t="s">
        <v>6338</v>
      </c>
      <c r="N4867" t="s">
        <v>6338</v>
      </c>
      <c r="O4867" t="s">
        <v>23</v>
      </c>
      <c r="P4867" t="s">
        <v>24</v>
      </c>
      <c r="Q4867" t="s">
        <v>6162</v>
      </c>
      <c r="R4867" t="s">
        <v>6206</v>
      </c>
    </row>
    <row r="4868" spans="1:18" x14ac:dyDescent="0.25">
      <c r="A4868" t="s">
        <v>16210</v>
      </c>
      <c r="B4868" t="s">
        <v>6341</v>
      </c>
      <c r="C4868" t="str">
        <f>HYPERLINK("https://nematode.unl.edu/hemicygrc12.jpg")</f>
        <v>https://nematode.unl.edu/hemicygrc12.jpg</v>
      </c>
      <c r="D4868" t="s">
        <v>43</v>
      </c>
      <c r="G4868" t="s">
        <v>181</v>
      </c>
      <c r="M4868" t="s">
        <v>6338</v>
      </c>
      <c r="N4868" t="s">
        <v>6338</v>
      </c>
      <c r="O4868" t="s">
        <v>23</v>
      </c>
      <c r="P4868" t="s">
        <v>24</v>
      </c>
      <c r="Q4868" t="s">
        <v>6162</v>
      </c>
      <c r="R4868" t="s">
        <v>6206</v>
      </c>
    </row>
    <row r="4869" spans="1:18" x14ac:dyDescent="0.25">
      <c r="A4869" t="s">
        <v>16202</v>
      </c>
      <c r="B4869" t="s">
        <v>6342</v>
      </c>
      <c r="C4869" t="str">
        <f>HYPERLINK("https://nematode.unl.edu/hemicygrc2.jpg")</f>
        <v>https://nematode.unl.edu/hemicygrc2.jpg</v>
      </c>
      <c r="D4869" t="s">
        <v>43</v>
      </c>
      <c r="G4869" t="s">
        <v>96</v>
      </c>
      <c r="H4869" t="s">
        <v>18</v>
      </c>
      <c r="M4869" t="s">
        <v>6338</v>
      </c>
      <c r="N4869" t="s">
        <v>6338</v>
      </c>
      <c r="O4869" t="s">
        <v>23</v>
      </c>
      <c r="P4869" t="s">
        <v>24</v>
      </c>
      <c r="Q4869" t="s">
        <v>6162</v>
      </c>
      <c r="R4869" t="s">
        <v>6206</v>
      </c>
    </row>
    <row r="4870" spans="1:18" x14ac:dyDescent="0.25">
      <c r="A4870" t="s">
        <v>16211</v>
      </c>
      <c r="B4870" t="s">
        <v>6343</v>
      </c>
      <c r="C4870" t="str">
        <f>HYPERLINK("https://nematode.unl.edu/hemicygrc3.jpg")</f>
        <v>https://nematode.unl.edu/hemicygrc3.jpg</v>
      </c>
      <c r="D4870" t="s">
        <v>77</v>
      </c>
      <c r="G4870" t="s">
        <v>181</v>
      </c>
      <c r="M4870" t="s">
        <v>6338</v>
      </c>
      <c r="N4870" t="s">
        <v>6338</v>
      </c>
      <c r="O4870" t="s">
        <v>23</v>
      </c>
      <c r="P4870" t="s">
        <v>24</v>
      </c>
      <c r="Q4870" t="s">
        <v>6162</v>
      </c>
      <c r="R4870" t="s">
        <v>6206</v>
      </c>
    </row>
    <row r="4871" spans="1:18" x14ac:dyDescent="0.25">
      <c r="A4871" t="s">
        <v>16204</v>
      </c>
      <c r="B4871" t="s">
        <v>6344</v>
      </c>
      <c r="C4871" t="str">
        <f>HYPERLINK("https://nematode.unl.edu/hemicygrc4.jpg")</f>
        <v>https://nematode.unl.edu/hemicygrc4.jpg</v>
      </c>
      <c r="D4871" t="s">
        <v>43</v>
      </c>
      <c r="G4871" t="s">
        <v>34</v>
      </c>
      <c r="H4871" t="s">
        <v>18</v>
      </c>
      <c r="I4871" t="s">
        <v>529</v>
      </c>
      <c r="J4871" t="s">
        <v>6337</v>
      </c>
      <c r="M4871" t="s">
        <v>6338</v>
      </c>
      <c r="N4871" t="s">
        <v>6338</v>
      </c>
      <c r="O4871" t="s">
        <v>23</v>
      </c>
      <c r="P4871" t="s">
        <v>24</v>
      </c>
      <c r="Q4871" t="s">
        <v>6162</v>
      </c>
      <c r="R4871" t="s">
        <v>6206</v>
      </c>
    </row>
    <row r="4872" spans="1:18" x14ac:dyDescent="0.25">
      <c r="A4872" t="s">
        <v>16213</v>
      </c>
      <c r="B4872" t="s">
        <v>6345</v>
      </c>
      <c r="C4872" t="str">
        <f>HYPERLINK("https://nematode.unl.edu/hemicygrc5.jpg")</f>
        <v>https://nematode.unl.edu/hemicygrc5.jpg</v>
      </c>
      <c r="D4872" t="s">
        <v>43</v>
      </c>
      <c r="G4872" t="s">
        <v>28</v>
      </c>
      <c r="M4872" t="s">
        <v>6338</v>
      </c>
      <c r="N4872" t="s">
        <v>6338</v>
      </c>
      <c r="O4872" t="s">
        <v>23</v>
      </c>
      <c r="P4872" t="s">
        <v>24</v>
      </c>
      <c r="Q4872" t="s">
        <v>6162</v>
      </c>
      <c r="R4872" t="s">
        <v>6206</v>
      </c>
    </row>
    <row r="4873" spans="1:18" x14ac:dyDescent="0.25">
      <c r="A4873" t="s">
        <v>16207</v>
      </c>
      <c r="B4873" t="s">
        <v>6346</v>
      </c>
      <c r="C4873" t="str">
        <f>HYPERLINK("https://nematode.unl.edu/hemicygrc6.jpg")</f>
        <v>https://nematode.unl.edu/hemicygrc6.jpg</v>
      </c>
      <c r="D4873" t="s">
        <v>43</v>
      </c>
      <c r="G4873" t="s">
        <v>44</v>
      </c>
      <c r="I4873" t="s">
        <v>4020</v>
      </c>
      <c r="J4873" t="s">
        <v>6337</v>
      </c>
      <c r="M4873" t="s">
        <v>6338</v>
      </c>
      <c r="N4873" t="s">
        <v>6338</v>
      </c>
      <c r="O4873" t="s">
        <v>23</v>
      </c>
      <c r="P4873" t="s">
        <v>24</v>
      </c>
      <c r="Q4873" t="s">
        <v>6162</v>
      </c>
      <c r="R4873" t="s">
        <v>6206</v>
      </c>
    </row>
    <row r="4874" spans="1:18" x14ac:dyDescent="0.25">
      <c r="A4874" t="s">
        <v>16208</v>
      </c>
      <c r="B4874" t="s">
        <v>6347</v>
      </c>
      <c r="C4874" t="str">
        <f>HYPERLINK("https://nematode.unl.edu/hemicygrc7.jpg")</f>
        <v>https://nematode.unl.edu/hemicygrc7.jpg</v>
      </c>
      <c r="D4874" t="s">
        <v>43</v>
      </c>
      <c r="G4874" t="s">
        <v>44</v>
      </c>
      <c r="I4874" t="s">
        <v>516</v>
      </c>
      <c r="J4874" t="s">
        <v>6337</v>
      </c>
      <c r="M4874" t="s">
        <v>6338</v>
      </c>
      <c r="N4874" t="s">
        <v>6338</v>
      </c>
      <c r="O4874" t="s">
        <v>23</v>
      </c>
      <c r="P4874" t="s">
        <v>24</v>
      </c>
      <c r="Q4874" t="s">
        <v>6162</v>
      </c>
      <c r="R4874" t="s">
        <v>6206</v>
      </c>
    </row>
    <row r="4875" spans="1:18" x14ac:dyDescent="0.25">
      <c r="A4875" t="s">
        <v>16203</v>
      </c>
      <c r="B4875" t="s">
        <v>6348</v>
      </c>
      <c r="C4875" t="str">
        <f>HYPERLINK("https://nematode.unl.edu/hemicygrc8.jpg")</f>
        <v>https://nematode.unl.edu/hemicygrc8.jpg</v>
      </c>
      <c r="D4875" t="s">
        <v>43</v>
      </c>
      <c r="G4875" t="s">
        <v>96</v>
      </c>
      <c r="H4875" t="s">
        <v>18</v>
      </c>
      <c r="I4875" t="s">
        <v>19</v>
      </c>
      <c r="M4875" t="s">
        <v>6338</v>
      </c>
      <c r="N4875" t="s">
        <v>6338</v>
      </c>
      <c r="O4875" t="s">
        <v>23</v>
      </c>
      <c r="P4875" t="s">
        <v>24</v>
      </c>
      <c r="Q4875" t="s">
        <v>6162</v>
      </c>
      <c r="R4875" t="s">
        <v>6206</v>
      </c>
    </row>
    <row r="4876" spans="1:18" x14ac:dyDescent="0.25">
      <c r="A4876" t="s">
        <v>16212</v>
      </c>
      <c r="B4876" t="s">
        <v>6349</v>
      </c>
      <c r="C4876" t="str">
        <f>HYPERLINK("https://nematode.unl.edu/hemicygrc9.jpg")</f>
        <v>https://nematode.unl.edu/hemicygrc9.jpg</v>
      </c>
      <c r="D4876" t="s">
        <v>43</v>
      </c>
      <c r="G4876" t="s">
        <v>181</v>
      </c>
      <c r="I4876" t="s">
        <v>19</v>
      </c>
      <c r="M4876" t="s">
        <v>6338</v>
      </c>
      <c r="N4876" t="s">
        <v>6338</v>
      </c>
      <c r="O4876" t="s">
        <v>23</v>
      </c>
      <c r="P4876" t="s">
        <v>24</v>
      </c>
      <c r="Q4876" t="s">
        <v>6162</v>
      </c>
      <c r="R4876" t="s">
        <v>6206</v>
      </c>
    </row>
    <row r="4877" spans="1:18" x14ac:dyDescent="0.25">
      <c r="A4877" t="s">
        <v>16128</v>
      </c>
      <c r="B4877" t="s">
        <v>6247</v>
      </c>
      <c r="C4877" t="str">
        <f>HYPERLINK("https://nematode.unl.edu/hemicyno1.jpg")</f>
        <v>https://nematode.unl.edu/hemicyno1.jpg</v>
      </c>
      <c r="D4877" t="s">
        <v>16</v>
      </c>
      <c r="G4877" t="s">
        <v>44</v>
      </c>
      <c r="I4877" t="s">
        <v>19</v>
      </c>
      <c r="J4877" t="s">
        <v>3564</v>
      </c>
      <c r="L4877" t="s">
        <v>6248</v>
      </c>
      <c r="M4877" t="s">
        <v>6206</v>
      </c>
      <c r="N4877" t="s">
        <v>6206</v>
      </c>
      <c r="O4877" t="s">
        <v>23</v>
      </c>
      <c r="P4877" t="s">
        <v>24</v>
      </c>
      <c r="Q4877" t="s">
        <v>6162</v>
      </c>
      <c r="R4877" t="s">
        <v>6206</v>
      </c>
    </row>
    <row r="4878" spans="1:18" x14ac:dyDescent="0.25">
      <c r="A4878" t="s">
        <v>16113</v>
      </c>
      <c r="B4878" t="s">
        <v>6249</v>
      </c>
      <c r="C4878" t="str">
        <f>HYPERLINK("https://nematode.unl.edu/hemicyno2.jpg")</f>
        <v>https://nematode.unl.edu/hemicyno2.jpg</v>
      </c>
      <c r="D4878" t="s">
        <v>16</v>
      </c>
      <c r="G4878" t="s">
        <v>34</v>
      </c>
      <c r="H4878" t="s">
        <v>18</v>
      </c>
      <c r="I4878" t="s">
        <v>41</v>
      </c>
      <c r="M4878" t="s">
        <v>6206</v>
      </c>
      <c r="N4878" t="s">
        <v>6206</v>
      </c>
      <c r="O4878" t="s">
        <v>23</v>
      </c>
      <c r="P4878" t="s">
        <v>24</v>
      </c>
      <c r="Q4878" t="s">
        <v>6162</v>
      </c>
      <c r="R4878" t="s">
        <v>6206</v>
      </c>
    </row>
    <row r="4879" spans="1:18" x14ac:dyDescent="0.25">
      <c r="A4879" t="s">
        <v>16095</v>
      </c>
      <c r="B4879" t="s">
        <v>6250</v>
      </c>
      <c r="C4879" t="str">
        <f>HYPERLINK("https://nematode.unl.edu/hemicyno3.jpg")</f>
        <v>https://nematode.unl.edu/hemicyno3.jpg</v>
      </c>
      <c r="D4879" t="s">
        <v>16</v>
      </c>
      <c r="G4879" t="s">
        <v>96</v>
      </c>
      <c r="H4879" t="s">
        <v>18</v>
      </c>
      <c r="I4879" t="s">
        <v>516</v>
      </c>
      <c r="J4879" t="s">
        <v>3564</v>
      </c>
      <c r="L4879" t="s">
        <v>6248</v>
      </c>
      <c r="M4879" t="s">
        <v>6206</v>
      </c>
      <c r="N4879" t="s">
        <v>6206</v>
      </c>
      <c r="O4879" t="s">
        <v>23</v>
      </c>
      <c r="P4879" t="s">
        <v>24</v>
      </c>
      <c r="Q4879" t="s">
        <v>6162</v>
      </c>
      <c r="R4879" t="s">
        <v>6206</v>
      </c>
    </row>
    <row r="4880" spans="1:18" x14ac:dyDescent="0.25">
      <c r="A4880" t="s">
        <v>16114</v>
      </c>
      <c r="B4880" t="s">
        <v>6251</v>
      </c>
      <c r="C4880" t="str">
        <f>HYPERLINK("https://nematode.unl.edu/hemicyno4.jpg")</f>
        <v>https://nematode.unl.edu/hemicyno4.jpg</v>
      </c>
      <c r="D4880" t="s">
        <v>16</v>
      </c>
      <c r="G4880" t="s">
        <v>34</v>
      </c>
      <c r="H4880" t="s">
        <v>18</v>
      </c>
      <c r="I4880" t="s">
        <v>41</v>
      </c>
      <c r="M4880" t="s">
        <v>6206</v>
      </c>
      <c r="N4880" t="s">
        <v>6206</v>
      </c>
      <c r="O4880" t="s">
        <v>23</v>
      </c>
      <c r="P4880" t="s">
        <v>24</v>
      </c>
      <c r="Q4880" t="s">
        <v>6162</v>
      </c>
      <c r="R4880" t="s">
        <v>6206</v>
      </c>
    </row>
    <row r="4881" spans="1:18" x14ac:dyDescent="0.25">
      <c r="A4881" t="s">
        <v>16129</v>
      </c>
      <c r="B4881" t="s">
        <v>6252</v>
      </c>
      <c r="C4881" t="str">
        <f>HYPERLINK("https://nematode.unl.edu/hemicys1.jpg")</f>
        <v>https://nematode.unl.edu/hemicys1.jpg</v>
      </c>
      <c r="D4881" t="s">
        <v>16</v>
      </c>
      <c r="G4881" t="s">
        <v>44</v>
      </c>
      <c r="I4881" t="s">
        <v>19</v>
      </c>
      <c r="J4881" t="s">
        <v>6253</v>
      </c>
      <c r="L4881" t="s">
        <v>6254</v>
      </c>
      <c r="M4881" t="s">
        <v>6206</v>
      </c>
      <c r="N4881" t="s">
        <v>6206</v>
      </c>
      <c r="O4881" t="s">
        <v>23</v>
      </c>
      <c r="P4881" t="s">
        <v>24</v>
      </c>
      <c r="Q4881" t="s">
        <v>6162</v>
      </c>
      <c r="R4881" t="s">
        <v>6206</v>
      </c>
    </row>
    <row r="4882" spans="1:18" x14ac:dyDescent="0.25">
      <c r="A4882" t="s">
        <v>16096</v>
      </c>
      <c r="B4882" t="s">
        <v>6255</v>
      </c>
      <c r="C4882" t="str">
        <f>HYPERLINK("https://nematode.unl.edu/hemicys2.jpg")</f>
        <v>https://nematode.unl.edu/hemicys2.jpg</v>
      </c>
      <c r="D4882" t="s">
        <v>16</v>
      </c>
      <c r="G4882" t="s">
        <v>96</v>
      </c>
      <c r="H4882" t="s">
        <v>18</v>
      </c>
      <c r="I4882" t="s">
        <v>41</v>
      </c>
      <c r="M4882" t="s">
        <v>6206</v>
      </c>
      <c r="N4882" t="s">
        <v>6206</v>
      </c>
      <c r="O4882" t="s">
        <v>23</v>
      </c>
      <c r="P4882" t="s">
        <v>24</v>
      </c>
      <c r="Q4882" t="s">
        <v>6162</v>
      </c>
      <c r="R4882" t="s">
        <v>6206</v>
      </c>
    </row>
    <row r="4883" spans="1:18" x14ac:dyDescent="0.25">
      <c r="A4883" t="s">
        <v>16156</v>
      </c>
      <c r="B4883" t="s">
        <v>6256</v>
      </c>
      <c r="C4883" t="str">
        <f>HYPERLINK("https://nematode.unl.edu/hemicys3.jpg")</f>
        <v>https://nematode.unl.edu/hemicys3.jpg</v>
      </c>
      <c r="D4883" t="s">
        <v>16</v>
      </c>
      <c r="G4883" t="s">
        <v>181</v>
      </c>
      <c r="I4883" t="s">
        <v>41</v>
      </c>
      <c r="M4883" t="s">
        <v>6206</v>
      </c>
      <c r="N4883" t="s">
        <v>6206</v>
      </c>
      <c r="O4883" t="s">
        <v>23</v>
      </c>
      <c r="P4883" t="s">
        <v>24</v>
      </c>
      <c r="Q4883" t="s">
        <v>6162</v>
      </c>
      <c r="R4883" t="s">
        <v>6206</v>
      </c>
    </row>
    <row r="4884" spans="1:18" x14ac:dyDescent="0.25">
      <c r="A4884" t="s">
        <v>16149</v>
      </c>
      <c r="B4884" t="s">
        <v>6257</v>
      </c>
      <c r="C4884" t="str">
        <f>HYPERLINK("https://nematode.unl.edu/hemicys4.jpg")</f>
        <v>https://nematode.unl.edu/hemicys4.jpg</v>
      </c>
      <c r="D4884" t="s">
        <v>16</v>
      </c>
      <c r="G4884" t="s">
        <v>3111</v>
      </c>
      <c r="I4884" t="s">
        <v>41</v>
      </c>
      <c r="J4884" t="s">
        <v>6253</v>
      </c>
      <c r="L4884" t="s">
        <v>6254</v>
      </c>
      <c r="M4884" t="s">
        <v>6206</v>
      </c>
      <c r="N4884" t="s">
        <v>6206</v>
      </c>
      <c r="O4884" t="s">
        <v>23</v>
      </c>
      <c r="P4884" t="s">
        <v>24</v>
      </c>
      <c r="Q4884" t="s">
        <v>6162</v>
      </c>
      <c r="R4884" t="s">
        <v>6206</v>
      </c>
    </row>
    <row r="4885" spans="1:18" x14ac:dyDescent="0.25">
      <c r="A4885" t="s">
        <v>16130</v>
      </c>
      <c r="B4885" t="s">
        <v>6258</v>
      </c>
      <c r="C4885" t="str">
        <f>HYPERLINK("https://nematode.unl.edu/hemicys5.jpg")</f>
        <v>https://nematode.unl.edu/hemicys5.jpg</v>
      </c>
      <c r="D4885" t="s">
        <v>16</v>
      </c>
      <c r="G4885" t="s">
        <v>44</v>
      </c>
      <c r="I4885" t="s">
        <v>137</v>
      </c>
      <c r="J4885" t="s">
        <v>6253</v>
      </c>
      <c r="L4885" t="s">
        <v>6254</v>
      </c>
      <c r="M4885" t="s">
        <v>6206</v>
      </c>
      <c r="N4885" t="s">
        <v>6206</v>
      </c>
      <c r="O4885" t="s">
        <v>23</v>
      </c>
      <c r="P4885" t="s">
        <v>24</v>
      </c>
      <c r="Q4885" t="s">
        <v>6162</v>
      </c>
      <c r="R4885" t="s">
        <v>6206</v>
      </c>
    </row>
    <row r="4886" spans="1:18" x14ac:dyDescent="0.25">
      <c r="A4886" t="s">
        <v>16097</v>
      </c>
      <c r="B4886" t="s">
        <v>6259</v>
      </c>
      <c r="C4886" t="str">
        <f>HYPERLINK("https://nematode.unl.edu/hemicys6.jpg")</f>
        <v>https://nematode.unl.edu/hemicys6.jpg</v>
      </c>
      <c r="D4886" t="s">
        <v>16</v>
      </c>
      <c r="G4886" t="s">
        <v>96</v>
      </c>
      <c r="H4886" t="s">
        <v>18</v>
      </c>
      <c r="M4886" t="s">
        <v>6206</v>
      </c>
      <c r="N4886" t="s">
        <v>6206</v>
      </c>
      <c r="O4886" t="s">
        <v>23</v>
      </c>
      <c r="P4886" t="s">
        <v>24</v>
      </c>
      <c r="Q4886" t="s">
        <v>6162</v>
      </c>
      <c r="R4886" t="s">
        <v>6206</v>
      </c>
    </row>
    <row r="4887" spans="1:18" x14ac:dyDescent="0.25">
      <c r="A4887" t="s">
        <v>16171</v>
      </c>
      <c r="B4887" t="s">
        <v>6260</v>
      </c>
      <c r="C4887" t="str">
        <f>HYPERLINK("https://nematode.unl.edu/hemicys7.jpg")</f>
        <v>https://nematode.unl.edu/hemicys7.jpg</v>
      </c>
      <c r="D4887" t="s">
        <v>16</v>
      </c>
      <c r="G4887" t="s">
        <v>28</v>
      </c>
      <c r="M4887" t="s">
        <v>6206</v>
      </c>
      <c r="N4887" t="s">
        <v>6206</v>
      </c>
      <c r="O4887" t="s">
        <v>23</v>
      </c>
      <c r="P4887" t="s">
        <v>24</v>
      </c>
      <c r="Q4887" t="s">
        <v>6162</v>
      </c>
      <c r="R4887" t="s">
        <v>6206</v>
      </c>
    </row>
    <row r="4888" spans="1:18" x14ac:dyDescent="0.25">
      <c r="A4888" t="s">
        <v>16150</v>
      </c>
      <c r="B4888" t="s">
        <v>6261</v>
      </c>
      <c r="C4888" t="str">
        <f>HYPERLINK("https://nematode.unl.edu/hemicys8.jpg")</f>
        <v>https://nematode.unl.edu/hemicys8.jpg</v>
      </c>
      <c r="D4888" t="s">
        <v>16</v>
      </c>
      <c r="G4888" t="s">
        <v>3111</v>
      </c>
      <c r="I4888" t="s">
        <v>41</v>
      </c>
      <c r="J4888" t="s">
        <v>6253</v>
      </c>
      <c r="L4888" t="s">
        <v>6254</v>
      </c>
      <c r="M4888" t="s">
        <v>6206</v>
      </c>
      <c r="N4888" t="s">
        <v>6206</v>
      </c>
      <c r="O4888" t="s">
        <v>23</v>
      </c>
      <c r="P4888" t="s">
        <v>24</v>
      </c>
      <c r="Q4888" t="s">
        <v>6162</v>
      </c>
      <c r="R4888" t="s">
        <v>6206</v>
      </c>
    </row>
    <row r="4889" spans="1:18" x14ac:dyDescent="0.25">
      <c r="A4889" t="s">
        <v>16098</v>
      </c>
      <c r="B4889" t="s">
        <v>6262</v>
      </c>
      <c r="C4889" t="str">
        <f>HYPERLINK("https://nematode.unl.edu/hemicyss1.jpg")</f>
        <v>https://nematode.unl.edu/hemicyss1.jpg</v>
      </c>
      <c r="D4889" t="s">
        <v>16</v>
      </c>
      <c r="G4889" t="s">
        <v>96</v>
      </c>
      <c r="H4889" t="s">
        <v>18</v>
      </c>
      <c r="I4889" t="s">
        <v>19</v>
      </c>
      <c r="M4889" t="s">
        <v>6206</v>
      </c>
      <c r="N4889" t="s">
        <v>6206</v>
      </c>
      <c r="O4889" t="s">
        <v>23</v>
      </c>
      <c r="P4889" t="s">
        <v>24</v>
      </c>
      <c r="Q4889" t="s">
        <v>6162</v>
      </c>
      <c r="R4889" t="s">
        <v>6206</v>
      </c>
    </row>
    <row r="4890" spans="1:18" x14ac:dyDescent="0.25">
      <c r="A4890" t="s">
        <v>16157</v>
      </c>
      <c r="B4890" t="s">
        <v>6263</v>
      </c>
      <c r="C4890" t="str">
        <f>HYPERLINK("https://nematode.unl.edu/hemicyss2.jpg")</f>
        <v>https://nematode.unl.edu/hemicyss2.jpg</v>
      </c>
      <c r="D4890" t="s">
        <v>16</v>
      </c>
      <c r="G4890" t="s">
        <v>181</v>
      </c>
      <c r="I4890" t="s">
        <v>19</v>
      </c>
      <c r="L4890" t="s">
        <v>64</v>
      </c>
      <c r="M4890" t="s">
        <v>6206</v>
      </c>
      <c r="N4890" t="s">
        <v>6206</v>
      </c>
      <c r="O4890" t="s">
        <v>23</v>
      </c>
      <c r="P4890" t="s">
        <v>24</v>
      </c>
      <c r="Q4890" t="s">
        <v>6162</v>
      </c>
      <c r="R4890" t="s">
        <v>6206</v>
      </c>
    </row>
    <row r="4891" spans="1:18" x14ac:dyDescent="0.25">
      <c r="A4891" t="s">
        <v>16131</v>
      </c>
      <c r="B4891" t="s">
        <v>6264</v>
      </c>
      <c r="C4891" t="str">
        <f>HYPERLINK("https://nematode.unl.edu/hemidoo1.jpg")</f>
        <v>https://nematode.unl.edu/hemidoo1.jpg</v>
      </c>
      <c r="D4891" t="s">
        <v>16</v>
      </c>
      <c r="G4891" t="s">
        <v>44</v>
      </c>
      <c r="I4891" t="s">
        <v>19</v>
      </c>
      <c r="J4891" t="s">
        <v>6265</v>
      </c>
      <c r="M4891" t="s">
        <v>6206</v>
      </c>
      <c r="N4891" t="s">
        <v>6206</v>
      </c>
      <c r="O4891" t="s">
        <v>23</v>
      </c>
      <c r="P4891" t="s">
        <v>24</v>
      </c>
      <c r="Q4891" t="s">
        <v>6162</v>
      </c>
      <c r="R4891" t="s">
        <v>6206</v>
      </c>
    </row>
    <row r="4892" spans="1:18" x14ac:dyDescent="0.25">
      <c r="A4892" t="s">
        <v>16115</v>
      </c>
      <c r="B4892" t="s">
        <v>6266</v>
      </c>
      <c r="C4892" t="str">
        <f>HYPERLINK("https://nematode.unl.edu/hemidoo2.jpg")</f>
        <v>https://nematode.unl.edu/hemidoo2.jpg</v>
      </c>
      <c r="D4892" t="s">
        <v>16</v>
      </c>
      <c r="G4892" t="s">
        <v>34</v>
      </c>
      <c r="H4892" t="s">
        <v>18</v>
      </c>
      <c r="I4892" t="s">
        <v>529</v>
      </c>
      <c r="J4892" t="s">
        <v>6265</v>
      </c>
      <c r="M4892" t="s">
        <v>6206</v>
      </c>
      <c r="N4892" t="s">
        <v>6206</v>
      </c>
      <c r="O4892" t="s">
        <v>23</v>
      </c>
      <c r="P4892" t="s">
        <v>24</v>
      </c>
      <c r="Q4892" t="s">
        <v>6162</v>
      </c>
      <c r="R4892" t="s">
        <v>6206</v>
      </c>
    </row>
    <row r="4893" spans="1:18" x14ac:dyDescent="0.25">
      <c r="A4893" t="s">
        <v>16172</v>
      </c>
      <c r="B4893" t="s">
        <v>6267</v>
      </c>
      <c r="C4893" t="str">
        <f>HYPERLINK("https://nematode.unl.edu/hemidoo3.jpg")</f>
        <v>https://nematode.unl.edu/hemidoo3.jpg</v>
      </c>
      <c r="D4893" t="s">
        <v>16</v>
      </c>
      <c r="G4893" t="s">
        <v>28</v>
      </c>
      <c r="M4893" t="s">
        <v>6206</v>
      </c>
      <c r="N4893" t="s">
        <v>6206</v>
      </c>
      <c r="O4893" t="s">
        <v>23</v>
      </c>
      <c r="P4893" t="s">
        <v>24</v>
      </c>
      <c r="Q4893" t="s">
        <v>6162</v>
      </c>
      <c r="R4893" t="s">
        <v>6206</v>
      </c>
    </row>
    <row r="4894" spans="1:18" x14ac:dyDescent="0.25">
      <c r="A4894" t="s">
        <v>16151</v>
      </c>
      <c r="B4894" t="s">
        <v>6268</v>
      </c>
      <c r="C4894" t="str">
        <f>HYPERLINK("https://nematode.unl.edu/hemidoo4.jpg")</f>
        <v>https://nematode.unl.edu/hemidoo4.jpg</v>
      </c>
      <c r="D4894" t="s">
        <v>16</v>
      </c>
      <c r="G4894" t="s">
        <v>3111</v>
      </c>
      <c r="I4894" t="s">
        <v>41</v>
      </c>
      <c r="M4894" t="s">
        <v>6206</v>
      </c>
      <c r="N4894" t="s">
        <v>6206</v>
      </c>
      <c r="O4894" t="s">
        <v>23</v>
      </c>
      <c r="P4894" t="s">
        <v>24</v>
      </c>
      <c r="Q4894" t="s">
        <v>6162</v>
      </c>
      <c r="R4894" t="s">
        <v>6206</v>
      </c>
    </row>
    <row r="4895" spans="1:18" x14ac:dyDescent="0.25">
      <c r="A4895" t="s">
        <v>16132</v>
      </c>
      <c r="B4895" t="s">
        <v>6269</v>
      </c>
      <c r="C4895" t="str">
        <f>HYPERLINK("https://nematode.unl.edu/hemigs1.jpg")</f>
        <v>https://nematode.unl.edu/hemigs1.jpg</v>
      </c>
      <c r="D4895" t="s">
        <v>77</v>
      </c>
      <c r="G4895" t="s">
        <v>44</v>
      </c>
      <c r="I4895" t="s">
        <v>516</v>
      </c>
      <c r="J4895" t="s">
        <v>4152</v>
      </c>
      <c r="L4895" t="s">
        <v>6270</v>
      </c>
      <c r="M4895" t="s">
        <v>6206</v>
      </c>
      <c r="N4895" t="s">
        <v>6206</v>
      </c>
      <c r="O4895" t="s">
        <v>23</v>
      </c>
      <c r="P4895" t="s">
        <v>24</v>
      </c>
      <c r="Q4895" t="s">
        <v>6162</v>
      </c>
      <c r="R4895" t="s">
        <v>6206</v>
      </c>
    </row>
    <row r="4896" spans="1:18" x14ac:dyDescent="0.25">
      <c r="A4896" t="s">
        <v>16173</v>
      </c>
      <c r="B4896" t="s">
        <v>6271</v>
      </c>
      <c r="C4896" t="str">
        <f>HYPERLINK("https://nematode.unl.edu/hemigs10.jpg")</f>
        <v>https://nematode.unl.edu/hemigs10.jpg</v>
      </c>
      <c r="D4896" t="s">
        <v>43</v>
      </c>
      <c r="G4896" t="s">
        <v>28</v>
      </c>
      <c r="I4896" t="s">
        <v>529</v>
      </c>
      <c r="J4896" t="s">
        <v>4152</v>
      </c>
      <c r="L4896" t="s">
        <v>6270</v>
      </c>
      <c r="M4896" t="s">
        <v>6206</v>
      </c>
      <c r="N4896" t="s">
        <v>6206</v>
      </c>
      <c r="O4896" t="s">
        <v>23</v>
      </c>
      <c r="P4896" t="s">
        <v>24</v>
      </c>
      <c r="Q4896" t="s">
        <v>6162</v>
      </c>
      <c r="R4896" t="s">
        <v>6206</v>
      </c>
    </row>
    <row r="4897" spans="1:18" x14ac:dyDescent="0.25">
      <c r="A4897" t="s">
        <v>16140</v>
      </c>
      <c r="B4897" t="s">
        <v>6272</v>
      </c>
      <c r="C4897" t="str">
        <f>HYPERLINK("https://nematode.unl.edu/hemigs11.jpg")</f>
        <v>https://nematode.unl.edu/hemigs11.jpg</v>
      </c>
      <c r="D4897" t="s">
        <v>43</v>
      </c>
      <c r="G4897" t="s">
        <v>224</v>
      </c>
      <c r="I4897" t="s">
        <v>41</v>
      </c>
      <c r="M4897" t="s">
        <v>6206</v>
      </c>
      <c r="N4897" t="s">
        <v>6206</v>
      </c>
      <c r="O4897" t="s">
        <v>23</v>
      </c>
      <c r="P4897" t="s">
        <v>24</v>
      </c>
      <c r="Q4897" t="s">
        <v>6162</v>
      </c>
      <c r="R4897" t="s">
        <v>6206</v>
      </c>
    </row>
    <row r="4898" spans="1:18" x14ac:dyDescent="0.25">
      <c r="A4898" t="s">
        <v>16133</v>
      </c>
      <c r="B4898" t="s">
        <v>6273</v>
      </c>
      <c r="C4898" t="str">
        <f>HYPERLINK("https://nematode.unl.edu/hemigs2.jpg")</f>
        <v>https://nematode.unl.edu/hemigs2.jpg</v>
      </c>
      <c r="D4898" t="s">
        <v>77</v>
      </c>
      <c r="G4898" t="s">
        <v>44</v>
      </c>
      <c r="I4898" t="s">
        <v>529</v>
      </c>
      <c r="J4898" t="s">
        <v>4152</v>
      </c>
      <c r="L4898" t="s">
        <v>6270</v>
      </c>
      <c r="M4898" t="s">
        <v>6206</v>
      </c>
      <c r="N4898" t="s">
        <v>6206</v>
      </c>
      <c r="O4898" t="s">
        <v>23</v>
      </c>
      <c r="P4898" t="s">
        <v>24</v>
      </c>
      <c r="Q4898" t="s">
        <v>6162</v>
      </c>
      <c r="R4898" t="s">
        <v>6206</v>
      </c>
    </row>
    <row r="4899" spans="1:18" x14ac:dyDescent="0.25">
      <c r="A4899" t="s">
        <v>16099</v>
      </c>
      <c r="B4899" t="s">
        <v>6274</v>
      </c>
      <c r="C4899" t="str">
        <f>HYPERLINK("https://nematode.unl.edu/hemigs3.jpg")</f>
        <v>https://nematode.unl.edu/hemigs3.jpg</v>
      </c>
      <c r="D4899" t="s">
        <v>77</v>
      </c>
      <c r="G4899" t="s">
        <v>96</v>
      </c>
      <c r="H4899" t="s">
        <v>18</v>
      </c>
      <c r="I4899" t="s">
        <v>41</v>
      </c>
      <c r="J4899" t="s">
        <v>2350</v>
      </c>
      <c r="M4899" t="s">
        <v>6206</v>
      </c>
      <c r="N4899" t="s">
        <v>6206</v>
      </c>
      <c r="O4899" t="s">
        <v>23</v>
      </c>
      <c r="P4899" t="s">
        <v>24</v>
      </c>
      <c r="Q4899" t="s">
        <v>6162</v>
      </c>
      <c r="R4899" t="s">
        <v>6206</v>
      </c>
    </row>
    <row r="4900" spans="1:18" x14ac:dyDescent="0.25">
      <c r="A4900" t="s">
        <v>16174</v>
      </c>
      <c r="B4900" t="s">
        <v>6275</v>
      </c>
      <c r="C4900" t="str">
        <f>HYPERLINK("https://nematode.unl.edu/hemigs4.jpg")</f>
        <v>https://nematode.unl.edu/hemigs4.jpg</v>
      </c>
      <c r="D4900" t="s">
        <v>77</v>
      </c>
      <c r="G4900" t="s">
        <v>28</v>
      </c>
      <c r="J4900" t="s">
        <v>2350</v>
      </c>
      <c r="M4900" t="s">
        <v>6206</v>
      </c>
      <c r="N4900" t="s">
        <v>6206</v>
      </c>
      <c r="O4900" t="s">
        <v>23</v>
      </c>
      <c r="P4900" t="s">
        <v>24</v>
      </c>
      <c r="Q4900" t="s">
        <v>6162</v>
      </c>
      <c r="R4900" t="s">
        <v>6206</v>
      </c>
    </row>
    <row r="4901" spans="1:18" x14ac:dyDescent="0.25">
      <c r="A4901" t="s">
        <v>16162</v>
      </c>
      <c r="B4901" t="s">
        <v>6276</v>
      </c>
      <c r="C4901" t="str">
        <f>HYPERLINK("https://nematode.unl.edu/hemigs5.jpg")</f>
        <v>https://nematode.unl.edu/hemigs5.jpg</v>
      </c>
      <c r="D4901" t="s">
        <v>77</v>
      </c>
      <c r="G4901" t="s">
        <v>112</v>
      </c>
      <c r="J4901" t="s">
        <v>2350</v>
      </c>
      <c r="M4901" t="s">
        <v>6206</v>
      </c>
      <c r="N4901" t="s">
        <v>6206</v>
      </c>
      <c r="O4901" t="s">
        <v>23</v>
      </c>
      <c r="P4901" t="s">
        <v>24</v>
      </c>
      <c r="Q4901" t="s">
        <v>6162</v>
      </c>
      <c r="R4901" t="s">
        <v>6206</v>
      </c>
    </row>
    <row r="4902" spans="1:18" x14ac:dyDescent="0.25">
      <c r="A4902" t="s">
        <v>16100</v>
      </c>
      <c r="B4902" t="s">
        <v>6277</v>
      </c>
      <c r="C4902" t="str">
        <f>HYPERLINK("https://nematode.unl.edu/hemigs6.jpg")</f>
        <v>https://nematode.unl.edu/hemigs6.jpg</v>
      </c>
      <c r="D4902" t="s">
        <v>77</v>
      </c>
      <c r="G4902" t="s">
        <v>96</v>
      </c>
      <c r="H4902" t="s">
        <v>18</v>
      </c>
      <c r="J4902" t="s">
        <v>2350</v>
      </c>
      <c r="M4902" t="s">
        <v>6206</v>
      </c>
      <c r="N4902" t="s">
        <v>6206</v>
      </c>
      <c r="O4902" t="s">
        <v>23</v>
      </c>
      <c r="P4902" t="s">
        <v>24</v>
      </c>
      <c r="Q4902" t="s">
        <v>6162</v>
      </c>
      <c r="R4902" t="s">
        <v>6206</v>
      </c>
    </row>
    <row r="4903" spans="1:18" x14ac:dyDescent="0.25">
      <c r="A4903" t="s">
        <v>16152</v>
      </c>
      <c r="B4903" t="s">
        <v>6278</v>
      </c>
      <c r="C4903" t="str">
        <f>HYPERLINK("https://nematode.unl.edu/hemigs7.jpg")</f>
        <v>https://nematode.unl.edu/hemigs7.jpg</v>
      </c>
      <c r="D4903" t="s">
        <v>77</v>
      </c>
      <c r="G4903" t="s">
        <v>6279</v>
      </c>
      <c r="I4903" t="s">
        <v>41</v>
      </c>
      <c r="J4903" t="s">
        <v>4152</v>
      </c>
      <c r="L4903" t="s">
        <v>6270</v>
      </c>
      <c r="M4903" t="s">
        <v>6206</v>
      </c>
      <c r="N4903" t="s">
        <v>6206</v>
      </c>
      <c r="O4903" t="s">
        <v>23</v>
      </c>
      <c r="P4903" t="s">
        <v>24</v>
      </c>
      <c r="Q4903" t="s">
        <v>6162</v>
      </c>
      <c r="R4903" t="s">
        <v>6206</v>
      </c>
    </row>
    <row r="4904" spans="1:18" x14ac:dyDescent="0.25">
      <c r="A4904" t="s">
        <v>16134</v>
      </c>
      <c r="B4904" t="s">
        <v>6280</v>
      </c>
      <c r="C4904" t="str">
        <f>HYPERLINK("https://nematode.unl.edu/hemigs8.jpg")</f>
        <v>https://nematode.unl.edu/hemigs8.jpg</v>
      </c>
      <c r="D4904" t="s">
        <v>43</v>
      </c>
      <c r="G4904" t="s">
        <v>44</v>
      </c>
      <c r="I4904" t="s">
        <v>19</v>
      </c>
      <c r="J4904" t="s">
        <v>4152</v>
      </c>
      <c r="L4904" t="s">
        <v>6270</v>
      </c>
      <c r="M4904" t="s">
        <v>6206</v>
      </c>
      <c r="N4904" t="s">
        <v>6206</v>
      </c>
      <c r="O4904" t="s">
        <v>23</v>
      </c>
      <c r="P4904" t="s">
        <v>24</v>
      </c>
      <c r="Q4904" t="s">
        <v>6162</v>
      </c>
      <c r="R4904" t="s">
        <v>6206</v>
      </c>
    </row>
    <row r="4905" spans="1:18" x14ac:dyDescent="0.25">
      <c r="A4905" t="s">
        <v>16116</v>
      </c>
      <c r="B4905" t="s">
        <v>6281</v>
      </c>
      <c r="C4905" t="str">
        <f>HYPERLINK("https://nematode.unl.edu/hemigs9.jpg")</f>
        <v>https://nematode.unl.edu/hemigs9.jpg</v>
      </c>
      <c r="D4905" t="s">
        <v>43</v>
      </c>
      <c r="G4905" t="s">
        <v>34</v>
      </c>
      <c r="H4905" t="s">
        <v>18</v>
      </c>
      <c r="J4905" t="s">
        <v>2350</v>
      </c>
      <c r="M4905" t="s">
        <v>6206</v>
      </c>
      <c r="N4905" t="s">
        <v>6206</v>
      </c>
      <c r="O4905" t="s">
        <v>23</v>
      </c>
      <c r="P4905" t="s">
        <v>24</v>
      </c>
      <c r="Q4905" t="s">
        <v>6162</v>
      </c>
      <c r="R4905" t="s">
        <v>6206</v>
      </c>
    </row>
    <row r="4906" spans="1:18" x14ac:dyDescent="0.25">
      <c r="A4906" t="s">
        <v>16101</v>
      </c>
      <c r="B4906" t="s">
        <v>6282</v>
      </c>
      <c r="C4906" t="str">
        <f>HYPERLINK("https://nematode.unl.edu/hemijd1.jpg")</f>
        <v>https://nematode.unl.edu/hemijd1.jpg</v>
      </c>
      <c r="D4906" t="s">
        <v>43</v>
      </c>
      <c r="G4906" t="s">
        <v>96</v>
      </c>
      <c r="H4906" t="s">
        <v>18</v>
      </c>
      <c r="J4906" t="s">
        <v>4654</v>
      </c>
      <c r="M4906" t="s">
        <v>6206</v>
      </c>
      <c r="N4906" t="s">
        <v>6206</v>
      </c>
      <c r="O4906" t="s">
        <v>23</v>
      </c>
      <c r="P4906" t="s">
        <v>24</v>
      </c>
      <c r="Q4906" t="s">
        <v>6162</v>
      </c>
      <c r="R4906" t="s">
        <v>6206</v>
      </c>
    </row>
    <row r="4907" spans="1:18" x14ac:dyDescent="0.25">
      <c r="A4907" t="s">
        <v>16117</v>
      </c>
      <c r="B4907" t="s">
        <v>6283</v>
      </c>
      <c r="C4907" t="str">
        <f>HYPERLINK("https://nematode.unl.edu/hemijd10.jpg")</f>
        <v>https://nematode.unl.edu/hemijd10.jpg</v>
      </c>
      <c r="D4907" t="s">
        <v>43</v>
      </c>
      <c r="G4907" t="s">
        <v>34</v>
      </c>
      <c r="H4907" t="s">
        <v>18</v>
      </c>
      <c r="I4907" t="s">
        <v>19</v>
      </c>
      <c r="J4907" t="s">
        <v>6284</v>
      </c>
      <c r="L4907" t="s">
        <v>6285</v>
      </c>
      <c r="M4907" t="s">
        <v>6206</v>
      </c>
      <c r="N4907" t="s">
        <v>6206</v>
      </c>
      <c r="O4907" t="s">
        <v>23</v>
      </c>
      <c r="P4907" t="s">
        <v>24</v>
      </c>
      <c r="Q4907" t="s">
        <v>6162</v>
      </c>
      <c r="R4907" t="s">
        <v>6206</v>
      </c>
    </row>
    <row r="4908" spans="1:18" x14ac:dyDescent="0.25">
      <c r="A4908" t="s">
        <v>16175</v>
      </c>
      <c r="B4908" t="s">
        <v>6286</v>
      </c>
      <c r="C4908" t="str">
        <f>HYPERLINK("https://nematode.unl.edu/hemijd11.jpg")</f>
        <v>https://nematode.unl.edu/hemijd11.jpg</v>
      </c>
      <c r="D4908" t="s">
        <v>43</v>
      </c>
      <c r="G4908" t="s">
        <v>28</v>
      </c>
      <c r="I4908" t="s">
        <v>516</v>
      </c>
      <c r="J4908" t="s">
        <v>6284</v>
      </c>
      <c r="L4908" t="s">
        <v>6285</v>
      </c>
      <c r="M4908" t="s">
        <v>6206</v>
      </c>
      <c r="N4908" t="s">
        <v>6206</v>
      </c>
      <c r="O4908" t="s">
        <v>23</v>
      </c>
      <c r="P4908" t="s">
        <v>24</v>
      </c>
      <c r="Q4908" t="s">
        <v>6162</v>
      </c>
      <c r="R4908" t="s">
        <v>6206</v>
      </c>
    </row>
    <row r="4909" spans="1:18" x14ac:dyDescent="0.25">
      <c r="A4909" t="s">
        <v>16141</v>
      </c>
      <c r="B4909" t="s">
        <v>6287</v>
      </c>
      <c r="C4909" t="str">
        <f>HYPERLINK("https://nematode.unl.edu/hemijd12.jpg")</f>
        <v>https://nematode.unl.edu/hemijd12.jpg</v>
      </c>
      <c r="D4909" t="s">
        <v>43</v>
      </c>
      <c r="G4909" t="s">
        <v>224</v>
      </c>
      <c r="J4909" t="s">
        <v>4654</v>
      </c>
      <c r="M4909" t="s">
        <v>6206</v>
      </c>
      <c r="N4909" t="s">
        <v>6206</v>
      </c>
      <c r="O4909" t="s">
        <v>23</v>
      </c>
      <c r="P4909" t="s">
        <v>24</v>
      </c>
      <c r="Q4909" t="s">
        <v>6162</v>
      </c>
      <c r="R4909" t="s">
        <v>6206</v>
      </c>
    </row>
    <row r="4910" spans="1:18" x14ac:dyDescent="0.25">
      <c r="A4910" t="s">
        <v>16135</v>
      </c>
      <c r="B4910" t="s">
        <v>6288</v>
      </c>
      <c r="C4910" t="str">
        <f>HYPERLINK("https://nematode.unl.edu/hemijd13.jpg")</f>
        <v>https://nematode.unl.edu/hemijd13.jpg</v>
      </c>
      <c r="D4910" t="s">
        <v>43</v>
      </c>
      <c r="G4910" t="s">
        <v>44</v>
      </c>
      <c r="I4910" t="s">
        <v>19</v>
      </c>
      <c r="J4910" t="s">
        <v>6284</v>
      </c>
      <c r="L4910" t="s">
        <v>6285</v>
      </c>
      <c r="M4910" t="s">
        <v>6206</v>
      </c>
      <c r="N4910" t="s">
        <v>6206</v>
      </c>
      <c r="O4910" t="s">
        <v>23</v>
      </c>
      <c r="P4910" t="s">
        <v>24</v>
      </c>
      <c r="Q4910" t="s">
        <v>6162</v>
      </c>
      <c r="R4910" t="s">
        <v>6206</v>
      </c>
    </row>
    <row r="4911" spans="1:18" x14ac:dyDescent="0.25">
      <c r="A4911" t="s">
        <v>16136</v>
      </c>
      <c r="B4911" t="s">
        <v>6289</v>
      </c>
      <c r="C4911" t="str">
        <f>HYPERLINK("https://nematode.unl.edu/hemijd14.jpg")</f>
        <v>https://nematode.unl.edu/hemijd14.jpg</v>
      </c>
      <c r="D4911" t="s">
        <v>43</v>
      </c>
      <c r="G4911" t="s">
        <v>44</v>
      </c>
      <c r="I4911" t="s">
        <v>41</v>
      </c>
      <c r="J4911" t="s">
        <v>6284</v>
      </c>
      <c r="L4911" t="s">
        <v>6285</v>
      </c>
      <c r="M4911" t="s">
        <v>6206</v>
      </c>
      <c r="N4911" t="s">
        <v>6206</v>
      </c>
      <c r="O4911" t="s">
        <v>23</v>
      </c>
      <c r="P4911" t="s">
        <v>24</v>
      </c>
      <c r="Q4911" t="s">
        <v>6162</v>
      </c>
      <c r="R4911" t="s">
        <v>6206</v>
      </c>
    </row>
    <row r="4912" spans="1:18" x14ac:dyDescent="0.25">
      <c r="A4912" t="s">
        <v>16118</v>
      </c>
      <c r="B4912" t="s">
        <v>6290</v>
      </c>
      <c r="C4912" t="str">
        <f>HYPERLINK("https://nematode.unl.edu/hemijd15.jpg")</f>
        <v>https://nematode.unl.edu/hemijd15.jpg</v>
      </c>
      <c r="D4912" t="s">
        <v>43</v>
      </c>
      <c r="G4912" t="s">
        <v>34</v>
      </c>
      <c r="H4912" t="s">
        <v>18</v>
      </c>
      <c r="I4912" t="s">
        <v>41</v>
      </c>
      <c r="J4912" t="s">
        <v>4654</v>
      </c>
      <c r="M4912" t="s">
        <v>6206</v>
      </c>
      <c r="N4912" t="s">
        <v>6206</v>
      </c>
      <c r="O4912" t="s">
        <v>23</v>
      </c>
      <c r="P4912" t="s">
        <v>24</v>
      </c>
      <c r="Q4912" t="s">
        <v>6162</v>
      </c>
      <c r="R4912" t="s">
        <v>6206</v>
      </c>
    </row>
    <row r="4913" spans="1:18" x14ac:dyDescent="0.25">
      <c r="A4913" t="s">
        <v>16176</v>
      </c>
      <c r="B4913" t="s">
        <v>6291</v>
      </c>
      <c r="C4913" t="str">
        <f>HYPERLINK("https://nematode.unl.edu/hemijd16.jpg")</f>
        <v>https://nematode.unl.edu/hemijd16.jpg</v>
      </c>
      <c r="D4913" t="s">
        <v>43</v>
      </c>
      <c r="G4913" t="s">
        <v>28</v>
      </c>
      <c r="I4913" t="s">
        <v>41</v>
      </c>
      <c r="J4913" t="s">
        <v>4654</v>
      </c>
      <c r="M4913" t="s">
        <v>6206</v>
      </c>
      <c r="N4913" t="s">
        <v>6206</v>
      </c>
      <c r="O4913" t="s">
        <v>23</v>
      </c>
      <c r="P4913" t="s">
        <v>24</v>
      </c>
      <c r="Q4913" t="s">
        <v>6162</v>
      </c>
      <c r="R4913" t="s">
        <v>6206</v>
      </c>
    </row>
    <row r="4914" spans="1:18" x14ac:dyDescent="0.25">
      <c r="A4914" t="s">
        <v>16177</v>
      </c>
      <c r="B4914" t="s">
        <v>6292</v>
      </c>
      <c r="C4914" t="str">
        <f>HYPERLINK("https://nematode.unl.edu/hemijd2.jpg")</f>
        <v>https://nematode.unl.edu/hemijd2.jpg</v>
      </c>
      <c r="D4914" t="s">
        <v>43</v>
      </c>
      <c r="G4914" t="s">
        <v>28</v>
      </c>
      <c r="I4914" t="s">
        <v>19</v>
      </c>
      <c r="J4914" t="s">
        <v>6284</v>
      </c>
      <c r="L4914" t="s">
        <v>6285</v>
      </c>
      <c r="M4914" t="s">
        <v>6206</v>
      </c>
      <c r="N4914" t="s">
        <v>6206</v>
      </c>
      <c r="O4914" t="s">
        <v>23</v>
      </c>
      <c r="P4914" t="s">
        <v>24</v>
      </c>
      <c r="Q4914" t="s">
        <v>6162</v>
      </c>
      <c r="R4914" t="s">
        <v>6206</v>
      </c>
    </row>
    <row r="4915" spans="1:18" x14ac:dyDescent="0.25">
      <c r="A4915" t="s">
        <v>16142</v>
      </c>
      <c r="B4915" t="s">
        <v>6293</v>
      </c>
      <c r="C4915" t="str">
        <f>HYPERLINK("https://nematode.unl.edu/hemijd3.jpg")</f>
        <v>https://nematode.unl.edu/hemijd3.jpg</v>
      </c>
      <c r="D4915" t="s">
        <v>43</v>
      </c>
      <c r="G4915" t="s">
        <v>224</v>
      </c>
      <c r="I4915" t="s">
        <v>19</v>
      </c>
      <c r="J4915" t="s">
        <v>4654</v>
      </c>
      <c r="M4915" t="s">
        <v>6206</v>
      </c>
      <c r="N4915" t="s">
        <v>6206</v>
      </c>
      <c r="O4915" t="s">
        <v>23</v>
      </c>
      <c r="P4915" t="s">
        <v>24</v>
      </c>
      <c r="Q4915" t="s">
        <v>6162</v>
      </c>
      <c r="R4915" t="s">
        <v>6206</v>
      </c>
    </row>
    <row r="4916" spans="1:18" x14ac:dyDescent="0.25">
      <c r="A4916" t="s">
        <v>16102</v>
      </c>
      <c r="B4916" t="s">
        <v>6294</v>
      </c>
      <c r="C4916" t="str">
        <f>HYPERLINK("https://nematode.unl.edu/hemijd4.jpg")</f>
        <v>https://nematode.unl.edu/hemijd4.jpg</v>
      </c>
      <c r="D4916" t="s">
        <v>43</v>
      </c>
      <c r="G4916" t="s">
        <v>96</v>
      </c>
      <c r="H4916" t="s">
        <v>18</v>
      </c>
      <c r="J4916" t="s">
        <v>4654</v>
      </c>
      <c r="M4916" t="s">
        <v>6206</v>
      </c>
      <c r="N4916" t="s">
        <v>6206</v>
      </c>
      <c r="O4916" t="s">
        <v>23</v>
      </c>
      <c r="P4916" t="s">
        <v>24</v>
      </c>
      <c r="Q4916" t="s">
        <v>6162</v>
      </c>
      <c r="R4916" t="s">
        <v>6206</v>
      </c>
    </row>
    <row r="4917" spans="1:18" x14ac:dyDescent="0.25">
      <c r="A4917" t="s">
        <v>16178</v>
      </c>
      <c r="B4917" t="s">
        <v>6295</v>
      </c>
      <c r="C4917" t="str">
        <f>HYPERLINK("https://nematode.unl.edu/hemijd5.jpg")</f>
        <v>https://nematode.unl.edu/hemijd5.jpg</v>
      </c>
      <c r="D4917" t="s">
        <v>43</v>
      </c>
      <c r="G4917" t="s">
        <v>28</v>
      </c>
      <c r="J4917" t="s">
        <v>4654</v>
      </c>
      <c r="M4917" t="s">
        <v>6206</v>
      </c>
      <c r="N4917" t="s">
        <v>6206</v>
      </c>
      <c r="O4917" t="s">
        <v>23</v>
      </c>
      <c r="P4917" t="s">
        <v>24</v>
      </c>
      <c r="Q4917" t="s">
        <v>6162</v>
      </c>
      <c r="R4917" t="s">
        <v>6206</v>
      </c>
    </row>
    <row r="4918" spans="1:18" x14ac:dyDescent="0.25">
      <c r="A4918" t="s">
        <v>16143</v>
      </c>
      <c r="B4918" t="s">
        <v>6296</v>
      </c>
      <c r="C4918" t="str">
        <f>HYPERLINK("https://nematode.unl.edu/hemijd6.jpg")</f>
        <v>https://nematode.unl.edu/hemijd6.jpg</v>
      </c>
      <c r="D4918" t="s">
        <v>43</v>
      </c>
      <c r="G4918" t="s">
        <v>224</v>
      </c>
      <c r="I4918" t="s">
        <v>41</v>
      </c>
      <c r="J4918" t="s">
        <v>6284</v>
      </c>
      <c r="L4918" t="s">
        <v>6285</v>
      </c>
      <c r="M4918" t="s">
        <v>6206</v>
      </c>
      <c r="N4918" t="s">
        <v>6206</v>
      </c>
      <c r="O4918" t="s">
        <v>23</v>
      </c>
      <c r="P4918" t="s">
        <v>24</v>
      </c>
      <c r="Q4918" t="s">
        <v>6162</v>
      </c>
      <c r="R4918" t="s">
        <v>6206</v>
      </c>
    </row>
    <row r="4919" spans="1:18" x14ac:dyDescent="0.25">
      <c r="A4919" t="s">
        <v>16119</v>
      </c>
      <c r="B4919" t="s">
        <v>6297</v>
      </c>
      <c r="C4919" t="str">
        <f>HYPERLINK("https://nematode.unl.edu/hemijd7.jpg")</f>
        <v>https://nematode.unl.edu/hemijd7.jpg</v>
      </c>
      <c r="D4919" t="s">
        <v>43</v>
      </c>
      <c r="G4919" t="s">
        <v>34</v>
      </c>
      <c r="H4919" t="s">
        <v>18</v>
      </c>
      <c r="I4919" t="s">
        <v>19</v>
      </c>
      <c r="J4919" t="s">
        <v>6284</v>
      </c>
      <c r="L4919" t="s">
        <v>6285</v>
      </c>
      <c r="M4919" t="s">
        <v>6206</v>
      </c>
      <c r="N4919" t="s">
        <v>6206</v>
      </c>
      <c r="O4919" t="s">
        <v>23</v>
      </c>
      <c r="P4919" t="s">
        <v>24</v>
      </c>
      <c r="Q4919" t="s">
        <v>6162</v>
      </c>
      <c r="R4919" t="s">
        <v>6206</v>
      </c>
    </row>
    <row r="4920" spans="1:18" x14ac:dyDescent="0.25">
      <c r="A4920" t="s">
        <v>16146</v>
      </c>
      <c r="B4920" t="s">
        <v>6298</v>
      </c>
      <c r="C4920" t="str">
        <f>HYPERLINK("https://nematode.unl.edu/hemijd8.jpg")</f>
        <v>https://nematode.unl.edu/hemijd8.jpg</v>
      </c>
      <c r="D4920" t="s">
        <v>43</v>
      </c>
      <c r="G4920" t="s">
        <v>6234</v>
      </c>
      <c r="I4920" t="s">
        <v>19</v>
      </c>
      <c r="J4920" t="s">
        <v>6284</v>
      </c>
      <c r="L4920" t="s">
        <v>6285</v>
      </c>
      <c r="M4920" t="s">
        <v>6206</v>
      </c>
      <c r="N4920" t="s">
        <v>6206</v>
      </c>
      <c r="O4920" t="s">
        <v>23</v>
      </c>
      <c r="P4920" t="s">
        <v>24</v>
      </c>
      <c r="Q4920" t="s">
        <v>6162</v>
      </c>
      <c r="R4920" t="s">
        <v>6206</v>
      </c>
    </row>
    <row r="4921" spans="1:18" x14ac:dyDescent="0.25">
      <c r="A4921" t="s">
        <v>16179</v>
      </c>
      <c r="B4921" t="s">
        <v>6299</v>
      </c>
      <c r="C4921" t="str">
        <f>HYPERLINK("https://nematode.unl.edu/hemijd9.jpg")</f>
        <v>https://nematode.unl.edu/hemijd9.jpg</v>
      </c>
      <c r="D4921" t="s">
        <v>43</v>
      </c>
      <c r="G4921" t="s">
        <v>28</v>
      </c>
      <c r="I4921" t="s">
        <v>19</v>
      </c>
      <c r="J4921" t="s">
        <v>6284</v>
      </c>
      <c r="L4921" t="s">
        <v>6285</v>
      </c>
      <c r="M4921" t="s">
        <v>6206</v>
      </c>
      <c r="N4921" t="s">
        <v>6206</v>
      </c>
      <c r="O4921" t="s">
        <v>23</v>
      </c>
      <c r="P4921" t="s">
        <v>24</v>
      </c>
      <c r="Q4921" t="s">
        <v>6162</v>
      </c>
      <c r="R4921" t="s">
        <v>6206</v>
      </c>
    </row>
    <row r="4922" spans="1:18" x14ac:dyDescent="0.25">
      <c r="A4922" t="s">
        <v>16137</v>
      </c>
      <c r="B4922" t="s">
        <v>6300</v>
      </c>
      <c r="C4922" t="str">
        <f>HYPERLINK("https://nematode.unl.edu/hemitenn1.jpg")</f>
        <v>https://nematode.unl.edu/hemitenn1.jpg</v>
      </c>
      <c r="D4922" t="s">
        <v>43</v>
      </c>
      <c r="G4922" t="s">
        <v>44</v>
      </c>
      <c r="I4922" t="s">
        <v>516</v>
      </c>
      <c r="J4922" t="s">
        <v>6301</v>
      </c>
      <c r="L4922" t="s">
        <v>6302</v>
      </c>
      <c r="M4922" t="s">
        <v>6206</v>
      </c>
      <c r="N4922" t="s">
        <v>6206</v>
      </c>
      <c r="O4922" t="s">
        <v>23</v>
      </c>
      <c r="P4922" t="s">
        <v>24</v>
      </c>
      <c r="Q4922" t="s">
        <v>6162</v>
      </c>
      <c r="R4922" t="s">
        <v>6206</v>
      </c>
    </row>
    <row r="4923" spans="1:18" x14ac:dyDescent="0.25">
      <c r="A4923" t="s">
        <v>16120</v>
      </c>
      <c r="B4923" t="s">
        <v>6303</v>
      </c>
      <c r="C4923" t="str">
        <f>HYPERLINK("https://nematode.unl.edu/hemitenn10.jpg")</f>
        <v>https://nematode.unl.edu/hemitenn10.jpg</v>
      </c>
      <c r="D4923" t="s">
        <v>16</v>
      </c>
      <c r="G4923" t="s">
        <v>34</v>
      </c>
      <c r="H4923" t="s">
        <v>18</v>
      </c>
      <c r="M4923" t="s">
        <v>6206</v>
      </c>
      <c r="N4923" t="s">
        <v>6206</v>
      </c>
      <c r="O4923" t="s">
        <v>23</v>
      </c>
      <c r="P4923" t="s">
        <v>24</v>
      </c>
      <c r="Q4923" t="s">
        <v>6162</v>
      </c>
      <c r="R4923" t="s">
        <v>6206</v>
      </c>
    </row>
    <row r="4924" spans="1:18" x14ac:dyDescent="0.25">
      <c r="A4924" t="s">
        <v>16180</v>
      </c>
      <c r="B4924" t="s">
        <v>6304</v>
      </c>
      <c r="C4924" t="str">
        <f>HYPERLINK("https://nematode.unl.edu/hemitenn11.jpg")</f>
        <v>https://nematode.unl.edu/hemitenn11.jpg</v>
      </c>
      <c r="D4924" t="s">
        <v>16</v>
      </c>
      <c r="G4924" t="s">
        <v>28</v>
      </c>
      <c r="M4924" t="s">
        <v>6206</v>
      </c>
      <c r="N4924" t="s">
        <v>6206</v>
      </c>
      <c r="O4924" t="s">
        <v>23</v>
      </c>
      <c r="P4924" t="s">
        <v>24</v>
      </c>
      <c r="Q4924" t="s">
        <v>6162</v>
      </c>
      <c r="R4924" t="s">
        <v>6206</v>
      </c>
    </row>
    <row r="4925" spans="1:18" x14ac:dyDescent="0.25">
      <c r="A4925" t="s">
        <v>16138</v>
      </c>
      <c r="B4925" t="s">
        <v>6305</v>
      </c>
      <c r="C4925" t="str">
        <f>HYPERLINK("https://nematode.unl.edu/hemitenn12.jpg")</f>
        <v>https://nematode.unl.edu/hemitenn12.jpg</v>
      </c>
      <c r="D4925" t="s">
        <v>16</v>
      </c>
      <c r="G4925" t="s">
        <v>44</v>
      </c>
      <c r="I4925" t="s">
        <v>19</v>
      </c>
      <c r="J4925" t="s">
        <v>6301</v>
      </c>
      <c r="L4925" t="s">
        <v>6302</v>
      </c>
      <c r="M4925" t="s">
        <v>6206</v>
      </c>
      <c r="N4925" t="s">
        <v>6206</v>
      </c>
      <c r="O4925" t="s">
        <v>23</v>
      </c>
      <c r="P4925" t="s">
        <v>24</v>
      </c>
      <c r="Q4925" t="s">
        <v>6162</v>
      </c>
      <c r="R4925" t="s">
        <v>6206</v>
      </c>
    </row>
    <row r="4926" spans="1:18" x14ac:dyDescent="0.25">
      <c r="A4926" t="s">
        <v>16121</v>
      </c>
      <c r="B4926" t="s">
        <v>6306</v>
      </c>
      <c r="C4926" t="str">
        <f>HYPERLINK("https://nematode.unl.edu/hemitenn13.jpg")</f>
        <v>https://nematode.unl.edu/hemitenn13.jpg</v>
      </c>
      <c r="D4926" t="s">
        <v>16</v>
      </c>
      <c r="G4926" t="s">
        <v>34</v>
      </c>
      <c r="H4926" t="s">
        <v>18</v>
      </c>
      <c r="I4926" t="s">
        <v>41</v>
      </c>
      <c r="J4926" t="s">
        <v>6301</v>
      </c>
      <c r="L4926" t="s">
        <v>6302</v>
      </c>
      <c r="M4926" t="s">
        <v>6206</v>
      </c>
      <c r="N4926" t="s">
        <v>6206</v>
      </c>
      <c r="O4926" t="s">
        <v>23</v>
      </c>
      <c r="P4926" t="s">
        <v>24</v>
      </c>
      <c r="Q4926" t="s">
        <v>6162</v>
      </c>
      <c r="R4926" t="s">
        <v>6206</v>
      </c>
    </row>
    <row r="4927" spans="1:18" x14ac:dyDescent="0.25">
      <c r="A4927" t="s">
        <v>16181</v>
      </c>
      <c r="B4927" t="s">
        <v>6307</v>
      </c>
      <c r="C4927" t="str">
        <f>HYPERLINK("https://nematode.unl.edu/hemitenn14.jpg")</f>
        <v>https://nematode.unl.edu/hemitenn14.jpg</v>
      </c>
      <c r="D4927" t="s">
        <v>16</v>
      </c>
      <c r="G4927" t="s">
        <v>28</v>
      </c>
      <c r="I4927" t="s">
        <v>41</v>
      </c>
      <c r="M4927" t="s">
        <v>6206</v>
      </c>
      <c r="N4927" t="s">
        <v>6206</v>
      </c>
      <c r="O4927" t="s">
        <v>23</v>
      </c>
      <c r="P4927" t="s">
        <v>24</v>
      </c>
      <c r="Q4927" t="s">
        <v>6162</v>
      </c>
      <c r="R4927" t="s">
        <v>6206</v>
      </c>
    </row>
    <row r="4928" spans="1:18" x14ac:dyDescent="0.25">
      <c r="A4928" t="s">
        <v>16103</v>
      </c>
      <c r="B4928" t="s">
        <v>6308</v>
      </c>
      <c r="C4928" t="str">
        <f>HYPERLINK("https://nematode.unl.edu/hemitenn15.jpg")</f>
        <v>https://nematode.unl.edu/hemitenn15.jpg</v>
      </c>
      <c r="D4928" t="s">
        <v>16</v>
      </c>
      <c r="G4928" t="s">
        <v>96</v>
      </c>
      <c r="H4928" t="s">
        <v>18</v>
      </c>
      <c r="I4928" t="s">
        <v>41</v>
      </c>
      <c r="M4928" t="s">
        <v>6206</v>
      </c>
      <c r="N4928" t="s">
        <v>6206</v>
      </c>
      <c r="O4928" t="s">
        <v>23</v>
      </c>
      <c r="P4928" t="s">
        <v>24</v>
      </c>
      <c r="Q4928" t="s">
        <v>6162</v>
      </c>
      <c r="R4928" t="s">
        <v>6206</v>
      </c>
    </row>
    <row r="4929" spans="1:18" x14ac:dyDescent="0.25">
      <c r="A4929" t="s">
        <v>16122</v>
      </c>
      <c r="B4929" t="s">
        <v>6309</v>
      </c>
      <c r="C4929" t="str">
        <f>HYPERLINK("https://nematode.unl.edu/hemitenn2.jpg")</f>
        <v>https://nematode.unl.edu/hemitenn2.jpg</v>
      </c>
      <c r="D4929" t="s">
        <v>43</v>
      </c>
      <c r="G4929" t="s">
        <v>34</v>
      </c>
      <c r="H4929" t="s">
        <v>18</v>
      </c>
      <c r="M4929" t="s">
        <v>6206</v>
      </c>
      <c r="N4929" t="s">
        <v>6206</v>
      </c>
      <c r="O4929" t="s">
        <v>23</v>
      </c>
      <c r="P4929" t="s">
        <v>24</v>
      </c>
      <c r="Q4929" t="s">
        <v>6162</v>
      </c>
      <c r="R4929" t="s">
        <v>6206</v>
      </c>
    </row>
    <row r="4930" spans="1:18" x14ac:dyDescent="0.25">
      <c r="A4930" t="s">
        <v>16161</v>
      </c>
      <c r="B4930" t="s">
        <v>6310</v>
      </c>
      <c r="C4930" t="str">
        <f>HYPERLINK("https://nematode.unl.edu/hemitenn3.jpg")</f>
        <v>https://nematode.unl.edu/hemitenn3.jpg</v>
      </c>
      <c r="D4930" t="s">
        <v>43</v>
      </c>
      <c r="G4930" t="s">
        <v>674</v>
      </c>
      <c r="I4930" t="s">
        <v>41</v>
      </c>
      <c r="J4930" t="s">
        <v>6301</v>
      </c>
      <c r="L4930" t="s">
        <v>6302</v>
      </c>
      <c r="M4930" t="s">
        <v>6206</v>
      </c>
      <c r="N4930" t="s">
        <v>6206</v>
      </c>
      <c r="O4930" t="s">
        <v>23</v>
      </c>
      <c r="P4930" t="s">
        <v>24</v>
      </c>
      <c r="Q4930" t="s">
        <v>6162</v>
      </c>
      <c r="R4930" t="s">
        <v>6206</v>
      </c>
    </row>
    <row r="4931" spans="1:18" x14ac:dyDescent="0.25">
      <c r="A4931" t="s">
        <v>16182</v>
      </c>
      <c r="B4931" t="s">
        <v>6311</v>
      </c>
      <c r="C4931" t="str">
        <f>HYPERLINK("https://nematode.unl.edu/hemitenn4.jpg")</f>
        <v>https://nematode.unl.edu/hemitenn4.jpg</v>
      </c>
      <c r="D4931" t="s">
        <v>43</v>
      </c>
      <c r="G4931" t="s">
        <v>28</v>
      </c>
      <c r="M4931" t="s">
        <v>6206</v>
      </c>
      <c r="N4931" t="s">
        <v>6206</v>
      </c>
      <c r="O4931" t="s">
        <v>23</v>
      </c>
      <c r="P4931" t="s">
        <v>24</v>
      </c>
      <c r="Q4931" t="s">
        <v>6162</v>
      </c>
      <c r="R4931" t="s">
        <v>6206</v>
      </c>
    </row>
    <row r="4932" spans="1:18" x14ac:dyDescent="0.25">
      <c r="A4932" t="s">
        <v>16104</v>
      </c>
      <c r="B4932" t="s">
        <v>6312</v>
      </c>
      <c r="C4932" t="str">
        <f>HYPERLINK("https://nematode.unl.edu/hemitenn5.jpg")</f>
        <v>https://nematode.unl.edu/hemitenn5.jpg</v>
      </c>
      <c r="D4932" t="s">
        <v>16</v>
      </c>
      <c r="G4932" t="s">
        <v>96</v>
      </c>
      <c r="H4932" t="s">
        <v>18</v>
      </c>
      <c r="I4932" t="s">
        <v>19</v>
      </c>
      <c r="M4932" t="s">
        <v>6206</v>
      </c>
      <c r="N4932" t="s">
        <v>6206</v>
      </c>
      <c r="O4932" t="s">
        <v>23</v>
      </c>
      <c r="P4932" t="s">
        <v>24</v>
      </c>
      <c r="Q4932" t="s">
        <v>6162</v>
      </c>
      <c r="R4932" t="s">
        <v>6206</v>
      </c>
    </row>
    <row r="4933" spans="1:18" x14ac:dyDescent="0.25">
      <c r="A4933" t="s">
        <v>16158</v>
      </c>
      <c r="B4933" t="s">
        <v>6313</v>
      </c>
      <c r="C4933" t="str">
        <f>HYPERLINK("https://nematode.unl.edu/hemitenn6.jpg")</f>
        <v>https://nematode.unl.edu/hemitenn6.jpg</v>
      </c>
      <c r="D4933" t="s">
        <v>16</v>
      </c>
      <c r="G4933" t="s">
        <v>181</v>
      </c>
      <c r="I4933" t="s">
        <v>19</v>
      </c>
      <c r="M4933" t="s">
        <v>6206</v>
      </c>
      <c r="N4933" t="s">
        <v>6206</v>
      </c>
      <c r="O4933" t="s">
        <v>23</v>
      </c>
      <c r="P4933" t="s">
        <v>24</v>
      </c>
      <c r="Q4933" t="s">
        <v>6162</v>
      </c>
      <c r="R4933" t="s">
        <v>6206</v>
      </c>
    </row>
    <row r="4934" spans="1:18" x14ac:dyDescent="0.25">
      <c r="A4934" t="s">
        <v>16105</v>
      </c>
      <c r="B4934" t="s">
        <v>6314</v>
      </c>
      <c r="C4934" t="str">
        <f>HYPERLINK("https://nematode.unl.edu/hemitenn7.jpg")</f>
        <v>https://nematode.unl.edu/hemitenn7.jpg</v>
      </c>
      <c r="D4934" t="s">
        <v>16</v>
      </c>
      <c r="G4934" t="s">
        <v>96</v>
      </c>
      <c r="H4934" t="s">
        <v>18</v>
      </c>
      <c r="I4934" t="s">
        <v>41</v>
      </c>
      <c r="M4934" t="s">
        <v>6206</v>
      </c>
      <c r="N4934" t="s">
        <v>6206</v>
      </c>
      <c r="O4934" t="s">
        <v>23</v>
      </c>
      <c r="P4934" t="s">
        <v>24</v>
      </c>
      <c r="Q4934" t="s">
        <v>6162</v>
      </c>
      <c r="R4934" t="s">
        <v>6206</v>
      </c>
    </row>
    <row r="4935" spans="1:18" x14ac:dyDescent="0.25">
      <c r="A4935" t="s">
        <v>16183</v>
      </c>
      <c r="B4935" t="s">
        <v>6315</v>
      </c>
      <c r="C4935" t="str">
        <f>HYPERLINK("https://nematode.unl.edu/hemitenn8.jpg")</f>
        <v>https://nematode.unl.edu/hemitenn8.jpg</v>
      </c>
      <c r="D4935" t="s">
        <v>16</v>
      </c>
      <c r="G4935" t="s">
        <v>28</v>
      </c>
      <c r="I4935" t="s">
        <v>529</v>
      </c>
      <c r="J4935" t="s">
        <v>6301</v>
      </c>
      <c r="L4935" t="s">
        <v>6302</v>
      </c>
      <c r="M4935" t="s">
        <v>6206</v>
      </c>
      <c r="N4935" t="s">
        <v>6206</v>
      </c>
      <c r="O4935" t="s">
        <v>23</v>
      </c>
      <c r="P4935" t="s">
        <v>24</v>
      </c>
      <c r="Q4935" t="s">
        <v>6162</v>
      </c>
      <c r="R4935" t="s">
        <v>6206</v>
      </c>
    </row>
    <row r="4936" spans="1:18" x14ac:dyDescent="0.25">
      <c r="A4936" t="s">
        <v>16139</v>
      </c>
      <c r="B4936" t="s">
        <v>6316</v>
      </c>
      <c r="C4936" t="str">
        <f>HYPERLINK("https://nematode.unl.edu/hemitenn9.jpg")</f>
        <v>https://nematode.unl.edu/hemitenn9.jpg</v>
      </c>
      <c r="D4936" t="s">
        <v>16</v>
      </c>
      <c r="G4936" t="s">
        <v>44</v>
      </c>
      <c r="I4936" t="s">
        <v>19</v>
      </c>
      <c r="J4936" t="s">
        <v>6301</v>
      </c>
      <c r="L4936" t="s">
        <v>6302</v>
      </c>
      <c r="M4936" t="s">
        <v>6206</v>
      </c>
      <c r="N4936" t="s">
        <v>6206</v>
      </c>
      <c r="O4936" t="s">
        <v>23</v>
      </c>
      <c r="P4936" t="s">
        <v>24</v>
      </c>
      <c r="Q4936" t="s">
        <v>6162</v>
      </c>
      <c r="R4936" t="s">
        <v>6206</v>
      </c>
    </row>
    <row r="4937" spans="1:18" x14ac:dyDescent="0.25">
      <c r="A4937" t="s">
        <v>16209</v>
      </c>
      <c r="B4937" t="s">
        <v>6350</v>
      </c>
      <c r="C4937" t="str">
        <f>HYPERLINK("https://nematode.unl.edu/hemitydrw.jpg")</f>
        <v>https://nematode.unl.edu/hemitydrw.jpg</v>
      </c>
      <c r="G4937" t="s">
        <v>108</v>
      </c>
      <c r="M4937" t="s">
        <v>6338</v>
      </c>
      <c r="N4937" t="s">
        <v>6338</v>
      </c>
      <c r="O4937" t="s">
        <v>23</v>
      </c>
      <c r="P4937" t="s">
        <v>24</v>
      </c>
      <c r="Q4937" t="s">
        <v>6162</v>
      </c>
      <c r="R4937" t="s">
        <v>6206</v>
      </c>
    </row>
    <row r="4938" spans="1:18" x14ac:dyDescent="0.25">
      <c r="A4938" t="s">
        <v>16536</v>
      </c>
      <c r="B4938" t="s">
        <v>6153</v>
      </c>
      <c r="C4938" t="str">
        <f>HYPERLINK("https://nematode.unl.edu/hepsegw1.jpg")</f>
        <v>https://nematode.unl.edu/hepsegw1.jpg</v>
      </c>
      <c r="D4938" t="s">
        <v>16</v>
      </c>
      <c r="G4938" t="s">
        <v>44</v>
      </c>
      <c r="I4938" t="s">
        <v>516</v>
      </c>
      <c r="J4938" t="s">
        <v>2572</v>
      </c>
      <c r="L4938" t="s">
        <v>6154</v>
      </c>
      <c r="M4938" t="s">
        <v>6132</v>
      </c>
      <c r="N4938" t="s">
        <v>6132</v>
      </c>
      <c r="O4938" t="s">
        <v>23</v>
      </c>
      <c r="P4938" t="s">
        <v>24</v>
      </c>
      <c r="Q4938" t="s">
        <v>2454</v>
      </c>
      <c r="R4938" t="s">
        <v>5996</v>
      </c>
    </row>
    <row r="4939" spans="1:18" x14ac:dyDescent="0.25">
      <c r="A4939" t="s">
        <v>13509</v>
      </c>
      <c r="B4939" t="s">
        <v>6351</v>
      </c>
      <c r="C4939" t="str">
        <f>HYPERLINK("https://nematode.unl.edu/hetacep1.jpg")</f>
        <v>https://nematode.unl.edu/hetacep1.jpg</v>
      </c>
      <c r="D4939" t="s">
        <v>43</v>
      </c>
      <c r="G4939" t="s">
        <v>44</v>
      </c>
      <c r="I4939" t="s">
        <v>45</v>
      </c>
      <c r="J4939" t="s">
        <v>20</v>
      </c>
      <c r="L4939" t="s">
        <v>38</v>
      </c>
      <c r="M4939" t="s">
        <v>6352</v>
      </c>
      <c r="N4939" t="s">
        <v>6352</v>
      </c>
      <c r="O4939" t="s">
        <v>23</v>
      </c>
      <c r="P4939" t="s">
        <v>24</v>
      </c>
      <c r="Q4939" t="s">
        <v>25</v>
      </c>
      <c r="R4939" t="s">
        <v>6352</v>
      </c>
    </row>
    <row r="4940" spans="1:18" x14ac:dyDescent="0.25">
      <c r="A4940" t="s">
        <v>13505</v>
      </c>
      <c r="B4940" t="s">
        <v>6353</v>
      </c>
      <c r="C4940" t="str">
        <f>HYPERLINK("https://nematode.unl.edu/hetacep2.jpg")</f>
        <v>https://nematode.unl.edu/hetacep2.jpg</v>
      </c>
      <c r="D4940" t="s">
        <v>43</v>
      </c>
      <c r="G4940" t="s">
        <v>96</v>
      </c>
      <c r="H4940" t="s">
        <v>18</v>
      </c>
      <c r="J4940" t="s">
        <v>20</v>
      </c>
      <c r="L4940" t="s">
        <v>38</v>
      </c>
      <c r="M4940" t="s">
        <v>6352</v>
      </c>
      <c r="N4940" t="s">
        <v>6352</v>
      </c>
      <c r="O4940" t="s">
        <v>23</v>
      </c>
      <c r="P4940" t="s">
        <v>24</v>
      </c>
      <c r="Q4940" t="s">
        <v>25</v>
      </c>
      <c r="R4940" t="s">
        <v>6352</v>
      </c>
    </row>
    <row r="4941" spans="1:18" x14ac:dyDescent="0.25">
      <c r="A4941" t="s">
        <v>13512</v>
      </c>
      <c r="B4941" t="s">
        <v>6354</v>
      </c>
      <c r="C4941" t="str">
        <f>HYPERLINK("https://nematode.unl.edu/hetacep3.jpg")</f>
        <v>https://nematode.unl.edu/hetacep3.jpg</v>
      </c>
      <c r="D4941" t="s">
        <v>43</v>
      </c>
      <c r="G4941" t="s">
        <v>51</v>
      </c>
      <c r="I4941" t="s">
        <v>19</v>
      </c>
      <c r="J4941" t="s">
        <v>20</v>
      </c>
      <c r="L4941" t="s">
        <v>38</v>
      </c>
      <c r="M4941" t="s">
        <v>6352</v>
      </c>
      <c r="N4941" t="s">
        <v>6352</v>
      </c>
      <c r="O4941" t="s">
        <v>23</v>
      </c>
      <c r="P4941" t="s">
        <v>24</v>
      </c>
      <c r="Q4941" t="s">
        <v>25</v>
      </c>
      <c r="R4941" t="s">
        <v>6352</v>
      </c>
    </row>
    <row r="4942" spans="1:18" x14ac:dyDescent="0.25">
      <c r="A4942" t="s">
        <v>13511</v>
      </c>
      <c r="B4942" t="s">
        <v>6355</v>
      </c>
      <c r="C4942" t="str">
        <f>HYPERLINK("https://nematode.unl.edu/hetacep4.jpg")</f>
        <v>https://nematode.unl.edu/hetacep4.jpg</v>
      </c>
      <c r="D4942" t="s">
        <v>43</v>
      </c>
      <c r="G4942" t="s">
        <v>28</v>
      </c>
      <c r="J4942" t="s">
        <v>20</v>
      </c>
      <c r="L4942" t="s">
        <v>38</v>
      </c>
      <c r="M4942" t="s">
        <v>6352</v>
      </c>
      <c r="N4942" t="s">
        <v>6352</v>
      </c>
      <c r="O4942" t="s">
        <v>23</v>
      </c>
      <c r="P4942" t="s">
        <v>24</v>
      </c>
      <c r="Q4942" t="s">
        <v>25</v>
      </c>
      <c r="R4942" t="s">
        <v>6352</v>
      </c>
    </row>
    <row r="4943" spans="1:18" x14ac:dyDescent="0.25">
      <c r="A4943" t="s">
        <v>13510</v>
      </c>
      <c r="B4943" t="s">
        <v>6356</v>
      </c>
      <c r="C4943" t="str">
        <f>HYPERLINK("https://nematode.unl.edu/hetacep5.jpg")</f>
        <v>https://nematode.unl.edu/hetacep5.jpg</v>
      </c>
      <c r="D4943" t="s">
        <v>43</v>
      </c>
      <c r="G4943" t="s">
        <v>53</v>
      </c>
      <c r="I4943" t="s">
        <v>41</v>
      </c>
      <c r="J4943" t="s">
        <v>20</v>
      </c>
      <c r="L4943" t="s">
        <v>38</v>
      </c>
      <c r="M4943" t="s">
        <v>6352</v>
      </c>
      <c r="N4943" t="s">
        <v>6352</v>
      </c>
      <c r="O4943" t="s">
        <v>23</v>
      </c>
      <c r="P4943" t="s">
        <v>24</v>
      </c>
      <c r="Q4943" t="s">
        <v>25</v>
      </c>
      <c r="R4943" t="s">
        <v>6352</v>
      </c>
    </row>
    <row r="4944" spans="1:18" x14ac:dyDescent="0.25">
      <c r="A4944" t="s">
        <v>13506</v>
      </c>
      <c r="B4944" t="s">
        <v>6357</v>
      </c>
      <c r="C4944" t="str">
        <f>HYPERLINK("https://nematode.unl.edu/hetacep6.jpg")</f>
        <v>https://nematode.unl.edu/hetacep6.jpg</v>
      </c>
      <c r="D4944" t="s">
        <v>43</v>
      </c>
      <c r="G4944" t="s">
        <v>34</v>
      </c>
      <c r="H4944" t="s">
        <v>18</v>
      </c>
      <c r="I4944" t="s">
        <v>41</v>
      </c>
      <c r="L4944" t="s">
        <v>38</v>
      </c>
      <c r="M4944" t="s">
        <v>6352</v>
      </c>
      <c r="N4944" t="s">
        <v>6352</v>
      </c>
      <c r="O4944" t="s">
        <v>23</v>
      </c>
      <c r="P4944" t="s">
        <v>24</v>
      </c>
      <c r="Q4944" t="s">
        <v>25</v>
      </c>
      <c r="R4944" t="s">
        <v>6352</v>
      </c>
    </row>
    <row r="4945" spans="1:18" x14ac:dyDescent="0.25">
      <c r="A4945" t="s">
        <v>13507</v>
      </c>
      <c r="B4945" t="s">
        <v>6358</v>
      </c>
      <c r="C4945" t="str">
        <f>HYPERLINK("https://nematode.unl.edu/hetacep7.jpg")</f>
        <v>https://nematode.unl.edu/hetacep7.jpg</v>
      </c>
      <c r="D4945" t="s">
        <v>16</v>
      </c>
      <c r="G4945" t="s">
        <v>34</v>
      </c>
      <c r="H4945" t="s">
        <v>18</v>
      </c>
      <c r="I4945" t="s">
        <v>19</v>
      </c>
      <c r="J4945" t="s">
        <v>20</v>
      </c>
      <c r="L4945" t="s">
        <v>141</v>
      </c>
      <c r="M4945" t="s">
        <v>6352</v>
      </c>
      <c r="N4945" t="s">
        <v>6352</v>
      </c>
      <c r="O4945" t="s">
        <v>23</v>
      </c>
      <c r="P4945" t="s">
        <v>24</v>
      </c>
      <c r="Q4945" t="s">
        <v>25</v>
      </c>
      <c r="R4945" t="s">
        <v>6352</v>
      </c>
    </row>
    <row r="4946" spans="1:18" x14ac:dyDescent="0.25">
      <c r="A4946" t="s">
        <v>13508</v>
      </c>
      <c r="B4946" t="s">
        <v>6359</v>
      </c>
      <c r="C4946" t="str">
        <f>HYPERLINK("https://nematode.unl.edu/hetacep8.jpg")</f>
        <v>https://nematode.unl.edu/hetacep8.jpg</v>
      </c>
      <c r="D4946" t="s">
        <v>16</v>
      </c>
      <c r="G4946" t="s">
        <v>34</v>
      </c>
      <c r="H4946" t="s">
        <v>18</v>
      </c>
      <c r="I4946" t="s">
        <v>41</v>
      </c>
      <c r="J4946" t="s">
        <v>20</v>
      </c>
      <c r="L4946" t="s">
        <v>141</v>
      </c>
      <c r="M4946" t="s">
        <v>6352</v>
      </c>
      <c r="N4946" t="s">
        <v>6352</v>
      </c>
      <c r="O4946" t="s">
        <v>23</v>
      </c>
      <c r="P4946" t="s">
        <v>24</v>
      </c>
      <c r="Q4946" t="s">
        <v>25</v>
      </c>
      <c r="R4946" t="s">
        <v>6352</v>
      </c>
    </row>
    <row r="4947" spans="1:18" x14ac:dyDescent="0.25">
      <c r="A4947" t="s">
        <v>16285</v>
      </c>
      <c r="B4947" t="s">
        <v>6374</v>
      </c>
      <c r="C4947" t="str">
        <f>HYPERLINK("https://nematode.unl.edu/hetav1.jpg")</f>
        <v>https://nematode.unl.edu/hetav1.jpg</v>
      </c>
      <c r="G4947" t="s">
        <v>3596</v>
      </c>
      <c r="J4947" t="s">
        <v>6375</v>
      </c>
      <c r="L4947" t="s">
        <v>656</v>
      </c>
      <c r="M4947" t="s">
        <v>6366</v>
      </c>
      <c r="N4947" t="s">
        <v>6366</v>
      </c>
      <c r="O4947" t="s">
        <v>23</v>
      </c>
      <c r="P4947" t="s">
        <v>24</v>
      </c>
      <c r="Q4947" t="s">
        <v>448</v>
      </c>
      <c r="R4947" t="s">
        <v>1084</v>
      </c>
    </row>
    <row r="4948" spans="1:18" x14ac:dyDescent="0.25">
      <c r="A4948" t="s">
        <v>16291</v>
      </c>
      <c r="B4948" t="s">
        <v>6376</v>
      </c>
      <c r="C4948" t="str">
        <f>HYPERLINK("https://nematode.unl.edu/hetav10.jpg")</f>
        <v>https://nematode.unl.edu/hetav10.jpg</v>
      </c>
      <c r="D4948" t="s">
        <v>16</v>
      </c>
      <c r="G4948" t="s">
        <v>53</v>
      </c>
      <c r="I4948" t="s">
        <v>41</v>
      </c>
      <c r="J4948" t="s">
        <v>440</v>
      </c>
      <c r="M4948" t="s">
        <v>6366</v>
      </c>
      <c r="N4948" t="s">
        <v>6366</v>
      </c>
      <c r="O4948" t="s">
        <v>23</v>
      </c>
      <c r="P4948" t="s">
        <v>24</v>
      </c>
      <c r="Q4948" t="s">
        <v>448</v>
      </c>
      <c r="R4948" t="s">
        <v>1084</v>
      </c>
    </row>
    <row r="4949" spans="1:18" x14ac:dyDescent="0.25">
      <c r="A4949" t="s">
        <v>16292</v>
      </c>
      <c r="B4949" t="s">
        <v>6377</v>
      </c>
      <c r="C4949" t="str">
        <f>HYPERLINK("https://nematode.unl.edu/hetav11.jpg")</f>
        <v>https://nematode.unl.edu/hetav11.jpg</v>
      </c>
      <c r="D4949" t="s">
        <v>16</v>
      </c>
      <c r="G4949" t="s">
        <v>53</v>
      </c>
      <c r="J4949" t="s">
        <v>440</v>
      </c>
      <c r="M4949" t="s">
        <v>6366</v>
      </c>
      <c r="N4949" t="s">
        <v>6366</v>
      </c>
      <c r="O4949" t="s">
        <v>23</v>
      </c>
      <c r="P4949" t="s">
        <v>24</v>
      </c>
      <c r="Q4949" t="s">
        <v>448</v>
      </c>
      <c r="R4949" t="s">
        <v>1084</v>
      </c>
    </row>
    <row r="4950" spans="1:18" x14ac:dyDescent="0.25">
      <c r="A4950" t="s">
        <v>16275</v>
      </c>
      <c r="B4950" t="s">
        <v>6378</v>
      </c>
      <c r="C4950" t="str">
        <f>HYPERLINK("https://nematode.unl.edu/hetav12.jpg")</f>
        <v>https://nematode.unl.edu/hetav12.jpg</v>
      </c>
      <c r="D4950" t="s">
        <v>16</v>
      </c>
      <c r="G4950" t="s">
        <v>34</v>
      </c>
      <c r="H4950" t="s">
        <v>18</v>
      </c>
      <c r="I4950" t="s">
        <v>41</v>
      </c>
      <c r="M4950" t="s">
        <v>6366</v>
      </c>
      <c r="N4950" t="s">
        <v>6366</v>
      </c>
      <c r="O4950" t="s">
        <v>23</v>
      </c>
      <c r="P4950" t="s">
        <v>24</v>
      </c>
      <c r="Q4950" t="s">
        <v>448</v>
      </c>
      <c r="R4950" t="s">
        <v>1084</v>
      </c>
    </row>
    <row r="4951" spans="1:18" x14ac:dyDescent="0.25">
      <c r="A4951" t="s">
        <v>16297</v>
      </c>
      <c r="B4951" t="s">
        <v>6379</v>
      </c>
      <c r="C4951" t="str">
        <f>HYPERLINK("https://nematode.unl.edu/hetav13.jpg")</f>
        <v>https://nematode.unl.edu/hetav13.jpg</v>
      </c>
      <c r="D4951" t="s">
        <v>16</v>
      </c>
      <c r="G4951" t="s">
        <v>28</v>
      </c>
      <c r="I4951" t="s">
        <v>41</v>
      </c>
      <c r="J4951" t="s">
        <v>440</v>
      </c>
      <c r="M4951" t="s">
        <v>6366</v>
      </c>
      <c r="N4951" t="s">
        <v>6366</v>
      </c>
      <c r="O4951" t="s">
        <v>23</v>
      </c>
      <c r="P4951" t="s">
        <v>24</v>
      </c>
      <c r="Q4951" t="s">
        <v>448</v>
      </c>
      <c r="R4951" t="s">
        <v>1084</v>
      </c>
    </row>
    <row r="4952" spans="1:18" x14ac:dyDescent="0.25">
      <c r="A4952" t="s">
        <v>16293</v>
      </c>
      <c r="B4952" t="s">
        <v>6380</v>
      </c>
      <c r="C4952" t="str">
        <f>HYPERLINK("https://nematode.unl.edu/hetav14.jpg")</f>
        <v>https://nematode.unl.edu/hetav14.jpg</v>
      </c>
      <c r="D4952" t="s">
        <v>16</v>
      </c>
      <c r="G4952" t="s">
        <v>53</v>
      </c>
      <c r="I4952" t="s">
        <v>41</v>
      </c>
      <c r="J4952" t="s">
        <v>440</v>
      </c>
      <c r="M4952" t="s">
        <v>6366</v>
      </c>
      <c r="N4952" t="s">
        <v>6366</v>
      </c>
      <c r="O4952" t="s">
        <v>23</v>
      </c>
      <c r="P4952" t="s">
        <v>24</v>
      </c>
      <c r="Q4952" t="s">
        <v>448</v>
      </c>
      <c r="R4952" t="s">
        <v>1084</v>
      </c>
    </row>
    <row r="4953" spans="1:18" x14ac:dyDescent="0.25">
      <c r="A4953" t="s">
        <v>16298</v>
      </c>
      <c r="B4953" t="s">
        <v>6381</v>
      </c>
      <c r="C4953" t="str">
        <f>HYPERLINK("https://nematode.unl.edu/hetav15.jpg")</f>
        <v>https://nematode.unl.edu/hetav15.jpg</v>
      </c>
      <c r="D4953" t="s">
        <v>16</v>
      </c>
      <c r="G4953" t="s">
        <v>28</v>
      </c>
      <c r="I4953" t="s">
        <v>41</v>
      </c>
      <c r="J4953" t="s">
        <v>440</v>
      </c>
      <c r="M4953" t="s">
        <v>6366</v>
      </c>
      <c r="N4953" t="s">
        <v>6366</v>
      </c>
      <c r="O4953" t="s">
        <v>23</v>
      </c>
      <c r="P4953" t="s">
        <v>24</v>
      </c>
      <c r="Q4953" t="s">
        <v>448</v>
      </c>
      <c r="R4953" t="s">
        <v>1084</v>
      </c>
    </row>
    <row r="4954" spans="1:18" x14ac:dyDescent="0.25">
      <c r="A4954" t="s">
        <v>16276</v>
      </c>
      <c r="B4954" t="s">
        <v>6382</v>
      </c>
      <c r="C4954" t="str">
        <f>HYPERLINK("https://nematode.unl.edu/hetav16.jpg")</f>
        <v>https://nematode.unl.edu/hetav16.jpg</v>
      </c>
      <c r="D4954" t="s">
        <v>16</v>
      </c>
      <c r="G4954" t="s">
        <v>34</v>
      </c>
      <c r="H4954" t="s">
        <v>18</v>
      </c>
      <c r="I4954" t="s">
        <v>19</v>
      </c>
      <c r="J4954" t="s">
        <v>440</v>
      </c>
      <c r="M4954" t="s">
        <v>6366</v>
      </c>
      <c r="N4954" t="s">
        <v>6366</v>
      </c>
      <c r="O4954" t="s">
        <v>23</v>
      </c>
      <c r="P4954" t="s">
        <v>24</v>
      </c>
      <c r="Q4954" t="s">
        <v>448</v>
      </c>
      <c r="R4954" t="s">
        <v>1084</v>
      </c>
    </row>
    <row r="4955" spans="1:18" x14ac:dyDescent="0.25">
      <c r="A4955" t="s">
        <v>16299</v>
      </c>
      <c r="B4955" t="s">
        <v>6383</v>
      </c>
      <c r="C4955" t="str">
        <f>HYPERLINK("https://nematode.unl.edu/hetav17.jpg")</f>
        <v>https://nematode.unl.edu/hetav17.jpg</v>
      </c>
      <c r="D4955" t="s">
        <v>16</v>
      </c>
      <c r="G4955" t="s">
        <v>28</v>
      </c>
      <c r="I4955" t="s">
        <v>19</v>
      </c>
      <c r="J4955" t="s">
        <v>440</v>
      </c>
      <c r="M4955" t="s">
        <v>6366</v>
      </c>
      <c r="N4955" t="s">
        <v>6366</v>
      </c>
      <c r="O4955" t="s">
        <v>23</v>
      </c>
      <c r="P4955" t="s">
        <v>24</v>
      </c>
      <c r="Q4955" t="s">
        <v>448</v>
      </c>
      <c r="R4955" t="s">
        <v>1084</v>
      </c>
    </row>
    <row r="4956" spans="1:18" x14ac:dyDescent="0.25">
      <c r="A4956" t="s">
        <v>16277</v>
      </c>
      <c r="B4956" t="s">
        <v>6384</v>
      </c>
      <c r="C4956" t="str">
        <f>HYPERLINK("https://nematode.unl.edu/hetav18.jpg")</f>
        <v>https://nematode.unl.edu/hetav18.jpg</v>
      </c>
      <c r="D4956" t="s">
        <v>16</v>
      </c>
      <c r="G4956" t="s">
        <v>34</v>
      </c>
      <c r="H4956" t="s">
        <v>18</v>
      </c>
      <c r="I4956" t="s">
        <v>41</v>
      </c>
      <c r="J4956" t="s">
        <v>440</v>
      </c>
      <c r="M4956" t="s">
        <v>6366</v>
      </c>
      <c r="N4956" t="s">
        <v>6366</v>
      </c>
      <c r="O4956" t="s">
        <v>23</v>
      </c>
      <c r="P4956" t="s">
        <v>24</v>
      </c>
      <c r="Q4956" t="s">
        <v>448</v>
      </c>
      <c r="R4956" t="s">
        <v>1084</v>
      </c>
    </row>
    <row r="4957" spans="1:18" x14ac:dyDescent="0.25">
      <c r="A4957" t="s">
        <v>16300</v>
      </c>
      <c r="B4957" t="s">
        <v>6385</v>
      </c>
      <c r="C4957" t="str">
        <f>HYPERLINK("https://nematode.unl.edu/hetav19.jpg")</f>
        <v>https://nematode.unl.edu/hetav19.jpg</v>
      </c>
      <c r="D4957" t="s">
        <v>16</v>
      </c>
      <c r="G4957" t="s">
        <v>28</v>
      </c>
      <c r="I4957" t="s">
        <v>41</v>
      </c>
      <c r="J4957" t="s">
        <v>440</v>
      </c>
      <c r="M4957" t="s">
        <v>6366</v>
      </c>
      <c r="N4957" t="s">
        <v>6366</v>
      </c>
      <c r="O4957" t="s">
        <v>23</v>
      </c>
      <c r="P4957" t="s">
        <v>24</v>
      </c>
      <c r="Q4957" t="s">
        <v>448</v>
      </c>
      <c r="R4957" t="s">
        <v>1084</v>
      </c>
    </row>
    <row r="4958" spans="1:18" x14ac:dyDescent="0.25">
      <c r="A4958" t="s">
        <v>16286</v>
      </c>
      <c r="B4958" t="s">
        <v>6386</v>
      </c>
      <c r="C4958" t="str">
        <f>HYPERLINK("https://nematode.unl.edu/hetav2.jpg")</f>
        <v>https://nematode.unl.edu/hetav2.jpg</v>
      </c>
      <c r="D4958" t="s">
        <v>3596</v>
      </c>
      <c r="G4958" t="s">
        <v>3596</v>
      </c>
      <c r="I4958" t="s">
        <v>45</v>
      </c>
      <c r="M4958" t="s">
        <v>6366</v>
      </c>
      <c r="N4958" t="s">
        <v>6366</v>
      </c>
      <c r="O4958" t="s">
        <v>23</v>
      </c>
      <c r="P4958" t="s">
        <v>24</v>
      </c>
      <c r="Q4958" t="s">
        <v>448</v>
      </c>
      <c r="R4958" t="s">
        <v>1084</v>
      </c>
    </row>
    <row r="4959" spans="1:18" x14ac:dyDescent="0.25">
      <c r="A4959" t="s">
        <v>16278</v>
      </c>
      <c r="B4959" t="s">
        <v>6387</v>
      </c>
      <c r="C4959" t="str">
        <f>HYPERLINK("https://nematode.unl.edu/hetav20.jpg")</f>
        <v>https://nematode.unl.edu/hetav20.jpg</v>
      </c>
      <c r="D4959" t="s">
        <v>16</v>
      </c>
      <c r="G4959" t="s">
        <v>34</v>
      </c>
      <c r="H4959" t="s">
        <v>18</v>
      </c>
      <c r="I4959" t="s">
        <v>19</v>
      </c>
      <c r="M4959" t="s">
        <v>6366</v>
      </c>
      <c r="N4959" t="s">
        <v>6366</v>
      </c>
      <c r="O4959" t="s">
        <v>23</v>
      </c>
      <c r="P4959" t="s">
        <v>24</v>
      </c>
      <c r="Q4959" t="s">
        <v>448</v>
      </c>
      <c r="R4959" t="s">
        <v>1084</v>
      </c>
    </row>
    <row r="4960" spans="1:18" x14ac:dyDescent="0.25">
      <c r="A4960" t="s">
        <v>16301</v>
      </c>
      <c r="B4960" t="s">
        <v>6388</v>
      </c>
      <c r="C4960" t="str">
        <f>HYPERLINK("https://nematode.unl.edu/hetav21.jpg")</f>
        <v>https://nematode.unl.edu/hetav21.jpg</v>
      </c>
      <c r="D4960" t="s">
        <v>16</v>
      </c>
      <c r="G4960" t="s">
        <v>28</v>
      </c>
      <c r="I4960" t="s">
        <v>19</v>
      </c>
      <c r="J4960" t="s">
        <v>440</v>
      </c>
      <c r="M4960" t="s">
        <v>6366</v>
      </c>
      <c r="N4960" t="s">
        <v>6366</v>
      </c>
      <c r="O4960" t="s">
        <v>23</v>
      </c>
      <c r="P4960" t="s">
        <v>24</v>
      </c>
      <c r="Q4960" t="s">
        <v>448</v>
      </c>
      <c r="R4960" t="s">
        <v>1084</v>
      </c>
    </row>
    <row r="4961" spans="1:18" x14ac:dyDescent="0.25">
      <c r="A4961" t="s">
        <v>16279</v>
      </c>
      <c r="B4961" t="s">
        <v>6389</v>
      </c>
      <c r="C4961" t="str">
        <f>HYPERLINK("https://nematode.unl.edu/hetav22.jpg")</f>
        <v>https://nematode.unl.edu/hetav22.jpg</v>
      </c>
      <c r="D4961" t="s">
        <v>16</v>
      </c>
      <c r="G4961" t="s">
        <v>34</v>
      </c>
      <c r="H4961" t="s">
        <v>18</v>
      </c>
      <c r="I4961" t="s">
        <v>41</v>
      </c>
      <c r="J4961" t="s">
        <v>440</v>
      </c>
      <c r="M4961" t="s">
        <v>6366</v>
      </c>
      <c r="N4961" t="s">
        <v>6366</v>
      </c>
      <c r="O4961" t="s">
        <v>23</v>
      </c>
      <c r="P4961" t="s">
        <v>24</v>
      </c>
      <c r="Q4961" t="s">
        <v>448</v>
      </c>
      <c r="R4961" t="s">
        <v>1084</v>
      </c>
    </row>
    <row r="4962" spans="1:18" x14ac:dyDescent="0.25">
      <c r="A4962" t="s">
        <v>16294</v>
      </c>
      <c r="B4962" t="s">
        <v>6390</v>
      </c>
      <c r="C4962" t="str">
        <f>HYPERLINK("https://nematode.unl.edu/hetav23.jpg")</f>
        <v>https://nematode.unl.edu/hetav23.jpg</v>
      </c>
      <c r="D4962" t="s">
        <v>16</v>
      </c>
      <c r="G4962" t="s">
        <v>53</v>
      </c>
      <c r="I4962" t="s">
        <v>41</v>
      </c>
      <c r="J4962" t="s">
        <v>440</v>
      </c>
      <c r="M4962" t="s">
        <v>6366</v>
      </c>
      <c r="N4962" t="s">
        <v>6366</v>
      </c>
      <c r="O4962" t="s">
        <v>23</v>
      </c>
      <c r="P4962" t="s">
        <v>24</v>
      </c>
      <c r="Q4962" t="s">
        <v>448</v>
      </c>
      <c r="R4962" t="s">
        <v>1084</v>
      </c>
    </row>
    <row r="4963" spans="1:18" x14ac:dyDescent="0.25">
      <c r="A4963" t="s">
        <v>16295</v>
      </c>
      <c r="B4963" t="s">
        <v>6391</v>
      </c>
      <c r="C4963" t="str">
        <f>HYPERLINK("https://nematode.unl.edu/hetav24.jpg")</f>
        <v>https://nematode.unl.edu/hetav24.jpg</v>
      </c>
      <c r="D4963" t="s">
        <v>16</v>
      </c>
      <c r="G4963" t="s">
        <v>53</v>
      </c>
      <c r="I4963" t="s">
        <v>41</v>
      </c>
      <c r="J4963" t="s">
        <v>440</v>
      </c>
      <c r="M4963" t="s">
        <v>6366</v>
      </c>
      <c r="N4963" t="s">
        <v>6366</v>
      </c>
      <c r="O4963" t="s">
        <v>23</v>
      </c>
      <c r="P4963" t="s">
        <v>24</v>
      </c>
      <c r="Q4963" t="s">
        <v>448</v>
      </c>
      <c r="R4963" t="s">
        <v>1084</v>
      </c>
    </row>
    <row r="4964" spans="1:18" x14ac:dyDescent="0.25">
      <c r="A4964" t="s">
        <v>16302</v>
      </c>
      <c r="B4964" t="s">
        <v>6392</v>
      </c>
      <c r="C4964" t="str">
        <f>HYPERLINK("https://nematode.unl.edu/hetav25.jpg")</f>
        <v>https://nematode.unl.edu/hetav25.jpg</v>
      </c>
      <c r="D4964" t="s">
        <v>16</v>
      </c>
      <c r="G4964" t="s">
        <v>28</v>
      </c>
      <c r="I4964" t="s">
        <v>41</v>
      </c>
      <c r="M4964" t="s">
        <v>6366</v>
      </c>
      <c r="N4964" t="s">
        <v>6366</v>
      </c>
      <c r="O4964" t="s">
        <v>23</v>
      </c>
      <c r="P4964" t="s">
        <v>24</v>
      </c>
      <c r="Q4964" t="s">
        <v>448</v>
      </c>
      <c r="R4964" t="s">
        <v>1084</v>
      </c>
    </row>
    <row r="4965" spans="1:18" x14ac:dyDescent="0.25">
      <c r="A4965" t="s">
        <v>16307</v>
      </c>
      <c r="B4965" t="s">
        <v>6393</v>
      </c>
      <c r="C4965" t="str">
        <f>HYPERLINK("https://nematode.unl.edu/hetav3.jpg")</f>
        <v>https://nematode.unl.edu/hetav3.jpg</v>
      </c>
      <c r="D4965" t="s">
        <v>3596</v>
      </c>
      <c r="G4965" t="s">
        <v>51</v>
      </c>
      <c r="M4965" t="s">
        <v>6366</v>
      </c>
      <c r="N4965" t="s">
        <v>6366</v>
      </c>
      <c r="O4965" t="s">
        <v>23</v>
      </c>
      <c r="P4965" t="s">
        <v>24</v>
      </c>
      <c r="Q4965" t="s">
        <v>448</v>
      </c>
      <c r="R4965" t="s">
        <v>1084</v>
      </c>
    </row>
    <row r="4966" spans="1:18" x14ac:dyDescent="0.25">
      <c r="A4966" t="s">
        <v>16280</v>
      </c>
      <c r="B4966" t="s">
        <v>6394</v>
      </c>
      <c r="C4966" t="str">
        <f>HYPERLINK("https://nematode.unl.edu/hetav4.jpg")</f>
        <v>https://nematode.unl.edu/hetav4.jpg</v>
      </c>
      <c r="D4966" t="s">
        <v>16</v>
      </c>
      <c r="G4966" t="s">
        <v>34</v>
      </c>
      <c r="H4966" t="s">
        <v>18</v>
      </c>
      <c r="I4966" t="s">
        <v>19</v>
      </c>
      <c r="J4966" t="s">
        <v>440</v>
      </c>
      <c r="M4966" t="s">
        <v>6366</v>
      </c>
      <c r="N4966" t="s">
        <v>6366</v>
      </c>
      <c r="O4966" t="s">
        <v>23</v>
      </c>
      <c r="P4966" t="s">
        <v>24</v>
      </c>
      <c r="Q4966" t="s">
        <v>448</v>
      </c>
      <c r="R4966" t="s">
        <v>1084</v>
      </c>
    </row>
    <row r="4967" spans="1:18" x14ac:dyDescent="0.25">
      <c r="A4967" t="s">
        <v>16303</v>
      </c>
      <c r="B4967" t="s">
        <v>6395</v>
      </c>
      <c r="C4967" t="str">
        <f>HYPERLINK("https://nematode.unl.edu/hetav5.jpg")</f>
        <v>https://nematode.unl.edu/hetav5.jpg</v>
      </c>
      <c r="D4967" t="s">
        <v>16</v>
      </c>
      <c r="G4967" t="s">
        <v>28</v>
      </c>
      <c r="I4967" t="s">
        <v>19</v>
      </c>
      <c r="J4967" t="s">
        <v>440</v>
      </c>
      <c r="M4967" t="s">
        <v>6366</v>
      </c>
      <c r="N4967" t="s">
        <v>6366</v>
      </c>
      <c r="O4967" t="s">
        <v>23</v>
      </c>
      <c r="P4967" t="s">
        <v>24</v>
      </c>
      <c r="Q4967" t="s">
        <v>448</v>
      </c>
      <c r="R4967" t="s">
        <v>1084</v>
      </c>
    </row>
    <row r="4968" spans="1:18" x14ac:dyDescent="0.25">
      <c r="A4968" t="s">
        <v>16304</v>
      </c>
      <c r="B4968" t="s">
        <v>6396</v>
      </c>
      <c r="C4968" t="str">
        <f>HYPERLINK("https://nematode.unl.edu/hetav6.jpg")</f>
        <v>https://nematode.unl.edu/hetav6.jpg</v>
      </c>
      <c r="D4968" t="s">
        <v>16</v>
      </c>
      <c r="G4968" t="s">
        <v>28</v>
      </c>
      <c r="J4968" t="s">
        <v>440</v>
      </c>
      <c r="M4968" t="s">
        <v>6366</v>
      </c>
      <c r="N4968" t="s">
        <v>6366</v>
      </c>
      <c r="O4968" t="s">
        <v>23</v>
      </c>
      <c r="P4968" t="s">
        <v>24</v>
      </c>
      <c r="Q4968" t="s">
        <v>448</v>
      </c>
      <c r="R4968" t="s">
        <v>1084</v>
      </c>
    </row>
    <row r="4969" spans="1:18" x14ac:dyDescent="0.25">
      <c r="A4969" t="s">
        <v>16281</v>
      </c>
      <c r="B4969" t="s">
        <v>6397</v>
      </c>
      <c r="C4969" t="str">
        <f>HYPERLINK("https://nematode.unl.edu/hetav7.jpg")</f>
        <v>https://nematode.unl.edu/hetav7.jpg</v>
      </c>
      <c r="D4969" t="s">
        <v>16</v>
      </c>
      <c r="G4969" t="s">
        <v>34</v>
      </c>
      <c r="H4969" t="s">
        <v>18</v>
      </c>
      <c r="I4969" t="s">
        <v>19</v>
      </c>
      <c r="M4969" t="s">
        <v>6366</v>
      </c>
      <c r="N4969" t="s">
        <v>6366</v>
      </c>
      <c r="O4969" t="s">
        <v>23</v>
      </c>
      <c r="P4969" t="s">
        <v>24</v>
      </c>
      <c r="Q4969" t="s">
        <v>448</v>
      </c>
      <c r="R4969" t="s">
        <v>1084</v>
      </c>
    </row>
    <row r="4970" spans="1:18" x14ac:dyDescent="0.25">
      <c r="A4970" t="s">
        <v>16305</v>
      </c>
      <c r="B4970" t="s">
        <v>6398</v>
      </c>
      <c r="C4970" t="str">
        <f>HYPERLINK("https://nematode.unl.edu/hetav8.jpg")</f>
        <v>https://nematode.unl.edu/hetav8.jpg</v>
      </c>
      <c r="D4970" t="s">
        <v>16</v>
      </c>
      <c r="G4970" t="s">
        <v>28</v>
      </c>
      <c r="M4970" t="s">
        <v>6366</v>
      </c>
      <c r="N4970" t="s">
        <v>6366</v>
      </c>
      <c r="O4970" t="s">
        <v>23</v>
      </c>
      <c r="P4970" t="s">
        <v>24</v>
      </c>
      <c r="Q4970" t="s">
        <v>448</v>
      </c>
      <c r="R4970" t="s">
        <v>1084</v>
      </c>
    </row>
    <row r="4971" spans="1:18" x14ac:dyDescent="0.25">
      <c r="A4971" t="s">
        <v>16282</v>
      </c>
      <c r="B4971" t="s">
        <v>6399</v>
      </c>
      <c r="C4971" t="str">
        <f>HYPERLINK("https://nematode.unl.edu/hetav9.jpg")</f>
        <v>https://nematode.unl.edu/hetav9.jpg</v>
      </c>
      <c r="D4971" t="s">
        <v>16</v>
      </c>
      <c r="G4971" t="s">
        <v>34</v>
      </c>
      <c r="H4971" t="s">
        <v>18</v>
      </c>
      <c r="I4971" t="s">
        <v>41</v>
      </c>
      <c r="J4971" t="s">
        <v>440</v>
      </c>
      <c r="M4971" t="s">
        <v>6366</v>
      </c>
      <c r="N4971" t="s">
        <v>6366</v>
      </c>
      <c r="O4971" t="s">
        <v>23</v>
      </c>
      <c r="P4971" t="s">
        <v>24</v>
      </c>
      <c r="Q4971" t="s">
        <v>448</v>
      </c>
      <c r="R4971" t="s">
        <v>1084</v>
      </c>
    </row>
    <row r="4972" spans="1:18" x14ac:dyDescent="0.25">
      <c r="A4972" t="s">
        <v>16272</v>
      </c>
      <c r="B4972" t="s">
        <v>6360</v>
      </c>
      <c r="C4972" t="str">
        <f>HYPERLINK("https://nematode.unl.edu/hetedel1.jpg")</f>
        <v>https://nematode.unl.edu/hetedel1.jpg</v>
      </c>
      <c r="D4972" t="s">
        <v>16</v>
      </c>
      <c r="G4972" t="s">
        <v>44</v>
      </c>
      <c r="I4972" t="s">
        <v>516</v>
      </c>
      <c r="J4972" t="s">
        <v>655</v>
      </c>
      <c r="L4972" t="s">
        <v>656</v>
      </c>
      <c r="M4972" t="s">
        <v>1084</v>
      </c>
      <c r="N4972" t="s">
        <v>1084</v>
      </c>
      <c r="O4972" t="s">
        <v>23</v>
      </c>
      <c r="P4972" t="s">
        <v>24</v>
      </c>
      <c r="Q4972" t="s">
        <v>448</v>
      </c>
      <c r="R4972" t="s">
        <v>1084</v>
      </c>
    </row>
    <row r="4973" spans="1:18" x14ac:dyDescent="0.25">
      <c r="A4973" t="s">
        <v>16271</v>
      </c>
      <c r="B4973" t="s">
        <v>6361</v>
      </c>
      <c r="C4973" t="str">
        <f>HYPERLINK("https://nematode.unl.edu/hetedel2.jpg")</f>
        <v>https://nematode.unl.edu/hetedel2.jpg</v>
      </c>
      <c r="D4973" t="s">
        <v>16</v>
      </c>
      <c r="G4973" t="s">
        <v>34</v>
      </c>
      <c r="H4973" t="s">
        <v>18</v>
      </c>
      <c r="I4973" t="s">
        <v>41</v>
      </c>
      <c r="J4973" t="s">
        <v>655</v>
      </c>
      <c r="L4973" t="s">
        <v>656</v>
      </c>
      <c r="M4973" t="s">
        <v>1084</v>
      </c>
      <c r="N4973" t="s">
        <v>1084</v>
      </c>
      <c r="O4973" t="s">
        <v>23</v>
      </c>
      <c r="P4973" t="s">
        <v>24</v>
      </c>
      <c r="Q4973" t="s">
        <v>448</v>
      </c>
      <c r="R4973" t="s">
        <v>1084</v>
      </c>
    </row>
    <row r="4974" spans="1:18" x14ac:dyDescent="0.25">
      <c r="A4974" t="s">
        <v>16273</v>
      </c>
      <c r="B4974" t="s">
        <v>6362</v>
      </c>
      <c r="C4974" t="str">
        <f>HYPERLINK("https://nematode.unl.edu/hetedel3.jpg")</f>
        <v>https://nematode.unl.edu/hetedel3.jpg</v>
      </c>
      <c r="D4974" t="s">
        <v>16</v>
      </c>
      <c r="G4974" t="s">
        <v>28</v>
      </c>
      <c r="I4974" t="s">
        <v>41</v>
      </c>
      <c r="J4974" t="s">
        <v>655</v>
      </c>
      <c r="L4974" t="s">
        <v>656</v>
      </c>
      <c r="M4974" t="s">
        <v>1084</v>
      </c>
      <c r="N4974" t="s">
        <v>1084</v>
      </c>
      <c r="O4974" t="s">
        <v>23</v>
      </c>
      <c r="P4974" t="s">
        <v>24</v>
      </c>
      <c r="Q4974" t="s">
        <v>448</v>
      </c>
      <c r="R4974" t="s">
        <v>1084</v>
      </c>
    </row>
    <row r="4975" spans="1:18" x14ac:dyDescent="0.25">
      <c r="A4975" t="s">
        <v>16327</v>
      </c>
      <c r="B4975" t="s">
        <v>6411</v>
      </c>
      <c r="C4975" t="str">
        <f>HYPERLINK("https://nematode.unl.edu/heteg1.jpg")</f>
        <v>https://nematode.unl.edu/heteg1.jpg</v>
      </c>
      <c r="D4975" t="s">
        <v>43</v>
      </c>
      <c r="G4975" t="s">
        <v>6412</v>
      </c>
      <c r="I4975" t="s">
        <v>137</v>
      </c>
      <c r="J4975" t="s">
        <v>20</v>
      </c>
      <c r="L4975" t="s">
        <v>1707</v>
      </c>
      <c r="M4975" t="s">
        <v>6413</v>
      </c>
      <c r="N4975" t="s">
        <v>6413</v>
      </c>
      <c r="O4975" t="s">
        <v>23</v>
      </c>
      <c r="P4975" t="s">
        <v>24</v>
      </c>
      <c r="Q4975" t="s">
        <v>448</v>
      </c>
      <c r="R4975" t="s">
        <v>1084</v>
      </c>
    </row>
    <row r="4976" spans="1:18" x14ac:dyDescent="0.25">
      <c r="A4976" t="s">
        <v>16321</v>
      </c>
      <c r="B4976" t="s">
        <v>6414</v>
      </c>
      <c r="C4976" t="str">
        <f>HYPERLINK("https://nematode.unl.edu/heteg12.jpg")</f>
        <v>https://nematode.unl.edu/heteg12.jpg</v>
      </c>
      <c r="D4976" t="s">
        <v>16</v>
      </c>
      <c r="G4976" t="s">
        <v>28</v>
      </c>
      <c r="I4976" t="s">
        <v>516</v>
      </c>
      <c r="J4976" t="s">
        <v>20</v>
      </c>
      <c r="L4976" t="s">
        <v>85</v>
      </c>
      <c r="M4976" t="s">
        <v>6413</v>
      </c>
      <c r="N4976" t="s">
        <v>6413</v>
      </c>
      <c r="O4976" t="s">
        <v>23</v>
      </c>
      <c r="P4976" t="s">
        <v>24</v>
      </c>
      <c r="Q4976" t="s">
        <v>448</v>
      </c>
      <c r="R4976" t="s">
        <v>1084</v>
      </c>
    </row>
    <row r="4977" spans="1:18" x14ac:dyDescent="0.25">
      <c r="A4977" t="s">
        <v>16314</v>
      </c>
      <c r="B4977" t="s">
        <v>6415</v>
      </c>
      <c r="C4977" t="str">
        <f>HYPERLINK("https://nematode.unl.edu/heteg13.jpg")</f>
        <v>https://nematode.unl.edu/heteg13.jpg</v>
      </c>
      <c r="D4977" t="s">
        <v>16</v>
      </c>
      <c r="G4977" t="s">
        <v>34</v>
      </c>
      <c r="H4977" t="s">
        <v>18</v>
      </c>
      <c r="J4977" t="s">
        <v>20</v>
      </c>
      <c r="M4977" t="s">
        <v>6413</v>
      </c>
      <c r="N4977" t="s">
        <v>6413</v>
      </c>
      <c r="O4977" t="s">
        <v>23</v>
      </c>
      <c r="P4977" t="s">
        <v>24</v>
      </c>
      <c r="Q4977" t="s">
        <v>448</v>
      </c>
      <c r="R4977" t="s">
        <v>1084</v>
      </c>
    </row>
    <row r="4978" spans="1:18" x14ac:dyDescent="0.25">
      <c r="A4978" t="s">
        <v>16317</v>
      </c>
      <c r="B4978" t="s">
        <v>6416</v>
      </c>
      <c r="C4978" t="str">
        <f>HYPERLINK("https://nematode.unl.edu/heteg14.jpg")</f>
        <v>https://nematode.unl.edu/heteg14.jpg</v>
      </c>
      <c r="D4978" t="s">
        <v>16</v>
      </c>
      <c r="G4978" t="s">
        <v>44</v>
      </c>
      <c r="I4978" t="s">
        <v>45</v>
      </c>
      <c r="J4978" t="s">
        <v>20</v>
      </c>
      <c r="L4978" t="s">
        <v>85</v>
      </c>
      <c r="M4978" t="s">
        <v>6413</v>
      </c>
      <c r="N4978" t="s">
        <v>6413</v>
      </c>
      <c r="O4978" t="s">
        <v>23</v>
      </c>
      <c r="P4978" t="s">
        <v>24</v>
      </c>
      <c r="Q4978" t="s">
        <v>448</v>
      </c>
      <c r="R4978" t="s">
        <v>1084</v>
      </c>
    </row>
    <row r="4979" spans="1:18" x14ac:dyDescent="0.25">
      <c r="A4979" t="s">
        <v>16315</v>
      </c>
      <c r="B4979" t="s">
        <v>6417</v>
      </c>
      <c r="C4979" t="str">
        <f>HYPERLINK("https://nematode.unl.edu/heteg15.jpg")</f>
        <v>https://nematode.unl.edu/heteg15.jpg</v>
      </c>
      <c r="D4979" t="s">
        <v>16</v>
      </c>
      <c r="G4979" t="s">
        <v>34</v>
      </c>
      <c r="H4979" t="s">
        <v>18</v>
      </c>
      <c r="I4979" t="s">
        <v>41</v>
      </c>
      <c r="J4979" t="s">
        <v>20</v>
      </c>
      <c r="L4979" t="s">
        <v>29</v>
      </c>
      <c r="M4979" t="s">
        <v>6413</v>
      </c>
      <c r="N4979" t="s">
        <v>6413</v>
      </c>
      <c r="O4979" t="s">
        <v>23</v>
      </c>
      <c r="P4979" t="s">
        <v>24</v>
      </c>
      <c r="Q4979" t="s">
        <v>448</v>
      </c>
      <c r="R4979" t="s">
        <v>1084</v>
      </c>
    </row>
    <row r="4980" spans="1:18" x14ac:dyDescent="0.25">
      <c r="A4980" t="s">
        <v>16322</v>
      </c>
      <c r="B4980" t="s">
        <v>6418</v>
      </c>
      <c r="C4980" t="str">
        <f>HYPERLINK("https://nematode.unl.edu/heteg16.jpg")</f>
        <v>https://nematode.unl.edu/heteg16.jpg</v>
      </c>
      <c r="D4980" t="s">
        <v>16</v>
      </c>
      <c r="G4980" t="s">
        <v>28</v>
      </c>
      <c r="I4980" t="s">
        <v>529</v>
      </c>
      <c r="J4980" t="s">
        <v>20</v>
      </c>
      <c r="L4980" t="s">
        <v>183</v>
      </c>
      <c r="M4980" t="s">
        <v>6413</v>
      </c>
      <c r="N4980" t="s">
        <v>6413</v>
      </c>
      <c r="O4980" t="s">
        <v>23</v>
      </c>
      <c r="P4980" t="s">
        <v>24</v>
      </c>
      <c r="Q4980" t="s">
        <v>448</v>
      </c>
      <c r="R4980" t="s">
        <v>1084</v>
      </c>
    </row>
    <row r="4981" spans="1:18" x14ac:dyDescent="0.25">
      <c r="A4981" t="s">
        <v>16316</v>
      </c>
      <c r="B4981" t="s">
        <v>6419</v>
      </c>
      <c r="C4981" t="str">
        <f>HYPERLINK("https://nematode.unl.edu/heteg17.jpg")</f>
        <v>https://nematode.unl.edu/heteg17.jpg</v>
      </c>
      <c r="D4981" t="s">
        <v>16</v>
      </c>
      <c r="G4981" t="s">
        <v>34</v>
      </c>
      <c r="H4981" t="s">
        <v>18</v>
      </c>
      <c r="M4981" t="s">
        <v>6413</v>
      </c>
      <c r="N4981" t="s">
        <v>6413</v>
      </c>
      <c r="O4981" t="s">
        <v>23</v>
      </c>
      <c r="P4981" t="s">
        <v>24</v>
      </c>
      <c r="Q4981" t="s">
        <v>448</v>
      </c>
      <c r="R4981" t="s">
        <v>1084</v>
      </c>
    </row>
    <row r="4982" spans="1:18" x14ac:dyDescent="0.25">
      <c r="A4982" t="s">
        <v>16323</v>
      </c>
      <c r="B4982" t="s">
        <v>6420</v>
      </c>
      <c r="C4982" t="str">
        <f>HYPERLINK("https://nematode.unl.edu/heteg18.jpg")</f>
        <v>https://nematode.unl.edu/heteg18.jpg</v>
      </c>
      <c r="D4982" t="s">
        <v>16</v>
      </c>
      <c r="G4982" t="s">
        <v>28</v>
      </c>
      <c r="J4982" t="s">
        <v>20</v>
      </c>
      <c r="M4982" t="s">
        <v>6413</v>
      </c>
      <c r="N4982" t="s">
        <v>6413</v>
      </c>
      <c r="O4982" t="s">
        <v>23</v>
      </c>
      <c r="P4982" t="s">
        <v>24</v>
      </c>
      <c r="Q4982" t="s">
        <v>448</v>
      </c>
      <c r="R4982" t="s">
        <v>1084</v>
      </c>
    </row>
    <row r="4983" spans="1:18" x14ac:dyDescent="0.25">
      <c r="A4983" t="s">
        <v>16318</v>
      </c>
      <c r="B4983" t="s">
        <v>6421</v>
      </c>
      <c r="C4983" t="str">
        <f>HYPERLINK("https://nematode.unl.edu/heteg19.jpg")</f>
        <v>https://nematode.unl.edu/heteg19.jpg</v>
      </c>
      <c r="D4983" t="s">
        <v>16</v>
      </c>
      <c r="G4983" t="s">
        <v>44</v>
      </c>
      <c r="I4983" t="s">
        <v>45</v>
      </c>
      <c r="J4983" t="s">
        <v>20</v>
      </c>
      <c r="L4983" t="s">
        <v>85</v>
      </c>
      <c r="M4983" t="s">
        <v>6413</v>
      </c>
      <c r="N4983" t="s">
        <v>6413</v>
      </c>
      <c r="O4983" t="s">
        <v>23</v>
      </c>
      <c r="P4983" t="s">
        <v>24</v>
      </c>
      <c r="Q4983" t="s">
        <v>448</v>
      </c>
      <c r="R4983" t="s">
        <v>1084</v>
      </c>
    </row>
    <row r="4984" spans="1:18" x14ac:dyDescent="0.25">
      <c r="A4984" t="s">
        <v>16324</v>
      </c>
      <c r="B4984" t="s">
        <v>6422</v>
      </c>
      <c r="C4984" t="str">
        <f>HYPERLINK("https://nematode.unl.edu/heteg2.jpg")</f>
        <v>https://nematode.unl.edu/heteg2.jpg</v>
      </c>
      <c r="D4984" t="s">
        <v>43</v>
      </c>
      <c r="G4984" t="s">
        <v>51</v>
      </c>
      <c r="J4984" t="s">
        <v>20</v>
      </c>
      <c r="L4984" t="s">
        <v>85</v>
      </c>
      <c r="M4984" t="s">
        <v>6413</v>
      </c>
      <c r="N4984" t="s">
        <v>6413</v>
      </c>
      <c r="O4984" t="s">
        <v>23</v>
      </c>
      <c r="P4984" t="s">
        <v>24</v>
      </c>
      <c r="Q4984" t="s">
        <v>448</v>
      </c>
      <c r="R4984" t="s">
        <v>1084</v>
      </c>
    </row>
    <row r="4985" spans="1:18" x14ac:dyDescent="0.25">
      <c r="A4985" t="s">
        <v>16320</v>
      </c>
      <c r="B4985" t="s">
        <v>6423</v>
      </c>
      <c r="C4985" t="str">
        <f>HYPERLINK("https://nematode.unl.edu/heteg3.jpg")</f>
        <v>https://nematode.unl.edu/heteg3.jpg</v>
      </c>
      <c r="D4985" t="s">
        <v>43</v>
      </c>
      <c r="G4985" t="s">
        <v>6424</v>
      </c>
      <c r="I4985" t="s">
        <v>516</v>
      </c>
      <c r="J4985" t="s">
        <v>20</v>
      </c>
      <c r="L4985" t="s">
        <v>1707</v>
      </c>
      <c r="M4985" t="s">
        <v>6413</v>
      </c>
      <c r="N4985" t="s">
        <v>6413</v>
      </c>
      <c r="O4985" t="s">
        <v>23</v>
      </c>
      <c r="P4985" t="s">
        <v>24</v>
      </c>
      <c r="Q4985" t="s">
        <v>448</v>
      </c>
      <c r="R4985" t="s">
        <v>1084</v>
      </c>
    </row>
    <row r="4986" spans="1:18" x14ac:dyDescent="0.25">
      <c r="A4986" t="s">
        <v>16328</v>
      </c>
      <c r="B4986" t="s">
        <v>6425</v>
      </c>
      <c r="C4986" t="str">
        <f>HYPERLINK("https://nematode.unl.edu/heteg4.jpg")</f>
        <v>https://nematode.unl.edu/heteg4.jpg</v>
      </c>
      <c r="D4986" t="s">
        <v>43</v>
      </c>
      <c r="G4986" t="s">
        <v>6412</v>
      </c>
      <c r="I4986" t="s">
        <v>516</v>
      </c>
      <c r="J4986" t="s">
        <v>20</v>
      </c>
      <c r="L4986" t="s">
        <v>1707</v>
      </c>
      <c r="M4986" t="s">
        <v>6413</v>
      </c>
      <c r="N4986" t="s">
        <v>6413</v>
      </c>
      <c r="O4986" t="s">
        <v>23</v>
      </c>
      <c r="P4986" t="s">
        <v>24</v>
      </c>
      <c r="Q4986" t="s">
        <v>448</v>
      </c>
      <c r="R4986" t="s">
        <v>1084</v>
      </c>
    </row>
    <row r="4987" spans="1:18" x14ac:dyDescent="0.25">
      <c r="A4987" t="s">
        <v>16329</v>
      </c>
      <c r="B4987" t="s">
        <v>6426</v>
      </c>
      <c r="C4987" t="str">
        <f>HYPERLINK("https://nematode.unl.edu/heteg5.jpg")</f>
        <v>https://nematode.unl.edu/heteg5.jpg</v>
      </c>
      <c r="D4987" t="s">
        <v>43</v>
      </c>
      <c r="G4987" t="s">
        <v>6412</v>
      </c>
      <c r="I4987" t="s">
        <v>516</v>
      </c>
      <c r="J4987" t="s">
        <v>20</v>
      </c>
      <c r="L4987" t="s">
        <v>1707</v>
      </c>
      <c r="M4987" t="s">
        <v>6413</v>
      </c>
      <c r="N4987" t="s">
        <v>6413</v>
      </c>
      <c r="O4987" t="s">
        <v>23</v>
      </c>
      <c r="P4987" t="s">
        <v>24</v>
      </c>
      <c r="Q4987" t="s">
        <v>448</v>
      </c>
      <c r="R4987" t="s">
        <v>1084</v>
      </c>
    </row>
    <row r="4988" spans="1:18" x14ac:dyDescent="0.25">
      <c r="A4988" t="s">
        <v>16330</v>
      </c>
      <c r="B4988" t="s">
        <v>6427</v>
      </c>
      <c r="C4988" t="str">
        <f>HYPERLINK("https://nematode.unl.edu/heteg6.jpg")</f>
        <v>https://nematode.unl.edu/heteg6.jpg</v>
      </c>
      <c r="D4988" t="s">
        <v>43</v>
      </c>
      <c r="G4988" t="s">
        <v>6412</v>
      </c>
      <c r="I4988" t="s">
        <v>516</v>
      </c>
      <c r="J4988" t="s">
        <v>20</v>
      </c>
      <c r="L4988" t="s">
        <v>1707</v>
      </c>
      <c r="M4988" t="s">
        <v>6413</v>
      </c>
      <c r="N4988" t="s">
        <v>6413</v>
      </c>
      <c r="O4988" t="s">
        <v>23</v>
      </c>
      <c r="P4988" t="s">
        <v>24</v>
      </c>
      <c r="Q4988" t="s">
        <v>448</v>
      </c>
      <c r="R4988" t="s">
        <v>1084</v>
      </c>
    </row>
    <row r="4989" spans="1:18" x14ac:dyDescent="0.25">
      <c r="A4989" t="s">
        <v>16325</v>
      </c>
      <c r="B4989" t="s">
        <v>6428</v>
      </c>
      <c r="C4989" t="str">
        <f>HYPERLINK("https://nematode.unl.edu/heteg7.jpg")</f>
        <v>https://nematode.unl.edu/heteg7.jpg</v>
      </c>
      <c r="D4989" t="s">
        <v>43</v>
      </c>
      <c r="G4989" t="s">
        <v>51</v>
      </c>
      <c r="M4989" t="s">
        <v>6413</v>
      </c>
      <c r="N4989" t="s">
        <v>6413</v>
      </c>
      <c r="O4989" t="s">
        <v>23</v>
      </c>
      <c r="P4989" t="s">
        <v>24</v>
      </c>
      <c r="Q4989" t="s">
        <v>448</v>
      </c>
      <c r="R4989" t="s">
        <v>1084</v>
      </c>
    </row>
    <row r="4990" spans="1:18" x14ac:dyDescent="0.25">
      <c r="A4990" t="s">
        <v>16326</v>
      </c>
      <c r="B4990" t="s">
        <v>6429</v>
      </c>
      <c r="C4990" t="str">
        <f>HYPERLINK("https://nematode.unl.edu/heteg8.jpg")</f>
        <v>https://nematode.unl.edu/heteg8.jpg</v>
      </c>
      <c r="D4990" t="s">
        <v>43</v>
      </c>
      <c r="G4990" t="s">
        <v>51</v>
      </c>
      <c r="J4990" t="s">
        <v>20</v>
      </c>
      <c r="L4990" t="s">
        <v>85</v>
      </c>
      <c r="M4990" t="s">
        <v>6413</v>
      </c>
      <c r="N4990" t="s">
        <v>6413</v>
      </c>
      <c r="O4990" t="s">
        <v>23</v>
      </c>
      <c r="P4990" t="s">
        <v>24</v>
      </c>
      <c r="Q4990" t="s">
        <v>448</v>
      </c>
      <c r="R4990" t="s">
        <v>1084</v>
      </c>
    </row>
    <row r="4991" spans="1:18" x14ac:dyDescent="0.25">
      <c r="A4991" t="s">
        <v>16319</v>
      </c>
      <c r="B4991" t="s">
        <v>6430</v>
      </c>
      <c r="C4991" t="str">
        <f>HYPERLINK("https://nematode.unl.edu/heteg9.jpg")</f>
        <v>https://nematode.unl.edu/heteg9.jpg</v>
      </c>
      <c r="D4991" t="s">
        <v>16</v>
      </c>
      <c r="G4991" t="s">
        <v>44</v>
      </c>
      <c r="I4991" t="s">
        <v>45</v>
      </c>
      <c r="J4991" t="s">
        <v>20</v>
      </c>
      <c r="L4991" t="s">
        <v>85</v>
      </c>
      <c r="M4991" t="s">
        <v>6413</v>
      </c>
      <c r="N4991" t="s">
        <v>6413</v>
      </c>
      <c r="O4991" t="s">
        <v>23</v>
      </c>
      <c r="P4991" t="s">
        <v>24</v>
      </c>
      <c r="Q4991" t="s">
        <v>448</v>
      </c>
      <c r="R4991" t="s">
        <v>1084</v>
      </c>
    </row>
    <row r="4992" spans="1:18" x14ac:dyDescent="0.25">
      <c r="A4992" t="s">
        <v>16313</v>
      </c>
      <c r="B4992" t="s">
        <v>6431</v>
      </c>
      <c r="C4992" t="str">
        <f>HYPERLINK("https://nematode.unl.edu/hetegcmp.jpg")</f>
        <v>https://nematode.unl.edu/hetegcmp.jpg</v>
      </c>
      <c r="D4992" t="s">
        <v>43</v>
      </c>
      <c r="G4992" t="s">
        <v>96</v>
      </c>
      <c r="H4992" t="s">
        <v>18</v>
      </c>
      <c r="M4992" t="s">
        <v>6413</v>
      </c>
      <c r="N4992" t="s">
        <v>6413</v>
      </c>
      <c r="O4992" t="s">
        <v>23</v>
      </c>
      <c r="P4992" t="s">
        <v>24</v>
      </c>
      <c r="Q4992" t="s">
        <v>448</v>
      </c>
      <c r="R4992" t="s">
        <v>1084</v>
      </c>
    </row>
    <row r="4993" spans="1:18" x14ac:dyDescent="0.25">
      <c r="A4993" t="s">
        <v>16347</v>
      </c>
      <c r="B4993" t="s">
        <v>6432</v>
      </c>
      <c r="C4993" t="str">
        <f>HYPERLINK("https://nematode.unl.edu/hetemed1.jpg")</f>
        <v>https://nematode.unl.edu/hetemed1.jpg</v>
      </c>
      <c r="D4993" t="s">
        <v>16</v>
      </c>
      <c r="G4993" t="s">
        <v>44</v>
      </c>
      <c r="I4993" t="s">
        <v>137</v>
      </c>
      <c r="J4993" t="s">
        <v>6433</v>
      </c>
      <c r="L4993" t="s">
        <v>4584</v>
      </c>
      <c r="M4993" t="s">
        <v>6434</v>
      </c>
      <c r="N4993" t="s">
        <v>6434</v>
      </c>
      <c r="O4993" t="s">
        <v>23</v>
      </c>
      <c r="P4993" t="s">
        <v>24</v>
      </c>
      <c r="Q4993" t="s">
        <v>448</v>
      </c>
      <c r="R4993" t="s">
        <v>1084</v>
      </c>
    </row>
    <row r="4994" spans="1:18" x14ac:dyDescent="0.25">
      <c r="A4994" t="s">
        <v>16344</v>
      </c>
      <c r="B4994" t="s">
        <v>6435</v>
      </c>
      <c r="C4994" t="str">
        <f>HYPERLINK("https://nematode.unl.edu/hetemed2.jpg")</f>
        <v>https://nematode.unl.edu/hetemed2.jpg</v>
      </c>
      <c r="D4994" t="s">
        <v>16</v>
      </c>
      <c r="G4994" t="s">
        <v>34</v>
      </c>
      <c r="H4994" t="s">
        <v>18</v>
      </c>
      <c r="M4994" t="s">
        <v>6434</v>
      </c>
      <c r="N4994" t="s">
        <v>6434</v>
      </c>
      <c r="O4994" t="s">
        <v>23</v>
      </c>
      <c r="P4994" t="s">
        <v>24</v>
      </c>
      <c r="Q4994" t="s">
        <v>448</v>
      </c>
      <c r="R4994" t="s">
        <v>1084</v>
      </c>
    </row>
    <row r="4995" spans="1:18" x14ac:dyDescent="0.25">
      <c r="A4995" t="s">
        <v>16351</v>
      </c>
      <c r="B4995" t="s">
        <v>6436</v>
      </c>
      <c r="C4995" t="str">
        <f>HYPERLINK("https://nematode.unl.edu/hetemed3.jpg")</f>
        <v>https://nematode.unl.edu/hetemed3.jpg</v>
      </c>
      <c r="D4995" t="s">
        <v>16</v>
      </c>
      <c r="G4995" t="s">
        <v>28</v>
      </c>
      <c r="M4995" t="s">
        <v>6434</v>
      </c>
      <c r="N4995" t="s">
        <v>6434</v>
      </c>
      <c r="O4995" t="s">
        <v>23</v>
      </c>
      <c r="P4995" t="s">
        <v>24</v>
      </c>
      <c r="Q4995" t="s">
        <v>448</v>
      </c>
      <c r="R4995" t="s">
        <v>1084</v>
      </c>
    </row>
    <row r="4996" spans="1:18" x14ac:dyDescent="0.25">
      <c r="A4996" t="s">
        <v>16350</v>
      </c>
      <c r="B4996" t="s">
        <v>6437</v>
      </c>
      <c r="C4996" t="str">
        <f>HYPERLINK("https://nematode.unl.edu/hetemed4.jpg")</f>
        <v>https://nematode.unl.edu/hetemed4.jpg</v>
      </c>
      <c r="D4996" t="s">
        <v>16</v>
      </c>
      <c r="G4996" t="s">
        <v>53</v>
      </c>
      <c r="I4996" t="s">
        <v>41</v>
      </c>
      <c r="M4996" t="s">
        <v>6434</v>
      </c>
      <c r="N4996" t="s">
        <v>6434</v>
      </c>
      <c r="O4996" t="s">
        <v>23</v>
      </c>
      <c r="P4996" t="s">
        <v>24</v>
      </c>
      <c r="Q4996" t="s">
        <v>448</v>
      </c>
      <c r="R4996" t="s">
        <v>1084</v>
      </c>
    </row>
    <row r="4997" spans="1:18" x14ac:dyDescent="0.25">
      <c r="A4997" t="s">
        <v>16345</v>
      </c>
      <c r="B4997" t="s">
        <v>6438</v>
      </c>
      <c r="C4997" t="str">
        <f>HYPERLINK("https://nematode.unl.edu/hetemed5.jpg")</f>
        <v>https://nematode.unl.edu/hetemed5.jpg</v>
      </c>
      <c r="D4997" t="s">
        <v>16</v>
      </c>
      <c r="G4997" t="s">
        <v>34</v>
      </c>
      <c r="H4997" t="s">
        <v>18</v>
      </c>
      <c r="M4997" t="s">
        <v>6434</v>
      </c>
      <c r="N4997" t="s">
        <v>6434</v>
      </c>
      <c r="O4997" t="s">
        <v>23</v>
      </c>
      <c r="P4997" t="s">
        <v>24</v>
      </c>
      <c r="Q4997" t="s">
        <v>448</v>
      </c>
      <c r="R4997" t="s">
        <v>1084</v>
      </c>
    </row>
    <row r="4998" spans="1:18" x14ac:dyDescent="0.25">
      <c r="A4998" t="s">
        <v>16348</v>
      </c>
      <c r="B4998" t="s">
        <v>6439</v>
      </c>
      <c r="C4998" t="str">
        <f>HYPERLINK("https://nematode.unl.edu/hetemed6.jpg")</f>
        <v>https://nematode.unl.edu/hetemed6.jpg</v>
      </c>
      <c r="D4998" t="s">
        <v>77</v>
      </c>
      <c r="G4998" t="s">
        <v>44</v>
      </c>
      <c r="I4998" t="s">
        <v>316</v>
      </c>
      <c r="J4998" t="s">
        <v>6433</v>
      </c>
      <c r="L4998" t="s">
        <v>4584</v>
      </c>
      <c r="M4998" t="s">
        <v>6434</v>
      </c>
      <c r="N4998" t="s">
        <v>6434</v>
      </c>
      <c r="O4998" t="s">
        <v>23</v>
      </c>
      <c r="P4998" t="s">
        <v>24</v>
      </c>
      <c r="Q4998" t="s">
        <v>448</v>
      </c>
      <c r="R4998" t="s">
        <v>1084</v>
      </c>
    </row>
    <row r="4999" spans="1:18" x14ac:dyDescent="0.25">
      <c r="A4999" t="s">
        <v>16349</v>
      </c>
      <c r="B4999" t="s">
        <v>6440</v>
      </c>
      <c r="C4999" t="str">
        <f>HYPERLINK("https://nematode.unl.edu/hetemed7.jpg")</f>
        <v>https://nematode.unl.edu/hetemed7.jpg</v>
      </c>
      <c r="D4999" t="s">
        <v>77</v>
      </c>
      <c r="G4999" t="s">
        <v>44</v>
      </c>
      <c r="I4999" t="s">
        <v>499</v>
      </c>
      <c r="J4999" t="s">
        <v>6433</v>
      </c>
      <c r="L4999" t="s">
        <v>4584</v>
      </c>
      <c r="M4999" t="s">
        <v>6434</v>
      </c>
      <c r="N4999" t="s">
        <v>6434</v>
      </c>
      <c r="O4999" t="s">
        <v>23</v>
      </c>
      <c r="P4999" t="s">
        <v>24</v>
      </c>
      <c r="Q4999" t="s">
        <v>448</v>
      </c>
      <c r="R4999" t="s">
        <v>1084</v>
      </c>
    </row>
    <row r="5000" spans="1:18" x14ac:dyDescent="0.25">
      <c r="A5000" t="s">
        <v>16346</v>
      </c>
      <c r="B5000" t="s">
        <v>6441</v>
      </c>
      <c r="C5000" t="str">
        <f>HYPERLINK("https://nematode.unl.edu/hetemed8.jpg")</f>
        <v>https://nematode.unl.edu/hetemed8.jpg</v>
      </c>
      <c r="D5000" t="s">
        <v>77</v>
      </c>
      <c r="G5000" t="s">
        <v>34</v>
      </c>
      <c r="H5000" t="s">
        <v>18</v>
      </c>
      <c r="M5000" t="s">
        <v>6434</v>
      </c>
      <c r="N5000" t="s">
        <v>6434</v>
      </c>
      <c r="O5000" t="s">
        <v>23</v>
      </c>
      <c r="P5000" t="s">
        <v>24</v>
      </c>
      <c r="Q5000" t="s">
        <v>448</v>
      </c>
      <c r="R5000" t="s">
        <v>1084</v>
      </c>
    </row>
    <row r="5001" spans="1:18" x14ac:dyDescent="0.25">
      <c r="A5001" t="s">
        <v>16352</v>
      </c>
      <c r="B5001" t="s">
        <v>6442</v>
      </c>
      <c r="C5001" t="str">
        <f>HYPERLINK("https://nematode.unl.edu/hetemed9.jpg")</f>
        <v>https://nematode.unl.edu/hetemed9.jpg</v>
      </c>
      <c r="D5001" t="s">
        <v>77</v>
      </c>
      <c r="G5001" t="s">
        <v>28</v>
      </c>
      <c r="M5001" t="s">
        <v>6434</v>
      </c>
      <c r="N5001" t="s">
        <v>6434</v>
      </c>
      <c r="O5001" t="s">
        <v>23</v>
      </c>
      <c r="P5001" t="s">
        <v>24</v>
      </c>
      <c r="Q5001" t="s">
        <v>448</v>
      </c>
      <c r="R5001" t="s">
        <v>1084</v>
      </c>
    </row>
    <row r="5002" spans="1:18" x14ac:dyDescent="0.25">
      <c r="A5002" t="s">
        <v>16287</v>
      </c>
      <c r="B5002" t="s">
        <v>6400</v>
      </c>
      <c r="C5002" t="str">
        <f>HYPERLINK("https://nematode.unl.edu/hetemont1.jpg")</f>
        <v>https://nematode.unl.edu/hetemont1.jpg</v>
      </c>
      <c r="G5002" t="s">
        <v>3596</v>
      </c>
      <c r="I5002" t="s">
        <v>45</v>
      </c>
      <c r="J5002" t="s">
        <v>6401</v>
      </c>
      <c r="K5002" t="s">
        <v>22859</v>
      </c>
      <c r="L5002" t="s">
        <v>4584</v>
      </c>
      <c r="M5002" t="s">
        <v>6366</v>
      </c>
      <c r="N5002" t="s">
        <v>6366</v>
      </c>
      <c r="O5002" t="s">
        <v>23</v>
      </c>
      <c r="P5002" t="s">
        <v>24</v>
      </c>
      <c r="Q5002" t="s">
        <v>448</v>
      </c>
      <c r="R5002" t="s">
        <v>1084</v>
      </c>
    </row>
    <row r="5003" spans="1:18" x14ac:dyDescent="0.25">
      <c r="A5003" t="s">
        <v>16288</v>
      </c>
      <c r="B5003" t="s">
        <v>6402</v>
      </c>
      <c r="C5003" t="str">
        <f>HYPERLINK("https://nematode.unl.edu/hetemont2.jpg")</f>
        <v>https://nematode.unl.edu/hetemont2.jpg</v>
      </c>
      <c r="G5003" t="s">
        <v>3596</v>
      </c>
      <c r="I5003" t="s">
        <v>45</v>
      </c>
      <c r="J5003" t="s">
        <v>6401</v>
      </c>
      <c r="K5003" t="s">
        <v>22859</v>
      </c>
      <c r="L5003" t="s">
        <v>4584</v>
      </c>
      <c r="M5003" t="s">
        <v>6366</v>
      </c>
      <c r="N5003" t="s">
        <v>6366</v>
      </c>
      <c r="O5003" t="s">
        <v>23</v>
      </c>
      <c r="P5003" t="s">
        <v>24</v>
      </c>
      <c r="Q5003" t="s">
        <v>448</v>
      </c>
      <c r="R5003" t="s">
        <v>1084</v>
      </c>
    </row>
    <row r="5004" spans="1:18" x14ac:dyDescent="0.25">
      <c r="A5004" t="s">
        <v>16283</v>
      </c>
      <c r="B5004" t="s">
        <v>6403</v>
      </c>
      <c r="C5004" t="str">
        <f>HYPERLINK("https://nematode.unl.edu/hetemont3.jpg")</f>
        <v>https://nematode.unl.edu/hetemont3.jpg</v>
      </c>
      <c r="D5004" t="s">
        <v>16</v>
      </c>
      <c r="G5004" t="s">
        <v>34</v>
      </c>
      <c r="H5004" t="s">
        <v>18</v>
      </c>
      <c r="J5004" t="s">
        <v>4000</v>
      </c>
      <c r="M5004" t="s">
        <v>6366</v>
      </c>
      <c r="N5004" t="s">
        <v>6366</v>
      </c>
      <c r="O5004" t="s">
        <v>23</v>
      </c>
      <c r="P5004" t="s">
        <v>24</v>
      </c>
      <c r="Q5004" t="s">
        <v>448</v>
      </c>
      <c r="R5004" t="s">
        <v>1084</v>
      </c>
    </row>
    <row r="5005" spans="1:18" x14ac:dyDescent="0.25">
      <c r="A5005" t="s">
        <v>16306</v>
      </c>
      <c r="B5005" t="s">
        <v>6404</v>
      </c>
      <c r="C5005" t="str">
        <f>HYPERLINK("https://nematode.unl.edu/hetemont4.jpg")</f>
        <v>https://nematode.unl.edu/hetemont4.jpg</v>
      </c>
      <c r="D5005" t="s">
        <v>16</v>
      </c>
      <c r="G5005" t="s">
        <v>28</v>
      </c>
      <c r="I5005" t="s">
        <v>41</v>
      </c>
      <c r="J5005" t="s">
        <v>4000</v>
      </c>
      <c r="M5005" t="s">
        <v>6366</v>
      </c>
      <c r="N5005" t="s">
        <v>6366</v>
      </c>
      <c r="O5005" t="s">
        <v>23</v>
      </c>
      <c r="P5005" t="s">
        <v>24</v>
      </c>
      <c r="Q5005" t="s">
        <v>448</v>
      </c>
      <c r="R5005" t="s">
        <v>1084</v>
      </c>
    </row>
    <row r="5006" spans="1:18" x14ac:dyDescent="0.25">
      <c r="A5006" t="s">
        <v>16385</v>
      </c>
      <c r="B5006" t="s">
        <v>6472</v>
      </c>
      <c r="C5006" t="str">
        <f>HYPERLINK("https://nematode.unl.edu/heterha1.jpg")</f>
        <v>https://nematode.unl.edu/heterha1.jpg</v>
      </c>
      <c r="D5006" t="s">
        <v>16</v>
      </c>
      <c r="G5006" t="s">
        <v>44</v>
      </c>
      <c r="I5006" t="s">
        <v>45</v>
      </c>
      <c r="J5006" t="s">
        <v>20</v>
      </c>
      <c r="L5006" t="s">
        <v>5685</v>
      </c>
      <c r="M5006" t="s">
        <v>6473</v>
      </c>
      <c r="N5006" t="s">
        <v>6473</v>
      </c>
      <c r="O5006" t="s">
        <v>23</v>
      </c>
      <c r="P5006" t="s">
        <v>24</v>
      </c>
      <c r="Q5006" t="s">
        <v>6474</v>
      </c>
      <c r="R5006" t="s">
        <v>6473</v>
      </c>
    </row>
    <row r="5007" spans="1:18" x14ac:dyDescent="0.25">
      <c r="A5007" t="s">
        <v>16381</v>
      </c>
      <c r="B5007" t="s">
        <v>6475</v>
      </c>
      <c r="C5007" t="str">
        <f>HYPERLINK("https://nematode.unl.edu/heterha2.jpg")</f>
        <v>https://nematode.unl.edu/heterha2.jpg</v>
      </c>
      <c r="D5007" t="s">
        <v>16</v>
      </c>
      <c r="G5007" t="s">
        <v>34</v>
      </c>
      <c r="H5007" t="s">
        <v>18</v>
      </c>
      <c r="J5007" t="s">
        <v>20</v>
      </c>
      <c r="M5007" t="s">
        <v>6473</v>
      </c>
      <c r="N5007" t="s">
        <v>6473</v>
      </c>
      <c r="O5007" t="s">
        <v>23</v>
      </c>
      <c r="P5007" t="s">
        <v>24</v>
      </c>
      <c r="Q5007" t="s">
        <v>6474</v>
      </c>
      <c r="R5007" t="s">
        <v>6473</v>
      </c>
    </row>
    <row r="5008" spans="1:18" x14ac:dyDescent="0.25">
      <c r="A5008" t="s">
        <v>16386</v>
      </c>
      <c r="B5008" t="s">
        <v>6476</v>
      </c>
      <c r="C5008" t="str">
        <f>HYPERLINK("https://nematode.unl.edu/heterha3.jpg")</f>
        <v>https://nematode.unl.edu/heterha3.jpg</v>
      </c>
      <c r="D5008" t="s">
        <v>16</v>
      </c>
      <c r="G5008" t="s">
        <v>28</v>
      </c>
      <c r="L5008" t="s">
        <v>29</v>
      </c>
      <c r="M5008" t="s">
        <v>6473</v>
      </c>
      <c r="N5008" t="s">
        <v>6473</v>
      </c>
      <c r="O5008" t="s">
        <v>23</v>
      </c>
      <c r="P5008" t="s">
        <v>24</v>
      </c>
      <c r="Q5008" t="s">
        <v>6474</v>
      </c>
      <c r="R5008" t="s">
        <v>6473</v>
      </c>
    </row>
    <row r="5009" spans="1:18" x14ac:dyDescent="0.25">
      <c r="A5009" t="s">
        <v>16382</v>
      </c>
      <c r="B5009" t="s">
        <v>6477</v>
      </c>
      <c r="C5009" t="str">
        <f>HYPERLINK("https://nematode.unl.edu/heterha4.jpg")</f>
        <v>https://nematode.unl.edu/heterha4.jpg</v>
      </c>
      <c r="D5009" t="s">
        <v>16</v>
      </c>
      <c r="G5009" t="s">
        <v>34</v>
      </c>
      <c r="H5009" t="s">
        <v>18</v>
      </c>
      <c r="J5009" t="s">
        <v>20</v>
      </c>
      <c r="L5009" t="s">
        <v>141</v>
      </c>
      <c r="M5009" t="s">
        <v>6473</v>
      </c>
      <c r="N5009" t="s">
        <v>6473</v>
      </c>
      <c r="O5009" t="s">
        <v>23</v>
      </c>
      <c r="P5009" t="s">
        <v>24</v>
      </c>
      <c r="Q5009" t="s">
        <v>6474</v>
      </c>
      <c r="R5009" t="s">
        <v>6473</v>
      </c>
    </row>
    <row r="5010" spans="1:18" x14ac:dyDescent="0.25">
      <c r="A5010" t="s">
        <v>16384</v>
      </c>
      <c r="B5010" t="s">
        <v>6478</v>
      </c>
      <c r="C5010" t="str">
        <f>HYPERLINK("https://nematode.unl.edu/heterha5.jpg")</f>
        <v>https://nematode.unl.edu/heterha5.jpg</v>
      </c>
      <c r="D5010" t="s">
        <v>16</v>
      </c>
      <c r="G5010" t="s">
        <v>6479</v>
      </c>
      <c r="I5010" t="s">
        <v>41</v>
      </c>
      <c r="J5010" t="s">
        <v>20</v>
      </c>
      <c r="L5010" t="s">
        <v>5685</v>
      </c>
      <c r="M5010" t="s">
        <v>6473</v>
      </c>
      <c r="N5010" t="s">
        <v>6473</v>
      </c>
      <c r="O5010" t="s">
        <v>23</v>
      </c>
      <c r="P5010" t="s">
        <v>24</v>
      </c>
      <c r="Q5010" t="s">
        <v>6474</v>
      </c>
      <c r="R5010" t="s">
        <v>6473</v>
      </c>
    </row>
    <row r="5011" spans="1:18" x14ac:dyDescent="0.25">
      <c r="A5011" t="s">
        <v>16383</v>
      </c>
      <c r="B5011" t="s">
        <v>6480</v>
      </c>
      <c r="C5011" t="str">
        <f>HYPERLINK("https://nematode.unl.edu/heterha6.jpg")</f>
        <v>https://nematode.unl.edu/heterha6.jpg</v>
      </c>
      <c r="D5011" t="s">
        <v>16</v>
      </c>
      <c r="G5011" t="s">
        <v>34</v>
      </c>
      <c r="H5011" t="s">
        <v>18</v>
      </c>
      <c r="I5011" t="s">
        <v>41</v>
      </c>
      <c r="M5011" t="s">
        <v>6473</v>
      </c>
      <c r="N5011" t="s">
        <v>6473</v>
      </c>
      <c r="O5011" t="s">
        <v>23</v>
      </c>
      <c r="P5011" t="s">
        <v>24</v>
      </c>
      <c r="Q5011" t="s">
        <v>6474</v>
      </c>
      <c r="R5011" t="s">
        <v>6473</v>
      </c>
    </row>
    <row r="5012" spans="1:18" x14ac:dyDescent="0.25">
      <c r="A5012" t="s">
        <v>16339</v>
      </c>
      <c r="B5012" t="s">
        <v>1080</v>
      </c>
      <c r="C5012" t="str">
        <f>HYPERLINK("https://nematode.unl.edu/heteri1.jpg")</f>
        <v>https://nematode.unl.edu/heteri1.jpg</v>
      </c>
      <c r="D5012" t="s">
        <v>16</v>
      </c>
      <c r="G5012" t="s">
        <v>44</v>
      </c>
      <c r="I5012" t="s">
        <v>45</v>
      </c>
      <c r="L5012" t="s">
        <v>1081</v>
      </c>
      <c r="M5012" t="s">
        <v>1082</v>
      </c>
      <c r="N5012" t="s">
        <v>1083</v>
      </c>
      <c r="O5012" t="s">
        <v>23</v>
      </c>
      <c r="P5012" t="s">
        <v>24</v>
      </c>
      <c r="Q5012" t="s">
        <v>448</v>
      </c>
      <c r="R5012" t="s">
        <v>1084</v>
      </c>
    </row>
    <row r="5013" spans="1:18" x14ac:dyDescent="0.25">
      <c r="A5013" t="s">
        <v>16334</v>
      </c>
      <c r="B5013" t="s">
        <v>1085</v>
      </c>
      <c r="C5013" t="str">
        <f>HYPERLINK("https://nematode.unl.edu/heteri10.jpg")</f>
        <v>https://nematode.unl.edu/heteri10.jpg</v>
      </c>
      <c r="D5013" t="s">
        <v>16</v>
      </c>
      <c r="G5013" t="s">
        <v>34</v>
      </c>
      <c r="H5013" t="s">
        <v>18</v>
      </c>
      <c r="I5013" t="s">
        <v>41</v>
      </c>
      <c r="M5013" t="s">
        <v>1082</v>
      </c>
      <c r="N5013" t="s">
        <v>1083</v>
      </c>
      <c r="O5013" t="s">
        <v>23</v>
      </c>
      <c r="P5013" t="s">
        <v>24</v>
      </c>
      <c r="Q5013" t="s">
        <v>448</v>
      </c>
      <c r="R5013" t="s">
        <v>1084</v>
      </c>
    </row>
    <row r="5014" spans="1:18" x14ac:dyDescent="0.25">
      <c r="A5014" t="s">
        <v>16331</v>
      </c>
      <c r="B5014" t="s">
        <v>1086</v>
      </c>
      <c r="C5014" t="str">
        <f>HYPERLINK("https://nematode.unl.edu/heteri11.jpg")</f>
        <v>https://nematode.unl.edu/heteri11.jpg</v>
      </c>
      <c r="D5014" t="s">
        <v>43</v>
      </c>
      <c r="G5014" t="s">
        <v>96</v>
      </c>
      <c r="H5014" t="s">
        <v>18</v>
      </c>
      <c r="I5014" t="s">
        <v>19</v>
      </c>
      <c r="L5014" t="s">
        <v>1087</v>
      </c>
      <c r="M5014" t="s">
        <v>1082</v>
      </c>
      <c r="N5014" t="s">
        <v>1083</v>
      </c>
      <c r="O5014" t="s">
        <v>23</v>
      </c>
      <c r="P5014" t="s">
        <v>24</v>
      </c>
      <c r="Q5014" t="s">
        <v>448</v>
      </c>
      <c r="R5014" t="s">
        <v>1084</v>
      </c>
    </row>
    <row r="5015" spans="1:18" x14ac:dyDescent="0.25">
      <c r="A5015" t="s">
        <v>16341</v>
      </c>
      <c r="B5015" t="s">
        <v>1088</v>
      </c>
      <c r="C5015" t="str">
        <f>HYPERLINK("https://nematode.unl.edu/heteri12.jpg")</f>
        <v>https://nematode.unl.edu/heteri12.jpg</v>
      </c>
      <c r="D5015" t="s">
        <v>16</v>
      </c>
      <c r="G5015" t="s">
        <v>28</v>
      </c>
      <c r="I5015" t="s">
        <v>19</v>
      </c>
      <c r="M5015" t="s">
        <v>1082</v>
      </c>
      <c r="N5015" t="s">
        <v>1083</v>
      </c>
      <c r="O5015" t="s">
        <v>23</v>
      </c>
      <c r="P5015" t="s">
        <v>24</v>
      </c>
      <c r="Q5015" t="s">
        <v>448</v>
      </c>
      <c r="R5015" t="s">
        <v>1084</v>
      </c>
    </row>
    <row r="5016" spans="1:18" x14ac:dyDescent="0.25">
      <c r="A5016" t="s">
        <v>16335</v>
      </c>
      <c r="B5016" t="s">
        <v>1089</v>
      </c>
      <c r="C5016" t="str">
        <f>HYPERLINK("https://nematode.unl.edu/heteri13.jpg")</f>
        <v>https://nematode.unl.edu/heteri13.jpg</v>
      </c>
      <c r="D5016" t="s">
        <v>16</v>
      </c>
      <c r="G5016" t="s">
        <v>34</v>
      </c>
      <c r="H5016" t="s">
        <v>18</v>
      </c>
      <c r="I5016" t="s">
        <v>41</v>
      </c>
      <c r="M5016" t="s">
        <v>1082</v>
      </c>
      <c r="N5016" t="s">
        <v>1083</v>
      </c>
      <c r="O5016" t="s">
        <v>23</v>
      </c>
      <c r="P5016" t="s">
        <v>24</v>
      </c>
      <c r="Q5016" t="s">
        <v>448</v>
      </c>
      <c r="R5016" t="s">
        <v>1084</v>
      </c>
    </row>
    <row r="5017" spans="1:18" x14ac:dyDescent="0.25">
      <c r="A5017" t="s">
        <v>16336</v>
      </c>
      <c r="B5017" t="s">
        <v>1090</v>
      </c>
      <c r="C5017" t="str">
        <f>HYPERLINK("https://nematode.unl.edu/heteri2.jpg")</f>
        <v>https://nematode.unl.edu/heteri2.jpg</v>
      </c>
      <c r="D5017" t="s">
        <v>16</v>
      </c>
      <c r="G5017" t="s">
        <v>34</v>
      </c>
      <c r="H5017" t="s">
        <v>18</v>
      </c>
      <c r="I5017" t="s">
        <v>19</v>
      </c>
      <c r="M5017" t="s">
        <v>1082</v>
      </c>
      <c r="N5017" t="s">
        <v>1083</v>
      </c>
      <c r="O5017" t="s">
        <v>23</v>
      </c>
      <c r="P5017" t="s">
        <v>24</v>
      </c>
      <c r="Q5017" t="s">
        <v>448</v>
      </c>
      <c r="R5017" t="s">
        <v>1084</v>
      </c>
    </row>
    <row r="5018" spans="1:18" x14ac:dyDescent="0.25">
      <c r="A5018" t="s">
        <v>16342</v>
      </c>
      <c r="B5018" t="s">
        <v>1091</v>
      </c>
      <c r="C5018" t="str">
        <f>HYPERLINK("https://nematode.unl.edu/heteri3.jpg")</f>
        <v>https://nematode.unl.edu/heteri3.jpg</v>
      </c>
      <c r="D5018" t="s">
        <v>16</v>
      </c>
      <c r="G5018" t="s">
        <v>28</v>
      </c>
      <c r="I5018" t="s">
        <v>19</v>
      </c>
      <c r="M5018" t="s">
        <v>1082</v>
      </c>
      <c r="N5018" t="s">
        <v>1083</v>
      </c>
      <c r="O5018" t="s">
        <v>23</v>
      </c>
      <c r="P5018" t="s">
        <v>24</v>
      </c>
      <c r="Q5018" t="s">
        <v>448</v>
      </c>
      <c r="R5018" t="s">
        <v>1084</v>
      </c>
    </row>
    <row r="5019" spans="1:18" x14ac:dyDescent="0.25">
      <c r="A5019" t="s">
        <v>16337</v>
      </c>
      <c r="B5019" t="s">
        <v>1092</v>
      </c>
      <c r="C5019" t="str">
        <f>HYPERLINK("https://nematode.unl.edu/heteri4.jpg")</f>
        <v>https://nematode.unl.edu/heteri4.jpg</v>
      </c>
      <c r="D5019" t="s">
        <v>16</v>
      </c>
      <c r="G5019" t="s">
        <v>34</v>
      </c>
      <c r="H5019" t="s">
        <v>18</v>
      </c>
      <c r="I5019" t="s">
        <v>41</v>
      </c>
      <c r="M5019" t="s">
        <v>1082</v>
      </c>
      <c r="N5019" t="s">
        <v>1083</v>
      </c>
      <c r="O5019" t="s">
        <v>23</v>
      </c>
      <c r="P5019" t="s">
        <v>24</v>
      </c>
      <c r="Q5019" t="s">
        <v>448</v>
      </c>
      <c r="R5019" t="s">
        <v>1084</v>
      </c>
    </row>
    <row r="5020" spans="1:18" x14ac:dyDescent="0.25">
      <c r="A5020" t="s">
        <v>16332</v>
      </c>
      <c r="B5020" t="s">
        <v>1093</v>
      </c>
      <c r="C5020" t="str">
        <f>HYPERLINK("https://nematode.unl.edu/heteri5.jpg")</f>
        <v>https://nematode.unl.edu/heteri5.jpg</v>
      </c>
      <c r="D5020" t="s">
        <v>16</v>
      </c>
      <c r="G5020" t="s">
        <v>96</v>
      </c>
      <c r="H5020" t="s">
        <v>18</v>
      </c>
      <c r="I5020" t="s">
        <v>19</v>
      </c>
      <c r="M5020" t="s">
        <v>1082</v>
      </c>
      <c r="N5020" t="s">
        <v>1083</v>
      </c>
      <c r="O5020" t="s">
        <v>23</v>
      </c>
      <c r="P5020" t="s">
        <v>24</v>
      </c>
      <c r="Q5020" t="s">
        <v>448</v>
      </c>
      <c r="R5020" t="s">
        <v>1084</v>
      </c>
    </row>
    <row r="5021" spans="1:18" x14ac:dyDescent="0.25">
      <c r="A5021" t="s">
        <v>16340</v>
      </c>
      <c r="B5021" t="s">
        <v>1094</v>
      </c>
      <c r="C5021" t="str">
        <f>HYPERLINK("https://nematode.unl.edu/heteri6.jpg")</f>
        <v>https://nematode.unl.edu/heteri6.jpg</v>
      </c>
      <c r="D5021" t="s">
        <v>43</v>
      </c>
      <c r="G5021" t="s">
        <v>181</v>
      </c>
      <c r="I5021" t="s">
        <v>19</v>
      </c>
      <c r="L5021" t="s">
        <v>1087</v>
      </c>
      <c r="M5021" t="s">
        <v>1082</v>
      </c>
      <c r="N5021" t="s">
        <v>1083</v>
      </c>
      <c r="O5021" t="s">
        <v>23</v>
      </c>
      <c r="P5021" t="s">
        <v>24</v>
      </c>
      <c r="Q5021" t="s">
        <v>448</v>
      </c>
      <c r="R5021" t="s">
        <v>1084</v>
      </c>
    </row>
    <row r="5022" spans="1:18" x14ac:dyDescent="0.25">
      <c r="A5022" t="s">
        <v>16338</v>
      </c>
      <c r="B5022" t="s">
        <v>1095</v>
      </c>
      <c r="C5022" t="str">
        <f>HYPERLINK("https://nematode.unl.edu/heteri7.jpg")</f>
        <v>https://nematode.unl.edu/heteri7.jpg</v>
      </c>
      <c r="D5022" t="s">
        <v>16</v>
      </c>
      <c r="G5022" t="s">
        <v>34</v>
      </c>
      <c r="H5022" t="s">
        <v>18</v>
      </c>
      <c r="I5022" t="s">
        <v>41</v>
      </c>
      <c r="M5022" t="s">
        <v>1082</v>
      </c>
      <c r="N5022" t="s">
        <v>1083</v>
      </c>
      <c r="O5022" t="s">
        <v>23</v>
      </c>
      <c r="P5022" t="s">
        <v>24</v>
      </c>
      <c r="Q5022" t="s">
        <v>448</v>
      </c>
      <c r="R5022" t="s">
        <v>1084</v>
      </c>
    </row>
    <row r="5023" spans="1:18" x14ac:dyDescent="0.25">
      <c r="A5023" t="s">
        <v>16333</v>
      </c>
      <c r="B5023" t="s">
        <v>1096</v>
      </c>
      <c r="C5023" t="str">
        <f>HYPERLINK("https://nematode.unl.edu/heteri8.jpg")</f>
        <v>https://nematode.unl.edu/heteri8.jpg</v>
      </c>
      <c r="D5023" t="s">
        <v>16</v>
      </c>
      <c r="G5023" t="s">
        <v>96</v>
      </c>
      <c r="H5023" t="s">
        <v>18</v>
      </c>
      <c r="I5023" t="s">
        <v>19</v>
      </c>
      <c r="M5023" t="s">
        <v>1082</v>
      </c>
      <c r="N5023" t="s">
        <v>1083</v>
      </c>
      <c r="O5023" t="s">
        <v>23</v>
      </c>
      <c r="P5023" t="s">
        <v>24</v>
      </c>
      <c r="Q5023" t="s">
        <v>448</v>
      </c>
      <c r="R5023" t="s">
        <v>1084</v>
      </c>
    </row>
    <row r="5024" spans="1:18" x14ac:dyDescent="0.25">
      <c r="A5024" t="s">
        <v>16343</v>
      </c>
      <c r="B5024" t="s">
        <v>1097</v>
      </c>
      <c r="C5024" t="str">
        <f>HYPERLINK("https://nematode.unl.edu/heteri9.jpg")</f>
        <v>https://nematode.unl.edu/heteri9.jpg</v>
      </c>
      <c r="D5024" t="s">
        <v>16</v>
      </c>
      <c r="G5024" t="s">
        <v>28</v>
      </c>
      <c r="I5024" t="s">
        <v>19</v>
      </c>
      <c r="M5024" t="s">
        <v>1082</v>
      </c>
      <c r="N5024" t="s">
        <v>1083</v>
      </c>
      <c r="O5024" t="s">
        <v>23</v>
      </c>
      <c r="P5024" t="s">
        <v>24</v>
      </c>
      <c r="Q5024" t="s">
        <v>448</v>
      </c>
      <c r="R5024" t="s">
        <v>1084</v>
      </c>
    </row>
    <row r="5025" spans="1:18" x14ac:dyDescent="0.25">
      <c r="A5025" t="s">
        <v>13592</v>
      </c>
      <c r="B5025" t="s">
        <v>1676</v>
      </c>
      <c r="C5025" t="str">
        <f>HYPERLINK("https://nematode.unl.edu/heterob1.jpg")</f>
        <v>https://nematode.unl.edu/heterob1.jpg</v>
      </c>
      <c r="D5025" t="s">
        <v>77</v>
      </c>
      <c r="G5025" t="s">
        <v>44</v>
      </c>
      <c r="I5025" t="s">
        <v>516</v>
      </c>
      <c r="J5025" t="s">
        <v>1517</v>
      </c>
      <c r="L5025" t="s">
        <v>1677</v>
      </c>
      <c r="M5025" t="s">
        <v>1678</v>
      </c>
      <c r="N5025" t="s">
        <v>1679</v>
      </c>
      <c r="O5025" t="s">
        <v>23</v>
      </c>
      <c r="P5025" t="s">
        <v>24</v>
      </c>
      <c r="Q5025" t="s">
        <v>25</v>
      </c>
      <c r="R5025" t="s">
        <v>1679</v>
      </c>
    </row>
    <row r="5026" spans="1:18" x14ac:dyDescent="0.25">
      <c r="A5026" t="s">
        <v>13591</v>
      </c>
      <c r="B5026" t="s">
        <v>1680</v>
      </c>
      <c r="C5026" t="str">
        <f>HYPERLINK("https://nematode.unl.edu/heterob2.jpg")</f>
        <v>https://nematode.unl.edu/heterob2.jpg</v>
      </c>
      <c r="D5026" t="s">
        <v>43</v>
      </c>
      <c r="G5026" t="s">
        <v>34</v>
      </c>
      <c r="H5026" t="s">
        <v>18</v>
      </c>
      <c r="J5026" t="s">
        <v>1525</v>
      </c>
      <c r="L5026" t="s">
        <v>1526</v>
      </c>
      <c r="M5026" t="s">
        <v>1678</v>
      </c>
      <c r="N5026" t="s">
        <v>1679</v>
      </c>
      <c r="O5026" t="s">
        <v>23</v>
      </c>
      <c r="P5026" t="s">
        <v>24</v>
      </c>
      <c r="Q5026" t="s">
        <v>25</v>
      </c>
      <c r="R5026" t="s">
        <v>1679</v>
      </c>
    </row>
    <row r="5027" spans="1:18" x14ac:dyDescent="0.25">
      <c r="A5027" t="s">
        <v>13594</v>
      </c>
      <c r="B5027" t="s">
        <v>1681</v>
      </c>
      <c r="C5027" t="str">
        <f>HYPERLINK("https://nematode.unl.edu/heterob3.jpg")</f>
        <v>https://nematode.unl.edu/heterob3.jpg</v>
      </c>
      <c r="D5027" t="s">
        <v>43</v>
      </c>
      <c r="G5027" t="s">
        <v>51</v>
      </c>
      <c r="J5027" t="s">
        <v>1525</v>
      </c>
      <c r="L5027" t="s">
        <v>1526</v>
      </c>
      <c r="M5027" t="s">
        <v>1678</v>
      </c>
      <c r="N5027" t="s">
        <v>1679</v>
      </c>
      <c r="O5027" t="s">
        <v>23</v>
      </c>
      <c r="P5027" t="s">
        <v>24</v>
      </c>
      <c r="Q5027" t="s">
        <v>25</v>
      </c>
      <c r="R5027" t="s">
        <v>1679</v>
      </c>
    </row>
    <row r="5028" spans="1:18" x14ac:dyDescent="0.25">
      <c r="A5028" t="s">
        <v>13593</v>
      </c>
      <c r="B5028" t="s">
        <v>1682</v>
      </c>
      <c r="C5028" t="str">
        <f>HYPERLINK("https://nematode.unl.edu/heterob4.jpg")</f>
        <v>https://nematode.unl.edu/heterob4.jpg</v>
      </c>
      <c r="D5028" t="s">
        <v>43</v>
      </c>
      <c r="G5028" t="s">
        <v>28</v>
      </c>
      <c r="I5028" t="s">
        <v>41</v>
      </c>
      <c r="J5028" t="s">
        <v>1517</v>
      </c>
      <c r="L5028" t="s">
        <v>1677</v>
      </c>
      <c r="M5028" t="s">
        <v>1678</v>
      </c>
      <c r="N5028" t="s">
        <v>1679</v>
      </c>
      <c r="O5028" t="s">
        <v>23</v>
      </c>
      <c r="P5028" t="s">
        <v>24</v>
      </c>
      <c r="Q5028" t="s">
        <v>25</v>
      </c>
      <c r="R5028" t="s">
        <v>1679</v>
      </c>
    </row>
    <row r="5029" spans="1:18" x14ac:dyDescent="0.25">
      <c r="A5029" t="s">
        <v>16359</v>
      </c>
      <c r="B5029" t="s">
        <v>6443</v>
      </c>
      <c r="C5029" t="str">
        <f>HYPERLINK("https://nematode.unl.edu/hetesch1.jpg")</f>
        <v>https://nematode.unl.edu/hetesch1.jpg</v>
      </c>
      <c r="D5029" t="s">
        <v>16</v>
      </c>
      <c r="G5029" t="s">
        <v>44</v>
      </c>
      <c r="I5029" t="s">
        <v>516</v>
      </c>
      <c r="J5029" t="s">
        <v>6364</v>
      </c>
      <c r="L5029" t="s">
        <v>6444</v>
      </c>
      <c r="M5029" t="s">
        <v>6445</v>
      </c>
      <c r="N5029" t="s">
        <v>6445</v>
      </c>
      <c r="O5029" t="s">
        <v>23</v>
      </c>
      <c r="P5029" t="s">
        <v>24</v>
      </c>
      <c r="Q5029" t="s">
        <v>448</v>
      </c>
      <c r="R5029" t="s">
        <v>1084</v>
      </c>
    </row>
    <row r="5030" spans="1:18" x14ac:dyDescent="0.25">
      <c r="A5030" t="s">
        <v>16354</v>
      </c>
      <c r="B5030" t="s">
        <v>6446</v>
      </c>
      <c r="C5030" t="str">
        <f>HYPERLINK("https://nematode.unl.edu/hetesch2.jpg")</f>
        <v>https://nematode.unl.edu/hetesch2.jpg</v>
      </c>
      <c r="D5030" t="s">
        <v>16</v>
      </c>
      <c r="G5030" t="s">
        <v>34</v>
      </c>
      <c r="H5030" t="s">
        <v>18</v>
      </c>
      <c r="I5030" t="s">
        <v>41</v>
      </c>
      <c r="J5030" t="s">
        <v>708</v>
      </c>
      <c r="M5030" t="s">
        <v>6445</v>
      </c>
      <c r="N5030" t="s">
        <v>6445</v>
      </c>
      <c r="O5030" t="s">
        <v>23</v>
      </c>
      <c r="P5030" t="s">
        <v>24</v>
      </c>
      <c r="Q5030" t="s">
        <v>448</v>
      </c>
      <c r="R5030" t="s">
        <v>1084</v>
      </c>
    </row>
    <row r="5031" spans="1:18" x14ac:dyDescent="0.25">
      <c r="A5031" t="s">
        <v>16362</v>
      </c>
      <c r="B5031" t="s">
        <v>6447</v>
      </c>
      <c r="C5031" t="str">
        <f>HYPERLINK("https://nematode.unl.edu/hetesch3.jpg")</f>
        <v>https://nematode.unl.edu/hetesch3.jpg</v>
      </c>
      <c r="D5031" t="s">
        <v>16</v>
      </c>
      <c r="G5031" t="s">
        <v>28</v>
      </c>
      <c r="I5031" t="s">
        <v>41</v>
      </c>
      <c r="J5031" t="s">
        <v>708</v>
      </c>
      <c r="M5031" t="s">
        <v>6445</v>
      </c>
      <c r="N5031" t="s">
        <v>6445</v>
      </c>
      <c r="O5031" t="s">
        <v>23</v>
      </c>
      <c r="P5031" t="s">
        <v>24</v>
      </c>
      <c r="Q5031" t="s">
        <v>448</v>
      </c>
      <c r="R5031" t="s">
        <v>1084</v>
      </c>
    </row>
    <row r="5032" spans="1:18" x14ac:dyDescent="0.25">
      <c r="A5032" t="s">
        <v>16353</v>
      </c>
      <c r="B5032" t="s">
        <v>6448</v>
      </c>
      <c r="C5032" t="str">
        <f>HYPERLINK("https://nematode.unl.edu/hetesch4.jpg")</f>
        <v>https://nematode.unl.edu/hetesch4.jpg</v>
      </c>
      <c r="D5032" t="s">
        <v>16</v>
      </c>
      <c r="G5032" t="s">
        <v>96</v>
      </c>
      <c r="H5032" t="s">
        <v>18</v>
      </c>
      <c r="I5032" t="s">
        <v>19</v>
      </c>
      <c r="J5032" t="s">
        <v>708</v>
      </c>
      <c r="M5032" t="s">
        <v>6445</v>
      </c>
      <c r="N5032" t="s">
        <v>6445</v>
      </c>
      <c r="O5032" t="s">
        <v>23</v>
      </c>
      <c r="P5032" t="s">
        <v>24</v>
      </c>
      <c r="Q5032" t="s">
        <v>448</v>
      </c>
      <c r="R5032" t="s">
        <v>1084</v>
      </c>
    </row>
    <row r="5033" spans="1:18" x14ac:dyDescent="0.25">
      <c r="A5033" t="s">
        <v>16361</v>
      </c>
      <c r="B5033" t="s">
        <v>6449</v>
      </c>
      <c r="C5033" t="str">
        <f>HYPERLINK("https://nematode.unl.edu/hetesch5.jpg")</f>
        <v>https://nematode.unl.edu/hetesch5.jpg</v>
      </c>
      <c r="D5033" t="s">
        <v>16</v>
      </c>
      <c r="G5033" t="s">
        <v>181</v>
      </c>
      <c r="I5033" t="s">
        <v>19</v>
      </c>
      <c r="J5033" t="s">
        <v>6364</v>
      </c>
      <c r="L5033" t="s">
        <v>6444</v>
      </c>
      <c r="M5033" t="s">
        <v>6445</v>
      </c>
      <c r="N5033" t="s">
        <v>6445</v>
      </c>
      <c r="O5033" t="s">
        <v>23</v>
      </c>
      <c r="P5033" t="s">
        <v>24</v>
      </c>
      <c r="Q5033" t="s">
        <v>448</v>
      </c>
      <c r="R5033" t="s">
        <v>1084</v>
      </c>
    </row>
    <row r="5034" spans="1:18" x14ac:dyDescent="0.25">
      <c r="A5034" t="s">
        <v>16355</v>
      </c>
      <c r="B5034" t="s">
        <v>6450</v>
      </c>
      <c r="C5034" t="str">
        <f>HYPERLINK("https://nematode.unl.edu/hetesch6.jpg")</f>
        <v>https://nematode.unl.edu/hetesch6.jpg</v>
      </c>
      <c r="D5034" t="s">
        <v>16</v>
      </c>
      <c r="G5034" t="s">
        <v>34</v>
      </c>
      <c r="H5034" t="s">
        <v>18</v>
      </c>
      <c r="I5034" t="s">
        <v>529</v>
      </c>
      <c r="J5034" t="s">
        <v>6364</v>
      </c>
      <c r="L5034" t="s">
        <v>6444</v>
      </c>
      <c r="M5034" t="s">
        <v>6445</v>
      </c>
      <c r="N5034" t="s">
        <v>6445</v>
      </c>
      <c r="O5034" t="s">
        <v>23</v>
      </c>
      <c r="P5034" t="s">
        <v>24</v>
      </c>
      <c r="Q5034" t="s">
        <v>448</v>
      </c>
      <c r="R5034" t="s">
        <v>1084</v>
      </c>
    </row>
    <row r="5035" spans="1:18" x14ac:dyDescent="0.25">
      <c r="A5035" t="s">
        <v>16363</v>
      </c>
      <c r="B5035" t="s">
        <v>6451</v>
      </c>
      <c r="C5035" t="str">
        <f>HYPERLINK("https://nematode.unl.edu/hetesch7.jpg")</f>
        <v>https://nematode.unl.edu/hetesch7.jpg</v>
      </c>
      <c r="D5035" t="s">
        <v>16</v>
      </c>
      <c r="G5035" t="s">
        <v>28</v>
      </c>
      <c r="I5035" t="s">
        <v>41</v>
      </c>
      <c r="J5035" t="s">
        <v>708</v>
      </c>
      <c r="M5035" t="s">
        <v>6445</v>
      </c>
      <c r="N5035" t="s">
        <v>6445</v>
      </c>
      <c r="O5035" t="s">
        <v>23</v>
      </c>
      <c r="P5035" t="s">
        <v>24</v>
      </c>
      <c r="Q5035" t="s">
        <v>448</v>
      </c>
      <c r="R5035" t="s">
        <v>1084</v>
      </c>
    </row>
    <row r="5036" spans="1:18" x14ac:dyDescent="0.25">
      <c r="A5036" t="s">
        <v>16356</v>
      </c>
      <c r="B5036" t="s">
        <v>6452</v>
      </c>
      <c r="C5036" t="str">
        <f>HYPERLINK("https://nematode.unl.edu/hetesch8.jpg")</f>
        <v>https://nematode.unl.edu/hetesch8.jpg</v>
      </c>
      <c r="D5036" t="s">
        <v>16</v>
      </c>
      <c r="G5036" t="s">
        <v>34</v>
      </c>
      <c r="H5036" t="s">
        <v>18</v>
      </c>
      <c r="I5036" t="s">
        <v>41</v>
      </c>
      <c r="M5036" t="s">
        <v>6445</v>
      </c>
      <c r="N5036" t="s">
        <v>6445</v>
      </c>
      <c r="O5036" t="s">
        <v>23</v>
      </c>
      <c r="P5036" t="s">
        <v>24</v>
      </c>
      <c r="Q5036" t="s">
        <v>448</v>
      </c>
      <c r="R5036" t="s">
        <v>1084</v>
      </c>
    </row>
    <row r="5037" spans="1:18" x14ac:dyDescent="0.25">
      <c r="A5037" t="s">
        <v>16369</v>
      </c>
      <c r="B5037" t="s">
        <v>6459</v>
      </c>
      <c r="C5037" t="str">
        <f>HYPERLINK("https://nematode.unl.edu/hetezea1.jpg")</f>
        <v>https://nematode.unl.edu/hetezea1.jpg</v>
      </c>
      <c r="D5037" t="s">
        <v>16</v>
      </c>
      <c r="G5037" t="s">
        <v>44</v>
      </c>
      <c r="I5037" t="s">
        <v>19</v>
      </c>
      <c r="J5037" t="s">
        <v>6460</v>
      </c>
      <c r="L5037" t="s">
        <v>4061</v>
      </c>
      <c r="M5037" t="s">
        <v>6461</v>
      </c>
      <c r="N5037" t="s">
        <v>6461</v>
      </c>
      <c r="O5037" t="s">
        <v>23</v>
      </c>
      <c r="P5037" t="s">
        <v>24</v>
      </c>
      <c r="Q5037" t="s">
        <v>448</v>
      </c>
      <c r="R5037" t="s">
        <v>1084</v>
      </c>
    </row>
    <row r="5038" spans="1:18" x14ac:dyDescent="0.25">
      <c r="A5038" t="s">
        <v>16365</v>
      </c>
      <c r="B5038" t="s">
        <v>6462</v>
      </c>
      <c r="C5038" t="str">
        <f>HYPERLINK("https://nematode.unl.edu/hetezea2.jpg")</f>
        <v>https://nematode.unl.edu/hetezea2.jpg</v>
      </c>
      <c r="D5038" t="s">
        <v>16</v>
      </c>
      <c r="G5038" t="s">
        <v>96</v>
      </c>
      <c r="H5038" t="s">
        <v>18</v>
      </c>
      <c r="I5038" t="s">
        <v>41</v>
      </c>
      <c r="M5038" t="s">
        <v>6461</v>
      </c>
      <c r="N5038" t="s">
        <v>6461</v>
      </c>
      <c r="O5038" t="s">
        <v>23</v>
      </c>
      <c r="P5038" t="s">
        <v>24</v>
      </c>
      <c r="Q5038" t="s">
        <v>448</v>
      </c>
      <c r="R5038" t="s">
        <v>1084</v>
      </c>
    </row>
    <row r="5039" spans="1:18" x14ac:dyDescent="0.25">
      <c r="A5039" t="s">
        <v>16366</v>
      </c>
      <c r="B5039" t="s">
        <v>6463</v>
      </c>
      <c r="C5039" t="str">
        <f>HYPERLINK("https://nematode.unl.edu/hetezea3.jpg")</f>
        <v>https://nematode.unl.edu/hetezea3.jpg</v>
      </c>
      <c r="D5039" t="s">
        <v>16</v>
      </c>
      <c r="G5039" t="s">
        <v>96</v>
      </c>
      <c r="H5039" t="s">
        <v>18</v>
      </c>
      <c r="I5039" t="s">
        <v>41</v>
      </c>
      <c r="M5039" t="s">
        <v>6461</v>
      </c>
      <c r="N5039" t="s">
        <v>6461</v>
      </c>
      <c r="O5039" t="s">
        <v>23</v>
      </c>
      <c r="P5039" t="s">
        <v>24</v>
      </c>
      <c r="Q5039" t="s">
        <v>448</v>
      </c>
      <c r="R5039" t="s">
        <v>1084</v>
      </c>
    </row>
    <row r="5040" spans="1:18" x14ac:dyDescent="0.25">
      <c r="A5040" t="s">
        <v>16373</v>
      </c>
      <c r="B5040" t="s">
        <v>6464</v>
      </c>
      <c r="C5040" t="str">
        <f>HYPERLINK("https://nematode.unl.edu/hetezea4.jpg")</f>
        <v>https://nematode.unl.edu/hetezea4.jpg</v>
      </c>
      <c r="D5040" t="s">
        <v>16</v>
      </c>
      <c r="G5040" t="s">
        <v>28</v>
      </c>
      <c r="I5040" t="s">
        <v>41</v>
      </c>
      <c r="M5040" t="s">
        <v>6461</v>
      </c>
      <c r="N5040" t="s">
        <v>6461</v>
      </c>
      <c r="O5040" t="s">
        <v>23</v>
      </c>
      <c r="P5040" t="s">
        <v>24</v>
      </c>
      <c r="Q5040" t="s">
        <v>448</v>
      </c>
      <c r="R5040" t="s">
        <v>1084</v>
      </c>
    </row>
    <row r="5041" spans="1:18" x14ac:dyDescent="0.25">
      <c r="A5041" t="s">
        <v>16367</v>
      </c>
      <c r="B5041" t="s">
        <v>6465</v>
      </c>
      <c r="C5041" t="str">
        <f>HYPERLINK("https://nematode.unl.edu/hetezea5.jpg")</f>
        <v>https://nematode.unl.edu/hetezea5.jpg</v>
      </c>
      <c r="D5041" t="s">
        <v>16</v>
      </c>
      <c r="G5041" t="s">
        <v>96</v>
      </c>
      <c r="H5041" t="s">
        <v>18</v>
      </c>
      <c r="I5041" t="s">
        <v>41</v>
      </c>
      <c r="M5041" t="s">
        <v>6461</v>
      </c>
      <c r="N5041" t="s">
        <v>6461</v>
      </c>
      <c r="O5041" t="s">
        <v>23</v>
      </c>
      <c r="P5041" t="s">
        <v>24</v>
      </c>
      <c r="Q5041" t="s">
        <v>448</v>
      </c>
      <c r="R5041" t="s">
        <v>1084</v>
      </c>
    </row>
    <row r="5042" spans="1:18" x14ac:dyDescent="0.25">
      <c r="A5042" t="s">
        <v>16368</v>
      </c>
      <c r="B5042" t="s">
        <v>6466</v>
      </c>
      <c r="C5042" t="str">
        <f>HYPERLINK("https://nematode.unl.edu/hetezea6.jpg")</f>
        <v>https://nematode.unl.edu/hetezea6.jpg</v>
      </c>
      <c r="D5042" t="s">
        <v>16</v>
      </c>
      <c r="G5042" t="s">
        <v>96</v>
      </c>
      <c r="H5042" t="s">
        <v>18</v>
      </c>
      <c r="I5042" t="s">
        <v>41</v>
      </c>
      <c r="J5042" t="s">
        <v>6460</v>
      </c>
      <c r="L5042" t="s">
        <v>4061</v>
      </c>
      <c r="M5042" t="s">
        <v>6461</v>
      </c>
      <c r="N5042" t="s">
        <v>6461</v>
      </c>
      <c r="O5042" t="s">
        <v>23</v>
      </c>
      <c r="P5042" t="s">
        <v>24</v>
      </c>
      <c r="Q5042" t="s">
        <v>448</v>
      </c>
      <c r="R5042" t="s">
        <v>1084</v>
      </c>
    </row>
    <row r="5043" spans="1:18" x14ac:dyDescent="0.25">
      <c r="A5043" t="s">
        <v>16374</v>
      </c>
      <c r="B5043" t="s">
        <v>6467</v>
      </c>
      <c r="C5043" t="str">
        <f>HYPERLINK("https://nematode.unl.edu/hetezea7.jpg")</f>
        <v>https://nematode.unl.edu/hetezea7.jpg</v>
      </c>
      <c r="D5043" t="s">
        <v>16</v>
      </c>
      <c r="G5043" t="s">
        <v>28</v>
      </c>
      <c r="I5043" t="s">
        <v>41</v>
      </c>
      <c r="M5043" t="s">
        <v>6461</v>
      </c>
      <c r="N5043" t="s">
        <v>6461</v>
      </c>
      <c r="O5043" t="s">
        <v>23</v>
      </c>
      <c r="P5043" t="s">
        <v>24</v>
      </c>
      <c r="Q5043" t="s">
        <v>448</v>
      </c>
      <c r="R5043" t="s">
        <v>1084</v>
      </c>
    </row>
    <row r="5044" spans="1:18" x14ac:dyDescent="0.25">
      <c r="A5044" t="s">
        <v>16360</v>
      </c>
      <c r="B5044" t="s">
        <v>6453</v>
      </c>
      <c r="C5044" t="str">
        <f>HYPERLINK("https://nematode.unl.edu/hetschaw1.jpg")</f>
        <v>https://nematode.unl.edu/hetschaw1.jpg</v>
      </c>
      <c r="D5044" t="s">
        <v>16</v>
      </c>
      <c r="G5044" t="s">
        <v>44</v>
      </c>
      <c r="I5044" t="s">
        <v>19</v>
      </c>
      <c r="J5044" t="s">
        <v>6454</v>
      </c>
      <c r="L5044" t="s">
        <v>6455</v>
      </c>
      <c r="M5044" t="s">
        <v>6445</v>
      </c>
      <c r="N5044" t="s">
        <v>6445</v>
      </c>
      <c r="O5044" t="s">
        <v>23</v>
      </c>
      <c r="P5044" t="s">
        <v>24</v>
      </c>
      <c r="Q5044" t="s">
        <v>448</v>
      </c>
      <c r="R5044" t="s">
        <v>1084</v>
      </c>
    </row>
    <row r="5045" spans="1:18" x14ac:dyDescent="0.25">
      <c r="A5045" t="s">
        <v>16357</v>
      </c>
      <c r="B5045" t="s">
        <v>6456</v>
      </c>
      <c r="C5045" t="str">
        <f>HYPERLINK("https://nematode.unl.edu/hetschaw2.jpg")</f>
        <v>https://nematode.unl.edu/hetschaw2.jpg</v>
      </c>
      <c r="D5045" t="s">
        <v>16</v>
      </c>
      <c r="G5045" t="s">
        <v>34</v>
      </c>
      <c r="H5045" t="s">
        <v>18</v>
      </c>
      <c r="I5045" t="s">
        <v>41</v>
      </c>
      <c r="J5045" t="s">
        <v>6454</v>
      </c>
      <c r="L5045" t="s">
        <v>6455</v>
      </c>
      <c r="M5045" t="s">
        <v>6445</v>
      </c>
      <c r="N5045" t="s">
        <v>6445</v>
      </c>
      <c r="O5045" t="s">
        <v>23</v>
      </c>
      <c r="P5045" t="s">
        <v>24</v>
      </c>
      <c r="Q5045" t="s">
        <v>448</v>
      </c>
      <c r="R5045" t="s">
        <v>1084</v>
      </c>
    </row>
    <row r="5046" spans="1:18" x14ac:dyDescent="0.25">
      <c r="A5046" t="s">
        <v>16364</v>
      </c>
      <c r="B5046" t="s">
        <v>6457</v>
      </c>
      <c r="C5046" t="str">
        <f>HYPERLINK("https://nematode.unl.edu/hetschaw3.jpg")</f>
        <v>https://nematode.unl.edu/hetschaw3.jpg</v>
      </c>
      <c r="D5046" t="s">
        <v>16</v>
      </c>
      <c r="G5046" t="s">
        <v>28</v>
      </c>
      <c r="I5046" t="s">
        <v>41</v>
      </c>
      <c r="M5046" t="s">
        <v>6445</v>
      </c>
      <c r="N5046" t="s">
        <v>6445</v>
      </c>
      <c r="O5046" t="s">
        <v>23</v>
      </c>
      <c r="P5046" t="s">
        <v>24</v>
      </c>
      <c r="Q5046" t="s">
        <v>448</v>
      </c>
      <c r="R5046" t="s">
        <v>1084</v>
      </c>
    </row>
    <row r="5047" spans="1:18" x14ac:dyDescent="0.25">
      <c r="A5047" t="s">
        <v>16358</v>
      </c>
      <c r="B5047" t="s">
        <v>6458</v>
      </c>
      <c r="C5047" t="str">
        <f>HYPERLINK("https://nematode.unl.edu/hetschaw4.jpg")</f>
        <v>https://nematode.unl.edu/hetschaw4.jpg</v>
      </c>
      <c r="D5047" t="s">
        <v>16</v>
      </c>
      <c r="G5047" t="s">
        <v>34</v>
      </c>
      <c r="H5047" t="s">
        <v>18</v>
      </c>
      <c r="I5047" t="s">
        <v>41</v>
      </c>
      <c r="M5047" t="s">
        <v>6445</v>
      </c>
      <c r="N5047" t="s">
        <v>6445</v>
      </c>
      <c r="O5047" t="s">
        <v>23</v>
      </c>
      <c r="P5047" t="s">
        <v>24</v>
      </c>
      <c r="Q5047" t="s">
        <v>448</v>
      </c>
      <c r="R5047" t="s">
        <v>1084</v>
      </c>
    </row>
    <row r="5048" spans="1:18" x14ac:dyDescent="0.25">
      <c r="A5048" t="s">
        <v>16370</v>
      </c>
      <c r="B5048" t="s">
        <v>6468</v>
      </c>
      <c r="C5048" t="str">
        <f>HYPERLINK("https://nematode.unl.edu/hezepak1.jpg")</f>
        <v>https://nematode.unl.edu/hezepak1.jpg</v>
      </c>
      <c r="G5048" t="s">
        <v>3596</v>
      </c>
      <c r="I5048" t="s">
        <v>91</v>
      </c>
      <c r="J5048" t="s">
        <v>6469</v>
      </c>
      <c r="M5048" t="s">
        <v>6461</v>
      </c>
      <c r="N5048" t="s">
        <v>6461</v>
      </c>
      <c r="O5048" t="s">
        <v>23</v>
      </c>
      <c r="P5048" t="s">
        <v>24</v>
      </c>
      <c r="Q5048" t="s">
        <v>448</v>
      </c>
      <c r="R5048" t="s">
        <v>1084</v>
      </c>
    </row>
    <row r="5049" spans="1:18" x14ac:dyDescent="0.25">
      <c r="A5049" t="s">
        <v>16371</v>
      </c>
      <c r="B5049" t="s">
        <v>6470</v>
      </c>
      <c r="C5049" t="str">
        <f>HYPERLINK("https://nematode.unl.edu/hezepak2.jpg")</f>
        <v>https://nematode.unl.edu/hezepak2.jpg</v>
      </c>
      <c r="G5049" t="s">
        <v>3596</v>
      </c>
      <c r="I5049" t="s">
        <v>91</v>
      </c>
      <c r="J5049" t="s">
        <v>6469</v>
      </c>
      <c r="M5049" t="s">
        <v>6461</v>
      </c>
      <c r="N5049" t="s">
        <v>6461</v>
      </c>
      <c r="O5049" t="s">
        <v>23</v>
      </c>
      <c r="P5049" t="s">
        <v>24</v>
      </c>
      <c r="Q5049" t="s">
        <v>448</v>
      </c>
      <c r="R5049" t="s">
        <v>1084</v>
      </c>
    </row>
    <row r="5050" spans="1:18" x14ac:dyDescent="0.25">
      <c r="A5050" t="s">
        <v>16372</v>
      </c>
      <c r="B5050" t="s">
        <v>6471</v>
      </c>
      <c r="C5050" t="str">
        <f>HYPERLINK("https://nematode.unl.edu/hezepak3.jpg")</f>
        <v>https://nematode.unl.edu/hezepak3.jpg</v>
      </c>
      <c r="G5050" t="s">
        <v>3596</v>
      </c>
      <c r="I5050" t="s">
        <v>91</v>
      </c>
      <c r="J5050" t="s">
        <v>6469</v>
      </c>
      <c r="M5050" t="s">
        <v>6461</v>
      </c>
      <c r="N5050" t="s">
        <v>6461</v>
      </c>
      <c r="O5050" t="s">
        <v>23</v>
      </c>
      <c r="P5050" t="s">
        <v>24</v>
      </c>
      <c r="Q5050" t="s">
        <v>448</v>
      </c>
      <c r="R5050" t="s">
        <v>1084</v>
      </c>
    </row>
    <row r="5051" spans="1:18" x14ac:dyDescent="0.25">
      <c r="A5051" t="s">
        <v>16917</v>
      </c>
      <c r="B5051" t="s">
        <v>6481</v>
      </c>
      <c r="C5051" t="str">
        <f>HYPERLINK("https://nematode.unl.edu/hirsch1.jpg")</f>
        <v>https://nematode.unl.edu/hirsch1.jpg</v>
      </c>
      <c r="D5051" t="s">
        <v>16</v>
      </c>
      <c r="G5051" t="s">
        <v>34</v>
      </c>
      <c r="H5051" t="s">
        <v>18</v>
      </c>
      <c r="I5051" t="s">
        <v>529</v>
      </c>
      <c r="J5051" t="s">
        <v>1292</v>
      </c>
      <c r="L5051" t="s">
        <v>6482</v>
      </c>
      <c r="M5051" t="s">
        <v>6483</v>
      </c>
      <c r="N5051" t="s">
        <v>6483</v>
      </c>
      <c r="O5051" t="s">
        <v>23</v>
      </c>
      <c r="P5051" t="s">
        <v>24</v>
      </c>
      <c r="Q5051" t="s">
        <v>6484</v>
      </c>
      <c r="R5051" t="s">
        <v>6483</v>
      </c>
    </row>
    <row r="5052" spans="1:18" x14ac:dyDescent="0.25">
      <c r="A5052" t="s">
        <v>16934</v>
      </c>
      <c r="B5052" t="s">
        <v>6485</v>
      </c>
      <c r="C5052" t="str">
        <f>HYPERLINK("https://nematode.unl.edu/hirsch10.jpg")</f>
        <v>https://nematode.unl.edu/hirsch10.jpg</v>
      </c>
      <c r="D5052" t="s">
        <v>43</v>
      </c>
      <c r="G5052" t="s">
        <v>51</v>
      </c>
      <c r="I5052" t="s">
        <v>19</v>
      </c>
      <c r="M5052" t="s">
        <v>6483</v>
      </c>
      <c r="N5052" t="s">
        <v>6483</v>
      </c>
      <c r="O5052" t="s">
        <v>23</v>
      </c>
      <c r="P5052" t="s">
        <v>24</v>
      </c>
      <c r="Q5052" t="s">
        <v>6484</v>
      </c>
      <c r="R5052" t="s">
        <v>6483</v>
      </c>
    </row>
    <row r="5053" spans="1:18" x14ac:dyDescent="0.25">
      <c r="A5053" t="s">
        <v>16924</v>
      </c>
      <c r="B5053" t="s">
        <v>6486</v>
      </c>
      <c r="C5053" t="str">
        <f>HYPERLINK("https://nematode.unl.edu/hirsch11.jpg")</f>
        <v>https://nematode.unl.edu/hirsch11.jpg</v>
      </c>
      <c r="D5053" t="s">
        <v>77</v>
      </c>
      <c r="G5053" t="s">
        <v>44</v>
      </c>
      <c r="I5053" t="s">
        <v>91</v>
      </c>
      <c r="J5053" t="s">
        <v>1292</v>
      </c>
      <c r="L5053" t="s">
        <v>6482</v>
      </c>
      <c r="M5053" t="s">
        <v>6483</v>
      </c>
      <c r="N5053" t="s">
        <v>6483</v>
      </c>
      <c r="O5053" t="s">
        <v>23</v>
      </c>
      <c r="P5053" t="s">
        <v>24</v>
      </c>
      <c r="Q5053" t="s">
        <v>6484</v>
      </c>
      <c r="R5053" t="s">
        <v>6483</v>
      </c>
    </row>
    <row r="5054" spans="1:18" x14ac:dyDescent="0.25">
      <c r="A5054" t="s">
        <v>16925</v>
      </c>
      <c r="B5054" t="s">
        <v>6487</v>
      </c>
      <c r="C5054" t="str">
        <f>HYPERLINK("https://nematode.unl.edu/hirsch12.jpg")</f>
        <v>https://nematode.unl.edu/hirsch12.jpg</v>
      </c>
      <c r="D5054" t="s">
        <v>77</v>
      </c>
      <c r="G5054" t="s">
        <v>44</v>
      </c>
      <c r="I5054" t="s">
        <v>45</v>
      </c>
      <c r="J5054" t="s">
        <v>1292</v>
      </c>
      <c r="L5054" t="s">
        <v>6482</v>
      </c>
      <c r="M5054" t="s">
        <v>6483</v>
      </c>
      <c r="N5054" t="s">
        <v>6483</v>
      </c>
      <c r="O5054" t="s">
        <v>23</v>
      </c>
      <c r="P5054" t="s">
        <v>24</v>
      </c>
      <c r="Q5054" t="s">
        <v>6484</v>
      </c>
      <c r="R5054" t="s">
        <v>6483</v>
      </c>
    </row>
    <row r="5055" spans="1:18" x14ac:dyDescent="0.25">
      <c r="A5055" t="s">
        <v>16928</v>
      </c>
      <c r="B5055" t="s">
        <v>6488</v>
      </c>
      <c r="C5055" t="str">
        <f>HYPERLINK("https://nematode.unl.edu/hirsch13.jpg")</f>
        <v>https://nematode.unl.edu/hirsch13.jpg</v>
      </c>
      <c r="D5055" t="s">
        <v>77</v>
      </c>
      <c r="G5055" t="s">
        <v>112</v>
      </c>
      <c r="I5055" t="s">
        <v>19</v>
      </c>
      <c r="M5055" t="s">
        <v>6483</v>
      </c>
      <c r="N5055" t="s">
        <v>6483</v>
      </c>
      <c r="O5055" t="s">
        <v>23</v>
      </c>
      <c r="P5055" t="s">
        <v>24</v>
      </c>
      <c r="Q5055" t="s">
        <v>6484</v>
      </c>
      <c r="R5055" t="s">
        <v>6483</v>
      </c>
    </row>
    <row r="5056" spans="1:18" x14ac:dyDescent="0.25">
      <c r="A5056" t="s">
        <v>16918</v>
      </c>
      <c r="B5056" t="s">
        <v>6489</v>
      </c>
      <c r="C5056" t="str">
        <f>HYPERLINK("https://nematode.unl.edu/hirsch14.jpg")</f>
        <v>https://nematode.unl.edu/hirsch14.jpg</v>
      </c>
      <c r="D5056" t="s">
        <v>77</v>
      </c>
      <c r="G5056" t="s">
        <v>34</v>
      </c>
      <c r="H5056" t="s">
        <v>18</v>
      </c>
      <c r="M5056" t="s">
        <v>6483</v>
      </c>
      <c r="N5056" t="s">
        <v>6483</v>
      </c>
      <c r="O5056" t="s">
        <v>23</v>
      </c>
      <c r="P5056" t="s">
        <v>24</v>
      </c>
      <c r="Q5056" t="s">
        <v>6484</v>
      </c>
      <c r="R5056" t="s">
        <v>6483</v>
      </c>
    </row>
    <row r="5057" spans="1:18" x14ac:dyDescent="0.25">
      <c r="A5057" t="s">
        <v>16919</v>
      </c>
      <c r="B5057" t="s">
        <v>6490</v>
      </c>
      <c r="C5057" t="str">
        <f>HYPERLINK("https://nematode.unl.edu/hirsch15.jpg")</f>
        <v>https://nematode.unl.edu/hirsch15.jpg</v>
      </c>
      <c r="D5057" t="s">
        <v>77</v>
      </c>
      <c r="G5057" t="s">
        <v>34</v>
      </c>
      <c r="H5057" t="s">
        <v>18</v>
      </c>
      <c r="I5057" t="s">
        <v>19</v>
      </c>
      <c r="M5057" t="s">
        <v>6483</v>
      </c>
      <c r="N5057" t="s">
        <v>6483</v>
      </c>
      <c r="O5057" t="s">
        <v>23</v>
      </c>
      <c r="P5057" t="s">
        <v>24</v>
      </c>
      <c r="Q5057" t="s">
        <v>6484</v>
      </c>
      <c r="R5057" t="s">
        <v>6483</v>
      </c>
    </row>
    <row r="5058" spans="1:18" x14ac:dyDescent="0.25">
      <c r="A5058" t="s">
        <v>16933</v>
      </c>
      <c r="B5058" t="s">
        <v>6491</v>
      </c>
      <c r="C5058" t="str">
        <f>HYPERLINK("https://nematode.unl.edu/hirsch16.jpg")</f>
        <v>https://nematode.unl.edu/hirsch16.jpg</v>
      </c>
      <c r="D5058" t="s">
        <v>77</v>
      </c>
      <c r="G5058" t="s">
        <v>2113</v>
      </c>
      <c r="I5058" t="s">
        <v>516</v>
      </c>
      <c r="J5058" t="s">
        <v>1292</v>
      </c>
      <c r="L5058" t="s">
        <v>6482</v>
      </c>
      <c r="M5058" t="s">
        <v>6483</v>
      </c>
      <c r="N5058" t="s">
        <v>6483</v>
      </c>
      <c r="O5058" t="s">
        <v>23</v>
      </c>
      <c r="P5058" t="s">
        <v>24</v>
      </c>
      <c r="Q5058" t="s">
        <v>6484</v>
      </c>
      <c r="R5058" t="s">
        <v>6483</v>
      </c>
    </row>
    <row r="5059" spans="1:18" x14ac:dyDescent="0.25">
      <c r="A5059" t="s">
        <v>16916</v>
      </c>
      <c r="B5059" t="s">
        <v>6492</v>
      </c>
      <c r="C5059" t="str">
        <f>HYPERLINK("https://nematode.unl.edu/hirsch17.jpg")</f>
        <v>https://nematode.unl.edu/hirsch17.jpg</v>
      </c>
      <c r="D5059" t="s">
        <v>77</v>
      </c>
      <c r="G5059" t="s">
        <v>96</v>
      </c>
      <c r="H5059" t="s">
        <v>18</v>
      </c>
      <c r="M5059" t="s">
        <v>6483</v>
      </c>
      <c r="N5059" t="s">
        <v>6483</v>
      </c>
      <c r="O5059" t="s">
        <v>23</v>
      </c>
      <c r="P5059" t="s">
        <v>24</v>
      </c>
      <c r="Q5059" t="s">
        <v>6484</v>
      </c>
      <c r="R5059" t="s">
        <v>6483</v>
      </c>
    </row>
    <row r="5060" spans="1:18" x14ac:dyDescent="0.25">
      <c r="A5060" t="s">
        <v>16929</v>
      </c>
      <c r="B5060" t="s">
        <v>6493</v>
      </c>
      <c r="C5060" t="str">
        <f>HYPERLINK("https://nematode.unl.edu/hirsch18.jpg")</f>
        <v>https://nematode.unl.edu/hirsch18.jpg</v>
      </c>
      <c r="D5060" t="s">
        <v>77</v>
      </c>
      <c r="G5060" t="s">
        <v>112</v>
      </c>
      <c r="I5060" t="s">
        <v>529</v>
      </c>
      <c r="J5060" t="s">
        <v>1292</v>
      </c>
      <c r="L5060" t="s">
        <v>6482</v>
      </c>
      <c r="M5060" t="s">
        <v>6483</v>
      </c>
      <c r="N5060" t="s">
        <v>6483</v>
      </c>
      <c r="O5060" t="s">
        <v>23</v>
      </c>
      <c r="P5060" t="s">
        <v>24</v>
      </c>
      <c r="Q5060" t="s">
        <v>6484</v>
      </c>
      <c r="R5060" t="s">
        <v>6483</v>
      </c>
    </row>
    <row r="5061" spans="1:18" x14ac:dyDescent="0.25">
      <c r="A5061" t="s">
        <v>16920</v>
      </c>
      <c r="B5061" t="s">
        <v>6494</v>
      </c>
      <c r="C5061" t="str">
        <f>HYPERLINK("https://nematode.unl.edu/hirsch19.jpg")</f>
        <v>https://nematode.unl.edu/hirsch19.jpg</v>
      </c>
      <c r="D5061" t="s">
        <v>77</v>
      </c>
      <c r="G5061" t="s">
        <v>34</v>
      </c>
      <c r="H5061" t="s">
        <v>18</v>
      </c>
      <c r="I5061" t="s">
        <v>41</v>
      </c>
      <c r="M5061" t="s">
        <v>6483</v>
      </c>
      <c r="N5061" t="s">
        <v>6483</v>
      </c>
      <c r="O5061" t="s">
        <v>23</v>
      </c>
      <c r="P5061" t="s">
        <v>24</v>
      </c>
      <c r="Q5061" t="s">
        <v>6484</v>
      </c>
      <c r="R5061" t="s">
        <v>6483</v>
      </c>
    </row>
    <row r="5062" spans="1:18" x14ac:dyDescent="0.25">
      <c r="A5062" t="s">
        <v>16926</v>
      </c>
      <c r="B5062" t="s">
        <v>6495</v>
      </c>
      <c r="C5062" t="str">
        <f>HYPERLINK("https://nematode.unl.edu/hirsch2.jpg")</f>
        <v>https://nematode.unl.edu/hirsch2.jpg</v>
      </c>
      <c r="D5062" t="s">
        <v>43</v>
      </c>
      <c r="G5062" t="s">
        <v>44</v>
      </c>
      <c r="I5062" t="s">
        <v>45</v>
      </c>
      <c r="J5062" t="s">
        <v>1292</v>
      </c>
      <c r="L5062" t="s">
        <v>6482</v>
      </c>
      <c r="M5062" t="s">
        <v>6483</v>
      </c>
      <c r="N5062" t="s">
        <v>6483</v>
      </c>
      <c r="O5062" t="s">
        <v>23</v>
      </c>
      <c r="P5062" t="s">
        <v>24</v>
      </c>
      <c r="Q5062" t="s">
        <v>6484</v>
      </c>
      <c r="R5062" t="s">
        <v>6483</v>
      </c>
    </row>
    <row r="5063" spans="1:18" x14ac:dyDescent="0.25">
      <c r="A5063" t="s">
        <v>16930</v>
      </c>
      <c r="B5063" t="s">
        <v>6496</v>
      </c>
      <c r="C5063" t="str">
        <f>HYPERLINK("https://nematode.unl.edu/hirsch20.jpg")</f>
        <v>https://nematode.unl.edu/hirsch20.jpg</v>
      </c>
      <c r="D5063" t="s">
        <v>77</v>
      </c>
      <c r="G5063" t="s">
        <v>28</v>
      </c>
      <c r="I5063" t="s">
        <v>41</v>
      </c>
      <c r="M5063" t="s">
        <v>6483</v>
      </c>
      <c r="N5063" t="s">
        <v>6483</v>
      </c>
      <c r="O5063" t="s">
        <v>23</v>
      </c>
      <c r="P5063" t="s">
        <v>24</v>
      </c>
      <c r="Q5063" t="s">
        <v>6484</v>
      </c>
      <c r="R5063" t="s">
        <v>6483</v>
      </c>
    </row>
    <row r="5064" spans="1:18" x14ac:dyDescent="0.25">
      <c r="A5064" t="s">
        <v>16927</v>
      </c>
      <c r="B5064" t="s">
        <v>6497</v>
      </c>
      <c r="C5064" t="str">
        <f>HYPERLINK("https://nematode.unl.edu/hirsch3.jpg")</f>
        <v>https://nematode.unl.edu/hirsch3.jpg</v>
      </c>
      <c r="D5064" t="s">
        <v>43</v>
      </c>
      <c r="G5064" t="s">
        <v>44</v>
      </c>
      <c r="I5064" t="s">
        <v>45</v>
      </c>
      <c r="J5064" t="s">
        <v>1292</v>
      </c>
      <c r="L5064" t="s">
        <v>6482</v>
      </c>
      <c r="M5064" t="s">
        <v>6483</v>
      </c>
      <c r="N5064" t="s">
        <v>6483</v>
      </c>
      <c r="O5064" t="s">
        <v>23</v>
      </c>
      <c r="P5064" t="s">
        <v>24</v>
      </c>
      <c r="Q5064" t="s">
        <v>6484</v>
      </c>
      <c r="R5064" t="s">
        <v>6483</v>
      </c>
    </row>
    <row r="5065" spans="1:18" x14ac:dyDescent="0.25">
      <c r="A5065" t="s">
        <v>16935</v>
      </c>
      <c r="B5065" t="s">
        <v>6498</v>
      </c>
      <c r="C5065" t="str">
        <f>HYPERLINK("https://nematode.unl.edu/hirsch4.jpg")</f>
        <v>https://nematode.unl.edu/hirsch4.jpg</v>
      </c>
      <c r="D5065" t="s">
        <v>43</v>
      </c>
      <c r="G5065" t="s">
        <v>51</v>
      </c>
      <c r="I5065" t="s">
        <v>19</v>
      </c>
      <c r="M5065" t="s">
        <v>6483</v>
      </c>
      <c r="N5065" t="s">
        <v>6483</v>
      </c>
      <c r="O5065" t="s">
        <v>23</v>
      </c>
      <c r="P5065" t="s">
        <v>24</v>
      </c>
      <c r="Q5065" t="s">
        <v>6484</v>
      </c>
      <c r="R5065" t="s">
        <v>6483</v>
      </c>
    </row>
    <row r="5066" spans="1:18" x14ac:dyDescent="0.25">
      <c r="A5066" t="s">
        <v>16931</v>
      </c>
      <c r="B5066" t="s">
        <v>6499</v>
      </c>
      <c r="C5066" t="str">
        <f>HYPERLINK("https://nematode.unl.edu/hirsch5.jpg")</f>
        <v>https://nematode.unl.edu/hirsch5.jpg</v>
      </c>
      <c r="D5066" t="s">
        <v>43</v>
      </c>
      <c r="G5066" t="s">
        <v>28</v>
      </c>
      <c r="M5066" t="s">
        <v>6483</v>
      </c>
      <c r="N5066" t="s">
        <v>6483</v>
      </c>
      <c r="O5066" t="s">
        <v>23</v>
      </c>
      <c r="P5066" t="s">
        <v>24</v>
      </c>
      <c r="Q5066" t="s">
        <v>6484</v>
      </c>
      <c r="R5066" t="s">
        <v>6483</v>
      </c>
    </row>
    <row r="5067" spans="1:18" x14ac:dyDescent="0.25">
      <c r="A5067" t="s">
        <v>16921</v>
      </c>
      <c r="B5067" t="s">
        <v>6500</v>
      </c>
      <c r="C5067" t="str">
        <f>HYPERLINK("https://nematode.unl.edu/hirsch6.jpg")</f>
        <v>https://nematode.unl.edu/hirsch6.jpg</v>
      </c>
      <c r="D5067" t="s">
        <v>43</v>
      </c>
      <c r="G5067" t="s">
        <v>34</v>
      </c>
      <c r="H5067" t="s">
        <v>18</v>
      </c>
      <c r="M5067" t="s">
        <v>6483</v>
      </c>
      <c r="N5067" t="s">
        <v>6483</v>
      </c>
      <c r="O5067" t="s">
        <v>23</v>
      </c>
      <c r="P5067" t="s">
        <v>24</v>
      </c>
      <c r="Q5067" t="s">
        <v>6484</v>
      </c>
      <c r="R5067" t="s">
        <v>6483</v>
      </c>
    </row>
    <row r="5068" spans="1:18" x14ac:dyDescent="0.25">
      <c r="A5068" t="s">
        <v>16922</v>
      </c>
      <c r="B5068" t="s">
        <v>6501</v>
      </c>
      <c r="C5068" t="str">
        <f>HYPERLINK("https://nematode.unl.edu/hirsch7.jpg")</f>
        <v>https://nematode.unl.edu/hirsch7.jpg</v>
      </c>
      <c r="D5068" t="s">
        <v>43</v>
      </c>
      <c r="G5068" t="s">
        <v>34</v>
      </c>
      <c r="H5068" t="s">
        <v>18</v>
      </c>
      <c r="M5068" t="s">
        <v>6483</v>
      </c>
      <c r="N5068" t="s">
        <v>6483</v>
      </c>
      <c r="O5068" t="s">
        <v>23</v>
      </c>
      <c r="P5068" t="s">
        <v>24</v>
      </c>
      <c r="Q5068" t="s">
        <v>6484</v>
      </c>
      <c r="R5068" t="s">
        <v>6483</v>
      </c>
    </row>
    <row r="5069" spans="1:18" x14ac:dyDescent="0.25">
      <c r="A5069" t="s">
        <v>16932</v>
      </c>
      <c r="B5069" t="s">
        <v>6502</v>
      </c>
      <c r="C5069" t="str">
        <f>HYPERLINK("https://nematode.unl.edu/hirsch8.jpg")</f>
        <v>https://nematode.unl.edu/hirsch8.jpg</v>
      </c>
      <c r="D5069" t="s">
        <v>43</v>
      </c>
      <c r="G5069" t="s">
        <v>28</v>
      </c>
      <c r="M5069" t="s">
        <v>6483</v>
      </c>
      <c r="N5069" t="s">
        <v>6483</v>
      </c>
      <c r="O5069" t="s">
        <v>23</v>
      </c>
      <c r="P5069" t="s">
        <v>24</v>
      </c>
      <c r="Q5069" t="s">
        <v>6484</v>
      </c>
      <c r="R5069" t="s">
        <v>6483</v>
      </c>
    </row>
    <row r="5070" spans="1:18" x14ac:dyDescent="0.25">
      <c r="A5070" t="s">
        <v>16923</v>
      </c>
      <c r="B5070" t="s">
        <v>6503</v>
      </c>
      <c r="C5070" t="str">
        <f>HYPERLINK("https://nematode.unl.edu/hirsch9.jpg")</f>
        <v>https://nematode.unl.edu/hirsch9.jpg</v>
      </c>
      <c r="D5070" t="s">
        <v>43</v>
      </c>
      <c r="G5070" t="s">
        <v>87</v>
      </c>
      <c r="I5070" t="s">
        <v>516</v>
      </c>
      <c r="J5070" t="s">
        <v>1292</v>
      </c>
      <c r="L5070" t="s">
        <v>6482</v>
      </c>
      <c r="M5070" t="s">
        <v>6483</v>
      </c>
      <c r="N5070" t="s">
        <v>6483</v>
      </c>
      <c r="O5070" t="s">
        <v>23</v>
      </c>
      <c r="P5070" t="s">
        <v>24</v>
      </c>
      <c r="Q5070" t="s">
        <v>6484</v>
      </c>
      <c r="R5070" t="s">
        <v>6483</v>
      </c>
    </row>
    <row r="5071" spans="1:18" x14ac:dyDescent="0.25">
      <c r="A5071" t="s">
        <v>16602</v>
      </c>
      <c r="B5071" t="s">
        <v>6543</v>
      </c>
      <c r="C5071" t="str">
        <f>HYPERLINK("https://nematode.unl.edu/hogagw1.jpg")</f>
        <v>https://nematode.unl.edu/hogagw1.jpg</v>
      </c>
      <c r="D5071" t="s">
        <v>77</v>
      </c>
      <c r="G5071" t="s">
        <v>44</v>
      </c>
      <c r="I5071" t="s">
        <v>45</v>
      </c>
      <c r="J5071" t="s">
        <v>6544</v>
      </c>
      <c r="L5071" t="s">
        <v>6545</v>
      </c>
      <c r="M5071" t="s">
        <v>6546</v>
      </c>
      <c r="N5071" t="s">
        <v>6546</v>
      </c>
      <c r="O5071" t="s">
        <v>23</v>
      </c>
      <c r="P5071" t="s">
        <v>24</v>
      </c>
      <c r="Q5071" t="s">
        <v>2454</v>
      </c>
      <c r="R5071" t="s">
        <v>6506</v>
      </c>
    </row>
    <row r="5072" spans="1:18" x14ac:dyDescent="0.25">
      <c r="A5072" t="s">
        <v>16603</v>
      </c>
      <c r="B5072" t="s">
        <v>6547</v>
      </c>
      <c r="C5072" t="str">
        <f>HYPERLINK("https://nematode.unl.edu/hogagw2.jpg")</f>
        <v>https://nematode.unl.edu/hogagw2.jpg</v>
      </c>
      <c r="D5072" t="s">
        <v>77</v>
      </c>
      <c r="G5072" t="s">
        <v>44</v>
      </c>
      <c r="I5072" t="s">
        <v>19</v>
      </c>
      <c r="J5072" t="s">
        <v>6544</v>
      </c>
      <c r="L5072" t="s">
        <v>6545</v>
      </c>
      <c r="M5072" t="s">
        <v>6546</v>
      </c>
      <c r="N5072" t="s">
        <v>6546</v>
      </c>
      <c r="O5072" t="s">
        <v>23</v>
      </c>
      <c r="P5072" t="s">
        <v>24</v>
      </c>
      <c r="Q5072" t="s">
        <v>2454</v>
      </c>
      <c r="R5072" t="s">
        <v>6506</v>
      </c>
    </row>
    <row r="5073" spans="1:18" x14ac:dyDescent="0.25">
      <c r="A5073" t="s">
        <v>16582</v>
      </c>
      <c r="B5073" t="s">
        <v>6548</v>
      </c>
      <c r="C5073" t="str">
        <f>HYPERLINK("https://nematode.unl.edu/hogagw3.jpg")</f>
        <v>https://nematode.unl.edu/hogagw3.jpg</v>
      </c>
      <c r="D5073" t="s">
        <v>77</v>
      </c>
      <c r="G5073" t="s">
        <v>96</v>
      </c>
      <c r="H5073" t="s">
        <v>18</v>
      </c>
      <c r="I5073" t="s">
        <v>19</v>
      </c>
      <c r="J5073" t="s">
        <v>2572</v>
      </c>
      <c r="M5073" t="s">
        <v>6546</v>
      </c>
      <c r="N5073" t="s">
        <v>6546</v>
      </c>
      <c r="O5073" t="s">
        <v>23</v>
      </c>
      <c r="P5073" t="s">
        <v>24</v>
      </c>
      <c r="Q5073" t="s">
        <v>2454</v>
      </c>
      <c r="R5073" t="s">
        <v>6506</v>
      </c>
    </row>
    <row r="5074" spans="1:18" x14ac:dyDescent="0.25">
      <c r="A5074" t="s">
        <v>16620</v>
      </c>
      <c r="B5074" t="s">
        <v>6549</v>
      </c>
      <c r="C5074" t="str">
        <f>HYPERLINK("https://nematode.unl.edu/hogagw4.jpg")</f>
        <v>https://nematode.unl.edu/hogagw4.jpg</v>
      </c>
      <c r="D5074" t="s">
        <v>77</v>
      </c>
      <c r="G5074" t="s">
        <v>2029</v>
      </c>
      <c r="I5074" t="s">
        <v>19</v>
      </c>
      <c r="J5074" t="s">
        <v>2572</v>
      </c>
      <c r="M5074" t="s">
        <v>6546</v>
      </c>
      <c r="N5074" t="s">
        <v>6546</v>
      </c>
      <c r="O5074" t="s">
        <v>23</v>
      </c>
      <c r="P5074" t="s">
        <v>24</v>
      </c>
      <c r="Q5074" t="s">
        <v>2454</v>
      </c>
      <c r="R5074" t="s">
        <v>6506</v>
      </c>
    </row>
    <row r="5075" spans="1:18" x14ac:dyDescent="0.25">
      <c r="A5075" t="s">
        <v>16613</v>
      </c>
      <c r="B5075" t="s">
        <v>6550</v>
      </c>
      <c r="C5075" t="str">
        <f>HYPERLINK("https://nematode.unl.edu/hogagw5.jpg")</f>
        <v>https://nematode.unl.edu/hogagw5.jpg</v>
      </c>
      <c r="D5075" t="s">
        <v>77</v>
      </c>
      <c r="G5075" t="s">
        <v>1906</v>
      </c>
      <c r="I5075" t="s">
        <v>19</v>
      </c>
      <c r="J5075" t="s">
        <v>2572</v>
      </c>
      <c r="L5075" t="s">
        <v>6551</v>
      </c>
      <c r="M5075" t="s">
        <v>6546</v>
      </c>
      <c r="N5075" t="s">
        <v>6546</v>
      </c>
      <c r="O5075" t="s">
        <v>23</v>
      </c>
      <c r="P5075" t="s">
        <v>24</v>
      </c>
      <c r="Q5075" t="s">
        <v>2454</v>
      </c>
      <c r="R5075" t="s">
        <v>6506</v>
      </c>
    </row>
    <row r="5076" spans="1:18" x14ac:dyDescent="0.25">
      <c r="A5076" t="s">
        <v>16624</v>
      </c>
      <c r="B5076" t="s">
        <v>6552</v>
      </c>
      <c r="C5076" t="str">
        <f>HYPERLINK("https://nematode.unl.edu/hogagw6.jpg")</f>
        <v>https://nematode.unl.edu/hogagw6.jpg</v>
      </c>
      <c r="D5076" t="s">
        <v>77</v>
      </c>
      <c r="G5076" t="s">
        <v>28</v>
      </c>
      <c r="I5076" t="s">
        <v>19</v>
      </c>
      <c r="J5076" t="s">
        <v>2572</v>
      </c>
      <c r="M5076" t="s">
        <v>6546</v>
      </c>
      <c r="N5076" t="s">
        <v>6546</v>
      </c>
      <c r="O5076" t="s">
        <v>23</v>
      </c>
      <c r="P5076" t="s">
        <v>24</v>
      </c>
      <c r="Q5076" t="s">
        <v>2454</v>
      </c>
      <c r="R5076" t="s">
        <v>6506</v>
      </c>
    </row>
    <row r="5077" spans="1:18" x14ac:dyDescent="0.25">
      <c r="A5077" t="s">
        <v>16604</v>
      </c>
      <c r="B5077" t="s">
        <v>6553</v>
      </c>
      <c r="C5077" t="str">
        <f>HYPERLINK("https://nematode.unl.edu/hogal1.jpg")</f>
        <v>https://nematode.unl.edu/hogal1.jpg</v>
      </c>
      <c r="D5077" t="s">
        <v>77</v>
      </c>
      <c r="G5077" t="s">
        <v>44</v>
      </c>
      <c r="I5077" t="s">
        <v>91</v>
      </c>
      <c r="J5077" t="s">
        <v>6554</v>
      </c>
      <c r="M5077" t="s">
        <v>6546</v>
      </c>
      <c r="N5077" t="s">
        <v>6546</v>
      </c>
      <c r="O5077" t="s">
        <v>23</v>
      </c>
      <c r="P5077" t="s">
        <v>24</v>
      </c>
      <c r="Q5077" t="s">
        <v>2454</v>
      </c>
      <c r="R5077" t="s">
        <v>6506</v>
      </c>
    </row>
    <row r="5078" spans="1:18" x14ac:dyDescent="0.25">
      <c r="A5078" t="s">
        <v>16616</v>
      </c>
      <c r="B5078" t="s">
        <v>6555</v>
      </c>
      <c r="C5078" t="str">
        <f>HYPERLINK("https://nematode.unl.edu/hogal10.jpg")</f>
        <v>https://nematode.unl.edu/hogal10.jpg</v>
      </c>
      <c r="D5078" t="s">
        <v>43</v>
      </c>
      <c r="G5078" t="s">
        <v>53</v>
      </c>
      <c r="I5078" t="s">
        <v>41</v>
      </c>
      <c r="M5078" t="s">
        <v>6546</v>
      </c>
      <c r="N5078" t="s">
        <v>6546</v>
      </c>
      <c r="O5078" t="s">
        <v>23</v>
      </c>
      <c r="P5078" t="s">
        <v>24</v>
      </c>
      <c r="Q5078" t="s">
        <v>2454</v>
      </c>
      <c r="R5078" t="s">
        <v>6506</v>
      </c>
    </row>
    <row r="5079" spans="1:18" x14ac:dyDescent="0.25">
      <c r="A5079" t="s">
        <v>16617</v>
      </c>
      <c r="B5079" t="s">
        <v>6556</v>
      </c>
      <c r="C5079" t="str">
        <f>HYPERLINK("https://nematode.unl.edu/hogal11.jpg")</f>
        <v>https://nematode.unl.edu/hogal11.jpg</v>
      </c>
      <c r="D5079" t="s">
        <v>43</v>
      </c>
      <c r="G5079" t="s">
        <v>53</v>
      </c>
      <c r="I5079" t="s">
        <v>41</v>
      </c>
      <c r="M5079" t="s">
        <v>6546</v>
      </c>
      <c r="N5079" t="s">
        <v>6546</v>
      </c>
      <c r="O5079" t="s">
        <v>23</v>
      </c>
      <c r="P5079" t="s">
        <v>24</v>
      </c>
      <c r="Q5079" t="s">
        <v>2454</v>
      </c>
      <c r="R5079" t="s">
        <v>6506</v>
      </c>
    </row>
    <row r="5080" spans="1:18" x14ac:dyDescent="0.25">
      <c r="A5080" t="s">
        <v>16605</v>
      </c>
      <c r="B5080" t="s">
        <v>6557</v>
      </c>
      <c r="C5080" t="str">
        <f>HYPERLINK("https://nematode.unl.edu/hogal12.jpg")</f>
        <v>https://nematode.unl.edu/hogal12.jpg</v>
      </c>
      <c r="D5080" t="s">
        <v>77</v>
      </c>
      <c r="G5080" t="s">
        <v>44</v>
      </c>
      <c r="I5080" t="s">
        <v>45</v>
      </c>
      <c r="J5080" t="s">
        <v>6554</v>
      </c>
      <c r="M5080" t="s">
        <v>6546</v>
      </c>
      <c r="N5080" t="s">
        <v>6546</v>
      </c>
      <c r="O5080" t="s">
        <v>23</v>
      </c>
      <c r="P5080" t="s">
        <v>24</v>
      </c>
      <c r="Q5080" t="s">
        <v>2454</v>
      </c>
      <c r="R5080" t="s">
        <v>6506</v>
      </c>
    </row>
    <row r="5081" spans="1:18" x14ac:dyDescent="0.25">
      <c r="A5081" t="s">
        <v>16584</v>
      </c>
      <c r="B5081" t="s">
        <v>6558</v>
      </c>
      <c r="C5081" t="str">
        <f>HYPERLINK("https://nematode.unl.edu/hogal13.jpg")</f>
        <v>https://nematode.unl.edu/hogal13.jpg</v>
      </c>
      <c r="D5081" t="s">
        <v>77</v>
      </c>
      <c r="G5081" t="s">
        <v>34</v>
      </c>
      <c r="H5081" t="s">
        <v>18</v>
      </c>
      <c r="I5081" t="s">
        <v>516</v>
      </c>
      <c r="J5081" t="s">
        <v>6554</v>
      </c>
      <c r="M5081" t="s">
        <v>6546</v>
      </c>
      <c r="N5081" t="s">
        <v>6546</v>
      </c>
      <c r="O5081" t="s">
        <v>23</v>
      </c>
      <c r="P5081" t="s">
        <v>24</v>
      </c>
      <c r="Q5081" t="s">
        <v>2454</v>
      </c>
      <c r="R5081" t="s">
        <v>6506</v>
      </c>
    </row>
    <row r="5082" spans="1:18" x14ac:dyDescent="0.25">
      <c r="A5082" t="s">
        <v>16614</v>
      </c>
      <c r="B5082" t="s">
        <v>6559</v>
      </c>
      <c r="C5082" t="str">
        <f>HYPERLINK("https://nematode.unl.edu/hogal14.jpg")</f>
        <v>https://nematode.unl.edu/hogal14.jpg</v>
      </c>
      <c r="D5082" t="s">
        <v>77</v>
      </c>
      <c r="G5082" t="s">
        <v>1906</v>
      </c>
      <c r="I5082" t="s">
        <v>19</v>
      </c>
      <c r="J5082" t="s">
        <v>6554</v>
      </c>
      <c r="M5082" t="s">
        <v>6546</v>
      </c>
      <c r="N5082" t="s">
        <v>6546</v>
      </c>
      <c r="O5082" t="s">
        <v>23</v>
      </c>
      <c r="P5082" t="s">
        <v>24</v>
      </c>
      <c r="Q5082" t="s">
        <v>2454</v>
      </c>
      <c r="R5082" t="s">
        <v>6506</v>
      </c>
    </row>
    <row r="5083" spans="1:18" x14ac:dyDescent="0.25">
      <c r="A5083" t="s">
        <v>16618</v>
      </c>
      <c r="B5083" t="s">
        <v>6560</v>
      </c>
      <c r="C5083" t="str">
        <f>HYPERLINK("https://nematode.unl.edu/hogal15.jpg")</f>
        <v>https://nematode.unl.edu/hogal15.jpg</v>
      </c>
      <c r="D5083" t="s">
        <v>43</v>
      </c>
      <c r="G5083" t="s">
        <v>53</v>
      </c>
      <c r="I5083" t="s">
        <v>41</v>
      </c>
      <c r="M5083" t="s">
        <v>6546</v>
      </c>
      <c r="N5083" t="s">
        <v>6546</v>
      </c>
      <c r="O5083" t="s">
        <v>23</v>
      </c>
      <c r="P5083" t="s">
        <v>24</v>
      </c>
      <c r="Q5083" t="s">
        <v>2454</v>
      </c>
      <c r="R5083" t="s">
        <v>6506</v>
      </c>
    </row>
    <row r="5084" spans="1:18" x14ac:dyDescent="0.25">
      <c r="A5084" t="s">
        <v>16606</v>
      </c>
      <c r="B5084" t="s">
        <v>6561</v>
      </c>
      <c r="C5084" t="str">
        <f>HYPERLINK("https://nematode.unl.edu/hogal18.jpg")</f>
        <v>https://nematode.unl.edu/hogal18.jpg</v>
      </c>
      <c r="D5084" t="s">
        <v>77</v>
      </c>
      <c r="G5084" t="s">
        <v>44</v>
      </c>
      <c r="I5084" t="s">
        <v>91</v>
      </c>
      <c r="J5084" t="s">
        <v>6554</v>
      </c>
      <c r="M5084" t="s">
        <v>6546</v>
      </c>
      <c r="N5084" t="s">
        <v>6546</v>
      </c>
      <c r="O5084" t="s">
        <v>23</v>
      </c>
      <c r="P5084" t="s">
        <v>24</v>
      </c>
      <c r="Q5084" t="s">
        <v>2454</v>
      </c>
      <c r="R5084" t="s">
        <v>6506</v>
      </c>
    </row>
    <row r="5085" spans="1:18" x14ac:dyDescent="0.25">
      <c r="A5085" t="s">
        <v>16585</v>
      </c>
      <c r="B5085" t="s">
        <v>6562</v>
      </c>
      <c r="C5085" t="str">
        <f>HYPERLINK("https://nematode.unl.edu/hogal19.jpg")</f>
        <v>https://nematode.unl.edu/hogal19.jpg</v>
      </c>
      <c r="D5085" t="s">
        <v>77</v>
      </c>
      <c r="G5085" t="s">
        <v>34</v>
      </c>
      <c r="H5085" t="s">
        <v>18</v>
      </c>
      <c r="I5085" t="s">
        <v>19</v>
      </c>
      <c r="J5085" t="s">
        <v>6554</v>
      </c>
      <c r="M5085" t="s">
        <v>6546</v>
      </c>
      <c r="N5085" t="s">
        <v>6546</v>
      </c>
      <c r="O5085" t="s">
        <v>23</v>
      </c>
      <c r="P5085" t="s">
        <v>24</v>
      </c>
      <c r="Q5085" t="s">
        <v>2454</v>
      </c>
      <c r="R5085" t="s">
        <v>6506</v>
      </c>
    </row>
    <row r="5086" spans="1:18" x14ac:dyDescent="0.25">
      <c r="A5086" t="s">
        <v>16586</v>
      </c>
      <c r="B5086" t="s">
        <v>6563</v>
      </c>
      <c r="C5086" t="str">
        <f>HYPERLINK("https://nematode.unl.edu/hogal2.jpg")</f>
        <v>https://nematode.unl.edu/hogal2.jpg</v>
      </c>
      <c r="D5086" t="s">
        <v>43</v>
      </c>
      <c r="G5086" t="s">
        <v>34</v>
      </c>
      <c r="H5086" t="s">
        <v>18</v>
      </c>
      <c r="I5086" t="s">
        <v>19</v>
      </c>
      <c r="M5086" t="s">
        <v>6546</v>
      </c>
      <c r="N5086" t="s">
        <v>6546</v>
      </c>
      <c r="O5086" t="s">
        <v>23</v>
      </c>
      <c r="P5086" t="s">
        <v>24</v>
      </c>
      <c r="Q5086" t="s">
        <v>2454</v>
      </c>
      <c r="R5086" t="s">
        <v>6506</v>
      </c>
    </row>
    <row r="5087" spans="1:18" x14ac:dyDescent="0.25">
      <c r="A5087" t="s">
        <v>16587</v>
      </c>
      <c r="B5087" t="s">
        <v>6564</v>
      </c>
      <c r="C5087" t="str">
        <f>HYPERLINK("https://nematode.unl.edu/hogal20.jpg")</f>
        <v>https://nematode.unl.edu/hogal20.jpg</v>
      </c>
      <c r="D5087" t="s">
        <v>43</v>
      </c>
      <c r="G5087" t="s">
        <v>34</v>
      </c>
      <c r="H5087" t="s">
        <v>18</v>
      </c>
      <c r="I5087" t="s">
        <v>19</v>
      </c>
      <c r="J5087" t="s">
        <v>6554</v>
      </c>
      <c r="M5087" t="s">
        <v>6546</v>
      </c>
      <c r="N5087" t="s">
        <v>6546</v>
      </c>
      <c r="O5087" t="s">
        <v>23</v>
      </c>
      <c r="P5087" t="s">
        <v>24</v>
      </c>
      <c r="Q5087" t="s">
        <v>2454</v>
      </c>
      <c r="R5087" t="s">
        <v>6506</v>
      </c>
    </row>
    <row r="5088" spans="1:18" x14ac:dyDescent="0.25">
      <c r="A5088" t="s">
        <v>16588</v>
      </c>
      <c r="B5088" t="s">
        <v>6565</v>
      </c>
      <c r="C5088" t="str">
        <f>HYPERLINK("https://nematode.unl.edu/hogal21.jpg")</f>
        <v>https://nematode.unl.edu/hogal21.jpg</v>
      </c>
      <c r="D5088" t="s">
        <v>77</v>
      </c>
      <c r="G5088" t="s">
        <v>34</v>
      </c>
      <c r="H5088" t="s">
        <v>18</v>
      </c>
      <c r="I5088" t="s">
        <v>41</v>
      </c>
      <c r="J5088" t="s">
        <v>6554</v>
      </c>
      <c r="M5088" t="s">
        <v>6546</v>
      </c>
      <c r="N5088" t="s">
        <v>6546</v>
      </c>
      <c r="O5088" t="s">
        <v>23</v>
      </c>
      <c r="P5088" t="s">
        <v>24</v>
      </c>
      <c r="Q5088" t="s">
        <v>2454</v>
      </c>
      <c r="R5088" t="s">
        <v>6506</v>
      </c>
    </row>
    <row r="5089" spans="1:18" x14ac:dyDescent="0.25">
      <c r="A5089" t="s">
        <v>16619</v>
      </c>
      <c r="B5089" t="s">
        <v>6566</v>
      </c>
      <c r="C5089" t="str">
        <f>HYPERLINK("https://nematode.unl.edu/hogal22.jpg")</f>
        <v>https://nematode.unl.edu/hogal22.jpg</v>
      </c>
      <c r="D5089" t="s">
        <v>77</v>
      </c>
      <c r="G5089" t="s">
        <v>53</v>
      </c>
      <c r="I5089" t="s">
        <v>41</v>
      </c>
      <c r="J5089" t="s">
        <v>6554</v>
      </c>
      <c r="M5089" t="s">
        <v>6546</v>
      </c>
      <c r="N5089" t="s">
        <v>6546</v>
      </c>
      <c r="O5089" t="s">
        <v>23</v>
      </c>
      <c r="P5089" t="s">
        <v>24</v>
      </c>
      <c r="Q5089" t="s">
        <v>2454</v>
      </c>
      <c r="R5089" t="s">
        <v>6506</v>
      </c>
    </row>
    <row r="5090" spans="1:18" x14ac:dyDescent="0.25">
      <c r="A5090" t="s">
        <v>16607</v>
      </c>
      <c r="B5090" t="s">
        <v>6567</v>
      </c>
      <c r="C5090" t="str">
        <f>HYPERLINK("https://nematode.unl.edu/hogal23.jpg")</f>
        <v>https://nematode.unl.edu/hogal23.jpg</v>
      </c>
      <c r="D5090" t="s">
        <v>43</v>
      </c>
      <c r="G5090" t="s">
        <v>44</v>
      </c>
      <c r="I5090" t="s">
        <v>499</v>
      </c>
      <c r="J5090" t="s">
        <v>6554</v>
      </c>
      <c r="M5090" t="s">
        <v>6546</v>
      </c>
      <c r="N5090" t="s">
        <v>6546</v>
      </c>
      <c r="O5090" t="s">
        <v>23</v>
      </c>
      <c r="P5090" t="s">
        <v>24</v>
      </c>
      <c r="Q5090" t="s">
        <v>2454</v>
      </c>
      <c r="R5090" t="s">
        <v>6506</v>
      </c>
    </row>
    <row r="5091" spans="1:18" x14ac:dyDescent="0.25">
      <c r="A5091" t="s">
        <v>16589</v>
      </c>
      <c r="B5091" t="s">
        <v>6568</v>
      </c>
      <c r="C5091" t="str">
        <f>HYPERLINK("https://nematode.unl.edu/hogal24.jpg")</f>
        <v>https://nematode.unl.edu/hogal24.jpg</v>
      </c>
      <c r="D5091" t="s">
        <v>43</v>
      </c>
      <c r="G5091" t="s">
        <v>34</v>
      </c>
      <c r="H5091" t="s">
        <v>18</v>
      </c>
      <c r="I5091" t="s">
        <v>19</v>
      </c>
      <c r="M5091" t="s">
        <v>6546</v>
      </c>
      <c r="N5091" t="s">
        <v>6546</v>
      </c>
      <c r="O5091" t="s">
        <v>23</v>
      </c>
      <c r="P5091" t="s">
        <v>24</v>
      </c>
      <c r="Q5091" t="s">
        <v>2454</v>
      </c>
      <c r="R5091" t="s">
        <v>6506</v>
      </c>
    </row>
    <row r="5092" spans="1:18" x14ac:dyDescent="0.25">
      <c r="A5092" t="s">
        <v>16625</v>
      </c>
      <c r="B5092" t="s">
        <v>6569</v>
      </c>
      <c r="C5092" t="str">
        <f>HYPERLINK("https://nematode.unl.edu/hogal25.jpg")</f>
        <v>https://nematode.unl.edu/hogal25.jpg</v>
      </c>
      <c r="D5092" t="s">
        <v>43</v>
      </c>
      <c r="G5092" t="s">
        <v>28</v>
      </c>
      <c r="M5092" t="s">
        <v>6546</v>
      </c>
      <c r="N5092" t="s">
        <v>6546</v>
      </c>
      <c r="O5092" t="s">
        <v>23</v>
      </c>
      <c r="P5092" t="s">
        <v>24</v>
      </c>
      <c r="Q5092" t="s">
        <v>2454</v>
      </c>
      <c r="R5092" t="s">
        <v>6506</v>
      </c>
    </row>
    <row r="5093" spans="1:18" x14ac:dyDescent="0.25">
      <c r="A5093" t="s">
        <v>16608</v>
      </c>
      <c r="B5093" t="s">
        <v>6570</v>
      </c>
      <c r="C5093" t="str">
        <f>HYPERLINK("https://nematode.unl.edu/hogal26.jpg")</f>
        <v>https://nematode.unl.edu/hogal26.jpg</v>
      </c>
      <c r="D5093" t="s">
        <v>43</v>
      </c>
      <c r="G5093" t="s">
        <v>44</v>
      </c>
      <c r="I5093" t="s">
        <v>91</v>
      </c>
      <c r="J5093" t="s">
        <v>6554</v>
      </c>
      <c r="M5093" t="s">
        <v>6546</v>
      </c>
      <c r="N5093" t="s">
        <v>6546</v>
      </c>
      <c r="O5093" t="s">
        <v>23</v>
      </c>
      <c r="P5093" t="s">
        <v>24</v>
      </c>
      <c r="Q5093" t="s">
        <v>2454</v>
      </c>
      <c r="R5093" t="s">
        <v>6506</v>
      </c>
    </row>
    <row r="5094" spans="1:18" x14ac:dyDescent="0.25">
      <c r="A5094" t="s">
        <v>16590</v>
      </c>
      <c r="B5094" t="s">
        <v>6571</v>
      </c>
      <c r="C5094" t="str">
        <f>HYPERLINK("https://nematode.unl.edu/hogal27.jpg")</f>
        <v>https://nematode.unl.edu/hogal27.jpg</v>
      </c>
      <c r="D5094" t="s">
        <v>43</v>
      </c>
      <c r="G5094" t="s">
        <v>34</v>
      </c>
      <c r="H5094" t="s">
        <v>18</v>
      </c>
      <c r="I5094" t="s">
        <v>19</v>
      </c>
      <c r="J5094" t="s">
        <v>6554</v>
      </c>
      <c r="M5094" t="s">
        <v>6546</v>
      </c>
      <c r="N5094" t="s">
        <v>6546</v>
      </c>
      <c r="O5094" t="s">
        <v>23</v>
      </c>
      <c r="P5094" t="s">
        <v>24</v>
      </c>
      <c r="Q5094" t="s">
        <v>2454</v>
      </c>
      <c r="R5094" t="s">
        <v>6506</v>
      </c>
    </row>
    <row r="5095" spans="1:18" x14ac:dyDescent="0.25">
      <c r="A5095" t="s">
        <v>16626</v>
      </c>
      <c r="B5095" t="s">
        <v>6572</v>
      </c>
      <c r="C5095" t="str">
        <f>HYPERLINK("https://nematode.unl.edu/hogal28.jpg")</f>
        <v>https://nematode.unl.edu/hogal28.jpg</v>
      </c>
      <c r="D5095" t="s">
        <v>43</v>
      </c>
      <c r="G5095" t="s">
        <v>28</v>
      </c>
      <c r="M5095" t="s">
        <v>6546</v>
      </c>
      <c r="N5095" t="s">
        <v>6546</v>
      </c>
      <c r="O5095" t="s">
        <v>23</v>
      </c>
      <c r="P5095" t="s">
        <v>24</v>
      </c>
      <c r="Q5095" t="s">
        <v>2454</v>
      </c>
      <c r="R5095" t="s">
        <v>6506</v>
      </c>
    </row>
    <row r="5096" spans="1:18" x14ac:dyDescent="0.25">
      <c r="A5096" t="s">
        <v>16591</v>
      </c>
      <c r="B5096" t="s">
        <v>6573</v>
      </c>
      <c r="C5096" t="str">
        <f>HYPERLINK("https://nematode.unl.edu/hogal29.jpg")</f>
        <v>https://nematode.unl.edu/hogal29.jpg</v>
      </c>
      <c r="D5096" t="s">
        <v>77</v>
      </c>
      <c r="G5096" t="s">
        <v>34</v>
      </c>
      <c r="H5096" t="s">
        <v>18</v>
      </c>
      <c r="I5096" t="s">
        <v>529</v>
      </c>
      <c r="J5096" t="s">
        <v>6554</v>
      </c>
      <c r="M5096" t="s">
        <v>6546</v>
      </c>
      <c r="N5096" t="s">
        <v>6546</v>
      </c>
      <c r="O5096" t="s">
        <v>23</v>
      </c>
      <c r="P5096" t="s">
        <v>24</v>
      </c>
      <c r="Q5096" t="s">
        <v>2454</v>
      </c>
      <c r="R5096" t="s">
        <v>6506</v>
      </c>
    </row>
    <row r="5097" spans="1:18" x14ac:dyDescent="0.25">
      <c r="A5097" t="s">
        <v>16632</v>
      </c>
      <c r="B5097" t="s">
        <v>6574</v>
      </c>
      <c r="C5097" t="str">
        <f>HYPERLINK("https://nematode.unl.edu/hogal3.jpg")</f>
        <v>https://nematode.unl.edu/hogal3.jpg</v>
      </c>
      <c r="D5097" t="s">
        <v>43</v>
      </c>
      <c r="G5097" t="s">
        <v>51</v>
      </c>
      <c r="I5097" t="s">
        <v>19</v>
      </c>
      <c r="M5097" t="s">
        <v>6546</v>
      </c>
      <c r="N5097" t="s">
        <v>6546</v>
      </c>
      <c r="O5097" t="s">
        <v>23</v>
      </c>
      <c r="P5097" t="s">
        <v>24</v>
      </c>
      <c r="Q5097" t="s">
        <v>2454</v>
      </c>
      <c r="R5097" t="s">
        <v>6506</v>
      </c>
    </row>
    <row r="5098" spans="1:18" x14ac:dyDescent="0.25">
      <c r="A5098" t="s">
        <v>16592</v>
      </c>
      <c r="B5098" t="s">
        <v>6575</v>
      </c>
      <c r="C5098" t="str">
        <f>HYPERLINK("https://nematode.unl.edu/hogal30.jpg")</f>
        <v>https://nematode.unl.edu/hogal30.jpg</v>
      </c>
      <c r="D5098" t="s">
        <v>77</v>
      </c>
      <c r="G5098" t="s">
        <v>34</v>
      </c>
      <c r="H5098" t="s">
        <v>18</v>
      </c>
      <c r="I5098" t="s">
        <v>19</v>
      </c>
      <c r="M5098" t="s">
        <v>6546</v>
      </c>
      <c r="N5098" t="s">
        <v>6546</v>
      </c>
      <c r="O5098" t="s">
        <v>23</v>
      </c>
      <c r="P5098" t="s">
        <v>24</v>
      </c>
      <c r="Q5098" t="s">
        <v>2454</v>
      </c>
      <c r="R5098" t="s">
        <v>6506</v>
      </c>
    </row>
    <row r="5099" spans="1:18" x14ac:dyDescent="0.25">
      <c r="A5099" t="s">
        <v>16627</v>
      </c>
      <c r="B5099" t="s">
        <v>6576</v>
      </c>
      <c r="C5099" t="str">
        <f>HYPERLINK("https://nematode.unl.edu/hogal31.jpg")</f>
        <v>https://nematode.unl.edu/hogal31.jpg</v>
      </c>
      <c r="D5099" t="s">
        <v>77</v>
      </c>
      <c r="G5099" t="s">
        <v>28</v>
      </c>
      <c r="M5099" t="s">
        <v>6546</v>
      </c>
      <c r="N5099" t="s">
        <v>6546</v>
      </c>
      <c r="O5099" t="s">
        <v>23</v>
      </c>
      <c r="P5099" t="s">
        <v>24</v>
      </c>
      <c r="Q5099" t="s">
        <v>2454</v>
      </c>
      <c r="R5099" t="s">
        <v>6506</v>
      </c>
    </row>
    <row r="5100" spans="1:18" x14ac:dyDescent="0.25">
      <c r="A5100" t="s">
        <v>16593</v>
      </c>
      <c r="B5100" t="s">
        <v>6577</v>
      </c>
      <c r="C5100" t="str">
        <f>HYPERLINK("https://nematode.unl.edu/hogal32.jpg")</f>
        <v>https://nematode.unl.edu/hogal32.jpg</v>
      </c>
      <c r="D5100" t="s">
        <v>77</v>
      </c>
      <c r="G5100" t="s">
        <v>34</v>
      </c>
      <c r="H5100" t="s">
        <v>18</v>
      </c>
      <c r="I5100" t="s">
        <v>41</v>
      </c>
      <c r="M5100" t="s">
        <v>6546</v>
      </c>
      <c r="N5100" t="s">
        <v>6546</v>
      </c>
      <c r="O5100" t="s">
        <v>23</v>
      </c>
      <c r="P5100" t="s">
        <v>24</v>
      </c>
      <c r="Q5100" t="s">
        <v>2454</v>
      </c>
      <c r="R5100" t="s">
        <v>6506</v>
      </c>
    </row>
    <row r="5101" spans="1:18" x14ac:dyDescent="0.25">
      <c r="A5101" t="s">
        <v>16622</v>
      </c>
      <c r="B5101" t="s">
        <v>6578</v>
      </c>
      <c r="C5101" t="str">
        <f>HYPERLINK("https://nematode.unl.edu/hogal33.jpg")</f>
        <v>https://nematode.unl.edu/hogal33.jpg</v>
      </c>
      <c r="D5101" t="s">
        <v>77</v>
      </c>
      <c r="G5101" t="s">
        <v>112</v>
      </c>
      <c r="I5101" t="s">
        <v>41</v>
      </c>
      <c r="M5101" t="s">
        <v>6546</v>
      </c>
      <c r="N5101" t="s">
        <v>6546</v>
      </c>
      <c r="O5101" t="s">
        <v>23</v>
      </c>
      <c r="P5101" t="s">
        <v>24</v>
      </c>
      <c r="Q5101" t="s">
        <v>2454</v>
      </c>
      <c r="R5101" t="s">
        <v>6506</v>
      </c>
    </row>
    <row r="5102" spans="1:18" x14ac:dyDescent="0.25">
      <c r="A5102" t="s">
        <v>16628</v>
      </c>
      <c r="B5102" t="s">
        <v>6579</v>
      </c>
      <c r="C5102" t="str">
        <f>HYPERLINK("https://nematode.unl.edu/hogal4.jpg")</f>
        <v>https://nematode.unl.edu/hogal4.jpg</v>
      </c>
      <c r="D5102" t="s">
        <v>43</v>
      </c>
      <c r="G5102" t="s">
        <v>28</v>
      </c>
      <c r="M5102" t="s">
        <v>6546</v>
      </c>
      <c r="N5102" t="s">
        <v>6546</v>
      </c>
      <c r="O5102" t="s">
        <v>23</v>
      </c>
      <c r="P5102" t="s">
        <v>24</v>
      </c>
      <c r="Q5102" t="s">
        <v>2454</v>
      </c>
      <c r="R5102" t="s">
        <v>6506</v>
      </c>
    </row>
    <row r="5103" spans="1:18" x14ac:dyDescent="0.25">
      <c r="A5103" t="s">
        <v>16594</v>
      </c>
      <c r="B5103" t="s">
        <v>6580</v>
      </c>
      <c r="C5103" t="str">
        <f>HYPERLINK("https://nematode.unl.edu/hogal5.jpg")</f>
        <v>https://nematode.unl.edu/hogal5.jpg</v>
      </c>
      <c r="D5103" t="s">
        <v>43</v>
      </c>
      <c r="G5103" t="s">
        <v>34</v>
      </c>
      <c r="H5103" t="s">
        <v>18</v>
      </c>
      <c r="I5103" t="s">
        <v>41</v>
      </c>
      <c r="J5103" t="s">
        <v>6554</v>
      </c>
      <c r="M5103" t="s">
        <v>6546</v>
      </c>
      <c r="N5103" t="s">
        <v>6546</v>
      </c>
      <c r="O5103" t="s">
        <v>23</v>
      </c>
      <c r="P5103" t="s">
        <v>24</v>
      </c>
      <c r="Q5103" t="s">
        <v>2454</v>
      </c>
      <c r="R5103" t="s">
        <v>6506</v>
      </c>
    </row>
    <row r="5104" spans="1:18" x14ac:dyDescent="0.25">
      <c r="A5104" t="s">
        <v>16609</v>
      </c>
      <c r="B5104" t="s">
        <v>6581</v>
      </c>
      <c r="C5104" t="str">
        <f>HYPERLINK("https://nematode.unl.edu/hogal6.jpg")</f>
        <v>https://nematode.unl.edu/hogal6.jpg</v>
      </c>
      <c r="D5104" t="s">
        <v>43</v>
      </c>
      <c r="G5104" t="s">
        <v>44</v>
      </c>
      <c r="I5104" t="s">
        <v>19</v>
      </c>
      <c r="J5104" t="s">
        <v>6554</v>
      </c>
      <c r="M5104" t="s">
        <v>6546</v>
      </c>
      <c r="N5104" t="s">
        <v>6546</v>
      </c>
      <c r="O5104" t="s">
        <v>23</v>
      </c>
      <c r="P5104" t="s">
        <v>24</v>
      </c>
      <c r="Q5104" t="s">
        <v>2454</v>
      </c>
      <c r="R5104" t="s">
        <v>6506</v>
      </c>
    </row>
    <row r="5105" spans="1:18" x14ac:dyDescent="0.25">
      <c r="A5105" t="s">
        <v>16583</v>
      </c>
      <c r="B5105" t="s">
        <v>6582</v>
      </c>
      <c r="C5105" t="str">
        <f>HYPERLINK("https://nematode.unl.edu/hogal7.jpg")</f>
        <v>https://nematode.unl.edu/hogal7.jpg</v>
      </c>
      <c r="D5105" t="s">
        <v>43</v>
      </c>
      <c r="G5105" t="s">
        <v>96</v>
      </c>
      <c r="H5105" t="s">
        <v>18</v>
      </c>
      <c r="I5105" t="s">
        <v>19</v>
      </c>
      <c r="M5105" t="s">
        <v>6546</v>
      </c>
      <c r="N5105" t="s">
        <v>6546</v>
      </c>
      <c r="O5105" t="s">
        <v>23</v>
      </c>
      <c r="P5105" t="s">
        <v>24</v>
      </c>
      <c r="Q5105" t="s">
        <v>2454</v>
      </c>
      <c r="R5105" t="s">
        <v>6506</v>
      </c>
    </row>
    <row r="5106" spans="1:18" x14ac:dyDescent="0.25">
      <c r="A5106" t="s">
        <v>16633</v>
      </c>
      <c r="B5106" t="s">
        <v>6583</v>
      </c>
      <c r="C5106" t="str">
        <f>HYPERLINK("https://nematode.unl.edu/hogal8.jpg")</f>
        <v>https://nematode.unl.edu/hogal8.jpg</v>
      </c>
      <c r="D5106" t="s">
        <v>43</v>
      </c>
      <c r="G5106" t="s">
        <v>51</v>
      </c>
      <c r="I5106" t="s">
        <v>19</v>
      </c>
      <c r="M5106" t="s">
        <v>6546</v>
      </c>
      <c r="N5106" t="s">
        <v>6546</v>
      </c>
      <c r="O5106" t="s">
        <v>23</v>
      </c>
      <c r="P5106" t="s">
        <v>24</v>
      </c>
      <c r="Q5106" t="s">
        <v>2454</v>
      </c>
      <c r="R5106" t="s">
        <v>6506</v>
      </c>
    </row>
    <row r="5107" spans="1:18" x14ac:dyDescent="0.25">
      <c r="A5107" t="s">
        <v>16629</v>
      </c>
      <c r="B5107" t="s">
        <v>6584</v>
      </c>
      <c r="C5107" t="str">
        <f>HYPERLINK("https://nematode.unl.edu/hogal9.jpg")</f>
        <v>https://nematode.unl.edu/hogal9.jpg</v>
      </c>
      <c r="D5107" t="s">
        <v>43</v>
      </c>
      <c r="G5107" t="s">
        <v>28</v>
      </c>
      <c r="I5107" t="s">
        <v>19</v>
      </c>
      <c r="M5107" t="s">
        <v>6546</v>
      </c>
      <c r="N5107" t="s">
        <v>6546</v>
      </c>
      <c r="O5107" t="s">
        <v>23</v>
      </c>
      <c r="P5107" t="s">
        <v>24</v>
      </c>
      <c r="Q5107" t="s">
        <v>2454</v>
      </c>
      <c r="R5107" t="s">
        <v>6506</v>
      </c>
    </row>
    <row r="5108" spans="1:18" x14ac:dyDescent="0.25">
      <c r="A5108" t="s">
        <v>16610</v>
      </c>
      <c r="B5108" t="s">
        <v>6585</v>
      </c>
      <c r="C5108" t="str">
        <f>HYPERLINK("https://nematode.unl.edu/hopga1.jpg")</f>
        <v>https://nematode.unl.edu/hopga1.jpg</v>
      </c>
      <c r="D5108" t="s">
        <v>16</v>
      </c>
      <c r="G5108" t="s">
        <v>44</v>
      </c>
      <c r="I5108" t="s">
        <v>45</v>
      </c>
      <c r="J5108" t="s">
        <v>20</v>
      </c>
      <c r="L5108" t="s">
        <v>456</v>
      </c>
      <c r="M5108" t="s">
        <v>6546</v>
      </c>
      <c r="N5108" t="s">
        <v>6546</v>
      </c>
      <c r="O5108" t="s">
        <v>23</v>
      </c>
      <c r="P5108" t="s">
        <v>24</v>
      </c>
      <c r="Q5108" t="s">
        <v>2454</v>
      </c>
      <c r="R5108" t="s">
        <v>6506</v>
      </c>
    </row>
    <row r="5109" spans="1:18" x14ac:dyDescent="0.25">
      <c r="A5109" t="s">
        <v>16595</v>
      </c>
      <c r="B5109" t="s">
        <v>6586</v>
      </c>
      <c r="C5109" t="str">
        <f>HYPERLINK("https://nematode.unl.edu/hopga10.jpg")</f>
        <v>https://nematode.unl.edu/hopga10.jpg</v>
      </c>
      <c r="D5109" t="s">
        <v>43</v>
      </c>
      <c r="G5109" t="s">
        <v>34</v>
      </c>
      <c r="H5109" t="s">
        <v>18</v>
      </c>
      <c r="J5109" t="s">
        <v>20</v>
      </c>
      <c r="L5109" t="s">
        <v>64</v>
      </c>
      <c r="M5109" t="s">
        <v>6546</v>
      </c>
      <c r="N5109" t="s">
        <v>6546</v>
      </c>
      <c r="O5109" t="s">
        <v>23</v>
      </c>
      <c r="P5109" t="s">
        <v>24</v>
      </c>
      <c r="Q5109" t="s">
        <v>2454</v>
      </c>
      <c r="R5109" t="s">
        <v>6506</v>
      </c>
    </row>
    <row r="5110" spans="1:18" x14ac:dyDescent="0.25">
      <c r="A5110" t="s">
        <v>16634</v>
      </c>
      <c r="B5110" t="s">
        <v>6587</v>
      </c>
      <c r="C5110" t="str">
        <f>HYPERLINK("https://nematode.unl.edu/hopga11.jpg")</f>
        <v>https://nematode.unl.edu/hopga11.jpg</v>
      </c>
      <c r="D5110" t="s">
        <v>43</v>
      </c>
      <c r="G5110" t="s">
        <v>51</v>
      </c>
      <c r="I5110" t="s">
        <v>137</v>
      </c>
      <c r="J5110" t="s">
        <v>20</v>
      </c>
      <c r="L5110" t="s">
        <v>64</v>
      </c>
      <c r="M5110" t="s">
        <v>6546</v>
      </c>
      <c r="N5110" t="s">
        <v>6546</v>
      </c>
      <c r="O5110" t="s">
        <v>23</v>
      </c>
      <c r="P5110" t="s">
        <v>24</v>
      </c>
      <c r="Q5110" t="s">
        <v>2454</v>
      </c>
      <c r="R5110" t="s">
        <v>6506</v>
      </c>
    </row>
    <row r="5111" spans="1:18" x14ac:dyDescent="0.25">
      <c r="A5111" t="s">
        <v>16630</v>
      </c>
      <c r="B5111" t="s">
        <v>6588</v>
      </c>
      <c r="C5111" t="str">
        <f>HYPERLINK("https://nematode.unl.edu/hopga12.jpg")</f>
        <v>https://nematode.unl.edu/hopga12.jpg</v>
      </c>
      <c r="D5111" t="s">
        <v>43</v>
      </c>
      <c r="G5111" t="s">
        <v>28</v>
      </c>
      <c r="I5111" t="s">
        <v>137</v>
      </c>
      <c r="J5111" t="s">
        <v>20</v>
      </c>
      <c r="L5111" t="s">
        <v>64</v>
      </c>
      <c r="M5111" t="s">
        <v>6546</v>
      </c>
      <c r="N5111" t="s">
        <v>6546</v>
      </c>
      <c r="O5111" t="s">
        <v>23</v>
      </c>
      <c r="P5111" t="s">
        <v>24</v>
      </c>
      <c r="Q5111" t="s">
        <v>2454</v>
      </c>
      <c r="R5111" t="s">
        <v>6506</v>
      </c>
    </row>
    <row r="5112" spans="1:18" x14ac:dyDescent="0.25">
      <c r="A5112" t="s">
        <v>16611</v>
      </c>
      <c r="B5112" t="s">
        <v>6589</v>
      </c>
      <c r="C5112" t="str">
        <f>HYPERLINK("https://nematode.unl.edu/hopga13.jpg")</f>
        <v>https://nematode.unl.edu/hopga13.jpg</v>
      </c>
      <c r="D5112" t="s">
        <v>43</v>
      </c>
      <c r="G5112" t="s">
        <v>44</v>
      </c>
      <c r="I5112" t="s">
        <v>91</v>
      </c>
      <c r="J5112" t="s">
        <v>20</v>
      </c>
      <c r="L5112" t="s">
        <v>173</v>
      </c>
      <c r="M5112" t="s">
        <v>6546</v>
      </c>
      <c r="N5112" t="s">
        <v>6546</v>
      </c>
      <c r="O5112" t="s">
        <v>23</v>
      </c>
      <c r="P5112" t="s">
        <v>24</v>
      </c>
      <c r="Q5112" t="s">
        <v>2454</v>
      </c>
      <c r="R5112" t="s">
        <v>6506</v>
      </c>
    </row>
    <row r="5113" spans="1:18" x14ac:dyDescent="0.25">
      <c r="A5113" t="s">
        <v>16635</v>
      </c>
      <c r="B5113" t="s">
        <v>6590</v>
      </c>
      <c r="C5113" t="str">
        <f>HYPERLINK("https://nematode.unl.edu/hopga14.jpg")</f>
        <v>https://nematode.unl.edu/hopga14.jpg</v>
      </c>
      <c r="D5113" t="s">
        <v>43</v>
      </c>
      <c r="G5113" t="s">
        <v>51</v>
      </c>
      <c r="M5113" t="s">
        <v>6546</v>
      </c>
      <c r="N5113" t="s">
        <v>6546</v>
      </c>
      <c r="O5113" t="s">
        <v>23</v>
      </c>
      <c r="P5113" t="s">
        <v>24</v>
      </c>
      <c r="Q5113" t="s">
        <v>2454</v>
      </c>
      <c r="R5113" t="s">
        <v>6506</v>
      </c>
    </row>
    <row r="5114" spans="1:18" x14ac:dyDescent="0.25">
      <c r="A5114" t="s">
        <v>16596</v>
      </c>
      <c r="B5114" t="s">
        <v>6591</v>
      </c>
      <c r="C5114" t="str">
        <f>HYPERLINK("https://nematode.unl.edu/hopga15.jpg")</f>
        <v>https://nematode.unl.edu/hopga15.jpg</v>
      </c>
      <c r="D5114" t="s">
        <v>43</v>
      </c>
      <c r="G5114" t="s">
        <v>34</v>
      </c>
      <c r="H5114" t="s">
        <v>18</v>
      </c>
      <c r="I5114" t="s">
        <v>137</v>
      </c>
      <c r="J5114" t="s">
        <v>20</v>
      </c>
      <c r="L5114" t="s">
        <v>141</v>
      </c>
      <c r="M5114" t="s">
        <v>6546</v>
      </c>
      <c r="N5114" t="s">
        <v>6546</v>
      </c>
      <c r="O5114" t="s">
        <v>23</v>
      </c>
      <c r="P5114" t="s">
        <v>24</v>
      </c>
      <c r="Q5114" t="s">
        <v>2454</v>
      </c>
      <c r="R5114" t="s">
        <v>6506</v>
      </c>
    </row>
    <row r="5115" spans="1:18" x14ac:dyDescent="0.25">
      <c r="A5115" t="s">
        <v>16631</v>
      </c>
      <c r="B5115" t="s">
        <v>6592</v>
      </c>
      <c r="C5115" t="str">
        <f>HYPERLINK("https://nematode.unl.edu/hopga2.jpg")</f>
        <v>https://nematode.unl.edu/hopga2.jpg</v>
      </c>
      <c r="D5115" t="s">
        <v>16</v>
      </c>
      <c r="G5115" t="s">
        <v>28</v>
      </c>
      <c r="I5115" t="s">
        <v>19</v>
      </c>
      <c r="J5115" t="s">
        <v>20</v>
      </c>
      <c r="L5115" t="s">
        <v>456</v>
      </c>
      <c r="M5115" t="s">
        <v>6546</v>
      </c>
      <c r="N5115" t="s">
        <v>6546</v>
      </c>
      <c r="O5115" t="s">
        <v>23</v>
      </c>
      <c r="P5115" t="s">
        <v>24</v>
      </c>
      <c r="Q5115" t="s">
        <v>2454</v>
      </c>
      <c r="R5115" t="s">
        <v>6506</v>
      </c>
    </row>
    <row r="5116" spans="1:18" x14ac:dyDescent="0.25">
      <c r="A5116" t="s">
        <v>16597</v>
      </c>
      <c r="B5116" t="s">
        <v>6593</v>
      </c>
      <c r="C5116" t="str">
        <f>HYPERLINK("https://nematode.unl.edu/hopga3.jpg")</f>
        <v>https://nematode.unl.edu/hopga3.jpg</v>
      </c>
      <c r="D5116" t="s">
        <v>16</v>
      </c>
      <c r="G5116" t="s">
        <v>34</v>
      </c>
      <c r="H5116" t="s">
        <v>18</v>
      </c>
      <c r="M5116" t="s">
        <v>6546</v>
      </c>
      <c r="N5116" t="s">
        <v>6546</v>
      </c>
      <c r="O5116" t="s">
        <v>23</v>
      </c>
      <c r="P5116" t="s">
        <v>24</v>
      </c>
      <c r="Q5116" t="s">
        <v>2454</v>
      </c>
      <c r="R5116" t="s">
        <v>6506</v>
      </c>
    </row>
    <row r="5117" spans="1:18" x14ac:dyDescent="0.25">
      <c r="A5117" t="s">
        <v>16621</v>
      </c>
      <c r="B5117" t="s">
        <v>6594</v>
      </c>
      <c r="C5117" t="str">
        <f>HYPERLINK("https://nematode.unl.edu/hopga4.jpg")</f>
        <v>https://nematode.unl.edu/hopga4.jpg</v>
      </c>
      <c r="D5117" t="s">
        <v>16</v>
      </c>
      <c r="G5117" t="s">
        <v>2029</v>
      </c>
      <c r="I5117" t="s">
        <v>41</v>
      </c>
      <c r="J5117" t="s">
        <v>20</v>
      </c>
      <c r="L5117" t="s">
        <v>64</v>
      </c>
      <c r="M5117" t="s">
        <v>6546</v>
      </c>
      <c r="N5117" t="s">
        <v>6546</v>
      </c>
      <c r="O5117" t="s">
        <v>23</v>
      </c>
      <c r="P5117" t="s">
        <v>24</v>
      </c>
      <c r="Q5117" t="s">
        <v>2454</v>
      </c>
      <c r="R5117" t="s">
        <v>6506</v>
      </c>
    </row>
    <row r="5118" spans="1:18" x14ac:dyDescent="0.25">
      <c r="A5118" t="s">
        <v>16598</v>
      </c>
      <c r="B5118" t="s">
        <v>6595</v>
      </c>
      <c r="C5118" t="str">
        <f>HYPERLINK("https://nematode.unl.edu/hopga5.jpg")</f>
        <v>https://nematode.unl.edu/hopga5.jpg</v>
      </c>
      <c r="D5118" t="s">
        <v>16</v>
      </c>
      <c r="G5118" t="s">
        <v>34</v>
      </c>
      <c r="H5118" t="s">
        <v>18</v>
      </c>
      <c r="I5118" t="s">
        <v>41</v>
      </c>
      <c r="J5118" t="s">
        <v>20</v>
      </c>
      <c r="L5118" t="s">
        <v>64</v>
      </c>
      <c r="M5118" t="s">
        <v>6546</v>
      </c>
      <c r="N5118" t="s">
        <v>6546</v>
      </c>
      <c r="O5118" t="s">
        <v>23</v>
      </c>
      <c r="P5118" t="s">
        <v>24</v>
      </c>
      <c r="Q5118" t="s">
        <v>2454</v>
      </c>
      <c r="R5118" t="s">
        <v>6506</v>
      </c>
    </row>
    <row r="5119" spans="1:18" x14ac:dyDescent="0.25">
      <c r="A5119" t="s">
        <v>16601</v>
      </c>
      <c r="B5119" t="s">
        <v>6596</v>
      </c>
      <c r="C5119" t="str">
        <f>HYPERLINK("https://nematode.unl.edu/hopga6.jpg")</f>
        <v>https://nematode.unl.edu/hopga6.jpg</v>
      </c>
      <c r="D5119" t="s">
        <v>16</v>
      </c>
      <c r="G5119" t="s">
        <v>259</v>
      </c>
      <c r="H5119" t="s">
        <v>18</v>
      </c>
      <c r="I5119" t="s">
        <v>41</v>
      </c>
      <c r="J5119" t="s">
        <v>20</v>
      </c>
      <c r="M5119" t="s">
        <v>6546</v>
      </c>
      <c r="N5119" t="s">
        <v>6546</v>
      </c>
      <c r="O5119" t="s">
        <v>23</v>
      </c>
      <c r="P5119" t="s">
        <v>24</v>
      </c>
      <c r="Q5119" t="s">
        <v>2454</v>
      </c>
      <c r="R5119" t="s">
        <v>6506</v>
      </c>
    </row>
    <row r="5120" spans="1:18" x14ac:dyDescent="0.25">
      <c r="A5120" t="s">
        <v>16600</v>
      </c>
      <c r="B5120" t="s">
        <v>6597</v>
      </c>
      <c r="C5120" t="str">
        <f>HYPERLINK("https://nematode.unl.edu/hopga7.jpg")</f>
        <v>https://nematode.unl.edu/hopga7.jpg</v>
      </c>
      <c r="D5120" t="s">
        <v>16</v>
      </c>
      <c r="G5120" t="s">
        <v>257</v>
      </c>
      <c r="H5120" t="s">
        <v>18</v>
      </c>
      <c r="I5120" t="s">
        <v>41</v>
      </c>
      <c r="M5120" t="s">
        <v>6546</v>
      </c>
      <c r="N5120" t="s">
        <v>6546</v>
      </c>
      <c r="O5120" t="s">
        <v>23</v>
      </c>
      <c r="P5120" t="s">
        <v>24</v>
      </c>
      <c r="Q5120" t="s">
        <v>2454</v>
      </c>
      <c r="R5120" t="s">
        <v>6506</v>
      </c>
    </row>
    <row r="5121" spans="1:18" x14ac:dyDescent="0.25">
      <c r="A5121" t="s">
        <v>16599</v>
      </c>
      <c r="B5121" t="s">
        <v>6598</v>
      </c>
      <c r="C5121" t="str">
        <f>HYPERLINK("https://nematode.unl.edu/hopga8.jpg")</f>
        <v>https://nematode.unl.edu/hopga8.jpg</v>
      </c>
      <c r="D5121" t="s">
        <v>77</v>
      </c>
      <c r="G5121" t="s">
        <v>34</v>
      </c>
      <c r="H5121" t="s">
        <v>18</v>
      </c>
      <c r="M5121" t="s">
        <v>6546</v>
      </c>
      <c r="N5121" t="s">
        <v>6546</v>
      </c>
      <c r="O5121" t="s">
        <v>23</v>
      </c>
      <c r="P5121" t="s">
        <v>24</v>
      </c>
      <c r="Q5121" t="s">
        <v>2454</v>
      </c>
      <c r="R5121" t="s">
        <v>6506</v>
      </c>
    </row>
    <row r="5122" spans="1:18" x14ac:dyDescent="0.25">
      <c r="A5122" t="s">
        <v>16612</v>
      </c>
      <c r="B5122" t="s">
        <v>6599</v>
      </c>
      <c r="C5122" t="str">
        <f>HYPERLINK("https://nematode.unl.edu/hopga9.jpg")</f>
        <v>https://nematode.unl.edu/hopga9.jpg</v>
      </c>
      <c r="D5122" t="s">
        <v>43</v>
      </c>
      <c r="G5122" t="s">
        <v>44</v>
      </c>
      <c r="I5122" t="s">
        <v>91</v>
      </c>
      <c r="J5122" t="s">
        <v>20</v>
      </c>
      <c r="L5122" t="s">
        <v>456</v>
      </c>
      <c r="M5122" t="s">
        <v>6546</v>
      </c>
      <c r="N5122" t="s">
        <v>6546</v>
      </c>
      <c r="O5122" t="s">
        <v>23</v>
      </c>
      <c r="P5122" t="s">
        <v>24</v>
      </c>
      <c r="Q5122" t="s">
        <v>2454</v>
      </c>
      <c r="R5122" t="s">
        <v>6506</v>
      </c>
    </row>
    <row r="5123" spans="1:18" x14ac:dyDescent="0.25">
      <c r="A5123" t="s">
        <v>16615</v>
      </c>
      <c r="B5123" t="s">
        <v>6600</v>
      </c>
      <c r="C5123" t="str">
        <f>HYPERLINK("https://nematode.unl.edu/hopgacmp.jpg")</f>
        <v>https://nematode.unl.edu/hopgacmp.jpg</v>
      </c>
      <c r="G5123" t="s">
        <v>108</v>
      </c>
      <c r="M5123" t="s">
        <v>6546</v>
      </c>
      <c r="N5123" t="s">
        <v>6546</v>
      </c>
      <c r="O5123" t="s">
        <v>23</v>
      </c>
      <c r="P5123" t="s">
        <v>24</v>
      </c>
      <c r="Q5123" t="s">
        <v>2454</v>
      </c>
      <c r="R5123" t="s">
        <v>6506</v>
      </c>
    </row>
    <row r="5124" spans="1:18" x14ac:dyDescent="0.25">
      <c r="A5124" t="s">
        <v>16623</v>
      </c>
      <c r="B5124" t="s">
        <v>6601</v>
      </c>
      <c r="C5124" t="str">
        <f>HYPERLINK("https://nematode.unl.edu/hopgale3.jpg")</f>
        <v>https://nematode.unl.edu/hopgale3.jpg</v>
      </c>
      <c r="D5124" t="s">
        <v>77</v>
      </c>
      <c r="G5124" t="s">
        <v>112</v>
      </c>
      <c r="I5124" t="s">
        <v>516</v>
      </c>
      <c r="J5124" t="s">
        <v>6602</v>
      </c>
      <c r="M5124" t="s">
        <v>6546</v>
      </c>
      <c r="N5124" t="s">
        <v>6546</v>
      </c>
      <c r="O5124" t="s">
        <v>23</v>
      </c>
      <c r="P5124" t="s">
        <v>24</v>
      </c>
      <c r="Q5124" t="s">
        <v>2454</v>
      </c>
      <c r="R5124" t="s">
        <v>6506</v>
      </c>
    </row>
    <row r="5125" spans="1:18" x14ac:dyDescent="0.25">
      <c r="A5125" t="s">
        <v>16566</v>
      </c>
      <c r="B5125" t="s">
        <v>6510</v>
      </c>
      <c r="C5125" t="str">
        <f>HYPERLINK("https://nematode.unl.edu/hoploc1.jpg")</f>
        <v>https://nematode.unl.edu/hoploc1.jpg</v>
      </c>
      <c r="D5125" t="s">
        <v>43</v>
      </c>
      <c r="G5125" t="s">
        <v>44</v>
      </c>
      <c r="I5125" t="s">
        <v>91</v>
      </c>
      <c r="J5125" t="s">
        <v>6511</v>
      </c>
      <c r="M5125" t="s">
        <v>6512</v>
      </c>
      <c r="N5125" t="s">
        <v>6512</v>
      </c>
      <c r="O5125" t="s">
        <v>23</v>
      </c>
      <c r="P5125" t="s">
        <v>24</v>
      </c>
      <c r="Q5125" t="s">
        <v>2454</v>
      </c>
      <c r="R5125" t="s">
        <v>6506</v>
      </c>
    </row>
    <row r="5126" spans="1:18" x14ac:dyDescent="0.25">
      <c r="A5126" t="s">
        <v>16572</v>
      </c>
      <c r="B5126" t="s">
        <v>6513</v>
      </c>
      <c r="C5126" t="str">
        <f>HYPERLINK("https://nematode.unl.edu/hoploc10.jpg")</f>
        <v>https://nematode.unl.edu/hoploc10.jpg</v>
      </c>
      <c r="D5126" t="s">
        <v>43</v>
      </c>
      <c r="G5126" t="s">
        <v>28</v>
      </c>
      <c r="I5126" t="s">
        <v>19</v>
      </c>
      <c r="J5126" t="s">
        <v>6511</v>
      </c>
      <c r="M5126" t="s">
        <v>6512</v>
      </c>
      <c r="N5126" t="s">
        <v>6512</v>
      </c>
      <c r="O5126" t="s">
        <v>23</v>
      </c>
      <c r="P5126" t="s">
        <v>24</v>
      </c>
      <c r="Q5126" t="s">
        <v>2454</v>
      </c>
      <c r="R5126" t="s">
        <v>6506</v>
      </c>
    </row>
    <row r="5127" spans="1:18" x14ac:dyDescent="0.25">
      <c r="A5127" t="s">
        <v>16567</v>
      </c>
      <c r="B5127" t="s">
        <v>6514</v>
      </c>
      <c r="C5127" t="str">
        <f>HYPERLINK("https://nematode.unl.edu/hoploc11.jpg")</f>
        <v>https://nematode.unl.edu/hoploc11.jpg</v>
      </c>
      <c r="D5127" t="s">
        <v>43</v>
      </c>
      <c r="G5127" t="s">
        <v>44</v>
      </c>
      <c r="I5127" t="s">
        <v>91</v>
      </c>
      <c r="J5127" t="s">
        <v>6511</v>
      </c>
      <c r="M5127" t="s">
        <v>6512</v>
      </c>
      <c r="N5127" t="s">
        <v>6512</v>
      </c>
      <c r="O5127" t="s">
        <v>23</v>
      </c>
      <c r="P5127" t="s">
        <v>24</v>
      </c>
      <c r="Q5127" t="s">
        <v>2454</v>
      </c>
      <c r="R5127" t="s">
        <v>6506</v>
      </c>
    </row>
    <row r="5128" spans="1:18" x14ac:dyDescent="0.25">
      <c r="A5128" t="s">
        <v>16556</v>
      </c>
      <c r="B5128" t="s">
        <v>6515</v>
      </c>
      <c r="C5128" t="str">
        <f>HYPERLINK("https://nematode.unl.edu/hoploc12.jpg")</f>
        <v>https://nematode.unl.edu/hoploc12.jpg</v>
      </c>
      <c r="D5128" t="s">
        <v>77</v>
      </c>
      <c r="G5128" t="s">
        <v>34</v>
      </c>
      <c r="H5128" t="s">
        <v>18</v>
      </c>
      <c r="I5128" t="s">
        <v>19</v>
      </c>
      <c r="J5128" t="s">
        <v>6511</v>
      </c>
      <c r="M5128" t="s">
        <v>6512</v>
      </c>
      <c r="N5128" t="s">
        <v>6512</v>
      </c>
      <c r="O5128" t="s">
        <v>23</v>
      </c>
      <c r="P5128" t="s">
        <v>24</v>
      </c>
      <c r="Q5128" t="s">
        <v>2454</v>
      </c>
      <c r="R5128" t="s">
        <v>6506</v>
      </c>
    </row>
    <row r="5129" spans="1:18" x14ac:dyDescent="0.25">
      <c r="A5129" t="s">
        <v>16573</v>
      </c>
      <c r="B5129" t="s">
        <v>6516</v>
      </c>
      <c r="C5129" t="str">
        <f>HYPERLINK("https://nematode.unl.edu/hoploc13.jpg")</f>
        <v>https://nematode.unl.edu/hoploc13.jpg</v>
      </c>
      <c r="D5129" t="s">
        <v>43</v>
      </c>
      <c r="G5129" t="s">
        <v>28</v>
      </c>
      <c r="I5129" t="s">
        <v>19</v>
      </c>
      <c r="J5129" t="s">
        <v>6511</v>
      </c>
      <c r="M5129" t="s">
        <v>6512</v>
      </c>
      <c r="N5129" t="s">
        <v>6512</v>
      </c>
      <c r="O5129" t="s">
        <v>23</v>
      </c>
      <c r="P5129" t="s">
        <v>24</v>
      </c>
      <c r="Q5129" t="s">
        <v>2454</v>
      </c>
      <c r="R5129" t="s">
        <v>6506</v>
      </c>
    </row>
    <row r="5130" spans="1:18" x14ac:dyDescent="0.25">
      <c r="A5130" t="s">
        <v>16557</v>
      </c>
      <c r="B5130" t="s">
        <v>6517</v>
      </c>
      <c r="C5130" t="str">
        <f>HYPERLINK("https://nematode.unl.edu/hoploc14.jpg")</f>
        <v>https://nematode.unl.edu/hoploc14.jpg</v>
      </c>
      <c r="D5130" t="s">
        <v>43</v>
      </c>
      <c r="G5130" t="s">
        <v>34</v>
      </c>
      <c r="H5130" t="s">
        <v>18</v>
      </c>
      <c r="I5130" t="s">
        <v>19</v>
      </c>
      <c r="J5130" t="s">
        <v>6511</v>
      </c>
      <c r="M5130" t="s">
        <v>6512</v>
      </c>
      <c r="N5130" t="s">
        <v>6512</v>
      </c>
      <c r="O5130" t="s">
        <v>23</v>
      </c>
      <c r="P5130" t="s">
        <v>24</v>
      </c>
      <c r="Q5130" t="s">
        <v>2454</v>
      </c>
      <c r="R5130" t="s">
        <v>6506</v>
      </c>
    </row>
    <row r="5131" spans="1:18" x14ac:dyDescent="0.25">
      <c r="A5131" t="s">
        <v>16577</v>
      </c>
      <c r="B5131" t="s">
        <v>6518</v>
      </c>
      <c r="C5131" t="str">
        <f>HYPERLINK("https://nematode.unl.edu/hoploc15.jpg")</f>
        <v>https://nematode.unl.edu/hoploc15.jpg</v>
      </c>
      <c r="D5131" t="s">
        <v>43</v>
      </c>
      <c r="G5131" t="s">
        <v>51</v>
      </c>
      <c r="I5131" t="s">
        <v>19</v>
      </c>
      <c r="J5131" t="s">
        <v>6511</v>
      </c>
      <c r="M5131" t="s">
        <v>6512</v>
      </c>
      <c r="N5131" t="s">
        <v>6512</v>
      </c>
      <c r="O5131" t="s">
        <v>23</v>
      </c>
      <c r="P5131" t="s">
        <v>24</v>
      </c>
      <c r="Q5131" t="s">
        <v>2454</v>
      </c>
      <c r="R5131" t="s">
        <v>6506</v>
      </c>
    </row>
    <row r="5132" spans="1:18" x14ac:dyDescent="0.25">
      <c r="A5132" t="s">
        <v>16574</v>
      </c>
      <c r="B5132" t="s">
        <v>6519</v>
      </c>
      <c r="C5132" t="str">
        <f>HYPERLINK("https://nematode.unl.edu/hoploc16.jpg")</f>
        <v>https://nematode.unl.edu/hoploc16.jpg</v>
      </c>
      <c r="D5132" t="s">
        <v>43</v>
      </c>
      <c r="G5132" t="s">
        <v>28</v>
      </c>
      <c r="J5132" t="s">
        <v>6511</v>
      </c>
      <c r="M5132" t="s">
        <v>6512</v>
      </c>
      <c r="N5132" t="s">
        <v>6512</v>
      </c>
      <c r="O5132" t="s">
        <v>23</v>
      </c>
      <c r="P5132" t="s">
        <v>24</v>
      </c>
      <c r="Q5132" t="s">
        <v>2454</v>
      </c>
      <c r="R5132" t="s">
        <v>6506</v>
      </c>
    </row>
    <row r="5133" spans="1:18" x14ac:dyDescent="0.25">
      <c r="A5133" t="s">
        <v>16558</v>
      </c>
      <c r="B5133" t="s">
        <v>6520</v>
      </c>
      <c r="C5133" t="str">
        <f>HYPERLINK("https://nematode.unl.edu/hoploc17.jpg")</f>
        <v>https://nematode.unl.edu/hoploc17.jpg</v>
      </c>
      <c r="D5133" t="s">
        <v>43</v>
      </c>
      <c r="G5133" t="s">
        <v>34</v>
      </c>
      <c r="H5133" t="s">
        <v>18</v>
      </c>
      <c r="I5133" t="s">
        <v>41</v>
      </c>
      <c r="J5133" t="s">
        <v>6511</v>
      </c>
      <c r="M5133" t="s">
        <v>6512</v>
      </c>
      <c r="N5133" t="s">
        <v>6512</v>
      </c>
      <c r="O5133" t="s">
        <v>23</v>
      </c>
      <c r="P5133" t="s">
        <v>24</v>
      </c>
      <c r="Q5133" t="s">
        <v>2454</v>
      </c>
      <c r="R5133" t="s">
        <v>6506</v>
      </c>
    </row>
    <row r="5134" spans="1:18" x14ac:dyDescent="0.25">
      <c r="A5134" t="s">
        <v>16559</v>
      </c>
      <c r="B5134" t="s">
        <v>6521</v>
      </c>
      <c r="C5134" t="str">
        <f>HYPERLINK("https://nematode.unl.edu/hoploc18.jpg")</f>
        <v>https://nematode.unl.edu/hoploc18.jpg</v>
      </c>
      <c r="D5134" t="s">
        <v>43</v>
      </c>
      <c r="G5134" t="s">
        <v>34</v>
      </c>
      <c r="H5134" t="s">
        <v>18</v>
      </c>
      <c r="I5134" t="s">
        <v>41</v>
      </c>
      <c r="J5134" t="s">
        <v>6511</v>
      </c>
      <c r="M5134" t="s">
        <v>6512</v>
      </c>
      <c r="N5134" t="s">
        <v>6512</v>
      </c>
      <c r="O5134" t="s">
        <v>23</v>
      </c>
      <c r="P5134" t="s">
        <v>24</v>
      </c>
      <c r="Q5134" t="s">
        <v>2454</v>
      </c>
      <c r="R5134" t="s">
        <v>6506</v>
      </c>
    </row>
    <row r="5135" spans="1:18" x14ac:dyDescent="0.25">
      <c r="A5135" t="s">
        <v>16578</v>
      </c>
      <c r="B5135" t="s">
        <v>6522</v>
      </c>
      <c r="C5135" t="str">
        <f>HYPERLINK("https://nematode.unl.edu/hoploc19.jpg")</f>
        <v>https://nematode.unl.edu/hoploc19.jpg</v>
      </c>
      <c r="D5135" t="s">
        <v>43</v>
      </c>
      <c r="G5135" t="s">
        <v>51</v>
      </c>
      <c r="I5135" t="s">
        <v>529</v>
      </c>
      <c r="J5135" t="s">
        <v>6511</v>
      </c>
      <c r="M5135" t="s">
        <v>6512</v>
      </c>
      <c r="N5135" t="s">
        <v>6512</v>
      </c>
      <c r="O5135" t="s">
        <v>23</v>
      </c>
      <c r="P5135" t="s">
        <v>24</v>
      </c>
      <c r="Q5135" t="s">
        <v>2454</v>
      </c>
      <c r="R5135" t="s">
        <v>6506</v>
      </c>
    </row>
    <row r="5136" spans="1:18" x14ac:dyDescent="0.25">
      <c r="A5136" t="s">
        <v>16560</v>
      </c>
      <c r="B5136" t="s">
        <v>6523</v>
      </c>
      <c r="C5136" t="str">
        <f>HYPERLINK("https://nematode.unl.edu/hoploc2.jpg")</f>
        <v>https://nematode.unl.edu/hoploc2.jpg</v>
      </c>
      <c r="D5136" t="s">
        <v>43</v>
      </c>
      <c r="G5136" t="s">
        <v>34</v>
      </c>
      <c r="H5136" t="s">
        <v>18</v>
      </c>
      <c r="I5136" t="s">
        <v>19</v>
      </c>
      <c r="J5136" t="s">
        <v>6511</v>
      </c>
      <c r="M5136" t="s">
        <v>6512</v>
      </c>
      <c r="N5136" t="s">
        <v>6512</v>
      </c>
      <c r="O5136" t="s">
        <v>23</v>
      </c>
      <c r="P5136" t="s">
        <v>24</v>
      </c>
      <c r="Q5136" t="s">
        <v>2454</v>
      </c>
      <c r="R5136" t="s">
        <v>6506</v>
      </c>
    </row>
    <row r="5137" spans="1:18" x14ac:dyDescent="0.25">
      <c r="A5137" t="s">
        <v>16561</v>
      </c>
      <c r="B5137" t="s">
        <v>6524</v>
      </c>
      <c r="C5137" t="str">
        <f>HYPERLINK("https://nematode.unl.edu/hoploc20.jpg")</f>
        <v>https://nematode.unl.edu/hoploc20.jpg</v>
      </c>
      <c r="D5137" t="s">
        <v>43</v>
      </c>
      <c r="G5137" t="s">
        <v>34</v>
      </c>
      <c r="H5137" t="s">
        <v>18</v>
      </c>
      <c r="I5137" t="s">
        <v>19</v>
      </c>
      <c r="J5137" t="s">
        <v>6511</v>
      </c>
      <c r="M5137" t="s">
        <v>6512</v>
      </c>
      <c r="N5137" t="s">
        <v>6512</v>
      </c>
      <c r="O5137" t="s">
        <v>23</v>
      </c>
      <c r="P5137" t="s">
        <v>24</v>
      </c>
      <c r="Q5137" t="s">
        <v>2454</v>
      </c>
      <c r="R5137" t="s">
        <v>6506</v>
      </c>
    </row>
    <row r="5138" spans="1:18" x14ac:dyDescent="0.25">
      <c r="A5138" t="s">
        <v>16568</v>
      </c>
      <c r="B5138" t="s">
        <v>6525</v>
      </c>
      <c r="C5138" t="str">
        <f>HYPERLINK("https://nematode.unl.edu/hoploc21.jpg")</f>
        <v>https://nematode.unl.edu/hoploc21.jpg</v>
      </c>
      <c r="D5138" t="s">
        <v>43</v>
      </c>
      <c r="G5138" t="s">
        <v>44</v>
      </c>
      <c r="I5138" t="s">
        <v>45</v>
      </c>
      <c r="J5138" t="s">
        <v>6511</v>
      </c>
      <c r="M5138" t="s">
        <v>6512</v>
      </c>
      <c r="N5138" t="s">
        <v>6512</v>
      </c>
      <c r="O5138" t="s">
        <v>23</v>
      </c>
      <c r="P5138" t="s">
        <v>24</v>
      </c>
      <c r="Q5138" t="s">
        <v>2454</v>
      </c>
      <c r="R5138" t="s">
        <v>6506</v>
      </c>
    </row>
    <row r="5139" spans="1:18" x14ac:dyDescent="0.25">
      <c r="A5139" t="s">
        <v>16562</v>
      </c>
      <c r="B5139" t="s">
        <v>6526</v>
      </c>
      <c r="C5139" t="str">
        <f>HYPERLINK("https://nematode.unl.edu/hoploc22.jpg")</f>
        <v>https://nematode.unl.edu/hoploc22.jpg</v>
      </c>
      <c r="D5139" t="s">
        <v>43</v>
      </c>
      <c r="G5139" t="s">
        <v>34</v>
      </c>
      <c r="H5139" t="s">
        <v>18</v>
      </c>
      <c r="J5139" t="s">
        <v>6511</v>
      </c>
      <c r="M5139" t="s">
        <v>6512</v>
      </c>
      <c r="N5139" t="s">
        <v>6512</v>
      </c>
      <c r="O5139" t="s">
        <v>23</v>
      </c>
      <c r="P5139" t="s">
        <v>24</v>
      </c>
      <c r="Q5139" t="s">
        <v>2454</v>
      </c>
      <c r="R5139" t="s">
        <v>6506</v>
      </c>
    </row>
    <row r="5140" spans="1:18" x14ac:dyDescent="0.25">
      <c r="A5140" t="s">
        <v>16579</v>
      </c>
      <c r="B5140" t="s">
        <v>6527</v>
      </c>
      <c r="C5140" t="str">
        <f>HYPERLINK("https://nematode.unl.edu/hoploc23.jpg")</f>
        <v>https://nematode.unl.edu/hoploc23.jpg</v>
      </c>
      <c r="D5140" t="s">
        <v>43</v>
      </c>
      <c r="G5140" t="s">
        <v>51</v>
      </c>
      <c r="I5140" t="s">
        <v>19</v>
      </c>
      <c r="J5140" t="s">
        <v>6511</v>
      </c>
      <c r="M5140" t="s">
        <v>6512</v>
      </c>
      <c r="N5140" t="s">
        <v>6512</v>
      </c>
      <c r="O5140" t="s">
        <v>23</v>
      </c>
      <c r="P5140" t="s">
        <v>24</v>
      </c>
      <c r="Q5140" t="s">
        <v>2454</v>
      </c>
      <c r="R5140" t="s">
        <v>6506</v>
      </c>
    </row>
    <row r="5141" spans="1:18" x14ac:dyDescent="0.25">
      <c r="A5141" t="s">
        <v>16575</v>
      </c>
      <c r="B5141" t="s">
        <v>6528</v>
      </c>
      <c r="C5141" t="str">
        <f>HYPERLINK("https://nematode.unl.edu/hoploc24.jpg")</f>
        <v>https://nematode.unl.edu/hoploc24.jpg</v>
      </c>
      <c r="D5141" t="s">
        <v>43</v>
      </c>
      <c r="G5141" t="s">
        <v>28</v>
      </c>
      <c r="J5141" t="s">
        <v>6511</v>
      </c>
      <c r="M5141" t="s">
        <v>6512</v>
      </c>
      <c r="N5141" t="s">
        <v>6512</v>
      </c>
      <c r="O5141" t="s">
        <v>23</v>
      </c>
      <c r="P5141" t="s">
        <v>24</v>
      </c>
      <c r="Q5141" t="s">
        <v>2454</v>
      </c>
      <c r="R5141" t="s">
        <v>6506</v>
      </c>
    </row>
    <row r="5142" spans="1:18" x14ac:dyDescent="0.25">
      <c r="A5142" t="s">
        <v>16563</v>
      </c>
      <c r="B5142" t="s">
        <v>6529</v>
      </c>
      <c r="C5142" t="str">
        <f>HYPERLINK("https://nematode.unl.edu/hoploc25.jpg")</f>
        <v>https://nematode.unl.edu/hoploc25.jpg</v>
      </c>
      <c r="D5142" t="s">
        <v>43</v>
      </c>
      <c r="G5142" t="s">
        <v>34</v>
      </c>
      <c r="H5142" t="s">
        <v>18</v>
      </c>
      <c r="I5142" t="s">
        <v>41</v>
      </c>
      <c r="J5142" t="s">
        <v>6511</v>
      </c>
      <c r="M5142" t="s">
        <v>6512</v>
      </c>
      <c r="N5142" t="s">
        <v>6512</v>
      </c>
      <c r="O5142" t="s">
        <v>23</v>
      </c>
      <c r="P5142" t="s">
        <v>24</v>
      </c>
      <c r="Q5142" t="s">
        <v>2454</v>
      </c>
      <c r="R5142" t="s">
        <v>6506</v>
      </c>
    </row>
    <row r="5143" spans="1:18" x14ac:dyDescent="0.25">
      <c r="A5143" t="s">
        <v>16571</v>
      </c>
      <c r="B5143" t="s">
        <v>6530</v>
      </c>
      <c r="C5143" t="str">
        <f>HYPERLINK("https://nematode.unl.edu/hoploc26.jpg")</f>
        <v>https://nematode.unl.edu/hoploc26.jpg</v>
      </c>
      <c r="D5143" t="s">
        <v>43</v>
      </c>
      <c r="G5143" t="s">
        <v>6531</v>
      </c>
      <c r="I5143" t="s">
        <v>41</v>
      </c>
      <c r="J5143" t="s">
        <v>6511</v>
      </c>
      <c r="M5143" t="s">
        <v>6512</v>
      </c>
      <c r="N5143" t="s">
        <v>6512</v>
      </c>
      <c r="O5143" t="s">
        <v>23</v>
      </c>
      <c r="P5143" t="s">
        <v>24</v>
      </c>
      <c r="Q5143" t="s">
        <v>2454</v>
      </c>
      <c r="R5143" t="s">
        <v>6506</v>
      </c>
    </row>
    <row r="5144" spans="1:18" x14ac:dyDescent="0.25">
      <c r="A5144" t="s">
        <v>16552</v>
      </c>
      <c r="B5144" t="s">
        <v>6532</v>
      </c>
      <c r="C5144" t="str">
        <f>HYPERLINK("https://nematode.unl.edu/hoploc27.jpg")</f>
        <v>https://nematode.unl.edu/hoploc27.jpg</v>
      </c>
      <c r="D5144" t="s">
        <v>43</v>
      </c>
      <c r="G5144" t="s">
        <v>96</v>
      </c>
      <c r="H5144" t="s">
        <v>18</v>
      </c>
      <c r="I5144" t="s">
        <v>19</v>
      </c>
      <c r="J5144" t="s">
        <v>6511</v>
      </c>
      <c r="M5144" t="s">
        <v>6512</v>
      </c>
      <c r="N5144" t="s">
        <v>6512</v>
      </c>
      <c r="O5144" t="s">
        <v>23</v>
      </c>
      <c r="P5144" t="s">
        <v>24</v>
      </c>
      <c r="Q5144" t="s">
        <v>2454</v>
      </c>
      <c r="R5144" t="s">
        <v>6506</v>
      </c>
    </row>
    <row r="5145" spans="1:18" x14ac:dyDescent="0.25">
      <c r="A5145" t="s">
        <v>16565</v>
      </c>
      <c r="B5145" t="s">
        <v>6533</v>
      </c>
      <c r="C5145" t="str">
        <f>HYPERLINK("https://nematode.unl.edu/hoploc28.jpg")</f>
        <v>https://nematode.unl.edu/hoploc28.jpg</v>
      </c>
      <c r="D5145" t="s">
        <v>43</v>
      </c>
      <c r="G5145" t="s">
        <v>87</v>
      </c>
      <c r="I5145" t="s">
        <v>19</v>
      </c>
      <c r="J5145" t="s">
        <v>6511</v>
      </c>
      <c r="M5145" t="s">
        <v>6512</v>
      </c>
      <c r="N5145" t="s">
        <v>6512</v>
      </c>
      <c r="O5145" t="s">
        <v>23</v>
      </c>
      <c r="P5145" t="s">
        <v>24</v>
      </c>
      <c r="Q5145" t="s">
        <v>2454</v>
      </c>
      <c r="R5145" t="s">
        <v>6506</v>
      </c>
    </row>
    <row r="5146" spans="1:18" x14ac:dyDescent="0.25">
      <c r="A5146" t="s">
        <v>16553</v>
      </c>
      <c r="B5146" t="s">
        <v>6534</v>
      </c>
      <c r="C5146" t="str">
        <f>HYPERLINK("https://nematode.unl.edu/hoploc29.jpg")</f>
        <v>https://nematode.unl.edu/hoploc29.jpg</v>
      </c>
      <c r="D5146" t="s">
        <v>43</v>
      </c>
      <c r="G5146" t="s">
        <v>96</v>
      </c>
      <c r="H5146" t="s">
        <v>18</v>
      </c>
      <c r="I5146" t="s">
        <v>19</v>
      </c>
      <c r="J5146" t="s">
        <v>6511</v>
      </c>
      <c r="M5146" t="s">
        <v>6512</v>
      </c>
      <c r="N5146" t="s">
        <v>6512</v>
      </c>
      <c r="O5146" t="s">
        <v>23</v>
      </c>
      <c r="P5146" t="s">
        <v>24</v>
      </c>
      <c r="Q5146" t="s">
        <v>2454</v>
      </c>
      <c r="R5146" t="s">
        <v>6506</v>
      </c>
    </row>
    <row r="5147" spans="1:18" x14ac:dyDescent="0.25">
      <c r="A5147" t="s">
        <v>16580</v>
      </c>
      <c r="B5147" t="s">
        <v>6535</v>
      </c>
      <c r="C5147" t="str">
        <f>HYPERLINK("https://nematode.unl.edu/hoploc3.jpg")</f>
        <v>https://nematode.unl.edu/hoploc3.jpg</v>
      </c>
      <c r="D5147" t="s">
        <v>43</v>
      </c>
      <c r="G5147" t="s">
        <v>51</v>
      </c>
      <c r="I5147" t="s">
        <v>19</v>
      </c>
      <c r="J5147" t="s">
        <v>6511</v>
      </c>
      <c r="M5147" t="s">
        <v>6512</v>
      </c>
      <c r="N5147" t="s">
        <v>6512</v>
      </c>
      <c r="O5147" t="s">
        <v>23</v>
      </c>
      <c r="P5147" t="s">
        <v>24</v>
      </c>
      <c r="Q5147" t="s">
        <v>2454</v>
      </c>
      <c r="R5147" t="s">
        <v>6506</v>
      </c>
    </row>
    <row r="5148" spans="1:18" x14ac:dyDescent="0.25">
      <c r="A5148" t="s">
        <v>16555</v>
      </c>
      <c r="B5148" t="s">
        <v>6536</v>
      </c>
      <c r="C5148" t="str">
        <f>HYPERLINK("https://nematode.unl.edu/hoploc30.jpg")</f>
        <v>https://nematode.unl.edu/hoploc30.jpg</v>
      </c>
      <c r="D5148" t="s">
        <v>43</v>
      </c>
      <c r="G5148" t="s">
        <v>17</v>
      </c>
      <c r="H5148" t="s">
        <v>18</v>
      </c>
      <c r="J5148" t="s">
        <v>6511</v>
      </c>
      <c r="M5148" t="s">
        <v>6512</v>
      </c>
      <c r="N5148" t="s">
        <v>6512</v>
      </c>
      <c r="O5148" t="s">
        <v>23</v>
      </c>
      <c r="P5148" t="s">
        <v>24</v>
      </c>
      <c r="Q5148" t="s">
        <v>2454</v>
      </c>
      <c r="R5148" t="s">
        <v>6506</v>
      </c>
    </row>
    <row r="5149" spans="1:18" x14ac:dyDescent="0.25">
      <c r="A5149" t="s">
        <v>16576</v>
      </c>
      <c r="B5149" t="s">
        <v>6537</v>
      </c>
      <c r="C5149" t="str">
        <f>HYPERLINK("https://nematode.unl.edu/hoploc4.jpg")</f>
        <v>https://nematode.unl.edu/hoploc4.jpg</v>
      </c>
      <c r="D5149" t="s">
        <v>77</v>
      </c>
      <c r="G5149" t="s">
        <v>28</v>
      </c>
      <c r="I5149" t="s">
        <v>19</v>
      </c>
      <c r="J5149" t="s">
        <v>6511</v>
      </c>
      <c r="M5149" t="s">
        <v>6512</v>
      </c>
      <c r="N5149" t="s">
        <v>6512</v>
      </c>
      <c r="O5149" t="s">
        <v>23</v>
      </c>
      <c r="P5149" t="s">
        <v>24</v>
      </c>
      <c r="Q5149" t="s">
        <v>2454</v>
      </c>
      <c r="R5149" t="s">
        <v>6506</v>
      </c>
    </row>
    <row r="5150" spans="1:18" x14ac:dyDescent="0.25">
      <c r="A5150" t="s">
        <v>16554</v>
      </c>
      <c r="B5150" t="s">
        <v>6538</v>
      </c>
      <c r="C5150" t="str">
        <f>HYPERLINK("https://nematode.unl.edu/hoploc5.jpg")</f>
        <v>https://nematode.unl.edu/hoploc5.jpg</v>
      </c>
      <c r="D5150" t="s">
        <v>43</v>
      </c>
      <c r="G5150" t="s">
        <v>96</v>
      </c>
      <c r="H5150" t="s">
        <v>18</v>
      </c>
      <c r="J5150" t="s">
        <v>6511</v>
      </c>
      <c r="M5150" t="s">
        <v>6512</v>
      </c>
      <c r="N5150" t="s">
        <v>6512</v>
      </c>
      <c r="O5150" t="s">
        <v>23</v>
      </c>
      <c r="P5150" t="s">
        <v>24</v>
      </c>
      <c r="Q5150" t="s">
        <v>2454</v>
      </c>
      <c r="R5150" t="s">
        <v>6506</v>
      </c>
    </row>
    <row r="5151" spans="1:18" x14ac:dyDescent="0.25">
      <c r="A5151" t="s">
        <v>16569</v>
      </c>
      <c r="B5151" t="s">
        <v>6539</v>
      </c>
      <c r="C5151" t="str">
        <f>HYPERLINK("https://nematode.unl.edu/hoploc6.jpg")</f>
        <v>https://nematode.unl.edu/hoploc6.jpg</v>
      </c>
      <c r="D5151" t="s">
        <v>43</v>
      </c>
      <c r="G5151" t="s">
        <v>44</v>
      </c>
      <c r="I5151" t="s">
        <v>45</v>
      </c>
      <c r="J5151" t="s">
        <v>6511</v>
      </c>
      <c r="M5151" t="s">
        <v>6512</v>
      </c>
      <c r="N5151" t="s">
        <v>6512</v>
      </c>
      <c r="O5151" t="s">
        <v>23</v>
      </c>
      <c r="P5151" t="s">
        <v>24</v>
      </c>
      <c r="Q5151" t="s">
        <v>2454</v>
      </c>
      <c r="R5151" t="s">
        <v>6506</v>
      </c>
    </row>
    <row r="5152" spans="1:18" x14ac:dyDescent="0.25">
      <c r="A5152" t="s">
        <v>16570</v>
      </c>
      <c r="B5152" t="s">
        <v>6540</v>
      </c>
      <c r="C5152" t="str">
        <f>HYPERLINK("https://nematode.unl.edu/hoploc7.jpg")</f>
        <v>https://nematode.unl.edu/hoploc7.jpg</v>
      </c>
      <c r="D5152" t="s">
        <v>43</v>
      </c>
      <c r="G5152" t="s">
        <v>181</v>
      </c>
      <c r="J5152" t="s">
        <v>6511</v>
      </c>
      <c r="M5152" t="s">
        <v>6512</v>
      </c>
      <c r="N5152" t="s">
        <v>6512</v>
      </c>
      <c r="O5152" t="s">
        <v>23</v>
      </c>
      <c r="P5152" t="s">
        <v>24</v>
      </c>
      <c r="Q5152" t="s">
        <v>2454</v>
      </c>
      <c r="R5152" t="s">
        <v>6506</v>
      </c>
    </row>
    <row r="5153" spans="1:18" x14ac:dyDescent="0.25">
      <c r="A5153" t="s">
        <v>16564</v>
      </c>
      <c r="B5153" t="s">
        <v>6541</v>
      </c>
      <c r="C5153" t="str">
        <f>HYPERLINK("https://nematode.unl.edu/hoploc8.jpg")</f>
        <v>https://nematode.unl.edu/hoploc8.jpg</v>
      </c>
      <c r="D5153" t="s">
        <v>43</v>
      </c>
      <c r="G5153" t="s">
        <v>34</v>
      </c>
      <c r="H5153" t="s">
        <v>18</v>
      </c>
      <c r="J5153" t="s">
        <v>6511</v>
      </c>
      <c r="M5153" t="s">
        <v>6512</v>
      </c>
      <c r="N5153" t="s">
        <v>6512</v>
      </c>
      <c r="O5153" t="s">
        <v>23</v>
      </c>
      <c r="P5153" t="s">
        <v>24</v>
      </c>
      <c r="Q5153" t="s">
        <v>2454</v>
      </c>
      <c r="R5153" t="s">
        <v>6506</v>
      </c>
    </row>
    <row r="5154" spans="1:18" x14ac:dyDescent="0.25">
      <c r="A5154" t="s">
        <v>16581</v>
      </c>
      <c r="B5154" t="s">
        <v>6542</v>
      </c>
      <c r="C5154" t="str">
        <f>HYPERLINK("https://nematode.unl.edu/hoploc9.jpg")</f>
        <v>https://nematode.unl.edu/hoploc9.jpg</v>
      </c>
      <c r="D5154" t="s">
        <v>43</v>
      </c>
      <c r="G5154" t="s">
        <v>51</v>
      </c>
      <c r="I5154" t="s">
        <v>516</v>
      </c>
      <c r="J5154" t="s">
        <v>6511</v>
      </c>
      <c r="M5154" t="s">
        <v>6512</v>
      </c>
      <c r="N5154" t="s">
        <v>6512</v>
      </c>
      <c r="O5154" t="s">
        <v>23</v>
      </c>
      <c r="P5154" t="s">
        <v>24</v>
      </c>
      <c r="Q5154" t="s">
        <v>2454</v>
      </c>
      <c r="R5154" t="s">
        <v>6506</v>
      </c>
    </row>
    <row r="5155" spans="1:18" x14ac:dyDescent="0.25">
      <c r="A5155" t="s">
        <v>16548</v>
      </c>
      <c r="B5155" t="s">
        <v>6504</v>
      </c>
      <c r="C5155" t="str">
        <f>HYPERLINK("https://nematode.unl.edu/hoplosp1.jpg")</f>
        <v>https://nematode.unl.edu/hoplosp1.jpg</v>
      </c>
      <c r="D5155" t="s">
        <v>77</v>
      </c>
      <c r="G5155" t="s">
        <v>34</v>
      </c>
      <c r="H5155" t="s">
        <v>18</v>
      </c>
      <c r="I5155" t="s">
        <v>529</v>
      </c>
      <c r="J5155" t="s">
        <v>6011</v>
      </c>
      <c r="K5155" t="s">
        <v>22857</v>
      </c>
      <c r="L5155" t="s">
        <v>6505</v>
      </c>
      <c r="M5155" t="s">
        <v>6506</v>
      </c>
      <c r="N5155" t="s">
        <v>6506</v>
      </c>
      <c r="O5155" t="s">
        <v>23</v>
      </c>
      <c r="P5155" t="s">
        <v>24</v>
      </c>
      <c r="Q5155" t="s">
        <v>2454</v>
      </c>
      <c r="R5155" t="s">
        <v>6506</v>
      </c>
    </row>
    <row r="5156" spans="1:18" x14ac:dyDescent="0.25">
      <c r="A5156" t="s">
        <v>16549</v>
      </c>
      <c r="B5156" t="s">
        <v>6507</v>
      </c>
      <c r="C5156" t="str">
        <f>HYPERLINK("https://nematode.unl.edu/hoplosp2.jpg")</f>
        <v>https://nematode.unl.edu/hoplosp2.jpg</v>
      </c>
      <c r="D5156" t="s">
        <v>77</v>
      </c>
      <c r="G5156" t="s">
        <v>34</v>
      </c>
      <c r="H5156" t="s">
        <v>18</v>
      </c>
      <c r="M5156" t="s">
        <v>6506</v>
      </c>
      <c r="N5156" t="s">
        <v>6506</v>
      </c>
      <c r="O5156" t="s">
        <v>23</v>
      </c>
      <c r="P5156" t="s">
        <v>24</v>
      </c>
      <c r="Q5156" t="s">
        <v>2454</v>
      </c>
      <c r="R5156" t="s">
        <v>6506</v>
      </c>
    </row>
    <row r="5157" spans="1:18" x14ac:dyDescent="0.25">
      <c r="A5157" t="s">
        <v>16550</v>
      </c>
      <c r="B5157" t="s">
        <v>6508</v>
      </c>
      <c r="C5157" t="str">
        <f>HYPERLINK("https://nematode.unl.edu/hoplosp3.jpg")</f>
        <v>https://nematode.unl.edu/hoplosp3.jpg</v>
      </c>
      <c r="D5157" t="s">
        <v>77</v>
      </c>
      <c r="G5157" t="s">
        <v>2029</v>
      </c>
      <c r="M5157" t="s">
        <v>6506</v>
      </c>
      <c r="N5157" t="s">
        <v>6506</v>
      </c>
      <c r="O5157" t="s">
        <v>23</v>
      </c>
      <c r="P5157" t="s">
        <v>24</v>
      </c>
      <c r="Q5157" t="s">
        <v>2454</v>
      </c>
      <c r="R5157" t="s">
        <v>6506</v>
      </c>
    </row>
    <row r="5158" spans="1:18" x14ac:dyDescent="0.25">
      <c r="A5158" t="s">
        <v>16551</v>
      </c>
      <c r="B5158" t="s">
        <v>6509</v>
      </c>
      <c r="C5158" t="str">
        <f>HYPERLINK("https://nematode.unl.edu/hoplosp4.jpg")</f>
        <v>https://nematode.unl.edu/hoplosp4.jpg</v>
      </c>
      <c r="D5158" t="s">
        <v>77</v>
      </c>
      <c r="G5158" t="s">
        <v>112</v>
      </c>
      <c r="I5158" t="s">
        <v>41</v>
      </c>
      <c r="M5158" t="s">
        <v>6506</v>
      </c>
      <c r="N5158" t="s">
        <v>6506</v>
      </c>
      <c r="O5158" t="s">
        <v>23</v>
      </c>
      <c r="P5158" t="s">
        <v>24</v>
      </c>
      <c r="Q5158" t="s">
        <v>2454</v>
      </c>
      <c r="R5158" t="s">
        <v>6506</v>
      </c>
    </row>
    <row r="5159" spans="1:18" x14ac:dyDescent="0.25">
      <c r="A5159" t="s">
        <v>12721</v>
      </c>
      <c r="B5159" t="s">
        <v>6603</v>
      </c>
      <c r="C5159" t="str">
        <f>HYPERLINK("https://nematode.unl.edu/howasp1.jpg")</f>
        <v>https://nematode.unl.edu/howasp1.jpg</v>
      </c>
      <c r="D5159" t="s">
        <v>16</v>
      </c>
      <c r="G5159" t="s">
        <v>44</v>
      </c>
      <c r="I5159" t="s">
        <v>4020</v>
      </c>
      <c r="J5159" t="s">
        <v>6604</v>
      </c>
      <c r="M5159" t="s">
        <v>6605</v>
      </c>
      <c r="N5159" t="s">
        <v>6605</v>
      </c>
      <c r="O5159" t="s">
        <v>23</v>
      </c>
      <c r="P5159" t="s">
        <v>24</v>
      </c>
      <c r="Q5159" t="s">
        <v>6606</v>
      </c>
      <c r="R5159" t="s">
        <v>6605</v>
      </c>
    </row>
    <row r="5160" spans="1:18" x14ac:dyDescent="0.25">
      <c r="A5160" t="s">
        <v>12717</v>
      </c>
      <c r="B5160" t="s">
        <v>6607</v>
      </c>
      <c r="C5160" t="str">
        <f>HYPERLINK("https://nematode.unl.edu/howasp2.jpg")</f>
        <v>https://nematode.unl.edu/howasp2.jpg</v>
      </c>
      <c r="D5160" t="s">
        <v>16</v>
      </c>
      <c r="G5160" t="s">
        <v>34</v>
      </c>
      <c r="H5160" t="s">
        <v>18</v>
      </c>
      <c r="I5160" t="s">
        <v>19</v>
      </c>
      <c r="J5160" t="s">
        <v>1504</v>
      </c>
      <c r="M5160" t="s">
        <v>6605</v>
      </c>
      <c r="N5160" t="s">
        <v>6605</v>
      </c>
      <c r="O5160" t="s">
        <v>23</v>
      </c>
      <c r="P5160" t="s">
        <v>24</v>
      </c>
      <c r="Q5160" t="s">
        <v>6606</v>
      </c>
      <c r="R5160" t="s">
        <v>6605</v>
      </c>
    </row>
    <row r="5161" spans="1:18" x14ac:dyDescent="0.25">
      <c r="A5161" t="s">
        <v>12723</v>
      </c>
      <c r="B5161" t="s">
        <v>6608</v>
      </c>
      <c r="C5161" t="str">
        <f>HYPERLINK("https://nematode.unl.edu/howasp3.jpg")</f>
        <v>https://nematode.unl.edu/howasp3.jpg</v>
      </c>
      <c r="D5161" t="s">
        <v>16</v>
      </c>
      <c r="G5161" t="s">
        <v>28</v>
      </c>
      <c r="I5161" t="s">
        <v>19</v>
      </c>
      <c r="J5161" t="s">
        <v>6604</v>
      </c>
      <c r="M5161" t="s">
        <v>6605</v>
      </c>
      <c r="N5161" t="s">
        <v>6605</v>
      </c>
      <c r="O5161" t="s">
        <v>23</v>
      </c>
      <c r="P5161" t="s">
        <v>24</v>
      </c>
      <c r="Q5161" t="s">
        <v>6606</v>
      </c>
      <c r="R5161" t="s">
        <v>6605</v>
      </c>
    </row>
    <row r="5162" spans="1:18" x14ac:dyDescent="0.25">
      <c r="A5162" t="s">
        <v>12718</v>
      </c>
      <c r="B5162" t="s">
        <v>6609</v>
      </c>
      <c r="C5162" t="str">
        <f>HYPERLINK("https://nematode.unl.edu/howasp4.jpg")</f>
        <v>https://nematode.unl.edu/howasp4.jpg</v>
      </c>
      <c r="D5162" t="s">
        <v>16</v>
      </c>
      <c r="G5162" t="s">
        <v>34</v>
      </c>
      <c r="H5162" t="s">
        <v>18</v>
      </c>
      <c r="M5162" t="s">
        <v>6605</v>
      </c>
      <c r="N5162" t="s">
        <v>6605</v>
      </c>
      <c r="O5162" t="s">
        <v>23</v>
      </c>
      <c r="P5162" t="s">
        <v>24</v>
      </c>
      <c r="Q5162" t="s">
        <v>6606</v>
      </c>
      <c r="R5162" t="s">
        <v>6605</v>
      </c>
    </row>
    <row r="5163" spans="1:18" x14ac:dyDescent="0.25">
      <c r="A5163" t="s">
        <v>12724</v>
      </c>
      <c r="B5163" t="s">
        <v>6610</v>
      </c>
      <c r="C5163" t="str">
        <f>HYPERLINK("https://nematode.unl.edu/howasp5.jpg")</f>
        <v>https://nematode.unl.edu/howasp5.jpg</v>
      </c>
      <c r="D5163" t="s">
        <v>16</v>
      </c>
      <c r="G5163" t="s">
        <v>28</v>
      </c>
      <c r="I5163" t="s">
        <v>41</v>
      </c>
      <c r="J5163" t="s">
        <v>6604</v>
      </c>
      <c r="M5163" t="s">
        <v>6605</v>
      </c>
      <c r="N5163" t="s">
        <v>6605</v>
      </c>
      <c r="O5163" t="s">
        <v>23</v>
      </c>
      <c r="P5163" t="s">
        <v>24</v>
      </c>
      <c r="Q5163" t="s">
        <v>6606</v>
      </c>
      <c r="R5163" t="s">
        <v>6605</v>
      </c>
    </row>
    <row r="5164" spans="1:18" x14ac:dyDescent="0.25">
      <c r="A5164" t="s">
        <v>12719</v>
      </c>
      <c r="B5164" t="s">
        <v>6611</v>
      </c>
      <c r="C5164" t="str">
        <f>HYPERLINK("https://nematode.unl.edu/howasp6.jpg")</f>
        <v>https://nematode.unl.edu/howasp6.jpg</v>
      </c>
      <c r="D5164" t="s">
        <v>16</v>
      </c>
      <c r="G5164" t="s">
        <v>34</v>
      </c>
      <c r="H5164" t="s">
        <v>18</v>
      </c>
      <c r="I5164" t="s">
        <v>19</v>
      </c>
      <c r="M5164" t="s">
        <v>6605</v>
      </c>
      <c r="N5164" t="s">
        <v>6605</v>
      </c>
      <c r="O5164" t="s">
        <v>23</v>
      </c>
      <c r="P5164" t="s">
        <v>24</v>
      </c>
      <c r="Q5164" t="s">
        <v>6606</v>
      </c>
      <c r="R5164" t="s">
        <v>6605</v>
      </c>
    </row>
    <row r="5165" spans="1:18" x14ac:dyDescent="0.25">
      <c r="A5165" t="s">
        <v>12725</v>
      </c>
      <c r="B5165" t="s">
        <v>6612</v>
      </c>
      <c r="C5165" t="str">
        <f>HYPERLINK("https://nematode.unl.edu/howasp7.jpg")</f>
        <v>https://nematode.unl.edu/howasp7.jpg</v>
      </c>
      <c r="D5165" t="s">
        <v>16</v>
      </c>
      <c r="G5165" t="s">
        <v>28</v>
      </c>
      <c r="M5165" t="s">
        <v>6605</v>
      </c>
      <c r="N5165" t="s">
        <v>6605</v>
      </c>
      <c r="O5165" t="s">
        <v>23</v>
      </c>
      <c r="P5165" t="s">
        <v>24</v>
      </c>
      <c r="Q5165" t="s">
        <v>6606</v>
      </c>
      <c r="R5165" t="s">
        <v>6605</v>
      </c>
    </row>
    <row r="5166" spans="1:18" x14ac:dyDescent="0.25">
      <c r="A5166" t="s">
        <v>12722</v>
      </c>
      <c r="B5166" t="s">
        <v>6613</v>
      </c>
      <c r="C5166" t="str">
        <f>HYPERLINK("https://nematode.unl.edu/howasp8.jpg")</f>
        <v>https://nematode.unl.edu/howasp8.jpg</v>
      </c>
      <c r="D5166" t="s">
        <v>16</v>
      </c>
      <c r="G5166" t="s">
        <v>53</v>
      </c>
      <c r="I5166" t="s">
        <v>41</v>
      </c>
      <c r="J5166" t="s">
        <v>6604</v>
      </c>
      <c r="M5166" t="s">
        <v>6605</v>
      </c>
      <c r="N5166" t="s">
        <v>6605</v>
      </c>
      <c r="O5166" t="s">
        <v>23</v>
      </c>
      <c r="P5166" t="s">
        <v>24</v>
      </c>
      <c r="Q5166" t="s">
        <v>6606</v>
      </c>
      <c r="R5166" t="s">
        <v>6605</v>
      </c>
    </row>
    <row r="5167" spans="1:18" x14ac:dyDescent="0.25">
      <c r="A5167" t="s">
        <v>12720</v>
      </c>
      <c r="B5167" t="s">
        <v>6614</v>
      </c>
      <c r="C5167" t="str">
        <f>HYPERLINK("https://nematode.unl.edu/howasp9.jpg")</f>
        <v>https://nematode.unl.edu/howasp9.jpg</v>
      </c>
      <c r="D5167" t="s">
        <v>16</v>
      </c>
      <c r="G5167" t="s">
        <v>34</v>
      </c>
      <c r="H5167" t="s">
        <v>18</v>
      </c>
      <c r="I5167" t="s">
        <v>41</v>
      </c>
      <c r="J5167" t="s">
        <v>6604</v>
      </c>
      <c r="M5167" t="s">
        <v>6605</v>
      </c>
      <c r="N5167" t="s">
        <v>6605</v>
      </c>
      <c r="O5167" t="s">
        <v>23</v>
      </c>
      <c r="P5167" t="s">
        <v>24</v>
      </c>
      <c r="Q5167" t="s">
        <v>6606</v>
      </c>
      <c r="R5167" t="s">
        <v>6605</v>
      </c>
    </row>
    <row r="5168" spans="1:18" x14ac:dyDescent="0.25">
      <c r="A5168" t="s">
        <v>16537</v>
      </c>
      <c r="B5168" t="s">
        <v>6155</v>
      </c>
      <c r="C5168" t="str">
        <f>HYPERLINK("https://nematode.unl.edu/hydropgw1.jpg")</f>
        <v>https://nematode.unl.edu/hydropgw1.jpg</v>
      </c>
      <c r="D5168" t="s">
        <v>77</v>
      </c>
      <c r="G5168" t="s">
        <v>44</v>
      </c>
      <c r="I5168" t="s">
        <v>516</v>
      </c>
      <c r="J5168" t="s">
        <v>2572</v>
      </c>
      <c r="L5168" t="s">
        <v>6156</v>
      </c>
      <c r="M5168" t="s">
        <v>6132</v>
      </c>
      <c r="N5168" t="s">
        <v>6132</v>
      </c>
      <c r="O5168" t="s">
        <v>23</v>
      </c>
      <c r="P5168" t="s">
        <v>24</v>
      </c>
      <c r="Q5168" t="s">
        <v>2454</v>
      </c>
      <c r="R5168" t="s">
        <v>5996</v>
      </c>
    </row>
    <row r="5169" spans="1:18" x14ac:dyDescent="0.25">
      <c r="A5169" t="s">
        <v>16539</v>
      </c>
      <c r="B5169" t="s">
        <v>6157</v>
      </c>
      <c r="C5169" t="str">
        <f>HYPERLINK("https://nematode.unl.edu/hydropgw2.jpg")</f>
        <v>https://nematode.unl.edu/hydropgw2.jpg</v>
      </c>
      <c r="D5169" t="s">
        <v>77</v>
      </c>
      <c r="G5169" t="s">
        <v>53</v>
      </c>
      <c r="I5169" t="s">
        <v>19</v>
      </c>
      <c r="M5169" t="s">
        <v>6132</v>
      </c>
      <c r="N5169" t="s">
        <v>6132</v>
      </c>
      <c r="O5169" t="s">
        <v>23</v>
      </c>
      <c r="P5169" t="s">
        <v>24</v>
      </c>
      <c r="Q5169" t="s">
        <v>2454</v>
      </c>
      <c r="R5169" t="s">
        <v>5996</v>
      </c>
    </row>
    <row r="5170" spans="1:18" x14ac:dyDescent="0.25">
      <c r="A5170" t="s">
        <v>22389</v>
      </c>
      <c r="B5170" t="s">
        <v>6615</v>
      </c>
      <c r="C5170" t="str">
        <f>HYPERLINK("https://nematode.unl.edu/iotogsm1.jpg")</f>
        <v>https://nematode.unl.edu/iotogsm1.jpg</v>
      </c>
      <c r="D5170" t="s">
        <v>77</v>
      </c>
      <c r="G5170" t="s">
        <v>44</v>
      </c>
      <c r="I5170" t="s">
        <v>4020</v>
      </c>
      <c r="J5170" t="s">
        <v>6616</v>
      </c>
      <c r="L5170" t="s">
        <v>6617</v>
      </c>
      <c r="M5170" t="s">
        <v>6618</v>
      </c>
      <c r="N5170" t="s">
        <v>6618</v>
      </c>
      <c r="O5170" t="s">
        <v>73</v>
      </c>
      <c r="P5170" t="s">
        <v>1268</v>
      </c>
      <c r="Q5170" t="s">
        <v>6619</v>
      </c>
      <c r="R5170" t="s">
        <v>6618</v>
      </c>
    </row>
    <row r="5171" spans="1:18" x14ac:dyDescent="0.25">
      <c r="A5171" t="s">
        <v>22387</v>
      </c>
      <c r="B5171" t="s">
        <v>6620</v>
      </c>
      <c r="C5171" t="str">
        <f>HYPERLINK("https://nematode.unl.edu/iotogsm2.jpg")</f>
        <v>https://nematode.unl.edu/iotogsm2.jpg</v>
      </c>
      <c r="D5171" t="s">
        <v>77</v>
      </c>
      <c r="G5171" t="s">
        <v>34</v>
      </c>
      <c r="H5171" t="s">
        <v>18</v>
      </c>
      <c r="I5171" t="s">
        <v>41</v>
      </c>
      <c r="J5171" t="s">
        <v>2350</v>
      </c>
      <c r="L5171" t="s">
        <v>6617</v>
      </c>
      <c r="M5171" t="s">
        <v>6618</v>
      </c>
      <c r="N5171" t="s">
        <v>6618</v>
      </c>
      <c r="O5171" t="s">
        <v>73</v>
      </c>
      <c r="P5171" t="s">
        <v>1268</v>
      </c>
      <c r="Q5171" t="s">
        <v>6619</v>
      </c>
      <c r="R5171" t="s">
        <v>6618</v>
      </c>
    </row>
    <row r="5172" spans="1:18" x14ac:dyDescent="0.25">
      <c r="A5172" t="s">
        <v>22386</v>
      </c>
      <c r="B5172" t="s">
        <v>6621</v>
      </c>
      <c r="C5172" t="str">
        <f>HYPERLINK("https://nematode.unl.edu/iotogsm3.jpg")</f>
        <v>https://nematode.unl.edu/iotogsm3.jpg</v>
      </c>
      <c r="D5172" t="s">
        <v>77</v>
      </c>
      <c r="G5172" t="s">
        <v>6622</v>
      </c>
      <c r="H5172" t="s">
        <v>18</v>
      </c>
      <c r="I5172" t="s">
        <v>41</v>
      </c>
      <c r="J5172" t="s">
        <v>2350</v>
      </c>
      <c r="L5172" t="s">
        <v>6617</v>
      </c>
      <c r="M5172" t="s">
        <v>6618</v>
      </c>
      <c r="N5172" t="s">
        <v>6618</v>
      </c>
      <c r="O5172" t="s">
        <v>73</v>
      </c>
      <c r="P5172" t="s">
        <v>1268</v>
      </c>
      <c r="Q5172" t="s">
        <v>6619</v>
      </c>
      <c r="R5172" t="s">
        <v>6618</v>
      </c>
    </row>
    <row r="5173" spans="1:18" x14ac:dyDescent="0.25">
      <c r="A5173" t="s">
        <v>22390</v>
      </c>
      <c r="B5173" t="s">
        <v>6623</v>
      </c>
      <c r="C5173" t="str">
        <f>HYPERLINK("https://nematode.unl.edu/iotogsm4.jpg")</f>
        <v>https://nematode.unl.edu/iotogsm4.jpg</v>
      </c>
      <c r="D5173" t="s">
        <v>77</v>
      </c>
      <c r="G5173" t="s">
        <v>2345</v>
      </c>
      <c r="I5173" t="s">
        <v>41</v>
      </c>
      <c r="J5173" t="s">
        <v>2350</v>
      </c>
      <c r="M5173" t="s">
        <v>6618</v>
      </c>
      <c r="N5173" t="s">
        <v>6618</v>
      </c>
      <c r="O5173" t="s">
        <v>73</v>
      </c>
      <c r="P5173" t="s">
        <v>1268</v>
      </c>
      <c r="Q5173" t="s">
        <v>6619</v>
      </c>
      <c r="R5173" t="s">
        <v>6618</v>
      </c>
    </row>
    <row r="5174" spans="1:18" x14ac:dyDescent="0.25">
      <c r="A5174" t="s">
        <v>22392</v>
      </c>
      <c r="B5174" t="s">
        <v>6624</v>
      </c>
      <c r="C5174" t="str">
        <f>HYPERLINK("https://nematode.unl.edu/iotogsm5.jpg")</f>
        <v>https://nematode.unl.edu/iotogsm5.jpg</v>
      </c>
      <c r="D5174" t="s">
        <v>77</v>
      </c>
      <c r="G5174" t="s">
        <v>6625</v>
      </c>
      <c r="I5174" t="s">
        <v>41</v>
      </c>
      <c r="J5174" t="s">
        <v>2350</v>
      </c>
      <c r="L5174" t="s">
        <v>6617</v>
      </c>
      <c r="M5174" t="s">
        <v>6618</v>
      </c>
      <c r="N5174" t="s">
        <v>6618</v>
      </c>
      <c r="O5174" t="s">
        <v>73</v>
      </c>
      <c r="P5174" t="s">
        <v>1268</v>
      </c>
      <c r="Q5174" t="s">
        <v>6619</v>
      </c>
      <c r="R5174" t="s">
        <v>6618</v>
      </c>
    </row>
    <row r="5175" spans="1:18" x14ac:dyDescent="0.25">
      <c r="A5175" t="s">
        <v>22391</v>
      </c>
      <c r="B5175" t="s">
        <v>6626</v>
      </c>
      <c r="C5175" t="str">
        <f>HYPERLINK("https://nematode.unl.edu/iotogsm6.jpg")</f>
        <v>https://nematode.unl.edu/iotogsm6.jpg</v>
      </c>
      <c r="D5175" t="s">
        <v>77</v>
      </c>
      <c r="G5175" t="s">
        <v>6627</v>
      </c>
      <c r="I5175" t="s">
        <v>41</v>
      </c>
      <c r="J5175" t="s">
        <v>2350</v>
      </c>
      <c r="L5175" t="s">
        <v>6617</v>
      </c>
      <c r="M5175" t="s">
        <v>6618</v>
      </c>
      <c r="N5175" t="s">
        <v>6618</v>
      </c>
      <c r="O5175" t="s">
        <v>73</v>
      </c>
      <c r="P5175" t="s">
        <v>1268</v>
      </c>
      <c r="Q5175" t="s">
        <v>6619</v>
      </c>
      <c r="R5175" t="s">
        <v>6618</v>
      </c>
    </row>
    <row r="5176" spans="1:18" x14ac:dyDescent="0.25">
      <c r="A5176" t="s">
        <v>22388</v>
      </c>
      <c r="B5176" t="s">
        <v>6628</v>
      </c>
      <c r="C5176" t="str">
        <f>HYPERLINK("https://nematode.unl.edu/ioton2.jpg")</f>
        <v>https://nematode.unl.edu/ioton2.jpg</v>
      </c>
      <c r="D5176" t="s">
        <v>16</v>
      </c>
      <c r="G5176" t="s">
        <v>34</v>
      </c>
      <c r="H5176" t="s">
        <v>18</v>
      </c>
      <c r="I5176" t="s">
        <v>41</v>
      </c>
      <c r="J5176" t="s">
        <v>1525</v>
      </c>
      <c r="L5176" t="s">
        <v>1526</v>
      </c>
      <c r="M5176" t="s">
        <v>6618</v>
      </c>
      <c r="N5176" t="s">
        <v>6618</v>
      </c>
      <c r="O5176" t="s">
        <v>73</v>
      </c>
      <c r="P5176" t="s">
        <v>1268</v>
      </c>
      <c r="Q5176" t="s">
        <v>6619</v>
      </c>
      <c r="R5176" t="s">
        <v>6618</v>
      </c>
    </row>
    <row r="5177" spans="1:18" x14ac:dyDescent="0.25">
      <c r="A5177" t="s">
        <v>22267</v>
      </c>
      <c r="B5177" t="s">
        <v>6629</v>
      </c>
      <c r="C5177" t="str">
        <f>HYPERLINK("https://nematode.unl.edu/irons1.jpg")</f>
        <v>https://nematode.unl.edu/irons1.jpg</v>
      </c>
      <c r="D5177" t="s">
        <v>43</v>
      </c>
      <c r="G5177" t="s">
        <v>34</v>
      </c>
      <c r="H5177" t="s">
        <v>18</v>
      </c>
      <c r="I5177" t="s">
        <v>19</v>
      </c>
      <c r="J5177" t="s">
        <v>20</v>
      </c>
      <c r="M5177" t="s">
        <v>6630</v>
      </c>
      <c r="N5177" t="s">
        <v>6630</v>
      </c>
      <c r="O5177" t="s">
        <v>73</v>
      </c>
      <c r="P5177" t="s">
        <v>74</v>
      </c>
      <c r="Q5177" t="s">
        <v>6631</v>
      </c>
      <c r="R5177" t="s">
        <v>6630</v>
      </c>
    </row>
    <row r="5178" spans="1:18" x14ac:dyDescent="0.25">
      <c r="A5178" t="s">
        <v>22265</v>
      </c>
      <c r="B5178" t="s">
        <v>6632</v>
      </c>
      <c r="C5178" t="str">
        <f>HYPERLINK("https://nematode.unl.edu/irons2.jpg")</f>
        <v>https://nematode.unl.edu/irons2.jpg</v>
      </c>
      <c r="D5178" t="s">
        <v>43</v>
      </c>
      <c r="G5178" t="s">
        <v>96</v>
      </c>
      <c r="H5178" t="s">
        <v>18</v>
      </c>
      <c r="I5178" t="s">
        <v>19</v>
      </c>
      <c r="J5178" t="s">
        <v>20</v>
      </c>
      <c r="M5178" t="s">
        <v>6630</v>
      </c>
      <c r="N5178" t="s">
        <v>6630</v>
      </c>
      <c r="O5178" t="s">
        <v>73</v>
      </c>
      <c r="P5178" t="s">
        <v>74</v>
      </c>
      <c r="Q5178" t="s">
        <v>6631</v>
      </c>
      <c r="R5178" t="s">
        <v>6630</v>
      </c>
    </row>
    <row r="5179" spans="1:18" x14ac:dyDescent="0.25">
      <c r="A5179" t="s">
        <v>22275</v>
      </c>
      <c r="B5179" t="s">
        <v>6633</v>
      </c>
      <c r="C5179" t="str">
        <f>HYPERLINK("https://nematode.unl.edu/irons3.jpg")</f>
        <v>https://nematode.unl.edu/irons3.jpg</v>
      </c>
      <c r="D5179" t="s">
        <v>43</v>
      </c>
      <c r="G5179" t="s">
        <v>51</v>
      </c>
      <c r="I5179" t="s">
        <v>19</v>
      </c>
      <c r="J5179" t="s">
        <v>20</v>
      </c>
      <c r="M5179" t="s">
        <v>6630</v>
      </c>
      <c r="N5179" t="s">
        <v>6630</v>
      </c>
      <c r="O5179" t="s">
        <v>73</v>
      </c>
      <c r="P5179" t="s">
        <v>74</v>
      </c>
      <c r="Q5179" t="s">
        <v>6631</v>
      </c>
      <c r="R5179" t="s">
        <v>6630</v>
      </c>
    </row>
    <row r="5180" spans="1:18" x14ac:dyDescent="0.25">
      <c r="A5180" t="s">
        <v>22273</v>
      </c>
      <c r="B5180" t="s">
        <v>6634</v>
      </c>
      <c r="C5180" t="str">
        <f>HYPERLINK("https://nematode.unl.edu/irons4.jpg")</f>
        <v>https://nematode.unl.edu/irons4.jpg</v>
      </c>
      <c r="D5180" t="s">
        <v>43</v>
      </c>
      <c r="G5180" t="s">
        <v>28</v>
      </c>
      <c r="I5180" t="s">
        <v>19</v>
      </c>
      <c r="J5180" t="s">
        <v>20</v>
      </c>
      <c r="M5180" t="s">
        <v>6630</v>
      </c>
      <c r="N5180" t="s">
        <v>6630</v>
      </c>
      <c r="O5180" t="s">
        <v>73</v>
      </c>
      <c r="P5180" t="s">
        <v>74</v>
      </c>
      <c r="Q5180" t="s">
        <v>6631</v>
      </c>
      <c r="R5180" t="s">
        <v>6630</v>
      </c>
    </row>
    <row r="5181" spans="1:18" x14ac:dyDescent="0.25">
      <c r="A5181" t="s">
        <v>22268</v>
      </c>
      <c r="B5181" t="s">
        <v>6635</v>
      </c>
      <c r="C5181" t="str">
        <f>HYPERLINK("https://nematode.unl.edu/irons5.jpg")</f>
        <v>https://nematode.unl.edu/irons5.jpg</v>
      </c>
      <c r="D5181" t="s">
        <v>43</v>
      </c>
      <c r="G5181" t="s">
        <v>34</v>
      </c>
      <c r="H5181" t="s">
        <v>18</v>
      </c>
      <c r="I5181" t="s">
        <v>41</v>
      </c>
      <c r="J5181" t="s">
        <v>20</v>
      </c>
      <c r="M5181" t="s">
        <v>6630</v>
      </c>
      <c r="N5181" t="s">
        <v>6630</v>
      </c>
      <c r="O5181" t="s">
        <v>73</v>
      </c>
      <c r="P5181" t="s">
        <v>74</v>
      </c>
      <c r="Q5181" t="s">
        <v>6631</v>
      </c>
      <c r="R5181" t="s">
        <v>6630</v>
      </c>
    </row>
    <row r="5182" spans="1:18" x14ac:dyDescent="0.25">
      <c r="A5182" t="s">
        <v>22266</v>
      </c>
      <c r="B5182" t="s">
        <v>6636</v>
      </c>
      <c r="C5182" t="str">
        <f>HYPERLINK("https://nematode.unl.edu/irons6.jpg")</f>
        <v>https://nematode.unl.edu/irons6.jpg</v>
      </c>
      <c r="D5182" t="s">
        <v>43</v>
      </c>
      <c r="G5182" t="s">
        <v>17</v>
      </c>
      <c r="H5182" t="s">
        <v>18</v>
      </c>
      <c r="I5182" t="s">
        <v>41</v>
      </c>
      <c r="J5182" t="s">
        <v>20</v>
      </c>
      <c r="M5182" t="s">
        <v>6630</v>
      </c>
      <c r="N5182" t="s">
        <v>6630</v>
      </c>
      <c r="O5182" t="s">
        <v>73</v>
      </c>
      <c r="P5182" t="s">
        <v>74</v>
      </c>
      <c r="Q5182" t="s">
        <v>6631</v>
      </c>
      <c r="R5182" t="s">
        <v>6630</v>
      </c>
    </row>
    <row r="5183" spans="1:18" x14ac:dyDescent="0.25">
      <c r="A5183" t="s">
        <v>22276</v>
      </c>
      <c r="B5183" t="s">
        <v>6637</v>
      </c>
      <c r="C5183" t="str">
        <f>HYPERLINK("https://nematode.unl.edu/irons7.jpg")</f>
        <v>https://nematode.unl.edu/irons7.jpg</v>
      </c>
      <c r="D5183" t="s">
        <v>43</v>
      </c>
      <c r="G5183" t="s">
        <v>51</v>
      </c>
      <c r="I5183" t="s">
        <v>41</v>
      </c>
      <c r="J5183" t="s">
        <v>20</v>
      </c>
      <c r="M5183" t="s">
        <v>6630</v>
      </c>
      <c r="N5183" t="s">
        <v>6630</v>
      </c>
      <c r="O5183" t="s">
        <v>73</v>
      </c>
      <c r="P5183" t="s">
        <v>74</v>
      </c>
      <c r="Q5183" t="s">
        <v>6631</v>
      </c>
      <c r="R5183" t="s">
        <v>6630</v>
      </c>
    </row>
    <row r="5184" spans="1:18" x14ac:dyDescent="0.25">
      <c r="A5184" t="s">
        <v>22269</v>
      </c>
      <c r="B5184" t="s">
        <v>6638</v>
      </c>
      <c r="C5184" t="str">
        <f>HYPERLINK("https://nematode.unl.edu/ironus1.jpg")</f>
        <v>https://nematode.unl.edu/ironus1.jpg</v>
      </c>
      <c r="D5184" t="s">
        <v>43</v>
      </c>
      <c r="G5184" t="s">
        <v>34</v>
      </c>
      <c r="H5184" t="s">
        <v>18</v>
      </c>
      <c r="I5184" t="s">
        <v>19</v>
      </c>
      <c r="M5184" t="s">
        <v>6630</v>
      </c>
      <c r="N5184" t="s">
        <v>6630</v>
      </c>
      <c r="O5184" t="s">
        <v>73</v>
      </c>
      <c r="P5184" t="s">
        <v>74</v>
      </c>
      <c r="Q5184" t="s">
        <v>6631</v>
      </c>
      <c r="R5184" t="s">
        <v>6630</v>
      </c>
    </row>
    <row r="5185" spans="1:18" x14ac:dyDescent="0.25">
      <c r="A5185" t="s">
        <v>22272</v>
      </c>
      <c r="B5185" t="s">
        <v>6639</v>
      </c>
      <c r="C5185" t="str">
        <f>HYPERLINK("https://nematode.unl.edu/ironus2.jpg")</f>
        <v>https://nematode.unl.edu/ironus2.jpg</v>
      </c>
      <c r="D5185" t="s">
        <v>43</v>
      </c>
      <c r="G5185" t="s">
        <v>3264</v>
      </c>
      <c r="J5185" t="s">
        <v>1292</v>
      </c>
      <c r="M5185" t="s">
        <v>6630</v>
      </c>
      <c r="N5185" t="s">
        <v>6630</v>
      </c>
      <c r="O5185" t="s">
        <v>73</v>
      </c>
      <c r="P5185" t="s">
        <v>74</v>
      </c>
      <c r="Q5185" t="s">
        <v>6631</v>
      </c>
      <c r="R5185" t="s">
        <v>6630</v>
      </c>
    </row>
    <row r="5186" spans="1:18" x14ac:dyDescent="0.25">
      <c r="A5186" t="s">
        <v>22270</v>
      </c>
      <c r="B5186" t="s">
        <v>6640</v>
      </c>
      <c r="C5186" t="str">
        <f>HYPERLINK("https://nematode.unl.edu/ironus3.jpg")</f>
        <v>https://nematode.unl.edu/ironus3.jpg</v>
      </c>
      <c r="D5186" t="s">
        <v>43</v>
      </c>
      <c r="G5186" t="s">
        <v>34</v>
      </c>
      <c r="H5186" t="s">
        <v>18</v>
      </c>
      <c r="I5186" t="s">
        <v>41</v>
      </c>
      <c r="M5186" t="s">
        <v>6630</v>
      </c>
      <c r="N5186" t="s">
        <v>6630</v>
      </c>
      <c r="O5186" t="s">
        <v>73</v>
      </c>
      <c r="P5186" t="s">
        <v>74</v>
      </c>
      <c r="Q5186" t="s">
        <v>6631</v>
      </c>
      <c r="R5186" t="s">
        <v>6630</v>
      </c>
    </row>
    <row r="5187" spans="1:18" x14ac:dyDescent="0.25">
      <c r="A5187" t="s">
        <v>22271</v>
      </c>
      <c r="B5187" t="s">
        <v>6641</v>
      </c>
      <c r="C5187" t="str">
        <f>HYPERLINK("https://nematode.unl.edu/ironus4.jpg")</f>
        <v>https://nematode.unl.edu/ironus4.jpg</v>
      </c>
      <c r="D5187" t="s">
        <v>43</v>
      </c>
      <c r="G5187" t="s">
        <v>6642</v>
      </c>
      <c r="I5187" t="s">
        <v>41</v>
      </c>
      <c r="J5187" t="s">
        <v>1292</v>
      </c>
      <c r="M5187" t="s">
        <v>6630</v>
      </c>
      <c r="N5187" t="s">
        <v>6630</v>
      </c>
      <c r="O5187" t="s">
        <v>73</v>
      </c>
      <c r="P5187" t="s">
        <v>74</v>
      </c>
      <c r="Q5187" t="s">
        <v>6631</v>
      </c>
      <c r="R5187" t="s">
        <v>6630</v>
      </c>
    </row>
    <row r="5188" spans="1:18" x14ac:dyDescent="0.25">
      <c r="A5188" t="s">
        <v>22277</v>
      </c>
      <c r="B5188" t="s">
        <v>6643</v>
      </c>
      <c r="C5188" t="str">
        <f>HYPERLINK("https://nematode.unl.edu/ironus5.jpg")</f>
        <v>https://nematode.unl.edu/ironus5.jpg</v>
      </c>
      <c r="D5188" t="s">
        <v>43</v>
      </c>
      <c r="G5188" t="s">
        <v>51</v>
      </c>
      <c r="I5188" t="s">
        <v>41</v>
      </c>
      <c r="M5188" t="s">
        <v>6630</v>
      </c>
      <c r="N5188" t="s">
        <v>6630</v>
      </c>
      <c r="O5188" t="s">
        <v>73</v>
      </c>
      <c r="P5188" t="s">
        <v>74</v>
      </c>
      <c r="Q5188" t="s">
        <v>6631</v>
      </c>
      <c r="R5188" t="s">
        <v>6630</v>
      </c>
    </row>
    <row r="5189" spans="1:18" x14ac:dyDescent="0.25">
      <c r="A5189" t="s">
        <v>22274</v>
      </c>
      <c r="B5189" t="s">
        <v>6644</v>
      </c>
      <c r="C5189" t="str">
        <f>HYPERLINK("https://nematode.unl.edu/ironus6.jpg")</f>
        <v>https://nematode.unl.edu/ironus6.jpg</v>
      </c>
      <c r="D5189" t="s">
        <v>43</v>
      </c>
      <c r="G5189" t="s">
        <v>28</v>
      </c>
      <c r="I5189" t="s">
        <v>41</v>
      </c>
      <c r="J5189" t="s">
        <v>1292</v>
      </c>
      <c r="M5189" t="s">
        <v>6630</v>
      </c>
      <c r="N5189" t="s">
        <v>6630</v>
      </c>
      <c r="O5189" t="s">
        <v>73</v>
      </c>
      <c r="P5189" t="s">
        <v>74</v>
      </c>
      <c r="Q5189" t="s">
        <v>6631</v>
      </c>
      <c r="R5189" t="s">
        <v>6630</v>
      </c>
    </row>
    <row r="5190" spans="1:18" x14ac:dyDescent="0.25">
      <c r="A5190" t="s">
        <v>22290</v>
      </c>
      <c r="B5190" t="s">
        <v>6645</v>
      </c>
      <c r="C5190" t="str">
        <f>HYPERLINK("https://nematode.unl.edu/isola1.jpg")</f>
        <v>https://nematode.unl.edu/isola1.jpg</v>
      </c>
      <c r="D5190" t="s">
        <v>77</v>
      </c>
      <c r="G5190" t="s">
        <v>44</v>
      </c>
      <c r="I5190" t="s">
        <v>91</v>
      </c>
      <c r="J5190" t="s">
        <v>3611</v>
      </c>
      <c r="K5190" t="s">
        <v>22851</v>
      </c>
      <c r="L5190" t="s">
        <v>6646</v>
      </c>
      <c r="M5190" t="s">
        <v>6647</v>
      </c>
      <c r="N5190" t="s">
        <v>6647</v>
      </c>
      <c r="O5190" t="s">
        <v>73</v>
      </c>
      <c r="P5190" t="s">
        <v>6648</v>
      </c>
      <c r="Q5190" t="s">
        <v>6649</v>
      </c>
      <c r="R5190" t="s">
        <v>6647</v>
      </c>
    </row>
    <row r="5191" spans="1:18" x14ac:dyDescent="0.25">
      <c r="A5191" t="s">
        <v>22293</v>
      </c>
      <c r="B5191" t="s">
        <v>6650</v>
      </c>
      <c r="C5191" t="str">
        <f>HYPERLINK("https://nematode.unl.edu/isola10.jpg")</f>
        <v>https://nematode.unl.edu/isola10.jpg</v>
      </c>
      <c r="D5191" t="s">
        <v>77</v>
      </c>
      <c r="G5191" t="s">
        <v>224</v>
      </c>
      <c r="I5191" t="s">
        <v>41</v>
      </c>
      <c r="M5191" t="s">
        <v>6647</v>
      </c>
      <c r="N5191" t="s">
        <v>6647</v>
      </c>
      <c r="O5191" t="s">
        <v>73</v>
      </c>
      <c r="P5191" t="s">
        <v>6648</v>
      </c>
      <c r="Q5191" t="s">
        <v>6649</v>
      </c>
      <c r="R5191" t="s">
        <v>6647</v>
      </c>
    </row>
    <row r="5192" spans="1:18" x14ac:dyDescent="0.25">
      <c r="A5192" t="s">
        <v>22282</v>
      </c>
      <c r="B5192" t="s">
        <v>6651</v>
      </c>
      <c r="C5192" t="str">
        <f>HYPERLINK("https://nematode.unl.edu/isola11.jpg")</f>
        <v>https://nematode.unl.edu/isola11.jpg</v>
      </c>
      <c r="D5192" t="s">
        <v>16</v>
      </c>
      <c r="G5192" t="s">
        <v>34</v>
      </c>
      <c r="H5192" t="s">
        <v>18</v>
      </c>
      <c r="I5192" t="s">
        <v>19</v>
      </c>
      <c r="M5192" t="s">
        <v>6647</v>
      </c>
      <c r="N5192" t="s">
        <v>6647</v>
      </c>
      <c r="O5192" t="s">
        <v>73</v>
      </c>
      <c r="P5192" t="s">
        <v>6648</v>
      </c>
      <c r="Q5192" t="s">
        <v>6649</v>
      </c>
      <c r="R5192" t="s">
        <v>6647</v>
      </c>
    </row>
    <row r="5193" spans="1:18" x14ac:dyDescent="0.25">
      <c r="A5193" t="s">
        <v>22296</v>
      </c>
      <c r="B5193" t="s">
        <v>6652</v>
      </c>
      <c r="C5193" t="str">
        <f>HYPERLINK("https://nematode.unl.edu/isola12.jpg")</f>
        <v>https://nematode.unl.edu/isola12.jpg</v>
      </c>
      <c r="D5193" t="s">
        <v>16</v>
      </c>
      <c r="G5193" t="s">
        <v>28</v>
      </c>
      <c r="I5193" t="s">
        <v>19</v>
      </c>
      <c r="M5193" t="s">
        <v>6647</v>
      </c>
      <c r="N5193" t="s">
        <v>6647</v>
      </c>
      <c r="O5193" t="s">
        <v>73</v>
      </c>
      <c r="P5193" t="s">
        <v>6648</v>
      </c>
      <c r="Q5193" t="s">
        <v>6649</v>
      </c>
      <c r="R5193" t="s">
        <v>6647</v>
      </c>
    </row>
    <row r="5194" spans="1:18" x14ac:dyDescent="0.25">
      <c r="A5194" t="s">
        <v>22279</v>
      </c>
      <c r="B5194" t="s">
        <v>6653</v>
      </c>
      <c r="C5194" t="str">
        <f>HYPERLINK("https://nematode.unl.edu/isola13.jpg")</f>
        <v>https://nematode.unl.edu/isola13.jpg</v>
      </c>
      <c r="D5194" t="s">
        <v>77</v>
      </c>
      <c r="G5194" t="s">
        <v>386</v>
      </c>
      <c r="H5194" t="s">
        <v>18</v>
      </c>
      <c r="I5194" t="s">
        <v>41</v>
      </c>
      <c r="M5194" t="s">
        <v>6647</v>
      </c>
      <c r="N5194" t="s">
        <v>6647</v>
      </c>
      <c r="O5194" t="s">
        <v>73</v>
      </c>
      <c r="P5194" t="s">
        <v>6648</v>
      </c>
      <c r="Q5194" t="s">
        <v>6649</v>
      </c>
      <c r="R5194" t="s">
        <v>6647</v>
      </c>
    </row>
    <row r="5195" spans="1:18" x14ac:dyDescent="0.25">
      <c r="A5195" t="s">
        <v>22280</v>
      </c>
      <c r="B5195" t="s">
        <v>6654</v>
      </c>
      <c r="C5195" t="str">
        <f>HYPERLINK("https://nematode.unl.edu/isola2.jpg")</f>
        <v>https://nematode.unl.edu/isola2.jpg</v>
      </c>
      <c r="D5195" t="s">
        <v>77</v>
      </c>
      <c r="G5195" t="s">
        <v>96</v>
      </c>
      <c r="H5195" t="s">
        <v>18</v>
      </c>
      <c r="I5195" t="s">
        <v>137</v>
      </c>
      <c r="M5195" t="s">
        <v>6647</v>
      </c>
      <c r="N5195" t="s">
        <v>6647</v>
      </c>
      <c r="O5195" t="s">
        <v>73</v>
      </c>
      <c r="P5195" t="s">
        <v>6648</v>
      </c>
      <c r="Q5195" t="s">
        <v>6649</v>
      </c>
      <c r="R5195" t="s">
        <v>6647</v>
      </c>
    </row>
    <row r="5196" spans="1:18" x14ac:dyDescent="0.25">
      <c r="A5196" t="s">
        <v>22297</v>
      </c>
      <c r="B5196" t="s">
        <v>6655</v>
      </c>
      <c r="C5196" t="str">
        <f>HYPERLINK("https://nematode.unl.edu/isola3.jpg")</f>
        <v>https://nematode.unl.edu/isola3.jpg</v>
      </c>
      <c r="D5196" t="s">
        <v>77</v>
      </c>
      <c r="G5196" t="s">
        <v>28</v>
      </c>
      <c r="M5196" t="s">
        <v>6647</v>
      </c>
      <c r="N5196" t="s">
        <v>6647</v>
      </c>
      <c r="O5196" t="s">
        <v>73</v>
      </c>
      <c r="P5196" t="s">
        <v>6648</v>
      </c>
      <c r="Q5196" t="s">
        <v>6649</v>
      </c>
      <c r="R5196" t="s">
        <v>6647</v>
      </c>
    </row>
    <row r="5197" spans="1:18" x14ac:dyDescent="0.25">
      <c r="A5197" t="s">
        <v>22283</v>
      </c>
      <c r="B5197" t="s">
        <v>6656</v>
      </c>
      <c r="C5197" t="str">
        <f>HYPERLINK("https://nematode.unl.edu/isola4.jpg")</f>
        <v>https://nematode.unl.edu/isola4.jpg</v>
      </c>
      <c r="D5197" t="s">
        <v>77</v>
      </c>
      <c r="G5197" t="s">
        <v>34</v>
      </c>
      <c r="H5197" t="s">
        <v>18</v>
      </c>
      <c r="I5197" t="s">
        <v>19</v>
      </c>
      <c r="M5197" t="s">
        <v>6647</v>
      </c>
      <c r="N5197" t="s">
        <v>6647</v>
      </c>
      <c r="O5197" t="s">
        <v>73</v>
      </c>
      <c r="P5197" t="s">
        <v>6648</v>
      </c>
      <c r="Q5197" t="s">
        <v>6649</v>
      </c>
      <c r="R5197" t="s">
        <v>6647</v>
      </c>
    </row>
    <row r="5198" spans="1:18" x14ac:dyDescent="0.25">
      <c r="A5198" t="s">
        <v>22298</v>
      </c>
      <c r="B5198" t="s">
        <v>6657</v>
      </c>
      <c r="C5198" t="str">
        <f>HYPERLINK("https://nematode.unl.edu/isola5.jpg")</f>
        <v>https://nematode.unl.edu/isola5.jpg</v>
      </c>
      <c r="D5198" t="s">
        <v>77</v>
      </c>
      <c r="G5198" t="s">
        <v>28</v>
      </c>
      <c r="M5198" t="s">
        <v>6647</v>
      </c>
      <c r="N5198" t="s">
        <v>6647</v>
      </c>
      <c r="O5198" t="s">
        <v>73</v>
      </c>
      <c r="P5198" t="s">
        <v>6648</v>
      </c>
      <c r="Q5198" t="s">
        <v>6649</v>
      </c>
      <c r="R5198" t="s">
        <v>6647</v>
      </c>
    </row>
    <row r="5199" spans="1:18" x14ac:dyDescent="0.25">
      <c r="A5199" t="s">
        <v>22294</v>
      </c>
      <c r="B5199" t="s">
        <v>6658</v>
      </c>
      <c r="C5199" t="str">
        <f>HYPERLINK("https://nematode.unl.edu/isola6.jpg")</f>
        <v>https://nematode.unl.edu/isola6.jpg</v>
      </c>
      <c r="D5199" t="s">
        <v>77</v>
      </c>
      <c r="G5199" t="s">
        <v>112</v>
      </c>
      <c r="M5199" t="s">
        <v>6647</v>
      </c>
      <c r="N5199" t="s">
        <v>6647</v>
      </c>
      <c r="O5199" t="s">
        <v>73</v>
      </c>
      <c r="P5199" t="s">
        <v>6648</v>
      </c>
      <c r="Q5199" t="s">
        <v>6649</v>
      </c>
      <c r="R5199" t="s">
        <v>6647</v>
      </c>
    </row>
    <row r="5200" spans="1:18" x14ac:dyDescent="0.25">
      <c r="A5200" t="s">
        <v>22288</v>
      </c>
      <c r="B5200" t="s">
        <v>6659</v>
      </c>
      <c r="C5200" t="str">
        <f>HYPERLINK("https://nematode.unl.edu/isola7.jpg")</f>
        <v>https://nematode.unl.edu/isola7.jpg</v>
      </c>
      <c r="D5200" t="s">
        <v>77</v>
      </c>
      <c r="G5200" t="s">
        <v>87</v>
      </c>
      <c r="I5200" t="s">
        <v>41</v>
      </c>
      <c r="J5200" t="s">
        <v>3611</v>
      </c>
      <c r="K5200" t="s">
        <v>22851</v>
      </c>
      <c r="L5200" t="s">
        <v>6646</v>
      </c>
      <c r="M5200" t="s">
        <v>6647</v>
      </c>
      <c r="N5200" t="s">
        <v>6647</v>
      </c>
      <c r="O5200" t="s">
        <v>73</v>
      </c>
      <c r="P5200" t="s">
        <v>6648</v>
      </c>
      <c r="Q5200" t="s">
        <v>6649</v>
      </c>
      <c r="R5200" t="s">
        <v>6647</v>
      </c>
    </row>
    <row r="5201" spans="1:18" x14ac:dyDescent="0.25">
      <c r="A5201" t="s">
        <v>22295</v>
      </c>
      <c r="B5201" t="s">
        <v>6660</v>
      </c>
      <c r="C5201" t="str">
        <f>HYPERLINK("https://nematode.unl.edu/isola8.jpg")</f>
        <v>https://nematode.unl.edu/isola8.jpg</v>
      </c>
      <c r="D5201" t="s">
        <v>77</v>
      </c>
      <c r="G5201" t="s">
        <v>1667</v>
      </c>
      <c r="I5201" t="s">
        <v>41</v>
      </c>
      <c r="M5201" t="s">
        <v>6647</v>
      </c>
      <c r="N5201" t="s">
        <v>6647</v>
      </c>
      <c r="O5201" t="s">
        <v>73</v>
      </c>
      <c r="P5201" t="s">
        <v>6648</v>
      </c>
      <c r="Q5201" t="s">
        <v>6649</v>
      </c>
      <c r="R5201" t="s">
        <v>6647</v>
      </c>
    </row>
    <row r="5202" spans="1:18" x14ac:dyDescent="0.25">
      <c r="A5202" t="s">
        <v>22287</v>
      </c>
      <c r="B5202" t="s">
        <v>6661</v>
      </c>
      <c r="C5202" t="str">
        <f>HYPERLINK("https://nematode.unl.edu/isola9.jpg")</f>
        <v>https://nematode.unl.edu/isola9.jpg</v>
      </c>
      <c r="D5202" t="s">
        <v>77</v>
      </c>
      <c r="G5202" t="s">
        <v>257</v>
      </c>
      <c r="H5202" t="s">
        <v>18</v>
      </c>
      <c r="I5202" t="s">
        <v>41</v>
      </c>
      <c r="M5202" t="s">
        <v>6647</v>
      </c>
      <c r="N5202" t="s">
        <v>6647</v>
      </c>
      <c r="O5202" t="s">
        <v>73</v>
      </c>
      <c r="P5202" t="s">
        <v>6648</v>
      </c>
      <c r="Q5202" t="s">
        <v>6649</v>
      </c>
      <c r="R5202" t="s">
        <v>6647</v>
      </c>
    </row>
    <row r="5203" spans="1:18" x14ac:dyDescent="0.25">
      <c r="A5203" t="s">
        <v>22291</v>
      </c>
      <c r="B5203" t="s">
        <v>6662</v>
      </c>
      <c r="C5203" t="str">
        <f>HYPERLINK("https://nematode.unl.edu/isolami1.jpg")</f>
        <v>https://nematode.unl.edu/isolami1.jpg</v>
      </c>
      <c r="D5203" t="s">
        <v>43</v>
      </c>
      <c r="G5203" t="s">
        <v>44</v>
      </c>
      <c r="I5203" t="s">
        <v>91</v>
      </c>
      <c r="J5203" t="s">
        <v>46</v>
      </c>
      <c r="L5203" t="s">
        <v>85</v>
      </c>
      <c r="M5203" t="s">
        <v>6647</v>
      </c>
      <c r="N5203" t="s">
        <v>6647</v>
      </c>
      <c r="O5203" t="s">
        <v>73</v>
      </c>
      <c r="P5203" t="s">
        <v>6648</v>
      </c>
      <c r="Q5203" t="s">
        <v>6649</v>
      </c>
      <c r="R5203" t="s">
        <v>6647</v>
      </c>
    </row>
    <row r="5204" spans="1:18" x14ac:dyDescent="0.25">
      <c r="A5204" t="s">
        <v>22299</v>
      </c>
      <c r="B5204" t="s">
        <v>6663</v>
      </c>
      <c r="C5204" t="str">
        <f>HYPERLINK("https://nematode.unl.edu/isolami10.jpg")</f>
        <v>https://nematode.unl.edu/isolami10.jpg</v>
      </c>
      <c r="D5204" t="s">
        <v>43</v>
      </c>
      <c r="G5204" t="s">
        <v>28</v>
      </c>
      <c r="I5204" t="s">
        <v>137</v>
      </c>
      <c r="J5204" t="s">
        <v>46</v>
      </c>
      <c r="M5204" t="s">
        <v>6647</v>
      </c>
      <c r="N5204" t="s">
        <v>6647</v>
      </c>
      <c r="O5204" t="s">
        <v>73</v>
      </c>
      <c r="P5204" t="s">
        <v>6648</v>
      </c>
      <c r="Q5204" t="s">
        <v>6649</v>
      </c>
      <c r="R5204" t="s">
        <v>6647</v>
      </c>
    </row>
    <row r="5205" spans="1:18" x14ac:dyDescent="0.25">
      <c r="A5205" t="s">
        <v>22284</v>
      </c>
      <c r="B5205" t="s">
        <v>6664</v>
      </c>
      <c r="C5205" t="str">
        <f>HYPERLINK("https://nematode.unl.edu/isolami2.jpg")</f>
        <v>https://nematode.unl.edu/isolami2.jpg</v>
      </c>
      <c r="D5205" t="s">
        <v>77</v>
      </c>
      <c r="G5205" t="s">
        <v>34</v>
      </c>
      <c r="H5205" t="s">
        <v>18</v>
      </c>
      <c r="I5205" t="s">
        <v>19</v>
      </c>
      <c r="J5205" t="s">
        <v>46</v>
      </c>
      <c r="L5205" t="s">
        <v>85</v>
      </c>
      <c r="M5205" t="s">
        <v>6647</v>
      </c>
      <c r="N5205" t="s">
        <v>6647</v>
      </c>
      <c r="O5205" t="s">
        <v>73</v>
      </c>
      <c r="P5205" t="s">
        <v>6648</v>
      </c>
      <c r="Q5205" t="s">
        <v>6649</v>
      </c>
      <c r="R5205" t="s">
        <v>6647</v>
      </c>
    </row>
    <row r="5206" spans="1:18" x14ac:dyDescent="0.25">
      <c r="A5206" t="s">
        <v>22289</v>
      </c>
      <c r="B5206" t="s">
        <v>6665</v>
      </c>
      <c r="C5206" t="str">
        <f>HYPERLINK("https://nematode.unl.edu/isolami3.jpg")</f>
        <v>https://nematode.unl.edu/isolami3.jpg</v>
      </c>
      <c r="D5206" t="s">
        <v>43</v>
      </c>
      <c r="G5206" t="s">
        <v>6666</v>
      </c>
      <c r="I5206" t="s">
        <v>41</v>
      </c>
      <c r="J5206" t="s">
        <v>46</v>
      </c>
      <c r="L5206" t="s">
        <v>6667</v>
      </c>
      <c r="M5206" t="s">
        <v>6647</v>
      </c>
      <c r="N5206" t="s">
        <v>6647</v>
      </c>
      <c r="O5206" t="s">
        <v>73</v>
      </c>
      <c r="P5206" t="s">
        <v>6648</v>
      </c>
      <c r="Q5206" t="s">
        <v>6649</v>
      </c>
      <c r="R5206" t="s">
        <v>6647</v>
      </c>
    </row>
    <row r="5207" spans="1:18" x14ac:dyDescent="0.25">
      <c r="A5207" t="s">
        <v>22292</v>
      </c>
      <c r="B5207" t="s">
        <v>6668</v>
      </c>
      <c r="C5207" t="str">
        <f>HYPERLINK("https://nematode.unl.edu/isolami4.jpg")</f>
        <v>https://nematode.unl.edu/isolami4.jpg</v>
      </c>
      <c r="D5207" t="s">
        <v>43</v>
      </c>
      <c r="G5207" t="s">
        <v>243</v>
      </c>
      <c r="I5207" t="s">
        <v>41</v>
      </c>
      <c r="J5207" t="s">
        <v>46</v>
      </c>
      <c r="L5207" t="s">
        <v>6667</v>
      </c>
      <c r="M5207" t="s">
        <v>6647</v>
      </c>
      <c r="N5207" t="s">
        <v>6647</v>
      </c>
      <c r="O5207" t="s">
        <v>73</v>
      </c>
      <c r="P5207" t="s">
        <v>6648</v>
      </c>
      <c r="Q5207" t="s">
        <v>6649</v>
      </c>
      <c r="R5207" t="s">
        <v>6647</v>
      </c>
    </row>
    <row r="5208" spans="1:18" x14ac:dyDescent="0.25">
      <c r="A5208" t="s">
        <v>22285</v>
      </c>
      <c r="B5208" t="s">
        <v>6669</v>
      </c>
      <c r="C5208" t="str">
        <f>HYPERLINK("https://nematode.unl.edu/isolami5.jpg")</f>
        <v>https://nematode.unl.edu/isolami5.jpg</v>
      </c>
      <c r="D5208" t="s">
        <v>16</v>
      </c>
      <c r="G5208" t="s">
        <v>34</v>
      </c>
      <c r="H5208" t="s">
        <v>18</v>
      </c>
      <c r="I5208" t="s">
        <v>19</v>
      </c>
      <c r="J5208" t="s">
        <v>46</v>
      </c>
      <c r="L5208" t="s">
        <v>105</v>
      </c>
      <c r="M5208" t="s">
        <v>6647</v>
      </c>
      <c r="N5208" t="s">
        <v>6647</v>
      </c>
      <c r="O5208" t="s">
        <v>73</v>
      </c>
      <c r="P5208" t="s">
        <v>6648</v>
      </c>
      <c r="Q5208" t="s">
        <v>6649</v>
      </c>
      <c r="R5208" t="s">
        <v>6647</v>
      </c>
    </row>
    <row r="5209" spans="1:18" x14ac:dyDescent="0.25">
      <c r="A5209" t="s">
        <v>22281</v>
      </c>
      <c r="B5209" t="s">
        <v>6670</v>
      </c>
      <c r="C5209" t="str">
        <f>HYPERLINK("https://nematode.unl.edu/isolami6.jpg")</f>
        <v>https://nematode.unl.edu/isolami6.jpg</v>
      </c>
      <c r="D5209" t="s">
        <v>43</v>
      </c>
      <c r="G5209" t="s">
        <v>96</v>
      </c>
      <c r="H5209" t="s">
        <v>18</v>
      </c>
      <c r="I5209" t="s">
        <v>45</v>
      </c>
      <c r="J5209" t="s">
        <v>46</v>
      </c>
      <c r="M5209" t="s">
        <v>6647</v>
      </c>
      <c r="N5209" t="s">
        <v>6647</v>
      </c>
      <c r="O5209" t="s">
        <v>73</v>
      </c>
      <c r="P5209" t="s">
        <v>6648</v>
      </c>
      <c r="Q5209" t="s">
        <v>6649</v>
      </c>
      <c r="R5209" t="s">
        <v>6647</v>
      </c>
    </row>
    <row r="5210" spans="1:18" x14ac:dyDescent="0.25">
      <c r="A5210" t="s">
        <v>22300</v>
      </c>
      <c r="B5210" t="s">
        <v>6671</v>
      </c>
      <c r="C5210" t="str">
        <f>HYPERLINK("https://nematode.unl.edu/isolami7.jpg")</f>
        <v>https://nematode.unl.edu/isolami7.jpg</v>
      </c>
      <c r="D5210" t="s">
        <v>43</v>
      </c>
      <c r="G5210" t="s">
        <v>28</v>
      </c>
      <c r="I5210" t="s">
        <v>45</v>
      </c>
      <c r="J5210" t="s">
        <v>46</v>
      </c>
      <c r="M5210" t="s">
        <v>6647</v>
      </c>
      <c r="N5210" t="s">
        <v>6647</v>
      </c>
      <c r="O5210" t="s">
        <v>73</v>
      </c>
      <c r="P5210" t="s">
        <v>6648</v>
      </c>
      <c r="Q5210" t="s">
        <v>6649</v>
      </c>
      <c r="R5210" t="s">
        <v>6647</v>
      </c>
    </row>
    <row r="5211" spans="1:18" x14ac:dyDescent="0.25">
      <c r="A5211" t="s">
        <v>22286</v>
      </c>
      <c r="B5211" t="s">
        <v>6672</v>
      </c>
      <c r="C5211" t="str">
        <f>HYPERLINK("https://nematode.unl.edu/isolami8.jpg")</f>
        <v>https://nematode.unl.edu/isolami8.jpg</v>
      </c>
      <c r="D5211" t="s">
        <v>43</v>
      </c>
      <c r="G5211" t="s">
        <v>34</v>
      </c>
      <c r="H5211" t="s">
        <v>18</v>
      </c>
      <c r="I5211" t="s">
        <v>137</v>
      </c>
      <c r="J5211" t="s">
        <v>46</v>
      </c>
      <c r="L5211" t="s">
        <v>85</v>
      </c>
      <c r="M5211" t="s">
        <v>6647</v>
      </c>
      <c r="N5211" t="s">
        <v>6647</v>
      </c>
      <c r="O5211" t="s">
        <v>73</v>
      </c>
      <c r="P5211" t="s">
        <v>6648</v>
      </c>
      <c r="Q5211" t="s">
        <v>6649</v>
      </c>
      <c r="R5211" t="s">
        <v>6647</v>
      </c>
    </row>
    <row r="5212" spans="1:18" x14ac:dyDescent="0.25">
      <c r="A5212" t="s">
        <v>22301</v>
      </c>
      <c r="B5212" t="s">
        <v>6673</v>
      </c>
      <c r="C5212" t="str">
        <f>HYPERLINK("https://nematode.unl.edu/isolami9.jpg")</f>
        <v>https://nematode.unl.edu/isolami9.jpg</v>
      </c>
      <c r="D5212" t="s">
        <v>43</v>
      </c>
      <c r="G5212" t="s">
        <v>51</v>
      </c>
      <c r="J5212" t="s">
        <v>46</v>
      </c>
      <c r="M5212" t="s">
        <v>6647</v>
      </c>
      <c r="N5212" t="s">
        <v>6647</v>
      </c>
      <c r="O5212" t="s">
        <v>73</v>
      </c>
      <c r="P5212" t="s">
        <v>6648</v>
      </c>
      <c r="Q5212" t="s">
        <v>6649</v>
      </c>
      <c r="R5212" t="s">
        <v>6647</v>
      </c>
    </row>
    <row r="5213" spans="1:18" x14ac:dyDescent="0.25">
      <c r="A5213" t="s">
        <v>21583</v>
      </c>
      <c r="B5213" t="s">
        <v>6695</v>
      </c>
      <c r="C5213" t="str">
        <f>HYPERLINK("https://nematode.unl.edu/labfer1.jpg")</f>
        <v>https://nematode.unl.edu/labfer1.jpg</v>
      </c>
      <c r="D5213" t="s">
        <v>16</v>
      </c>
      <c r="G5213" t="s">
        <v>34</v>
      </c>
      <c r="H5213" t="s">
        <v>18</v>
      </c>
      <c r="M5213" t="s">
        <v>6696</v>
      </c>
      <c r="N5213" t="s">
        <v>6696</v>
      </c>
      <c r="O5213" t="s">
        <v>73</v>
      </c>
      <c r="P5213" t="s">
        <v>81</v>
      </c>
      <c r="Q5213" t="s">
        <v>82</v>
      </c>
      <c r="R5213" t="s">
        <v>6675</v>
      </c>
    </row>
    <row r="5214" spans="1:18" x14ac:dyDescent="0.25">
      <c r="A5214" t="s">
        <v>21578</v>
      </c>
      <c r="B5214" t="s">
        <v>6697</v>
      </c>
      <c r="C5214" t="str">
        <f>HYPERLINK("https://nematode.unl.edu/labfer10.jpg")</f>
        <v>https://nematode.unl.edu/labfer10.jpg</v>
      </c>
      <c r="D5214" t="s">
        <v>16</v>
      </c>
      <c r="G5214" t="s">
        <v>96</v>
      </c>
      <c r="H5214" t="s">
        <v>18</v>
      </c>
      <c r="I5214" t="s">
        <v>45</v>
      </c>
      <c r="J5214" t="s">
        <v>20</v>
      </c>
      <c r="L5214" t="s">
        <v>85</v>
      </c>
      <c r="M5214" t="s">
        <v>6696</v>
      </c>
      <c r="N5214" t="s">
        <v>6696</v>
      </c>
      <c r="O5214" t="s">
        <v>73</v>
      </c>
      <c r="P5214" t="s">
        <v>81</v>
      </c>
      <c r="Q5214" t="s">
        <v>82</v>
      </c>
      <c r="R5214" t="s">
        <v>6675</v>
      </c>
    </row>
    <row r="5215" spans="1:18" x14ac:dyDescent="0.25">
      <c r="A5215" t="s">
        <v>21584</v>
      </c>
      <c r="B5215" t="s">
        <v>6698</v>
      </c>
      <c r="C5215" t="str">
        <f>HYPERLINK("https://nematode.unl.edu/labfer11.jpg")</f>
        <v>https://nematode.unl.edu/labfer11.jpg</v>
      </c>
      <c r="D5215" t="s">
        <v>16</v>
      </c>
      <c r="G5215" t="s">
        <v>34</v>
      </c>
      <c r="H5215" t="s">
        <v>18</v>
      </c>
      <c r="I5215" t="s">
        <v>19</v>
      </c>
      <c r="J5215" t="s">
        <v>20</v>
      </c>
      <c r="L5215" t="s">
        <v>64</v>
      </c>
      <c r="M5215" t="s">
        <v>6696</v>
      </c>
      <c r="N5215" t="s">
        <v>6696</v>
      </c>
      <c r="O5215" t="s">
        <v>73</v>
      </c>
      <c r="P5215" t="s">
        <v>81</v>
      </c>
      <c r="Q5215" t="s">
        <v>82</v>
      </c>
      <c r="R5215" t="s">
        <v>6675</v>
      </c>
    </row>
    <row r="5216" spans="1:18" x14ac:dyDescent="0.25">
      <c r="A5216" t="s">
        <v>21590</v>
      </c>
      <c r="B5216" t="s">
        <v>6699</v>
      </c>
      <c r="C5216" t="str">
        <f>HYPERLINK("https://nematode.unl.edu/labfer12.jpg")</f>
        <v>https://nematode.unl.edu/labfer12.jpg</v>
      </c>
      <c r="D5216" t="s">
        <v>16</v>
      </c>
      <c r="G5216" t="s">
        <v>87</v>
      </c>
      <c r="I5216" t="s">
        <v>19</v>
      </c>
      <c r="J5216" t="s">
        <v>20</v>
      </c>
      <c r="L5216" t="s">
        <v>35</v>
      </c>
      <c r="M5216" t="s">
        <v>6696</v>
      </c>
      <c r="N5216" t="s">
        <v>6696</v>
      </c>
      <c r="O5216" t="s">
        <v>73</v>
      </c>
      <c r="P5216" t="s">
        <v>81</v>
      </c>
      <c r="Q5216" t="s">
        <v>82</v>
      </c>
      <c r="R5216" t="s">
        <v>6675</v>
      </c>
    </row>
    <row r="5217" spans="1:18" x14ac:dyDescent="0.25">
      <c r="A5217" t="s">
        <v>21603</v>
      </c>
      <c r="B5217" t="s">
        <v>6700</v>
      </c>
      <c r="C5217" t="str">
        <f>HYPERLINK("https://nematode.unl.edu/labfer13.jpg")</f>
        <v>https://nematode.unl.edu/labfer13.jpg</v>
      </c>
      <c r="D5217" t="s">
        <v>16</v>
      </c>
      <c r="G5217" t="s">
        <v>28</v>
      </c>
      <c r="I5217" t="s">
        <v>19</v>
      </c>
      <c r="J5217" t="s">
        <v>20</v>
      </c>
      <c r="L5217" t="s">
        <v>78</v>
      </c>
      <c r="M5217" t="s">
        <v>6696</v>
      </c>
      <c r="N5217" t="s">
        <v>6696</v>
      </c>
      <c r="O5217" t="s">
        <v>73</v>
      </c>
      <c r="P5217" t="s">
        <v>81</v>
      </c>
      <c r="Q5217" t="s">
        <v>82</v>
      </c>
      <c r="R5217" t="s">
        <v>6675</v>
      </c>
    </row>
    <row r="5218" spans="1:18" x14ac:dyDescent="0.25">
      <c r="A5218" t="s">
        <v>21591</v>
      </c>
      <c r="B5218" t="s">
        <v>6701</v>
      </c>
      <c r="C5218" t="str">
        <f>HYPERLINK("https://nematode.unl.edu/labfer2.jpg")</f>
        <v>https://nematode.unl.edu/labfer2.jpg</v>
      </c>
      <c r="D5218" t="s">
        <v>16</v>
      </c>
      <c r="G5218" t="s">
        <v>87</v>
      </c>
      <c r="J5218" t="s">
        <v>20</v>
      </c>
      <c r="M5218" t="s">
        <v>6696</v>
      </c>
      <c r="N5218" t="s">
        <v>6696</v>
      </c>
      <c r="O5218" t="s">
        <v>73</v>
      </c>
      <c r="P5218" t="s">
        <v>81</v>
      </c>
      <c r="Q5218" t="s">
        <v>82</v>
      </c>
      <c r="R5218" t="s">
        <v>6675</v>
      </c>
    </row>
    <row r="5219" spans="1:18" x14ac:dyDescent="0.25">
      <c r="A5219" t="s">
        <v>21604</v>
      </c>
      <c r="B5219" t="s">
        <v>6702</v>
      </c>
      <c r="C5219" t="str">
        <f>HYPERLINK("https://nematode.unl.edu/labfer3.jpg")</f>
        <v>https://nematode.unl.edu/labfer3.jpg</v>
      </c>
      <c r="D5219" t="s">
        <v>16</v>
      </c>
      <c r="G5219" t="s">
        <v>28</v>
      </c>
      <c r="I5219" t="s">
        <v>19</v>
      </c>
      <c r="J5219" t="s">
        <v>20</v>
      </c>
      <c r="L5219" t="s">
        <v>29</v>
      </c>
      <c r="M5219" t="s">
        <v>6696</v>
      </c>
      <c r="N5219" t="s">
        <v>6696</v>
      </c>
      <c r="O5219" t="s">
        <v>73</v>
      </c>
      <c r="P5219" t="s">
        <v>81</v>
      </c>
      <c r="Q5219" t="s">
        <v>82</v>
      </c>
      <c r="R5219" t="s">
        <v>6675</v>
      </c>
    </row>
    <row r="5220" spans="1:18" x14ac:dyDescent="0.25">
      <c r="A5220" t="s">
        <v>21605</v>
      </c>
      <c r="B5220" t="s">
        <v>6703</v>
      </c>
      <c r="C5220" t="str">
        <f>HYPERLINK("https://nematode.unl.edu/labfer4.jpg")</f>
        <v>https://nematode.unl.edu/labfer4.jpg</v>
      </c>
      <c r="D5220" t="s">
        <v>77</v>
      </c>
      <c r="G5220" t="s">
        <v>28</v>
      </c>
      <c r="I5220" t="s">
        <v>45</v>
      </c>
      <c r="J5220" t="s">
        <v>20</v>
      </c>
      <c r="M5220" t="s">
        <v>6696</v>
      </c>
      <c r="N5220" t="s">
        <v>6696</v>
      </c>
      <c r="O5220" t="s">
        <v>73</v>
      </c>
      <c r="P5220" t="s">
        <v>81</v>
      </c>
      <c r="Q5220" t="s">
        <v>82</v>
      </c>
      <c r="R5220" t="s">
        <v>6675</v>
      </c>
    </row>
    <row r="5221" spans="1:18" x14ac:dyDescent="0.25">
      <c r="A5221" t="s">
        <v>21579</v>
      </c>
      <c r="B5221" t="s">
        <v>6704</v>
      </c>
      <c r="C5221" t="str">
        <f>HYPERLINK("https://nematode.unl.edu/labfer5.jpg")</f>
        <v>https://nematode.unl.edu/labfer5.jpg</v>
      </c>
      <c r="D5221" t="s">
        <v>77</v>
      </c>
      <c r="G5221" t="s">
        <v>96</v>
      </c>
      <c r="H5221" t="s">
        <v>18</v>
      </c>
      <c r="I5221" t="s">
        <v>45</v>
      </c>
      <c r="J5221" t="s">
        <v>20</v>
      </c>
      <c r="M5221" t="s">
        <v>6696</v>
      </c>
      <c r="N5221" t="s">
        <v>6696</v>
      </c>
      <c r="O5221" t="s">
        <v>73</v>
      </c>
      <c r="P5221" t="s">
        <v>81</v>
      </c>
      <c r="Q5221" t="s">
        <v>82</v>
      </c>
      <c r="R5221" t="s">
        <v>6675</v>
      </c>
    </row>
    <row r="5222" spans="1:18" x14ac:dyDescent="0.25">
      <c r="A5222" t="s">
        <v>21585</v>
      </c>
      <c r="B5222" t="s">
        <v>6705</v>
      </c>
      <c r="C5222" t="str">
        <f>HYPERLINK("https://nematode.unl.edu/labfer6.jpg")</f>
        <v>https://nematode.unl.edu/labfer6.jpg</v>
      </c>
      <c r="D5222" t="s">
        <v>77</v>
      </c>
      <c r="G5222" t="s">
        <v>34</v>
      </c>
      <c r="H5222" t="s">
        <v>18</v>
      </c>
      <c r="J5222" t="s">
        <v>20</v>
      </c>
      <c r="M5222" t="s">
        <v>6696</v>
      </c>
      <c r="N5222" t="s">
        <v>6696</v>
      </c>
      <c r="O5222" t="s">
        <v>73</v>
      </c>
      <c r="P5222" t="s">
        <v>81</v>
      </c>
      <c r="Q5222" t="s">
        <v>82</v>
      </c>
      <c r="R5222" t="s">
        <v>6675</v>
      </c>
    </row>
    <row r="5223" spans="1:18" x14ac:dyDescent="0.25">
      <c r="A5223" t="s">
        <v>21592</v>
      </c>
      <c r="B5223" t="s">
        <v>6706</v>
      </c>
      <c r="C5223" t="str">
        <f>HYPERLINK("https://nematode.unl.edu/labfer7.jpg")</f>
        <v>https://nematode.unl.edu/labfer7.jpg</v>
      </c>
      <c r="D5223" t="s">
        <v>77</v>
      </c>
      <c r="G5223" t="s">
        <v>87</v>
      </c>
      <c r="L5223" t="s">
        <v>85</v>
      </c>
      <c r="M5223" t="s">
        <v>6696</v>
      </c>
      <c r="N5223" t="s">
        <v>6696</v>
      </c>
      <c r="O5223" t="s">
        <v>73</v>
      </c>
      <c r="P5223" t="s">
        <v>81</v>
      </c>
      <c r="Q5223" t="s">
        <v>82</v>
      </c>
      <c r="R5223" t="s">
        <v>6675</v>
      </c>
    </row>
    <row r="5224" spans="1:18" x14ac:dyDescent="0.25">
      <c r="A5224" t="s">
        <v>21606</v>
      </c>
      <c r="B5224" t="s">
        <v>6707</v>
      </c>
      <c r="C5224" t="str">
        <f>HYPERLINK("https://nematode.unl.edu/labfer8.jpg")</f>
        <v>https://nematode.unl.edu/labfer8.jpg</v>
      </c>
      <c r="D5224" t="s">
        <v>77</v>
      </c>
      <c r="G5224" t="s">
        <v>28</v>
      </c>
      <c r="I5224" t="s">
        <v>19</v>
      </c>
      <c r="J5224" t="s">
        <v>20</v>
      </c>
      <c r="L5224" t="s">
        <v>85</v>
      </c>
      <c r="M5224" t="s">
        <v>6696</v>
      </c>
      <c r="N5224" t="s">
        <v>6696</v>
      </c>
      <c r="O5224" t="s">
        <v>73</v>
      </c>
      <c r="P5224" t="s">
        <v>81</v>
      </c>
      <c r="Q5224" t="s">
        <v>82</v>
      </c>
      <c r="R5224" t="s">
        <v>6675</v>
      </c>
    </row>
    <row r="5225" spans="1:18" x14ac:dyDescent="0.25">
      <c r="A5225" t="s">
        <v>21586</v>
      </c>
      <c r="B5225" t="s">
        <v>6708</v>
      </c>
      <c r="C5225" t="str">
        <f>HYPERLINK("https://nematode.unl.edu/labfer9.jpg")</f>
        <v>https://nematode.unl.edu/labfer9.jpg</v>
      </c>
      <c r="D5225" t="s">
        <v>77</v>
      </c>
      <c r="G5225" t="s">
        <v>34</v>
      </c>
      <c r="H5225" t="s">
        <v>18</v>
      </c>
      <c r="I5225" t="s">
        <v>41</v>
      </c>
      <c r="M5225" t="s">
        <v>6696</v>
      </c>
      <c r="N5225" t="s">
        <v>6696</v>
      </c>
      <c r="O5225" t="s">
        <v>73</v>
      </c>
      <c r="P5225" t="s">
        <v>81</v>
      </c>
      <c r="Q5225" t="s">
        <v>82</v>
      </c>
      <c r="R5225" t="s">
        <v>6675</v>
      </c>
    </row>
    <row r="5226" spans="1:18" x14ac:dyDescent="0.25">
      <c r="A5226" t="s">
        <v>21650</v>
      </c>
      <c r="B5226" t="s">
        <v>6775</v>
      </c>
      <c r="C5226" t="str">
        <f>HYPERLINK("https://nematode.unl.edu/labra1.jpg")</f>
        <v>https://nematode.unl.edu/labra1.jpg</v>
      </c>
      <c r="D5226" t="s">
        <v>43</v>
      </c>
      <c r="G5226" t="s">
        <v>96</v>
      </c>
      <c r="H5226" t="s">
        <v>18</v>
      </c>
      <c r="I5226" t="s">
        <v>45</v>
      </c>
      <c r="M5226" t="s">
        <v>6776</v>
      </c>
      <c r="N5226" t="s">
        <v>6776</v>
      </c>
      <c r="O5226" t="s">
        <v>73</v>
      </c>
      <c r="P5226" t="s">
        <v>81</v>
      </c>
      <c r="Q5226" t="s">
        <v>82</v>
      </c>
      <c r="R5226" t="s">
        <v>6675</v>
      </c>
    </row>
    <row r="5227" spans="1:18" x14ac:dyDescent="0.25">
      <c r="A5227" t="s">
        <v>21655</v>
      </c>
      <c r="B5227" t="s">
        <v>6777</v>
      </c>
      <c r="C5227" t="str">
        <f>HYPERLINK("https://nematode.unl.edu/labra2.jpg")</f>
        <v>https://nematode.unl.edu/labra2.jpg</v>
      </c>
      <c r="D5227" t="s">
        <v>43</v>
      </c>
      <c r="G5227" t="s">
        <v>28</v>
      </c>
      <c r="M5227" t="s">
        <v>6776</v>
      </c>
      <c r="N5227" t="s">
        <v>6776</v>
      </c>
      <c r="O5227" t="s">
        <v>73</v>
      </c>
      <c r="P5227" t="s">
        <v>81</v>
      </c>
      <c r="Q5227" t="s">
        <v>82</v>
      </c>
      <c r="R5227" t="s">
        <v>6675</v>
      </c>
    </row>
    <row r="5228" spans="1:18" x14ac:dyDescent="0.25">
      <c r="A5228" t="s">
        <v>21651</v>
      </c>
      <c r="B5228" t="s">
        <v>6778</v>
      </c>
      <c r="C5228" t="str">
        <f>HYPERLINK("https://nematode.unl.edu/labra3.jpg")</f>
        <v>https://nematode.unl.edu/labra3.jpg</v>
      </c>
      <c r="D5228" t="s">
        <v>43</v>
      </c>
      <c r="G5228" t="s">
        <v>34</v>
      </c>
      <c r="H5228" t="s">
        <v>18</v>
      </c>
      <c r="I5228" t="s">
        <v>19</v>
      </c>
      <c r="M5228" t="s">
        <v>6776</v>
      </c>
      <c r="N5228" t="s">
        <v>6776</v>
      </c>
      <c r="O5228" t="s">
        <v>73</v>
      </c>
      <c r="P5228" t="s">
        <v>81</v>
      </c>
      <c r="Q5228" t="s">
        <v>82</v>
      </c>
      <c r="R5228" t="s">
        <v>6675</v>
      </c>
    </row>
    <row r="5229" spans="1:18" x14ac:dyDescent="0.25">
      <c r="A5229" t="s">
        <v>21654</v>
      </c>
      <c r="B5229" t="s">
        <v>6779</v>
      </c>
      <c r="C5229" t="str">
        <f>HYPERLINK("https://nematode.unl.edu/labracmp.jpg")</f>
        <v>https://nematode.unl.edu/labracmp.jpg</v>
      </c>
      <c r="G5229" t="s">
        <v>108</v>
      </c>
      <c r="M5229" t="s">
        <v>6776</v>
      </c>
      <c r="N5229" t="s">
        <v>6776</v>
      </c>
      <c r="O5229" t="s">
        <v>73</v>
      </c>
      <c r="P5229" t="s">
        <v>81</v>
      </c>
      <c r="Q5229" t="s">
        <v>82</v>
      </c>
      <c r="R5229" t="s">
        <v>6675</v>
      </c>
    </row>
    <row r="5230" spans="1:18" x14ac:dyDescent="0.25">
      <c r="A5230" t="s">
        <v>21656</v>
      </c>
      <c r="B5230" t="s">
        <v>6780</v>
      </c>
      <c r="C5230" t="str">
        <f>HYPERLINK("https://nematode.unl.edu/labrap1.jpg")</f>
        <v>https://nematode.unl.edu/labrap1.jpg</v>
      </c>
      <c r="D5230" t="s">
        <v>16</v>
      </c>
      <c r="G5230" t="s">
        <v>28</v>
      </c>
      <c r="I5230" t="s">
        <v>19</v>
      </c>
      <c r="J5230" t="s">
        <v>20</v>
      </c>
      <c r="L5230" t="s">
        <v>138</v>
      </c>
      <c r="M5230" t="s">
        <v>6776</v>
      </c>
      <c r="N5230" t="s">
        <v>6776</v>
      </c>
      <c r="O5230" t="s">
        <v>73</v>
      </c>
      <c r="P5230" t="s">
        <v>81</v>
      </c>
      <c r="Q5230" t="s">
        <v>82</v>
      </c>
      <c r="R5230" t="s">
        <v>6675</v>
      </c>
    </row>
    <row r="5231" spans="1:18" x14ac:dyDescent="0.25">
      <c r="A5231" t="s">
        <v>21652</v>
      </c>
      <c r="B5231" t="s">
        <v>6781</v>
      </c>
      <c r="C5231" t="str">
        <f>HYPERLINK("https://nematode.unl.edu/labrap2.jpg")</f>
        <v>https://nematode.unl.edu/labrap2.jpg</v>
      </c>
      <c r="D5231" t="s">
        <v>16</v>
      </c>
      <c r="G5231" t="s">
        <v>34</v>
      </c>
      <c r="H5231" t="s">
        <v>18</v>
      </c>
      <c r="L5231" t="s">
        <v>220</v>
      </c>
      <c r="M5231" t="s">
        <v>6776</v>
      </c>
      <c r="N5231" t="s">
        <v>6776</v>
      </c>
      <c r="O5231" t="s">
        <v>73</v>
      </c>
      <c r="P5231" t="s">
        <v>81</v>
      </c>
      <c r="Q5231" t="s">
        <v>82</v>
      </c>
      <c r="R5231" t="s">
        <v>6675</v>
      </c>
    </row>
    <row r="5232" spans="1:18" x14ac:dyDescent="0.25">
      <c r="A5232" t="s">
        <v>21653</v>
      </c>
      <c r="B5232" t="s">
        <v>6782</v>
      </c>
      <c r="C5232" t="str">
        <f>HYPERLINK("https://nematode.unl.edu/labrap3.jpg")</f>
        <v>https://nematode.unl.edu/labrap3.jpg</v>
      </c>
      <c r="D5232" t="s">
        <v>16</v>
      </c>
      <c r="G5232" t="s">
        <v>87</v>
      </c>
      <c r="I5232" t="s">
        <v>19</v>
      </c>
      <c r="J5232" t="s">
        <v>20</v>
      </c>
      <c r="L5232" t="s">
        <v>173</v>
      </c>
      <c r="M5232" t="s">
        <v>6776</v>
      </c>
      <c r="N5232" t="s">
        <v>6776</v>
      </c>
      <c r="O5232" t="s">
        <v>73</v>
      </c>
      <c r="P5232" t="s">
        <v>81</v>
      </c>
      <c r="Q5232" t="s">
        <v>82</v>
      </c>
      <c r="R5232" t="s">
        <v>6675</v>
      </c>
    </row>
    <row r="5233" spans="1:18" x14ac:dyDescent="0.25">
      <c r="A5233" t="s">
        <v>21657</v>
      </c>
      <c r="B5233" t="s">
        <v>6783</v>
      </c>
      <c r="C5233" t="str">
        <f>HYPERLINK("https://nematode.unl.edu/labrap4.jpg")</f>
        <v>https://nematode.unl.edu/labrap4.jpg</v>
      </c>
      <c r="D5233" t="s">
        <v>16</v>
      </c>
      <c r="G5233" t="s">
        <v>28</v>
      </c>
      <c r="I5233" t="s">
        <v>19</v>
      </c>
      <c r="J5233" t="s">
        <v>20</v>
      </c>
      <c r="L5233" t="s">
        <v>138</v>
      </c>
      <c r="M5233" t="s">
        <v>6776</v>
      </c>
      <c r="N5233" t="s">
        <v>6776</v>
      </c>
      <c r="O5233" t="s">
        <v>73</v>
      </c>
      <c r="P5233" t="s">
        <v>81</v>
      </c>
      <c r="Q5233" t="s">
        <v>82</v>
      </c>
      <c r="R5233" t="s">
        <v>6675</v>
      </c>
    </row>
    <row r="5234" spans="1:18" x14ac:dyDescent="0.25">
      <c r="A5234" t="s">
        <v>21670</v>
      </c>
      <c r="B5234" t="s">
        <v>6796</v>
      </c>
      <c r="C5234" t="str">
        <f>HYPERLINK("https://nematode.unl.edu/labrel1.jpg")</f>
        <v>https://nematode.unl.edu/labrel1.jpg</v>
      </c>
      <c r="D5234" t="s">
        <v>43</v>
      </c>
      <c r="G5234" t="s">
        <v>44</v>
      </c>
      <c r="I5234" t="s">
        <v>91</v>
      </c>
      <c r="M5234" t="s">
        <v>6797</v>
      </c>
      <c r="N5234" t="s">
        <v>6797</v>
      </c>
      <c r="O5234" t="s">
        <v>73</v>
      </c>
      <c r="P5234" t="s">
        <v>81</v>
      </c>
      <c r="Q5234" t="s">
        <v>82</v>
      </c>
      <c r="R5234" t="s">
        <v>6797</v>
      </c>
    </row>
    <row r="5235" spans="1:18" x14ac:dyDescent="0.25">
      <c r="A5235" t="s">
        <v>21668</v>
      </c>
      <c r="B5235" t="s">
        <v>6798</v>
      </c>
      <c r="C5235" t="str">
        <f>HYPERLINK("https://nematode.unl.edu/labrel2.jpg")</f>
        <v>https://nematode.unl.edu/labrel2.jpg</v>
      </c>
      <c r="D5235" t="s">
        <v>43</v>
      </c>
      <c r="G5235" t="s">
        <v>34</v>
      </c>
      <c r="H5235" t="s">
        <v>18</v>
      </c>
      <c r="I5235" t="s">
        <v>19</v>
      </c>
      <c r="M5235" t="s">
        <v>6797</v>
      </c>
      <c r="N5235" t="s">
        <v>6797</v>
      </c>
      <c r="O5235" t="s">
        <v>73</v>
      </c>
      <c r="P5235" t="s">
        <v>81</v>
      </c>
      <c r="Q5235" t="s">
        <v>82</v>
      </c>
      <c r="R5235" t="s">
        <v>6797</v>
      </c>
    </row>
    <row r="5236" spans="1:18" x14ac:dyDescent="0.25">
      <c r="A5236" t="s">
        <v>21669</v>
      </c>
      <c r="B5236" t="s">
        <v>6799</v>
      </c>
      <c r="C5236" t="str">
        <f>HYPERLINK("https://nematode.unl.edu/labrel3.jpg")</f>
        <v>https://nematode.unl.edu/labrel3.jpg</v>
      </c>
      <c r="D5236" t="s">
        <v>43</v>
      </c>
      <c r="G5236" t="s">
        <v>87</v>
      </c>
      <c r="M5236" t="s">
        <v>6797</v>
      </c>
      <c r="N5236" t="s">
        <v>6797</v>
      </c>
      <c r="O5236" t="s">
        <v>73</v>
      </c>
      <c r="P5236" t="s">
        <v>81</v>
      </c>
      <c r="Q5236" t="s">
        <v>82</v>
      </c>
      <c r="R5236" t="s">
        <v>6797</v>
      </c>
    </row>
    <row r="5237" spans="1:18" x14ac:dyDescent="0.25">
      <c r="A5237" t="s">
        <v>21671</v>
      </c>
      <c r="B5237" t="s">
        <v>6800</v>
      </c>
      <c r="C5237" t="str">
        <f>HYPERLINK("https://nematode.unl.edu/labrel4.jpg")</f>
        <v>https://nematode.unl.edu/labrel4.jpg</v>
      </c>
      <c r="D5237" t="s">
        <v>43</v>
      </c>
      <c r="G5237" t="s">
        <v>28</v>
      </c>
      <c r="M5237" t="s">
        <v>6797</v>
      </c>
      <c r="N5237" t="s">
        <v>6797</v>
      </c>
      <c r="O5237" t="s">
        <v>73</v>
      </c>
      <c r="P5237" t="s">
        <v>81</v>
      </c>
      <c r="Q5237" t="s">
        <v>82</v>
      </c>
      <c r="R5237" t="s">
        <v>6797</v>
      </c>
    </row>
    <row r="5238" spans="1:18" x14ac:dyDescent="0.25">
      <c r="A5238" t="s">
        <v>21624</v>
      </c>
      <c r="B5238" t="s">
        <v>6745</v>
      </c>
      <c r="C5238" t="str">
        <f>HYPERLINK("https://nematode.unl.edu/labro1.jpg")</f>
        <v>https://nematode.unl.edu/labro1.jpg</v>
      </c>
      <c r="D5238" t="s">
        <v>16</v>
      </c>
      <c r="G5238" t="s">
        <v>34</v>
      </c>
      <c r="H5238" t="s">
        <v>18</v>
      </c>
      <c r="I5238" t="s">
        <v>19</v>
      </c>
      <c r="J5238" t="s">
        <v>46</v>
      </c>
      <c r="M5238" t="s">
        <v>6746</v>
      </c>
      <c r="N5238" t="s">
        <v>6746</v>
      </c>
      <c r="O5238" t="s">
        <v>73</v>
      </c>
      <c r="P5238" t="s">
        <v>81</v>
      </c>
      <c r="Q5238" t="s">
        <v>82</v>
      </c>
      <c r="R5238" t="s">
        <v>6675</v>
      </c>
    </row>
    <row r="5239" spans="1:18" x14ac:dyDescent="0.25">
      <c r="A5239" t="s">
        <v>21639</v>
      </c>
      <c r="B5239" t="s">
        <v>6747</v>
      </c>
      <c r="C5239" t="str">
        <f>HYPERLINK("https://nematode.unl.edu/labro2.jpg")</f>
        <v>https://nematode.unl.edu/labro2.jpg</v>
      </c>
      <c r="D5239" t="s">
        <v>16</v>
      </c>
      <c r="G5239" t="s">
        <v>28</v>
      </c>
      <c r="I5239" t="s">
        <v>19</v>
      </c>
      <c r="J5239" t="s">
        <v>46</v>
      </c>
      <c r="L5239" t="s">
        <v>85</v>
      </c>
      <c r="M5239" t="s">
        <v>6746</v>
      </c>
      <c r="N5239" t="s">
        <v>6746</v>
      </c>
      <c r="O5239" t="s">
        <v>73</v>
      </c>
      <c r="P5239" t="s">
        <v>81</v>
      </c>
      <c r="Q5239" t="s">
        <v>82</v>
      </c>
      <c r="R5239" t="s">
        <v>6675</v>
      </c>
    </row>
    <row r="5240" spans="1:18" x14ac:dyDescent="0.25">
      <c r="A5240" t="s">
        <v>21632</v>
      </c>
      <c r="B5240" t="s">
        <v>6748</v>
      </c>
      <c r="C5240" t="str">
        <f>HYPERLINK("https://nematode.unl.edu/labro3.jpg")</f>
        <v>https://nematode.unl.edu/labro3.jpg</v>
      </c>
      <c r="D5240" t="s">
        <v>16</v>
      </c>
      <c r="G5240" t="s">
        <v>87</v>
      </c>
      <c r="J5240" t="s">
        <v>46</v>
      </c>
      <c r="M5240" t="s">
        <v>6746</v>
      </c>
      <c r="N5240" t="s">
        <v>6746</v>
      </c>
      <c r="O5240" t="s">
        <v>73</v>
      </c>
      <c r="P5240" t="s">
        <v>81</v>
      </c>
      <c r="Q5240" t="s">
        <v>82</v>
      </c>
      <c r="R5240" t="s">
        <v>6675</v>
      </c>
    </row>
    <row r="5241" spans="1:18" x14ac:dyDescent="0.25">
      <c r="A5241" t="s">
        <v>21625</v>
      </c>
      <c r="B5241" t="s">
        <v>6749</v>
      </c>
      <c r="C5241" t="str">
        <f>HYPERLINK("https://nematode.unl.edu/labro4.jpg")</f>
        <v>https://nematode.unl.edu/labro4.jpg</v>
      </c>
      <c r="D5241" t="s">
        <v>16</v>
      </c>
      <c r="G5241" t="s">
        <v>34</v>
      </c>
      <c r="H5241" t="s">
        <v>18</v>
      </c>
      <c r="J5241" t="s">
        <v>46</v>
      </c>
      <c r="M5241" t="s">
        <v>6746</v>
      </c>
      <c r="N5241" t="s">
        <v>6746</v>
      </c>
      <c r="O5241" t="s">
        <v>73</v>
      </c>
      <c r="P5241" t="s">
        <v>81</v>
      </c>
      <c r="Q5241" t="s">
        <v>82</v>
      </c>
      <c r="R5241" t="s">
        <v>6675</v>
      </c>
    </row>
    <row r="5242" spans="1:18" x14ac:dyDescent="0.25">
      <c r="A5242" t="s">
        <v>21633</v>
      </c>
      <c r="B5242" t="s">
        <v>6750</v>
      </c>
      <c r="C5242" t="str">
        <f>HYPERLINK("https://nematode.unl.edu/labro5.jpg")</f>
        <v>https://nematode.unl.edu/labro5.jpg</v>
      </c>
      <c r="D5242" t="s">
        <v>16</v>
      </c>
      <c r="G5242" t="s">
        <v>87</v>
      </c>
      <c r="I5242" t="s">
        <v>19</v>
      </c>
      <c r="J5242" t="s">
        <v>46</v>
      </c>
      <c r="M5242" t="s">
        <v>6746</v>
      </c>
      <c r="N5242" t="s">
        <v>6746</v>
      </c>
      <c r="O5242" t="s">
        <v>73</v>
      </c>
      <c r="P5242" t="s">
        <v>81</v>
      </c>
      <c r="Q5242" t="s">
        <v>82</v>
      </c>
      <c r="R5242" t="s">
        <v>6675</v>
      </c>
    </row>
    <row r="5243" spans="1:18" x14ac:dyDescent="0.25">
      <c r="A5243" t="s">
        <v>21640</v>
      </c>
      <c r="B5243" t="s">
        <v>6751</v>
      </c>
      <c r="C5243" t="str">
        <f>HYPERLINK("https://nematode.unl.edu/labro6.jpg")</f>
        <v>https://nematode.unl.edu/labro6.jpg</v>
      </c>
      <c r="D5243" t="s">
        <v>16</v>
      </c>
      <c r="G5243" t="s">
        <v>28</v>
      </c>
      <c r="I5243" t="s">
        <v>19</v>
      </c>
      <c r="J5243" t="s">
        <v>46</v>
      </c>
      <c r="L5243" t="s">
        <v>85</v>
      </c>
      <c r="M5243" t="s">
        <v>6746</v>
      </c>
      <c r="N5243" t="s">
        <v>6746</v>
      </c>
      <c r="O5243" t="s">
        <v>73</v>
      </c>
      <c r="P5243" t="s">
        <v>81</v>
      </c>
      <c r="Q5243" t="s">
        <v>82</v>
      </c>
      <c r="R5243" t="s">
        <v>6675</v>
      </c>
    </row>
    <row r="5244" spans="1:18" x14ac:dyDescent="0.25">
      <c r="A5244" t="s">
        <v>21626</v>
      </c>
      <c r="B5244" t="s">
        <v>6752</v>
      </c>
      <c r="C5244" t="str">
        <f>HYPERLINK("https://nematode.unl.edu/labro7.jpg")</f>
        <v>https://nematode.unl.edu/labro7.jpg</v>
      </c>
      <c r="D5244" t="s">
        <v>16</v>
      </c>
      <c r="G5244" t="s">
        <v>34</v>
      </c>
      <c r="H5244" t="s">
        <v>18</v>
      </c>
      <c r="I5244" t="s">
        <v>19</v>
      </c>
      <c r="J5244" t="s">
        <v>46</v>
      </c>
      <c r="M5244" t="s">
        <v>6746</v>
      </c>
      <c r="N5244" t="s">
        <v>6746</v>
      </c>
      <c r="O5244" t="s">
        <v>73</v>
      </c>
      <c r="P5244" t="s">
        <v>81</v>
      </c>
      <c r="Q5244" t="s">
        <v>82</v>
      </c>
      <c r="R5244" t="s">
        <v>6675</v>
      </c>
    </row>
    <row r="5245" spans="1:18" x14ac:dyDescent="0.25">
      <c r="A5245" t="s">
        <v>21641</v>
      </c>
      <c r="B5245" t="s">
        <v>6753</v>
      </c>
      <c r="C5245" t="str">
        <f>HYPERLINK("https://nematode.unl.edu/labro8.jpg")</f>
        <v>https://nematode.unl.edu/labro8.jpg</v>
      </c>
      <c r="D5245" t="s">
        <v>16</v>
      </c>
      <c r="G5245" t="s">
        <v>28</v>
      </c>
      <c r="J5245" t="s">
        <v>46</v>
      </c>
      <c r="M5245" t="s">
        <v>6746</v>
      </c>
      <c r="N5245" t="s">
        <v>6746</v>
      </c>
      <c r="O5245" t="s">
        <v>73</v>
      </c>
      <c r="P5245" t="s">
        <v>81</v>
      </c>
      <c r="Q5245" t="s">
        <v>82</v>
      </c>
      <c r="R5245" t="s">
        <v>6675</v>
      </c>
    </row>
    <row r="5246" spans="1:18" x14ac:dyDescent="0.25">
      <c r="A5246" t="s">
        <v>21627</v>
      </c>
      <c r="B5246" t="s">
        <v>6754</v>
      </c>
      <c r="C5246" t="str">
        <f>HYPERLINK("https://nematode.unl.edu/labrob1.jpg")</f>
        <v>https://nematode.unl.edu/labrob1.jpg</v>
      </c>
      <c r="D5246" t="s">
        <v>43</v>
      </c>
      <c r="G5246" t="s">
        <v>34</v>
      </c>
      <c r="H5246" t="s">
        <v>18</v>
      </c>
      <c r="L5246" t="s">
        <v>141</v>
      </c>
      <c r="M5246" t="s">
        <v>6746</v>
      </c>
      <c r="N5246" t="s">
        <v>6746</v>
      </c>
      <c r="O5246" t="s">
        <v>73</v>
      </c>
      <c r="P5246" t="s">
        <v>81</v>
      </c>
      <c r="Q5246" t="s">
        <v>82</v>
      </c>
      <c r="R5246" t="s">
        <v>6675</v>
      </c>
    </row>
    <row r="5247" spans="1:18" x14ac:dyDescent="0.25">
      <c r="A5247" t="s">
        <v>21634</v>
      </c>
      <c r="B5247" t="s">
        <v>6755</v>
      </c>
      <c r="C5247" t="str">
        <f>HYPERLINK("https://nematode.unl.edu/labrob2.jpg")</f>
        <v>https://nematode.unl.edu/labrob2.jpg</v>
      </c>
      <c r="D5247" t="s">
        <v>43</v>
      </c>
      <c r="G5247" t="s">
        <v>87</v>
      </c>
      <c r="I5247" t="s">
        <v>19</v>
      </c>
      <c r="J5247" t="s">
        <v>20</v>
      </c>
      <c r="M5247" t="s">
        <v>6746</v>
      </c>
      <c r="N5247" t="s">
        <v>6746</v>
      </c>
      <c r="O5247" t="s">
        <v>73</v>
      </c>
      <c r="P5247" t="s">
        <v>81</v>
      </c>
      <c r="Q5247" t="s">
        <v>82</v>
      </c>
      <c r="R5247" t="s">
        <v>6675</v>
      </c>
    </row>
    <row r="5248" spans="1:18" x14ac:dyDescent="0.25">
      <c r="A5248" t="s">
        <v>21647</v>
      </c>
      <c r="B5248" t="s">
        <v>6756</v>
      </c>
      <c r="C5248" t="str">
        <f>HYPERLINK("https://nematode.unl.edu/labrob3.jpg")</f>
        <v>https://nematode.unl.edu/labrob3.jpg</v>
      </c>
      <c r="D5248" t="s">
        <v>43</v>
      </c>
      <c r="G5248" t="s">
        <v>51</v>
      </c>
      <c r="I5248" t="s">
        <v>19</v>
      </c>
      <c r="J5248" t="s">
        <v>20</v>
      </c>
      <c r="L5248" t="s">
        <v>5685</v>
      </c>
      <c r="M5248" t="s">
        <v>6746</v>
      </c>
      <c r="N5248" t="s">
        <v>6746</v>
      </c>
      <c r="O5248" t="s">
        <v>73</v>
      </c>
      <c r="P5248" t="s">
        <v>81</v>
      </c>
      <c r="Q5248" t="s">
        <v>82</v>
      </c>
      <c r="R5248" t="s">
        <v>6675</v>
      </c>
    </row>
    <row r="5249" spans="1:18" x14ac:dyDescent="0.25">
      <c r="A5249" t="s">
        <v>21642</v>
      </c>
      <c r="B5249" t="s">
        <v>6757</v>
      </c>
      <c r="C5249" t="str">
        <f>HYPERLINK("https://nematode.unl.edu/labrob4.jpg")</f>
        <v>https://nematode.unl.edu/labrob4.jpg</v>
      </c>
      <c r="D5249" t="s">
        <v>43</v>
      </c>
      <c r="G5249" t="s">
        <v>28</v>
      </c>
      <c r="L5249" t="s">
        <v>141</v>
      </c>
      <c r="M5249" t="s">
        <v>6746</v>
      </c>
      <c r="N5249" t="s">
        <v>6746</v>
      </c>
      <c r="O5249" t="s">
        <v>73</v>
      </c>
      <c r="P5249" t="s">
        <v>81</v>
      </c>
      <c r="Q5249" t="s">
        <v>82</v>
      </c>
      <c r="R5249" t="s">
        <v>6675</v>
      </c>
    </row>
    <row r="5250" spans="1:18" x14ac:dyDescent="0.25">
      <c r="A5250" t="s">
        <v>21628</v>
      </c>
      <c r="B5250" t="s">
        <v>6758</v>
      </c>
      <c r="C5250" t="str">
        <f>HYPERLINK("https://nematode.unl.edu/labrob5.jpg")</f>
        <v>https://nematode.unl.edu/labrob5.jpg</v>
      </c>
      <c r="D5250" t="s">
        <v>16</v>
      </c>
      <c r="G5250" t="s">
        <v>34</v>
      </c>
      <c r="H5250" t="s">
        <v>18</v>
      </c>
      <c r="I5250" t="s">
        <v>19</v>
      </c>
      <c r="J5250" t="s">
        <v>20</v>
      </c>
      <c r="L5250" t="s">
        <v>29</v>
      </c>
      <c r="M5250" t="s">
        <v>6746</v>
      </c>
      <c r="N5250" t="s">
        <v>6746</v>
      </c>
      <c r="O5250" t="s">
        <v>73</v>
      </c>
      <c r="P5250" t="s">
        <v>81</v>
      </c>
      <c r="Q5250" t="s">
        <v>82</v>
      </c>
      <c r="R5250" t="s">
        <v>6675</v>
      </c>
    </row>
    <row r="5251" spans="1:18" x14ac:dyDescent="0.25">
      <c r="A5251" t="s">
        <v>21643</v>
      </c>
      <c r="B5251" t="s">
        <v>6759</v>
      </c>
      <c r="C5251" t="str">
        <f>HYPERLINK("https://nematode.unl.edu/labrob6.jpg")</f>
        <v>https://nematode.unl.edu/labrob6.jpg</v>
      </c>
      <c r="D5251" t="s">
        <v>16</v>
      </c>
      <c r="G5251" t="s">
        <v>28</v>
      </c>
      <c r="I5251" t="s">
        <v>19</v>
      </c>
      <c r="J5251" t="s">
        <v>20</v>
      </c>
      <c r="M5251" t="s">
        <v>6746</v>
      </c>
      <c r="N5251" t="s">
        <v>6746</v>
      </c>
      <c r="O5251" t="s">
        <v>73</v>
      </c>
      <c r="P5251" t="s">
        <v>81</v>
      </c>
      <c r="Q5251" t="s">
        <v>82</v>
      </c>
      <c r="R5251" t="s">
        <v>6675</v>
      </c>
    </row>
    <row r="5252" spans="1:18" x14ac:dyDescent="0.25">
      <c r="A5252" t="s">
        <v>21635</v>
      </c>
      <c r="B5252" t="s">
        <v>6760</v>
      </c>
      <c r="C5252" t="str">
        <f>HYPERLINK("https://nematode.unl.edu/labrob7.jpg")</f>
        <v>https://nematode.unl.edu/labrob7.jpg</v>
      </c>
      <c r="D5252" t="s">
        <v>16</v>
      </c>
      <c r="G5252" t="s">
        <v>87</v>
      </c>
      <c r="I5252" t="s">
        <v>19</v>
      </c>
      <c r="J5252" t="s">
        <v>20</v>
      </c>
      <c r="M5252" t="s">
        <v>6746</v>
      </c>
      <c r="N5252" t="s">
        <v>6746</v>
      </c>
      <c r="O5252" t="s">
        <v>73</v>
      </c>
      <c r="P5252" t="s">
        <v>81</v>
      </c>
      <c r="Q5252" t="s">
        <v>82</v>
      </c>
      <c r="R5252" t="s">
        <v>6675</v>
      </c>
    </row>
    <row r="5253" spans="1:18" x14ac:dyDescent="0.25">
      <c r="A5253" t="s">
        <v>21629</v>
      </c>
      <c r="B5253" t="s">
        <v>6761</v>
      </c>
      <c r="C5253" t="str">
        <f>HYPERLINK("https://nematode.unl.edu/labrob8.jpg")</f>
        <v>https://nematode.unl.edu/labrob8.jpg</v>
      </c>
      <c r="D5253" t="s">
        <v>16</v>
      </c>
      <c r="G5253" t="s">
        <v>34</v>
      </c>
      <c r="H5253" t="s">
        <v>18</v>
      </c>
      <c r="I5253" t="s">
        <v>19</v>
      </c>
      <c r="M5253" t="s">
        <v>6746</v>
      </c>
      <c r="N5253" t="s">
        <v>6746</v>
      </c>
      <c r="O5253" t="s">
        <v>73</v>
      </c>
      <c r="P5253" t="s">
        <v>81</v>
      </c>
      <c r="Q5253" t="s">
        <v>82</v>
      </c>
      <c r="R5253" t="s">
        <v>6675</v>
      </c>
    </row>
    <row r="5254" spans="1:18" x14ac:dyDescent="0.25">
      <c r="A5254" t="s">
        <v>21644</v>
      </c>
      <c r="B5254" t="s">
        <v>6762</v>
      </c>
      <c r="C5254" t="str">
        <f>HYPERLINK("https://nematode.unl.edu/labrob9.jpg")</f>
        <v>https://nematode.unl.edu/labrob9.jpg</v>
      </c>
      <c r="D5254" t="s">
        <v>16</v>
      </c>
      <c r="G5254" t="s">
        <v>28</v>
      </c>
      <c r="I5254" t="s">
        <v>19</v>
      </c>
      <c r="M5254" t="s">
        <v>6746</v>
      </c>
      <c r="N5254" t="s">
        <v>6746</v>
      </c>
      <c r="O5254" t="s">
        <v>73</v>
      </c>
      <c r="P5254" t="s">
        <v>81</v>
      </c>
      <c r="Q5254" t="s">
        <v>82</v>
      </c>
      <c r="R5254" t="s">
        <v>6675</v>
      </c>
    </row>
    <row r="5255" spans="1:18" x14ac:dyDescent="0.25">
      <c r="A5255" t="s">
        <v>21568</v>
      </c>
      <c r="B5255" t="s">
        <v>6674</v>
      </c>
      <c r="C5255" t="str">
        <f>HYPERLINK("https://nematode.unl.edu/labros1.jpg")</f>
        <v>https://nematode.unl.edu/labros1.jpg</v>
      </c>
      <c r="D5255" t="s">
        <v>77</v>
      </c>
      <c r="G5255" t="s">
        <v>44</v>
      </c>
      <c r="I5255" t="s">
        <v>1008</v>
      </c>
      <c r="J5255" t="s">
        <v>46</v>
      </c>
      <c r="L5255" t="s">
        <v>105</v>
      </c>
      <c r="M5255" t="s">
        <v>6675</v>
      </c>
      <c r="N5255" t="s">
        <v>6675</v>
      </c>
      <c r="O5255" t="s">
        <v>73</v>
      </c>
      <c r="P5255" t="s">
        <v>81</v>
      </c>
      <c r="Q5255" t="s">
        <v>82</v>
      </c>
      <c r="R5255" t="s">
        <v>6675</v>
      </c>
    </row>
    <row r="5256" spans="1:18" x14ac:dyDescent="0.25">
      <c r="A5256" t="s">
        <v>21557</v>
      </c>
      <c r="B5256" t="s">
        <v>6676</v>
      </c>
      <c r="C5256" t="str">
        <f>HYPERLINK("https://nematode.unl.edu/labros10.jpg")</f>
        <v>https://nematode.unl.edu/labros10.jpg</v>
      </c>
      <c r="D5256" t="s">
        <v>77</v>
      </c>
      <c r="G5256" t="s">
        <v>96</v>
      </c>
      <c r="H5256" t="s">
        <v>18</v>
      </c>
      <c r="I5256" t="s">
        <v>45</v>
      </c>
      <c r="J5256" t="s">
        <v>46</v>
      </c>
      <c r="L5256" t="s">
        <v>105</v>
      </c>
      <c r="M5256" t="s">
        <v>6675</v>
      </c>
      <c r="N5256" t="s">
        <v>6675</v>
      </c>
      <c r="O5256" t="s">
        <v>73</v>
      </c>
      <c r="P5256" t="s">
        <v>81</v>
      </c>
      <c r="Q5256" t="s">
        <v>82</v>
      </c>
      <c r="R5256" t="s">
        <v>6675</v>
      </c>
    </row>
    <row r="5257" spans="1:18" x14ac:dyDescent="0.25">
      <c r="A5257" t="s">
        <v>21573</v>
      </c>
      <c r="B5257" t="s">
        <v>6677</v>
      </c>
      <c r="C5257" t="str">
        <f>HYPERLINK("https://nematode.unl.edu/labros11.jpg")</f>
        <v>https://nematode.unl.edu/labros11.jpg</v>
      </c>
      <c r="D5257" t="s">
        <v>77</v>
      </c>
      <c r="G5257" t="s">
        <v>28</v>
      </c>
      <c r="J5257" t="s">
        <v>46</v>
      </c>
      <c r="L5257" t="s">
        <v>105</v>
      </c>
      <c r="M5257" t="s">
        <v>6675</v>
      </c>
      <c r="N5257" t="s">
        <v>6675</v>
      </c>
      <c r="O5257" t="s">
        <v>73</v>
      </c>
      <c r="P5257" t="s">
        <v>81</v>
      </c>
      <c r="Q5257" t="s">
        <v>82</v>
      </c>
      <c r="R5257" t="s">
        <v>6675</v>
      </c>
    </row>
    <row r="5258" spans="1:18" x14ac:dyDescent="0.25">
      <c r="A5258" t="s">
        <v>21559</v>
      </c>
      <c r="B5258" t="s">
        <v>6678</v>
      </c>
      <c r="C5258" t="str">
        <f>HYPERLINK("https://nematode.unl.edu/labros12.jpg")</f>
        <v>https://nematode.unl.edu/labros12.jpg</v>
      </c>
      <c r="D5258" t="s">
        <v>77</v>
      </c>
      <c r="G5258" t="s">
        <v>34</v>
      </c>
      <c r="H5258" t="s">
        <v>18</v>
      </c>
      <c r="I5258" t="s">
        <v>19</v>
      </c>
      <c r="J5258" t="s">
        <v>46</v>
      </c>
      <c r="L5258" t="s">
        <v>105</v>
      </c>
      <c r="M5258" t="s">
        <v>6675</v>
      </c>
      <c r="N5258" t="s">
        <v>6675</v>
      </c>
      <c r="O5258" t="s">
        <v>73</v>
      </c>
      <c r="P5258" t="s">
        <v>81</v>
      </c>
      <c r="Q5258" t="s">
        <v>82</v>
      </c>
      <c r="R5258" t="s">
        <v>6675</v>
      </c>
    </row>
    <row r="5259" spans="1:18" x14ac:dyDescent="0.25">
      <c r="A5259" t="s">
        <v>21564</v>
      </c>
      <c r="B5259" t="s">
        <v>6679</v>
      </c>
      <c r="C5259" t="str">
        <f>HYPERLINK("https://nematode.unl.edu/labros13.jpg")</f>
        <v>https://nematode.unl.edu/labros13.jpg</v>
      </c>
      <c r="D5259" t="s">
        <v>77</v>
      </c>
      <c r="G5259" t="s">
        <v>257</v>
      </c>
      <c r="H5259" t="s">
        <v>18</v>
      </c>
      <c r="I5259" t="s">
        <v>19</v>
      </c>
      <c r="J5259" t="s">
        <v>46</v>
      </c>
      <c r="L5259" t="s">
        <v>105</v>
      </c>
      <c r="M5259" t="s">
        <v>6675</v>
      </c>
      <c r="N5259" t="s">
        <v>6675</v>
      </c>
      <c r="O5259" t="s">
        <v>73</v>
      </c>
      <c r="P5259" t="s">
        <v>81</v>
      </c>
      <c r="Q5259" t="s">
        <v>82</v>
      </c>
      <c r="R5259" t="s">
        <v>6675</v>
      </c>
    </row>
    <row r="5260" spans="1:18" x14ac:dyDescent="0.25">
      <c r="A5260" t="s">
        <v>21565</v>
      </c>
      <c r="B5260" t="s">
        <v>6680</v>
      </c>
      <c r="C5260" t="str">
        <f>HYPERLINK("https://nematode.unl.edu/labros14.jpg")</f>
        <v>https://nematode.unl.edu/labros14.jpg</v>
      </c>
      <c r="D5260" t="s">
        <v>77</v>
      </c>
      <c r="G5260" t="s">
        <v>87</v>
      </c>
      <c r="J5260" t="s">
        <v>46</v>
      </c>
      <c r="L5260" t="s">
        <v>105</v>
      </c>
      <c r="M5260" t="s">
        <v>6675</v>
      </c>
      <c r="N5260" t="s">
        <v>6675</v>
      </c>
      <c r="O5260" t="s">
        <v>73</v>
      </c>
      <c r="P5260" t="s">
        <v>81</v>
      </c>
      <c r="Q5260" t="s">
        <v>82</v>
      </c>
      <c r="R5260" t="s">
        <v>6675</v>
      </c>
    </row>
    <row r="5261" spans="1:18" x14ac:dyDescent="0.25">
      <c r="A5261" t="s">
        <v>21569</v>
      </c>
      <c r="B5261" t="s">
        <v>6681</v>
      </c>
      <c r="C5261" t="str">
        <f>HYPERLINK("https://nematode.unl.edu/labros15.jpg")</f>
        <v>https://nematode.unl.edu/labros15.jpg</v>
      </c>
      <c r="D5261" t="s">
        <v>77</v>
      </c>
      <c r="G5261" t="s">
        <v>230</v>
      </c>
      <c r="I5261" t="s">
        <v>19</v>
      </c>
      <c r="J5261" t="s">
        <v>46</v>
      </c>
      <c r="L5261" t="s">
        <v>105</v>
      </c>
      <c r="M5261" t="s">
        <v>6675</v>
      </c>
      <c r="N5261" t="s">
        <v>6675</v>
      </c>
      <c r="O5261" t="s">
        <v>73</v>
      </c>
      <c r="P5261" t="s">
        <v>81</v>
      </c>
      <c r="Q5261" t="s">
        <v>82</v>
      </c>
      <c r="R5261" t="s">
        <v>6675</v>
      </c>
    </row>
    <row r="5262" spans="1:18" x14ac:dyDescent="0.25">
      <c r="A5262" t="s">
        <v>21570</v>
      </c>
      <c r="B5262" t="s">
        <v>6682</v>
      </c>
      <c r="C5262" t="str">
        <f>HYPERLINK("https://nematode.unl.edu/labros16.jpg")</f>
        <v>https://nematode.unl.edu/labros16.jpg</v>
      </c>
      <c r="D5262" t="s">
        <v>77</v>
      </c>
      <c r="G5262" t="s">
        <v>230</v>
      </c>
      <c r="I5262" t="s">
        <v>137</v>
      </c>
      <c r="J5262" t="s">
        <v>46</v>
      </c>
      <c r="L5262" t="s">
        <v>105</v>
      </c>
      <c r="M5262" t="s">
        <v>6675</v>
      </c>
      <c r="N5262" t="s">
        <v>6675</v>
      </c>
      <c r="O5262" t="s">
        <v>73</v>
      </c>
      <c r="P5262" t="s">
        <v>81</v>
      </c>
      <c r="Q5262" t="s">
        <v>82</v>
      </c>
      <c r="R5262" t="s">
        <v>6675</v>
      </c>
    </row>
    <row r="5263" spans="1:18" x14ac:dyDescent="0.25">
      <c r="A5263" t="s">
        <v>21574</v>
      </c>
      <c r="B5263" t="s">
        <v>6683</v>
      </c>
      <c r="C5263" t="str">
        <f>HYPERLINK("https://nematode.unl.edu/labros17.jpg")</f>
        <v>https://nematode.unl.edu/labros17.jpg</v>
      </c>
      <c r="D5263" t="s">
        <v>77</v>
      </c>
      <c r="G5263" t="s">
        <v>28</v>
      </c>
      <c r="L5263" t="s">
        <v>105</v>
      </c>
      <c r="M5263" t="s">
        <v>6675</v>
      </c>
      <c r="N5263" t="s">
        <v>6675</v>
      </c>
      <c r="O5263" t="s">
        <v>73</v>
      </c>
      <c r="P5263" t="s">
        <v>81</v>
      </c>
      <c r="Q5263" t="s">
        <v>82</v>
      </c>
      <c r="R5263" t="s">
        <v>6675</v>
      </c>
    </row>
    <row r="5264" spans="1:18" x14ac:dyDescent="0.25">
      <c r="A5264" t="s">
        <v>21575</v>
      </c>
      <c r="B5264" t="s">
        <v>6684</v>
      </c>
      <c r="C5264" t="str">
        <f>HYPERLINK("https://nematode.unl.edu/labros18.jpg")</f>
        <v>https://nematode.unl.edu/labros18.jpg</v>
      </c>
      <c r="D5264" t="s">
        <v>77</v>
      </c>
      <c r="G5264" t="s">
        <v>28</v>
      </c>
      <c r="J5264" t="s">
        <v>46</v>
      </c>
      <c r="L5264" t="s">
        <v>105</v>
      </c>
      <c r="M5264" t="s">
        <v>6675</v>
      </c>
      <c r="N5264" t="s">
        <v>6675</v>
      </c>
      <c r="O5264" t="s">
        <v>73</v>
      </c>
      <c r="P5264" t="s">
        <v>81</v>
      </c>
      <c r="Q5264" t="s">
        <v>82</v>
      </c>
      <c r="R5264" t="s">
        <v>6675</v>
      </c>
    </row>
    <row r="5265" spans="1:18" x14ac:dyDescent="0.25">
      <c r="A5265" t="s">
        <v>21566</v>
      </c>
      <c r="B5265" t="s">
        <v>6685</v>
      </c>
      <c r="C5265" t="str">
        <f>HYPERLINK("https://nematode.unl.edu/labros19.jpg")</f>
        <v>https://nematode.unl.edu/labros19.jpg</v>
      </c>
      <c r="D5265" t="s">
        <v>77</v>
      </c>
      <c r="G5265" t="s">
        <v>87</v>
      </c>
      <c r="L5265" t="s">
        <v>105</v>
      </c>
      <c r="M5265" t="s">
        <v>6675</v>
      </c>
      <c r="N5265" t="s">
        <v>6675</v>
      </c>
      <c r="O5265" t="s">
        <v>73</v>
      </c>
      <c r="P5265" t="s">
        <v>81</v>
      </c>
      <c r="Q5265" t="s">
        <v>82</v>
      </c>
      <c r="R5265" t="s">
        <v>6675</v>
      </c>
    </row>
    <row r="5266" spans="1:18" x14ac:dyDescent="0.25">
      <c r="A5266" t="s">
        <v>21576</v>
      </c>
      <c r="B5266" t="s">
        <v>6686</v>
      </c>
      <c r="C5266" t="str">
        <f>HYPERLINK("https://nematode.unl.edu/labros2.jpg")</f>
        <v>https://nematode.unl.edu/labros2.jpg</v>
      </c>
      <c r="D5266" t="s">
        <v>77</v>
      </c>
      <c r="G5266" t="s">
        <v>28</v>
      </c>
      <c r="I5266" t="s">
        <v>45</v>
      </c>
      <c r="J5266" t="s">
        <v>46</v>
      </c>
      <c r="L5266" t="s">
        <v>105</v>
      </c>
      <c r="M5266" t="s">
        <v>6675</v>
      </c>
      <c r="N5266" t="s">
        <v>6675</v>
      </c>
      <c r="O5266" t="s">
        <v>73</v>
      </c>
      <c r="P5266" t="s">
        <v>81</v>
      </c>
      <c r="Q5266" t="s">
        <v>82</v>
      </c>
      <c r="R5266" t="s">
        <v>6675</v>
      </c>
    </row>
    <row r="5267" spans="1:18" x14ac:dyDescent="0.25">
      <c r="A5267" t="s">
        <v>21560</v>
      </c>
      <c r="B5267" t="s">
        <v>6687</v>
      </c>
      <c r="C5267" t="str">
        <f>HYPERLINK("https://nematode.unl.edu/labros20.jpg")</f>
        <v>https://nematode.unl.edu/labros20.jpg</v>
      </c>
      <c r="D5267" t="s">
        <v>77</v>
      </c>
      <c r="G5267" t="s">
        <v>34</v>
      </c>
      <c r="H5267" t="s">
        <v>18</v>
      </c>
      <c r="J5267" t="s">
        <v>46</v>
      </c>
      <c r="L5267" t="s">
        <v>105</v>
      </c>
      <c r="M5267" t="s">
        <v>6675</v>
      </c>
      <c r="N5267" t="s">
        <v>6675</v>
      </c>
      <c r="O5267" t="s">
        <v>73</v>
      </c>
      <c r="P5267" t="s">
        <v>81</v>
      </c>
      <c r="Q5267" t="s">
        <v>82</v>
      </c>
      <c r="R5267" t="s">
        <v>6675</v>
      </c>
    </row>
    <row r="5268" spans="1:18" x14ac:dyDescent="0.25">
      <c r="A5268" t="s">
        <v>21561</v>
      </c>
      <c r="B5268" t="s">
        <v>6688</v>
      </c>
      <c r="C5268" t="str">
        <f>HYPERLINK("https://nematode.unl.edu/labros3.jpg")</f>
        <v>https://nematode.unl.edu/labros3.jpg</v>
      </c>
      <c r="D5268" t="s">
        <v>77</v>
      </c>
      <c r="G5268" t="s">
        <v>34</v>
      </c>
      <c r="H5268" t="s">
        <v>18</v>
      </c>
      <c r="I5268" t="s">
        <v>137</v>
      </c>
      <c r="J5268" t="s">
        <v>46</v>
      </c>
      <c r="L5268" t="s">
        <v>105</v>
      </c>
      <c r="M5268" t="s">
        <v>6675</v>
      </c>
      <c r="N5268" t="s">
        <v>6675</v>
      </c>
      <c r="O5268" t="s">
        <v>73</v>
      </c>
      <c r="P5268" t="s">
        <v>81</v>
      </c>
      <c r="Q5268" t="s">
        <v>82</v>
      </c>
      <c r="R5268" t="s">
        <v>6675</v>
      </c>
    </row>
    <row r="5269" spans="1:18" x14ac:dyDescent="0.25">
      <c r="A5269" t="s">
        <v>21571</v>
      </c>
      <c r="B5269" t="s">
        <v>6689</v>
      </c>
      <c r="C5269" t="str">
        <f>HYPERLINK("https://nematode.unl.edu/labros4.jpg")</f>
        <v>https://nematode.unl.edu/labros4.jpg</v>
      </c>
      <c r="D5269" t="s">
        <v>77</v>
      </c>
      <c r="G5269" t="s">
        <v>230</v>
      </c>
      <c r="I5269" t="s">
        <v>137</v>
      </c>
      <c r="J5269" t="s">
        <v>46</v>
      </c>
      <c r="L5269" t="s">
        <v>105</v>
      </c>
      <c r="M5269" t="s">
        <v>6675</v>
      </c>
      <c r="N5269" t="s">
        <v>6675</v>
      </c>
      <c r="O5269" t="s">
        <v>73</v>
      </c>
      <c r="P5269" t="s">
        <v>81</v>
      </c>
      <c r="Q5269" t="s">
        <v>82</v>
      </c>
      <c r="R5269" t="s">
        <v>6675</v>
      </c>
    </row>
    <row r="5270" spans="1:18" x14ac:dyDescent="0.25">
      <c r="A5270" t="s">
        <v>21558</v>
      </c>
      <c r="B5270" t="s">
        <v>6690</v>
      </c>
      <c r="C5270" t="str">
        <f>HYPERLINK("https://nematode.unl.edu/labros5.jpg")</f>
        <v>https://nematode.unl.edu/labros5.jpg</v>
      </c>
      <c r="D5270" t="s">
        <v>77</v>
      </c>
      <c r="G5270" t="s">
        <v>96</v>
      </c>
      <c r="H5270" t="s">
        <v>18</v>
      </c>
      <c r="I5270" t="s">
        <v>45</v>
      </c>
      <c r="J5270" t="s">
        <v>46</v>
      </c>
      <c r="L5270" t="s">
        <v>105</v>
      </c>
      <c r="M5270" t="s">
        <v>6675</v>
      </c>
      <c r="N5270" t="s">
        <v>6675</v>
      </c>
      <c r="O5270" t="s">
        <v>73</v>
      </c>
      <c r="P5270" t="s">
        <v>81</v>
      </c>
      <c r="Q5270" t="s">
        <v>82</v>
      </c>
      <c r="R5270" t="s">
        <v>6675</v>
      </c>
    </row>
    <row r="5271" spans="1:18" x14ac:dyDescent="0.25">
      <c r="A5271" t="s">
        <v>21562</v>
      </c>
      <c r="B5271" t="s">
        <v>6691</v>
      </c>
      <c r="C5271" t="str">
        <f>HYPERLINK("https://nematode.unl.edu/labros6.jpg")</f>
        <v>https://nematode.unl.edu/labros6.jpg</v>
      </c>
      <c r="D5271" t="s">
        <v>77</v>
      </c>
      <c r="G5271" t="s">
        <v>34</v>
      </c>
      <c r="H5271" t="s">
        <v>18</v>
      </c>
      <c r="I5271" t="s">
        <v>19</v>
      </c>
      <c r="J5271" t="s">
        <v>46</v>
      </c>
      <c r="L5271" t="s">
        <v>105</v>
      </c>
      <c r="M5271" t="s">
        <v>6675</v>
      </c>
      <c r="N5271" t="s">
        <v>6675</v>
      </c>
      <c r="O5271" t="s">
        <v>73</v>
      </c>
      <c r="P5271" t="s">
        <v>81</v>
      </c>
      <c r="Q5271" t="s">
        <v>82</v>
      </c>
      <c r="R5271" t="s">
        <v>6675</v>
      </c>
    </row>
    <row r="5272" spans="1:18" x14ac:dyDescent="0.25">
      <c r="A5272" t="s">
        <v>21563</v>
      </c>
      <c r="B5272" t="s">
        <v>6692</v>
      </c>
      <c r="C5272" t="str">
        <f>HYPERLINK("https://nematode.unl.edu/labros7.jpg")</f>
        <v>https://nematode.unl.edu/labros7.jpg</v>
      </c>
      <c r="D5272" t="s">
        <v>77</v>
      </c>
      <c r="G5272" t="s">
        <v>34</v>
      </c>
      <c r="H5272" t="s">
        <v>18</v>
      </c>
      <c r="I5272" t="s">
        <v>19</v>
      </c>
      <c r="J5272" t="s">
        <v>46</v>
      </c>
      <c r="L5272" t="s">
        <v>105</v>
      </c>
      <c r="M5272" t="s">
        <v>6675</v>
      </c>
      <c r="N5272" t="s">
        <v>6675</v>
      </c>
      <c r="O5272" t="s">
        <v>73</v>
      </c>
      <c r="P5272" t="s">
        <v>81</v>
      </c>
      <c r="Q5272" t="s">
        <v>82</v>
      </c>
      <c r="R5272" t="s">
        <v>6675</v>
      </c>
    </row>
    <row r="5273" spans="1:18" x14ac:dyDescent="0.25">
      <c r="A5273" t="s">
        <v>21572</v>
      </c>
      <c r="B5273" t="s">
        <v>6693</v>
      </c>
      <c r="C5273" t="str">
        <f>HYPERLINK("https://nematode.unl.edu/labros8.jpg")</f>
        <v>https://nematode.unl.edu/labros8.jpg</v>
      </c>
      <c r="D5273" t="s">
        <v>77</v>
      </c>
      <c r="G5273" t="s">
        <v>230</v>
      </c>
      <c r="I5273" t="s">
        <v>19</v>
      </c>
      <c r="J5273" t="s">
        <v>46</v>
      </c>
      <c r="L5273" t="s">
        <v>105</v>
      </c>
      <c r="M5273" t="s">
        <v>6675</v>
      </c>
      <c r="N5273" t="s">
        <v>6675</v>
      </c>
      <c r="O5273" t="s">
        <v>73</v>
      </c>
      <c r="P5273" t="s">
        <v>81</v>
      </c>
      <c r="Q5273" t="s">
        <v>82</v>
      </c>
      <c r="R5273" t="s">
        <v>6675</v>
      </c>
    </row>
    <row r="5274" spans="1:18" x14ac:dyDescent="0.25">
      <c r="A5274" t="s">
        <v>21567</v>
      </c>
      <c r="B5274" t="s">
        <v>6694</v>
      </c>
      <c r="C5274" t="str">
        <f>HYPERLINK("https://nematode.unl.edu/labros9.jpg")</f>
        <v>https://nematode.unl.edu/labros9.jpg</v>
      </c>
      <c r="D5274" t="s">
        <v>77</v>
      </c>
      <c r="G5274" t="s">
        <v>87</v>
      </c>
      <c r="J5274" t="s">
        <v>46</v>
      </c>
      <c r="L5274" t="s">
        <v>105</v>
      </c>
      <c r="M5274" t="s">
        <v>6675</v>
      </c>
      <c r="N5274" t="s">
        <v>6675</v>
      </c>
      <c r="O5274" t="s">
        <v>73</v>
      </c>
      <c r="P5274" t="s">
        <v>81</v>
      </c>
      <c r="Q5274" t="s">
        <v>82</v>
      </c>
      <c r="R5274" t="s">
        <v>6675</v>
      </c>
    </row>
    <row r="5275" spans="1:18" x14ac:dyDescent="0.25">
      <c r="A5275" t="s">
        <v>21580</v>
      </c>
      <c r="B5275" t="s">
        <v>6709</v>
      </c>
      <c r="C5275" t="str">
        <f>HYPERLINK("https://nematode.unl.edu/labrox1.jpg")</f>
        <v>https://nematode.unl.edu/labrox1.jpg</v>
      </c>
      <c r="D5275" t="s">
        <v>43</v>
      </c>
      <c r="G5275" t="s">
        <v>96</v>
      </c>
      <c r="H5275" t="s">
        <v>18</v>
      </c>
      <c r="I5275" t="s">
        <v>45</v>
      </c>
      <c r="J5275" t="s">
        <v>46</v>
      </c>
      <c r="L5275" t="s">
        <v>105</v>
      </c>
      <c r="M5275" t="s">
        <v>6696</v>
      </c>
      <c r="N5275" t="s">
        <v>6696</v>
      </c>
      <c r="O5275" t="s">
        <v>73</v>
      </c>
      <c r="P5275" t="s">
        <v>81</v>
      </c>
      <c r="Q5275" t="s">
        <v>82</v>
      </c>
      <c r="R5275" t="s">
        <v>6675</v>
      </c>
    </row>
    <row r="5276" spans="1:18" x14ac:dyDescent="0.25">
      <c r="A5276" t="s">
        <v>21607</v>
      </c>
      <c r="B5276" t="s">
        <v>6710</v>
      </c>
      <c r="C5276" t="str">
        <f>HYPERLINK("https://nematode.unl.edu/labrox2.jpg")</f>
        <v>https://nematode.unl.edu/labrox2.jpg</v>
      </c>
      <c r="D5276" t="s">
        <v>43</v>
      </c>
      <c r="G5276" t="s">
        <v>28</v>
      </c>
      <c r="I5276" t="s">
        <v>137</v>
      </c>
      <c r="J5276" t="s">
        <v>46</v>
      </c>
      <c r="M5276" t="s">
        <v>6696</v>
      </c>
      <c r="N5276" t="s">
        <v>6696</v>
      </c>
      <c r="O5276" t="s">
        <v>73</v>
      </c>
      <c r="P5276" t="s">
        <v>81</v>
      </c>
      <c r="Q5276" t="s">
        <v>82</v>
      </c>
      <c r="R5276" t="s">
        <v>6675</v>
      </c>
    </row>
    <row r="5277" spans="1:18" x14ac:dyDescent="0.25">
      <c r="A5277" t="s">
        <v>21587</v>
      </c>
      <c r="B5277" t="s">
        <v>6711</v>
      </c>
      <c r="C5277" t="str">
        <f>HYPERLINK("https://nematode.unl.edu/labrox3.jpg")</f>
        <v>https://nematode.unl.edu/labrox3.jpg</v>
      </c>
      <c r="D5277" t="s">
        <v>43</v>
      </c>
      <c r="G5277" t="s">
        <v>34</v>
      </c>
      <c r="H5277" t="s">
        <v>18</v>
      </c>
      <c r="J5277" t="s">
        <v>46</v>
      </c>
      <c r="L5277" t="s">
        <v>105</v>
      </c>
      <c r="M5277" t="s">
        <v>6696</v>
      </c>
      <c r="N5277" t="s">
        <v>6696</v>
      </c>
      <c r="O5277" t="s">
        <v>73</v>
      </c>
      <c r="P5277" t="s">
        <v>81</v>
      </c>
      <c r="Q5277" t="s">
        <v>82</v>
      </c>
      <c r="R5277" t="s">
        <v>6675</v>
      </c>
    </row>
    <row r="5278" spans="1:18" x14ac:dyDescent="0.25">
      <c r="A5278" t="s">
        <v>21598</v>
      </c>
      <c r="B5278" t="s">
        <v>6712</v>
      </c>
      <c r="C5278" t="str">
        <f>HYPERLINK("https://nematode.unl.edu/labrox4.jpg")</f>
        <v>https://nematode.unl.edu/labrox4.jpg</v>
      </c>
      <c r="D5278" t="s">
        <v>43</v>
      </c>
      <c r="G5278" t="s">
        <v>3022</v>
      </c>
      <c r="I5278" t="s">
        <v>19</v>
      </c>
      <c r="J5278" t="s">
        <v>46</v>
      </c>
      <c r="L5278" t="s">
        <v>105</v>
      </c>
      <c r="M5278" t="s">
        <v>6696</v>
      </c>
      <c r="N5278" t="s">
        <v>6696</v>
      </c>
      <c r="O5278" t="s">
        <v>73</v>
      </c>
      <c r="P5278" t="s">
        <v>81</v>
      </c>
      <c r="Q5278" t="s">
        <v>82</v>
      </c>
      <c r="R5278" t="s">
        <v>6675</v>
      </c>
    </row>
    <row r="5279" spans="1:18" x14ac:dyDescent="0.25">
      <c r="A5279" t="s">
        <v>21616</v>
      </c>
      <c r="B5279" t="s">
        <v>6735</v>
      </c>
      <c r="C5279" t="str">
        <f>HYPERLINK("https://nematode.unl.edu/labrun1.jpg")</f>
        <v>https://nematode.unl.edu/labrun1.jpg</v>
      </c>
      <c r="D5279" t="s">
        <v>43</v>
      </c>
      <c r="G5279" t="s">
        <v>44</v>
      </c>
      <c r="I5279" t="s">
        <v>91</v>
      </c>
      <c r="J5279" t="s">
        <v>46</v>
      </c>
      <c r="L5279" t="s">
        <v>105</v>
      </c>
      <c r="M5279" t="s">
        <v>6736</v>
      </c>
      <c r="N5279" t="s">
        <v>6736</v>
      </c>
      <c r="O5279" t="s">
        <v>73</v>
      </c>
      <c r="P5279" t="s">
        <v>81</v>
      </c>
      <c r="Q5279" t="s">
        <v>82</v>
      </c>
      <c r="R5279" t="s">
        <v>6675</v>
      </c>
    </row>
    <row r="5280" spans="1:18" x14ac:dyDescent="0.25">
      <c r="A5280" t="s">
        <v>21612</v>
      </c>
      <c r="B5280" t="s">
        <v>6737</v>
      </c>
      <c r="C5280" t="str">
        <f>HYPERLINK("https://nematode.unl.edu/labrun2.jpg")</f>
        <v>https://nematode.unl.edu/labrun2.jpg</v>
      </c>
      <c r="D5280" t="s">
        <v>43</v>
      </c>
      <c r="G5280" t="s">
        <v>96</v>
      </c>
      <c r="H5280" t="s">
        <v>18</v>
      </c>
      <c r="I5280" t="s">
        <v>45</v>
      </c>
      <c r="J5280" t="s">
        <v>46</v>
      </c>
      <c r="L5280" t="s">
        <v>105</v>
      </c>
      <c r="M5280" t="s">
        <v>6736</v>
      </c>
      <c r="N5280" t="s">
        <v>6736</v>
      </c>
      <c r="O5280" t="s">
        <v>73</v>
      </c>
      <c r="P5280" t="s">
        <v>81</v>
      </c>
      <c r="Q5280" t="s">
        <v>82</v>
      </c>
      <c r="R5280" t="s">
        <v>6675</v>
      </c>
    </row>
    <row r="5281" spans="1:18" x14ac:dyDescent="0.25">
      <c r="A5281" t="s">
        <v>21617</v>
      </c>
      <c r="B5281" t="s">
        <v>6738</v>
      </c>
      <c r="C5281" t="str">
        <f>HYPERLINK("https://nematode.unl.edu/labrun3.jpg")</f>
        <v>https://nematode.unl.edu/labrun3.jpg</v>
      </c>
      <c r="D5281" t="s">
        <v>43</v>
      </c>
      <c r="G5281" t="s">
        <v>28</v>
      </c>
      <c r="J5281" t="s">
        <v>46</v>
      </c>
      <c r="L5281" t="s">
        <v>105</v>
      </c>
      <c r="M5281" t="s">
        <v>6736</v>
      </c>
      <c r="N5281" t="s">
        <v>6736</v>
      </c>
      <c r="O5281" t="s">
        <v>73</v>
      </c>
      <c r="P5281" t="s">
        <v>81</v>
      </c>
      <c r="Q5281" t="s">
        <v>82</v>
      </c>
      <c r="R5281" t="s">
        <v>6675</v>
      </c>
    </row>
    <row r="5282" spans="1:18" x14ac:dyDescent="0.25">
      <c r="A5282" t="s">
        <v>21618</v>
      </c>
      <c r="B5282" t="s">
        <v>6739</v>
      </c>
      <c r="C5282" t="str">
        <f>HYPERLINK("https://nematode.unl.edu/labrun4.jpg")</f>
        <v>https://nematode.unl.edu/labrun4.jpg</v>
      </c>
      <c r="D5282" t="s">
        <v>43</v>
      </c>
      <c r="G5282" t="s">
        <v>28</v>
      </c>
      <c r="J5282" t="s">
        <v>46</v>
      </c>
      <c r="M5282" t="s">
        <v>6736</v>
      </c>
      <c r="N5282" t="s">
        <v>6736</v>
      </c>
      <c r="O5282" t="s">
        <v>73</v>
      </c>
      <c r="P5282" t="s">
        <v>81</v>
      </c>
      <c r="Q5282" t="s">
        <v>82</v>
      </c>
      <c r="R5282" t="s">
        <v>6675</v>
      </c>
    </row>
    <row r="5283" spans="1:18" x14ac:dyDescent="0.25">
      <c r="A5283" t="s">
        <v>21613</v>
      </c>
      <c r="B5283" t="s">
        <v>6740</v>
      </c>
      <c r="C5283" t="str">
        <f>HYPERLINK("https://nematode.unl.edu/labrun5.jpg")</f>
        <v>https://nematode.unl.edu/labrun5.jpg</v>
      </c>
      <c r="D5283" t="s">
        <v>43</v>
      </c>
      <c r="G5283" t="s">
        <v>34</v>
      </c>
      <c r="H5283" t="s">
        <v>18</v>
      </c>
      <c r="I5283" t="s">
        <v>516</v>
      </c>
      <c r="J5283" t="s">
        <v>46</v>
      </c>
      <c r="L5283" t="s">
        <v>105</v>
      </c>
      <c r="M5283" t="s">
        <v>6736</v>
      </c>
      <c r="N5283" t="s">
        <v>6736</v>
      </c>
      <c r="O5283" t="s">
        <v>73</v>
      </c>
      <c r="P5283" t="s">
        <v>81</v>
      </c>
      <c r="Q5283" t="s">
        <v>82</v>
      </c>
      <c r="R5283" t="s">
        <v>6675</v>
      </c>
    </row>
    <row r="5284" spans="1:18" x14ac:dyDescent="0.25">
      <c r="A5284" t="s">
        <v>21614</v>
      </c>
      <c r="B5284" t="s">
        <v>6741</v>
      </c>
      <c r="C5284" t="str">
        <f>HYPERLINK("https://nematode.unl.edu/labrun6.jpg")</f>
        <v>https://nematode.unl.edu/labrun6.jpg</v>
      </c>
      <c r="D5284" t="s">
        <v>43</v>
      </c>
      <c r="G5284" t="s">
        <v>257</v>
      </c>
      <c r="H5284" t="s">
        <v>18</v>
      </c>
      <c r="I5284" t="s">
        <v>19</v>
      </c>
      <c r="L5284" t="s">
        <v>105</v>
      </c>
      <c r="M5284" t="s">
        <v>6736</v>
      </c>
      <c r="N5284" t="s">
        <v>6736</v>
      </c>
      <c r="O5284" t="s">
        <v>73</v>
      </c>
      <c r="P5284" t="s">
        <v>81</v>
      </c>
      <c r="Q5284" t="s">
        <v>82</v>
      </c>
      <c r="R5284" t="s">
        <v>6675</v>
      </c>
    </row>
    <row r="5285" spans="1:18" x14ac:dyDescent="0.25">
      <c r="A5285" t="s">
        <v>21615</v>
      </c>
      <c r="B5285" t="s">
        <v>6742</v>
      </c>
      <c r="C5285" t="str">
        <f>HYPERLINK("https://nematode.unl.edu/labrun7.jpg")</f>
        <v>https://nematode.unl.edu/labrun7.jpg</v>
      </c>
      <c r="D5285" t="s">
        <v>43</v>
      </c>
      <c r="G5285" t="s">
        <v>87</v>
      </c>
      <c r="I5285" t="s">
        <v>516</v>
      </c>
      <c r="J5285" t="s">
        <v>46</v>
      </c>
      <c r="L5285" t="s">
        <v>105</v>
      </c>
      <c r="M5285" t="s">
        <v>6736</v>
      </c>
      <c r="N5285" t="s">
        <v>6736</v>
      </c>
      <c r="O5285" t="s">
        <v>73</v>
      </c>
      <c r="P5285" t="s">
        <v>81</v>
      </c>
      <c r="Q5285" t="s">
        <v>82</v>
      </c>
      <c r="R5285" t="s">
        <v>6675</v>
      </c>
    </row>
    <row r="5286" spans="1:18" x14ac:dyDescent="0.25">
      <c r="A5286" t="s">
        <v>21620</v>
      </c>
      <c r="B5286" t="s">
        <v>6743</v>
      </c>
      <c r="C5286" t="str">
        <f>HYPERLINK("https://nematode.unl.edu/labrun8.jpg")</f>
        <v>https://nematode.unl.edu/labrun8.jpg</v>
      </c>
      <c r="D5286" t="s">
        <v>43</v>
      </c>
      <c r="G5286" t="s">
        <v>51</v>
      </c>
      <c r="I5286" t="s">
        <v>19</v>
      </c>
      <c r="M5286" t="s">
        <v>6736</v>
      </c>
      <c r="N5286" t="s">
        <v>6736</v>
      </c>
      <c r="O5286" t="s">
        <v>73</v>
      </c>
      <c r="P5286" t="s">
        <v>81</v>
      </c>
      <c r="Q5286" t="s">
        <v>82</v>
      </c>
      <c r="R5286" t="s">
        <v>6675</v>
      </c>
    </row>
    <row r="5287" spans="1:18" x14ac:dyDescent="0.25">
      <c r="A5287" t="s">
        <v>21619</v>
      </c>
      <c r="B5287" t="s">
        <v>6744</v>
      </c>
      <c r="C5287" t="str">
        <f>HYPERLINK("https://nematode.unl.edu/labrun9.jpg")</f>
        <v>https://nematode.unl.edu/labrun9.jpg</v>
      </c>
      <c r="D5287" t="s">
        <v>43</v>
      </c>
      <c r="G5287" t="s">
        <v>28</v>
      </c>
      <c r="J5287" t="s">
        <v>46</v>
      </c>
      <c r="L5287" t="s">
        <v>105</v>
      </c>
      <c r="M5287" t="s">
        <v>6736</v>
      </c>
      <c r="N5287" t="s">
        <v>6736</v>
      </c>
      <c r="O5287" t="s">
        <v>73</v>
      </c>
      <c r="P5287" t="s">
        <v>81</v>
      </c>
      <c r="Q5287" t="s">
        <v>82</v>
      </c>
      <c r="R5287" t="s">
        <v>6675</v>
      </c>
    </row>
    <row r="5288" spans="1:18" x14ac:dyDescent="0.25">
      <c r="A5288" t="s">
        <v>21679</v>
      </c>
      <c r="B5288" t="s">
        <v>6801</v>
      </c>
      <c r="C5288" t="str">
        <f>HYPERLINK("https://nematode.unl.edu/labrut1.jpg")</f>
        <v>https://nematode.unl.edu/labrut1.jpg</v>
      </c>
      <c r="D5288" t="s">
        <v>43</v>
      </c>
      <c r="G5288" t="s">
        <v>44</v>
      </c>
      <c r="I5288" t="s">
        <v>45</v>
      </c>
      <c r="J5288" t="s">
        <v>20</v>
      </c>
      <c r="L5288" t="s">
        <v>352</v>
      </c>
      <c r="M5288" t="s">
        <v>6802</v>
      </c>
      <c r="N5288" t="s">
        <v>6802</v>
      </c>
      <c r="O5288" t="s">
        <v>73</v>
      </c>
      <c r="P5288" t="s">
        <v>81</v>
      </c>
      <c r="Q5288" t="s">
        <v>82</v>
      </c>
      <c r="R5288" t="s">
        <v>6797</v>
      </c>
    </row>
    <row r="5289" spans="1:18" x14ac:dyDescent="0.25">
      <c r="A5289" t="s">
        <v>21682</v>
      </c>
      <c r="B5289" t="s">
        <v>6803</v>
      </c>
      <c r="C5289" t="str">
        <f>HYPERLINK("https://nematode.unl.edu/labrut10.jpg")</f>
        <v>https://nematode.unl.edu/labrut10.jpg</v>
      </c>
      <c r="D5289" t="s">
        <v>77</v>
      </c>
      <c r="G5289" t="s">
        <v>28</v>
      </c>
      <c r="J5289" t="s">
        <v>20</v>
      </c>
      <c r="M5289" t="s">
        <v>6802</v>
      </c>
      <c r="N5289" t="s">
        <v>6802</v>
      </c>
      <c r="O5289" t="s">
        <v>73</v>
      </c>
      <c r="P5289" t="s">
        <v>81</v>
      </c>
      <c r="Q5289" t="s">
        <v>82</v>
      </c>
      <c r="R5289" t="s">
        <v>6797</v>
      </c>
    </row>
    <row r="5290" spans="1:18" x14ac:dyDescent="0.25">
      <c r="A5290" t="s">
        <v>21673</v>
      </c>
      <c r="B5290" t="s">
        <v>6804</v>
      </c>
      <c r="C5290" t="str">
        <f>HYPERLINK("https://nematode.unl.edu/labrut11.jpg")</f>
        <v>https://nematode.unl.edu/labrut11.jpg</v>
      </c>
      <c r="D5290" t="s">
        <v>77</v>
      </c>
      <c r="G5290" t="s">
        <v>34</v>
      </c>
      <c r="H5290" t="s">
        <v>18</v>
      </c>
      <c r="I5290" t="s">
        <v>41</v>
      </c>
      <c r="L5290" t="s">
        <v>752</v>
      </c>
      <c r="M5290" t="s">
        <v>6802</v>
      </c>
      <c r="N5290" t="s">
        <v>6802</v>
      </c>
      <c r="O5290" t="s">
        <v>73</v>
      </c>
      <c r="P5290" t="s">
        <v>81</v>
      </c>
      <c r="Q5290" t="s">
        <v>82</v>
      </c>
      <c r="R5290" t="s">
        <v>6797</v>
      </c>
    </row>
    <row r="5291" spans="1:18" x14ac:dyDescent="0.25">
      <c r="A5291" t="s">
        <v>21672</v>
      </c>
      <c r="B5291" t="s">
        <v>6805</v>
      </c>
      <c r="C5291" t="str">
        <f>HYPERLINK("https://nematode.unl.edu/labrut12.jpg")</f>
        <v>https://nematode.unl.edu/labrut12.jpg</v>
      </c>
      <c r="D5291" t="s">
        <v>77</v>
      </c>
      <c r="G5291" t="s">
        <v>17</v>
      </c>
      <c r="H5291" t="s">
        <v>18</v>
      </c>
      <c r="I5291" t="s">
        <v>41</v>
      </c>
      <c r="M5291" t="s">
        <v>6802</v>
      </c>
      <c r="N5291" t="s">
        <v>6802</v>
      </c>
      <c r="O5291" t="s">
        <v>73</v>
      </c>
      <c r="P5291" t="s">
        <v>81</v>
      </c>
      <c r="Q5291" t="s">
        <v>82</v>
      </c>
      <c r="R5291" t="s">
        <v>6797</v>
      </c>
    </row>
    <row r="5292" spans="1:18" x14ac:dyDescent="0.25">
      <c r="A5292" t="s">
        <v>21685</v>
      </c>
      <c r="B5292" t="s">
        <v>6806</v>
      </c>
      <c r="C5292" t="str">
        <f>HYPERLINK("https://nematode.unl.edu/labrut13.jpg")</f>
        <v>https://nematode.unl.edu/labrut13.jpg</v>
      </c>
      <c r="D5292" t="s">
        <v>77</v>
      </c>
      <c r="G5292" t="s">
        <v>2382</v>
      </c>
      <c r="I5292" t="s">
        <v>529</v>
      </c>
      <c r="J5292" t="s">
        <v>20</v>
      </c>
      <c r="L5292" t="s">
        <v>752</v>
      </c>
      <c r="M5292" t="s">
        <v>6802</v>
      </c>
      <c r="N5292" t="s">
        <v>6802</v>
      </c>
      <c r="O5292" t="s">
        <v>73</v>
      </c>
      <c r="P5292" t="s">
        <v>81</v>
      </c>
      <c r="Q5292" t="s">
        <v>82</v>
      </c>
      <c r="R5292" t="s">
        <v>6797</v>
      </c>
    </row>
    <row r="5293" spans="1:18" x14ac:dyDescent="0.25">
      <c r="A5293" t="s">
        <v>21681</v>
      </c>
      <c r="B5293" t="s">
        <v>6807</v>
      </c>
      <c r="C5293" t="str">
        <f>HYPERLINK("https://nematode.unl.edu/labrut14.jpg")</f>
        <v>https://nematode.unl.edu/labrut14.jpg</v>
      </c>
      <c r="D5293" t="s">
        <v>77</v>
      </c>
      <c r="G5293" t="s">
        <v>112</v>
      </c>
      <c r="I5293" t="s">
        <v>529</v>
      </c>
      <c r="J5293" t="s">
        <v>20</v>
      </c>
      <c r="L5293" t="s">
        <v>752</v>
      </c>
      <c r="M5293" t="s">
        <v>6802</v>
      </c>
      <c r="N5293" t="s">
        <v>6802</v>
      </c>
      <c r="O5293" t="s">
        <v>73</v>
      </c>
      <c r="P5293" t="s">
        <v>81</v>
      </c>
      <c r="Q5293" t="s">
        <v>82</v>
      </c>
      <c r="R5293" t="s">
        <v>6797</v>
      </c>
    </row>
    <row r="5294" spans="1:18" x14ac:dyDescent="0.25">
      <c r="A5294" t="s">
        <v>21683</v>
      </c>
      <c r="B5294" t="s">
        <v>6808</v>
      </c>
      <c r="C5294" t="str">
        <f>HYPERLINK("https://nematode.unl.edu/labrut15.jpg")</f>
        <v>https://nematode.unl.edu/labrut15.jpg</v>
      </c>
      <c r="D5294" t="s">
        <v>77</v>
      </c>
      <c r="G5294" t="s">
        <v>28</v>
      </c>
      <c r="I5294" t="s">
        <v>41</v>
      </c>
      <c r="J5294" t="s">
        <v>20</v>
      </c>
      <c r="L5294" t="s">
        <v>752</v>
      </c>
      <c r="M5294" t="s">
        <v>6802</v>
      </c>
      <c r="N5294" t="s">
        <v>6802</v>
      </c>
      <c r="O5294" t="s">
        <v>73</v>
      </c>
      <c r="P5294" t="s">
        <v>81</v>
      </c>
      <c r="Q5294" t="s">
        <v>82</v>
      </c>
      <c r="R5294" t="s">
        <v>6797</v>
      </c>
    </row>
    <row r="5295" spans="1:18" x14ac:dyDescent="0.25">
      <c r="A5295" t="s">
        <v>21684</v>
      </c>
      <c r="B5295" t="s">
        <v>6809</v>
      </c>
      <c r="C5295" t="str">
        <f>HYPERLINK("https://nematode.unl.edu/labrut2.jpg")</f>
        <v>https://nematode.unl.edu/labrut2.jpg</v>
      </c>
      <c r="D5295" t="s">
        <v>43</v>
      </c>
      <c r="G5295" t="s">
        <v>28</v>
      </c>
      <c r="J5295" t="s">
        <v>20</v>
      </c>
      <c r="L5295" t="s">
        <v>141</v>
      </c>
      <c r="M5295" t="s">
        <v>6802</v>
      </c>
      <c r="N5295" t="s">
        <v>6802</v>
      </c>
      <c r="O5295" t="s">
        <v>73</v>
      </c>
      <c r="P5295" t="s">
        <v>81</v>
      </c>
      <c r="Q5295" t="s">
        <v>82</v>
      </c>
      <c r="R5295" t="s">
        <v>6797</v>
      </c>
    </row>
    <row r="5296" spans="1:18" x14ac:dyDescent="0.25">
      <c r="A5296" t="s">
        <v>21686</v>
      </c>
      <c r="B5296" t="s">
        <v>6810</v>
      </c>
      <c r="C5296" t="str">
        <f>HYPERLINK("https://nematode.unl.edu/labrut3.jpg")</f>
        <v>https://nematode.unl.edu/labrut3.jpg</v>
      </c>
      <c r="D5296" t="s">
        <v>43</v>
      </c>
      <c r="G5296" t="s">
        <v>51</v>
      </c>
      <c r="M5296" t="s">
        <v>6802</v>
      </c>
      <c r="N5296" t="s">
        <v>6802</v>
      </c>
      <c r="O5296" t="s">
        <v>73</v>
      </c>
      <c r="P5296" t="s">
        <v>81</v>
      </c>
      <c r="Q5296" t="s">
        <v>82</v>
      </c>
      <c r="R5296" t="s">
        <v>6797</v>
      </c>
    </row>
    <row r="5297" spans="1:18" x14ac:dyDescent="0.25">
      <c r="A5297" t="s">
        <v>21677</v>
      </c>
      <c r="B5297" t="s">
        <v>6811</v>
      </c>
      <c r="C5297" t="str">
        <f>HYPERLINK("https://nematode.unl.edu/labrut4.jpg")</f>
        <v>https://nematode.unl.edu/labrut4.jpg</v>
      </c>
      <c r="D5297" t="s">
        <v>43</v>
      </c>
      <c r="G5297" t="s">
        <v>87</v>
      </c>
      <c r="J5297" t="s">
        <v>20</v>
      </c>
      <c r="L5297" t="s">
        <v>141</v>
      </c>
      <c r="M5297" t="s">
        <v>6802</v>
      </c>
      <c r="N5297" t="s">
        <v>6802</v>
      </c>
      <c r="O5297" t="s">
        <v>73</v>
      </c>
      <c r="P5297" t="s">
        <v>81</v>
      </c>
      <c r="Q5297" t="s">
        <v>82</v>
      </c>
      <c r="R5297" t="s">
        <v>6797</v>
      </c>
    </row>
    <row r="5298" spans="1:18" x14ac:dyDescent="0.25">
      <c r="A5298" t="s">
        <v>21674</v>
      </c>
      <c r="B5298" t="s">
        <v>6812</v>
      </c>
      <c r="C5298" t="str">
        <f>HYPERLINK("https://nematode.unl.edu/labrut5.jpg")</f>
        <v>https://nematode.unl.edu/labrut5.jpg</v>
      </c>
      <c r="D5298" t="s">
        <v>43</v>
      </c>
      <c r="G5298" t="s">
        <v>34</v>
      </c>
      <c r="H5298" t="s">
        <v>18</v>
      </c>
      <c r="I5298" t="s">
        <v>19</v>
      </c>
      <c r="J5298" t="s">
        <v>20</v>
      </c>
      <c r="L5298" t="s">
        <v>352</v>
      </c>
      <c r="M5298" t="s">
        <v>6802</v>
      </c>
      <c r="N5298" t="s">
        <v>6802</v>
      </c>
      <c r="O5298" t="s">
        <v>73</v>
      </c>
      <c r="P5298" t="s">
        <v>81</v>
      </c>
      <c r="Q5298" t="s">
        <v>82</v>
      </c>
      <c r="R5298" t="s">
        <v>6797</v>
      </c>
    </row>
    <row r="5299" spans="1:18" x14ac:dyDescent="0.25">
      <c r="A5299" t="s">
        <v>21675</v>
      </c>
      <c r="B5299" t="s">
        <v>6813</v>
      </c>
      <c r="C5299" t="str">
        <f>HYPERLINK("https://nematode.unl.edu/labrut6.jpg")</f>
        <v>https://nematode.unl.edu/labrut6.jpg</v>
      </c>
      <c r="D5299" t="s">
        <v>43</v>
      </c>
      <c r="G5299" t="s">
        <v>34</v>
      </c>
      <c r="H5299" t="s">
        <v>18</v>
      </c>
      <c r="I5299" t="s">
        <v>19</v>
      </c>
      <c r="J5299" t="s">
        <v>20</v>
      </c>
      <c r="L5299" t="s">
        <v>141</v>
      </c>
      <c r="M5299" t="s">
        <v>6802</v>
      </c>
      <c r="N5299" t="s">
        <v>6802</v>
      </c>
      <c r="O5299" t="s">
        <v>73</v>
      </c>
      <c r="P5299" t="s">
        <v>81</v>
      </c>
      <c r="Q5299" t="s">
        <v>82</v>
      </c>
      <c r="R5299" t="s">
        <v>6797</v>
      </c>
    </row>
    <row r="5300" spans="1:18" x14ac:dyDescent="0.25">
      <c r="A5300" t="s">
        <v>21680</v>
      </c>
      <c r="B5300" t="s">
        <v>6814</v>
      </c>
      <c r="C5300" t="str">
        <f>HYPERLINK("https://nematode.unl.edu/labrut7.jpg")</f>
        <v>https://nematode.unl.edu/labrut7.jpg</v>
      </c>
      <c r="D5300" t="s">
        <v>77</v>
      </c>
      <c r="G5300" t="s">
        <v>44</v>
      </c>
      <c r="I5300" t="s">
        <v>91</v>
      </c>
      <c r="J5300" t="s">
        <v>20</v>
      </c>
      <c r="L5300" t="s">
        <v>752</v>
      </c>
      <c r="M5300" t="s">
        <v>6802</v>
      </c>
      <c r="N5300" t="s">
        <v>6802</v>
      </c>
      <c r="O5300" t="s">
        <v>73</v>
      </c>
      <c r="P5300" t="s">
        <v>81</v>
      </c>
      <c r="Q5300" t="s">
        <v>82</v>
      </c>
      <c r="R5300" t="s">
        <v>6797</v>
      </c>
    </row>
    <row r="5301" spans="1:18" x14ac:dyDescent="0.25">
      <c r="A5301" t="s">
        <v>21676</v>
      </c>
      <c r="B5301" t="s">
        <v>6815</v>
      </c>
      <c r="C5301" t="str">
        <f>HYPERLINK("https://nematode.unl.edu/labrut8.jpg")</f>
        <v>https://nematode.unl.edu/labrut8.jpg</v>
      </c>
      <c r="D5301" t="s">
        <v>77</v>
      </c>
      <c r="G5301" t="s">
        <v>34</v>
      </c>
      <c r="H5301" t="s">
        <v>18</v>
      </c>
      <c r="I5301" t="s">
        <v>19</v>
      </c>
      <c r="J5301" t="s">
        <v>20</v>
      </c>
      <c r="M5301" t="s">
        <v>6802</v>
      </c>
      <c r="N5301" t="s">
        <v>6802</v>
      </c>
      <c r="O5301" t="s">
        <v>73</v>
      </c>
      <c r="P5301" t="s">
        <v>81</v>
      </c>
      <c r="Q5301" t="s">
        <v>82</v>
      </c>
      <c r="R5301" t="s">
        <v>6797</v>
      </c>
    </row>
    <row r="5302" spans="1:18" x14ac:dyDescent="0.25">
      <c r="A5302" t="s">
        <v>21678</v>
      </c>
      <c r="B5302" t="s">
        <v>6816</v>
      </c>
      <c r="C5302" t="str">
        <f>HYPERLINK("https://nematode.unl.edu/labrut9.jpg")</f>
        <v>https://nematode.unl.edu/labrut9.jpg</v>
      </c>
      <c r="D5302" t="s">
        <v>77</v>
      </c>
      <c r="G5302" t="s">
        <v>87</v>
      </c>
      <c r="I5302" t="s">
        <v>19</v>
      </c>
      <c r="J5302" t="s">
        <v>20</v>
      </c>
      <c r="M5302" t="s">
        <v>6802</v>
      </c>
      <c r="N5302" t="s">
        <v>6802</v>
      </c>
      <c r="O5302" t="s">
        <v>73</v>
      </c>
      <c r="P5302" t="s">
        <v>81</v>
      </c>
      <c r="Q5302" t="s">
        <v>82</v>
      </c>
      <c r="R5302" t="s">
        <v>6797</v>
      </c>
    </row>
    <row r="5303" spans="1:18" x14ac:dyDescent="0.25">
      <c r="A5303" t="s">
        <v>21658</v>
      </c>
      <c r="B5303" t="s">
        <v>6784</v>
      </c>
      <c r="C5303" t="str">
        <f>HYPERLINK("https://nematode.unl.edu/labva1.jpg")</f>
        <v>https://nematode.unl.edu/labva1.jpg</v>
      </c>
      <c r="D5303" t="s">
        <v>16</v>
      </c>
      <c r="G5303" t="s">
        <v>34</v>
      </c>
      <c r="H5303" t="s">
        <v>18</v>
      </c>
      <c r="I5303" t="s">
        <v>45</v>
      </c>
      <c r="M5303" t="s">
        <v>6785</v>
      </c>
      <c r="N5303" t="s">
        <v>6785</v>
      </c>
      <c r="O5303" t="s">
        <v>73</v>
      </c>
      <c r="P5303" t="s">
        <v>81</v>
      </c>
      <c r="Q5303" t="s">
        <v>82</v>
      </c>
      <c r="R5303" t="s">
        <v>6675</v>
      </c>
    </row>
    <row r="5304" spans="1:18" x14ac:dyDescent="0.25">
      <c r="A5304" t="s">
        <v>21663</v>
      </c>
      <c r="B5304" t="s">
        <v>6786</v>
      </c>
      <c r="C5304" t="str">
        <f>HYPERLINK("https://nematode.unl.edu/labva2.jpg")</f>
        <v>https://nematode.unl.edu/labva2.jpg</v>
      </c>
      <c r="D5304" t="s">
        <v>16</v>
      </c>
      <c r="G5304" t="s">
        <v>28</v>
      </c>
      <c r="I5304" t="s">
        <v>45</v>
      </c>
      <c r="J5304" t="s">
        <v>482</v>
      </c>
      <c r="L5304" t="s">
        <v>5046</v>
      </c>
      <c r="M5304" t="s">
        <v>6785</v>
      </c>
      <c r="N5304" t="s">
        <v>6785</v>
      </c>
      <c r="O5304" t="s">
        <v>73</v>
      </c>
      <c r="P5304" t="s">
        <v>81</v>
      </c>
      <c r="Q5304" t="s">
        <v>82</v>
      </c>
      <c r="R5304" t="s">
        <v>6675</v>
      </c>
    </row>
    <row r="5305" spans="1:18" x14ac:dyDescent="0.25">
      <c r="A5305" t="s">
        <v>21664</v>
      </c>
      <c r="B5305" t="s">
        <v>6787</v>
      </c>
      <c r="C5305" t="str">
        <f>HYPERLINK("https://nematode.unl.edu/labva3.jpg")</f>
        <v>https://nematode.unl.edu/labva3.jpg</v>
      </c>
      <c r="D5305" t="s">
        <v>16</v>
      </c>
      <c r="G5305" t="s">
        <v>28</v>
      </c>
      <c r="I5305" t="s">
        <v>19</v>
      </c>
      <c r="J5305" t="s">
        <v>482</v>
      </c>
      <c r="L5305" t="s">
        <v>5046</v>
      </c>
      <c r="M5305" t="s">
        <v>6785</v>
      </c>
      <c r="N5305" t="s">
        <v>6785</v>
      </c>
      <c r="O5305" t="s">
        <v>73</v>
      </c>
      <c r="P5305" t="s">
        <v>81</v>
      </c>
      <c r="Q5305" t="s">
        <v>82</v>
      </c>
      <c r="R5305" t="s">
        <v>6675</v>
      </c>
    </row>
    <row r="5306" spans="1:18" x14ac:dyDescent="0.25">
      <c r="A5306" t="s">
        <v>21667</v>
      </c>
      <c r="B5306" t="s">
        <v>6788</v>
      </c>
      <c r="C5306" t="str">
        <f>HYPERLINK("https://nematode.unl.edu/labva4.jpg")</f>
        <v>https://nematode.unl.edu/labva4.jpg</v>
      </c>
      <c r="D5306" t="s">
        <v>43</v>
      </c>
      <c r="G5306" t="s">
        <v>51</v>
      </c>
      <c r="I5306" t="s">
        <v>19</v>
      </c>
      <c r="J5306" t="s">
        <v>440</v>
      </c>
      <c r="M5306" t="s">
        <v>6785</v>
      </c>
      <c r="N5306" t="s">
        <v>6785</v>
      </c>
      <c r="O5306" t="s">
        <v>73</v>
      </c>
      <c r="P5306" t="s">
        <v>81</v>
      </c>
      <c r="Q5306" t="s">
        <v>82</v>
      </c>
      <c r="R5306" t="s">
        <v>6675</v>
      </c>
    </row>
    <row r="5307" spans="1:18" x14ac:dyDescent="0.25">
      <c r="A5307" t="s">
        <v>21660</v>
      </c>
      <c r="B5307" t="s">
        <v>6789</v>
      </c>
      <c r="C5307" t="str">
        <f>HYPERLINK("https://nematode.unl.edu/labva5.jpg")</f>
        <v>https://nematode.unl.edu/labva5.jpg</v>
      </c>
      <c r="D5307" t="s">
        <v>16</v>
      </c>
      <c r="G5307" t="s">
        <v>6790</v>
      </c>
      <c r="I5307" t="s">
        <v>19</v>
      </c>
      <c r="J5307" t="s">
        <v>482</v>
      </c>
      <c r="L5307" t="s">
        <v>1147</v>
      </c>
      <c r="M5307" t="s">
        <v>6785</v>
      </c>
      <c r="N5307" t="s">
        <v>6785</v>
      </c>
      <c r="O5307" t="s">
        <v>73</v>
      </c>
      <c r="P5307" t="s">
        <v>81</v>
      </c>
      <c r="Q5307" t="s">
        <v>82</v>
      </c>
      <c r="R5307" t="s">
        <v>6675</v>
      </c>
    </row>
    <row r="5308" spans="1:18" x14ac:dyDescent="0.25">
      <c r="A5308" t="s">
        <v>21659</v>
      </c>
      <c r="B5308" t="s">
        <v>6791</v>
      </c>
      <c r="C5308" t="str">
        <f>HYPERLINK("https://nematode.unl.edu/labva6.jpg")</f>
        <v>https://nematode.unl.edu/labva6.jpg</v>
      </c>
      <c r="D5308" t="s">
        <v>16</v>
      </c>
      <c r="G5308" t="s">
        <v>34</v>
      </c>
      <c r="H5308" t="s">
        <v>18</v>
      </c>
      <c r="M5308" t="s">
        <v>6785</v>
      </c>
      <c r="N5308" t="s">
        <v>6785</v>
      </c>
      <c r="O5308" t="s">
        <v>73</v>
      </c>
      <c r="P5308" t="s">
        <v>81</v>
      </c>
      <c r="Q5308" t="s">
        <v>82</v>
      </c>
      <c r="R5308" t="s">
        <v>6675</v>
      </c>
    </row>
    <row r="5309" spans="1:18" x14ac:dyDescent="0.25">
      <c r="A5309" t="s">
        <v>21661</v>
      </c>
      <c r="B5309" t="s">
        <v>6792</v>
      </c>
      <c r="C5309" t="str">
        <f>HYPERLINK("https://nematode.unl.edu/labva7.jpg")</f>
        <v>https://nematode.unl.edu/labva7.jpg</v>
      </c>
      <c r="D5309" t="s">
        <v>16</v>
      </c>
      <c r="G5309" t="s">
        <v>5156</v>
      </c>
      <c r="I5309" t="s">
        <v>516</v>
      </c>
      <c r="J5309" t="s">
        <v>482</v>
      </c>
      <c r="L5309" t="s">
        <v>1147</v>
      </c>
      <c r="M5309" t="s">
        <v>6785</v>
      </c>
      <c r="N5309" t="s">
        <v>6785</v>
      </c>
      <c r="O5309" t="s">
        <v>73</v>
      </c>
      <c r="P5309" t="s">
        <v>81</v>
      </c>
      <c r="Q5309" t="s">
        <v>82</v>
      </c>
      <c r="R5309" t="s">
        <v>6675</v>
      </c>
    </row>
    <row r="5310" spans="1:18" x14ac:dyDescent="0.25">
      <c r="A5310" t="s">
        <v>21662</v>
      </c>
      <c r="B5310" t="s">
        <v>6793</v>
      </c>
      <c r="C5310" t="str">
        <f>HYPERLINK("https://nematode.unl.edu/labva8.jpg")</f>
        <v>https://nematode.unl.edu/labva8.jpg</v>
      </c>
      <c r="D5310" t="s">
        <v>16</v>
      </c>
      <c r="G5310" t="s">
        <v>5156</v>
      </c>
      <c r="I5310" t="s">
        <v>137</v>
      </c>
      <c r="J5310" t="s">
        <v>482</v>
      </c>
      <c r="L5310" t="s">
        <v>5046</v>
      </c>
      <c r="M5310" t="s">
        <v>6785</v>
      </c>
      <c r="N5310" t="s">
        <v>6785</v>
      </c>
      <c r="O5310" t="s">
        <v>73</v>
      </c>
      <c r="P5310" t="s">
        <v>81</v>
      </c>
      <c r="Q5310" t="s">
        <v>82</v>
      </c>
      <c r="R5310" t="s">
        <v>6675</v>
      </c>
    </row>
    <row r="5311" spans="1:18" x14ac:dyDescent="0.25">
      <c r="A5311" t="s">
        <v>21665</v>
      </c>
      <c r="B5311" t="s">
        <v>6794</v>
      </c>
      <c r="C5311" t="str">
        <f>HYPERLINK("https://nematode.unl.edu/labva9.jpg")</f>
        <v>https://nematode.unl.edu/labva9.jpg</v>
      </c>
      <c r="D5311" t="s">
        <v>16</v>
      </c>
      <c r="G5311" t="s">
        <v>28</v>
      </c>
      <c r="I5311" t="s">
        <v>137</v>
      </c>
      <c r="J5311" t="s">
        <v>482</v>
      </c>
      <c r="L5311" t="s">
        <v>5046</v>
      </c>
      <c r="M5311" t="s">
        <v>6785</v>
      </c>
      <c r="N5311" t="s">
        <v>6785</v>
      </c>
      <c r="O5311" t="s">
        <v>73</v>
      </c>
      <c r="P5311" t="s">
        <v>81</v>
      </c>
      <c r="Q5311" t="s">
        <v>82</v>
      </c>
      <c r="R5311" t="s">
        <v>6675</v>
      </c>
    </row>
    <row r="5312" spans="1:18" x14ac:dyDescent="0.25">
      <c r="A5312" t="s">
        <v>21666</v>
      </c>
      <c r="B5312" t="s">
        <v>6795</v>
      </c>
      <c r="C5312" t="str">
        <f>HYPERLINK("https://nematode.unl.edu/labvacmp.jpg")</f>
        <v>https://nematode.unl.edu/labvacmp.jpg</v>
      </c>
      <c r="D5312" t="s">
        <v>43</v>
      </c>
      <c r="G5312" t="s">
        <v>28</v>
      </c>
      <c r="J5312" t="s">
        <v>482</v>
      </c>
      <c r="M5312" t="s">
        <v>6785</v>
      </c>
      <c r="N5312" t="s">
        <v>6785</v>
      </c>
      <c r="O5312" t="s">
        <v>73</v>
      </c>
      <c r="P5312" t="s">
        <v>81</v>
      </c>
      <c r="Q5312" t="s">
        <v>82</v>
      </c>
      <c r="R5312" t="s">
        <v>6675</v>
      </c>
    </row>
    <row r="5313" spans="1:18" x14ac:dyDescent="0.25">
      <c r="A5313" t="s">
        <v>20731</v>
      </c>
      <c r="B5313" t="s">
        <v>6817</v>
      </c>
      <c r="C5313" t="str">
        <f>HYPERLINK("https://nematode.unl.edu/laevila1.jpg")</f>
        <v>https://nematode.unl.edu/laevila1.jpg</v>
      </c>
      <c r="D5313" t="s">
        <v>43</v>
      </c>
      <c r="G5313" t="s">
        <v>34</v>
      </c>
      <c r="H5313" t="s">
        <v>18</v>
      </c>
      <c r="J5313" t="s">
        <v>116</v>
      </c>
      <c r="L5313" t="s">
        <v>85</v>
      </c>
      <c r="M5313" t="s">
        <v>6818</v>
      </c>
      <c r="N5313" t="s">
        <v>6818</v>
      </c>
      <c r="O5313" t="s">
        <v>73</v>
      </c>
      <c r="P5313" t="s">
        <v>81</v>
      </c>
      <c r="Q5313" t="s">
        <v>339</v>
      </c>
      <c r="R5313" t="s">
        <v>6819</v>
      </c>
    </row>
    <row r="5314" spans="1:18" x14ac:dyDescent="0.25">
      <c r="A5314" t="s">
        <v>20736</v>
      </c>
      <c r="B5314" t="s">
        <v>6820</v>
      </c>
      <c r="C5314" t="str">
        <f>HYPERLINK("https://nematode.unl.edu/laevila2.jpg")</f>
        <v>https://nematode.unl.edu/laevila2.jpg</v>
      </c>
      <c r="D5314" t="s">
        <v>43</v>
      </c>
      <c r="G5314" t="s">
        <v>51</v>
      </c>
      <c r="I5314" t="s">
        <v>19</v>
      </c>
      <c r="J5314" t="s">
        <v>116</v>
      </c>
      <c r="L5314" t="s">
        <v>85</v>
      </c>
      <c r="M5314" t="s">
        <v>6818</v>
      </c>
      <c r="N5314" t="s">
        <v>6818</v>
      </c>
      <c r="O5314" t="s">
        <v>73</v>
      </c>
      <c r="P5314" t="s">
        <v>81</v>
      </c>
      <c r="Q5314" t="s">
        <v>339</v>
      </c>
      <c r="R5314" t="s">
        <v>6819</v>
      </c>
    </row>
    <row r="5315" spans="1:18" x14ac:dyDescent="0.25">
      <c r="A5315" t="s">
        <v>20735</v>
      </c>
      <c r="B5315" t="s">
        <v>6821</v>
      </c>
      <c r="C5315" t="str">
        <f>HYPERLINK("https://nematode.unl.edu/laevila3.jpg")</f>
        <v>https://nematode.unl.edu/laevila3.jpg</v>
      </c>
      <c r="D5315" t="s">
        <v>43</v>
      </c>
      <c r="G5315" t="s">
        <v>28</v>
      </c>
      <c r="J5315" t="s">
        <v>116</v>
      </c>
      <c r="L5315" t="s">
        <v>85</v>
      </c>
      <c r="M5315" t="s">
        <v>6818</v>
      </c>
      <c r="N5315" t="s">
        <v>6818</v>
      </c>
      <c r="O5315" t="s">
        <v>73</v>
      </c>
      <c r="P5315" t="s">
        <v>81</v>
      </c>
      <c r="Q5315" t="s">
        <v>339</v>
      </c>
      <c r="R5315" t="s">
        <v>6819</v>
      </c>
    </row>
    <row r="5316" spans="1:18" x14ac:dyDescent="0.25">
      <c r="A5316" t="s">
        <v>20732</v>
      </c>
      <c r="B5316" t="s">
        <v>6822</v>
      </c>
      <c r="C5316" t="str">
        <f>HYPERLINK("https://nematode.unl.edu/laevila4.jpg")</f>
        <v>https://nematode.unl.edu/laevila4.jpg</v>
      </c>
      <c r="D5316" t="s">
        <v>43</v>
      </c>
      <c r="G5316" t="s">
        <v>34</v>
      </c>
      <c r="H5316" t="s">
        <v>18</v>
      </c>
      <c r="I5316" t="s">
        <v>41</v>
      </c>
      <c r="J5316" t="s">
        <v>116</v>
      </c>
      <c r="L5316" t="s">
        <v>85</v>
      </c>
      <c r="M5316" t="s">
        <v>6818</v>
      </c>
      <c r="N5316" t="s">
        <v>6818</v>
      </c>
      <c r="O5316" t="s">
        <v>73</v>
      </c>
      <c r="P5316" t="s">
        <v>81</v>
      </c>
      <c r="Q5316" t="s">
        <v>339</v>
      </c>
      <c r="R5316" t="s">
        <v>6819</v>
      </c>
    </row>
    <row r="5317" spans="1:18" x14ac:dyDescent="0.25">
      <c r="A5317" t="s">
        <v>20733</v>
      </c>
      <c r="B5317" t="s">
        <v>6823</v>
      </c>
      <c r="C5317" t="str">
        <f>HYPERLINK("https://nematode.unl.edu/laevila5.jpg")</f>
        <v>https://nematode.unl.edu/laevila5.jpg</v>
      </c>
      <c r="D5317" t="s">
        <v>43</v>
      </c>
      <c r="G5317" t="s">
        <v>243</v>
      </c>
      <c r="I5317" t="s">
        <v>529</v>
      </c>
      <c r="J5317" t="s">
        <v>116</v>
      </c>
      <c r="L5317" t="s">
        <v>85</v>
      </c>
      <c r="M5317" t="s">
        <v>6818</v>
      </c>
      <c r="N5317" t="s">
        <v>6818</v>
      </c>
      <c r="O5317" t="s">
        <v>73</v>
      </c>
      <c r="P5317" t="s">
        <v>81</v>
      </c>
      <c r="Q5317" t="s">
        <v>339</v>
      </c>
      <c r="R5317" t="s">
        <v>6819</v>
      </c>
    </row>
    <row r="5318" spans="1:18" x14ac:dyDescent="0.25">
      <c r="A5318" t="s">
        <v>20734</v>
      </c>
      <c r="B5318" t="s">
        <v>6824</v>
      </c>
      <c r="C5318" t="str">
        <f>HYPERLINK("https://nematode.unl.edu/laevilaedraw.jpg")</f>
        <v>https://nematode.unl.edu/laevilaedraw.jpg</v>
      </c>
      <c r="G5318" t="s">
        <v>108</v>
      </c>
      <c r="M5318" t="s">
        <v>6818</v>
      </c>
      <c r="N5318" t="s">
        <v>6818</v>
      </c>
      <c r="O5318" t="s">
        <v>73</v>
      </c>
      <c r="P5318" t="s">
        <v>81</v>
      </c>
      <c r="Q5318" t="s">
        <v>339</v>
      </c>
      <c r="R5318" t="s">
        <v>6819</v>
      </c>
    </row>
    <row r="5319" spans="1:18" x14ac:dyDescent="0.25">
      <c r="A5319" t="s">
        <v>21594</v>
      </c>
      <c r="B5319" t="s">
        <v>6713</v>
      </c>
      <c r="C5319" t="str">
        <f>HYPERLINK("https://nematode.unl.edu/lafox1.jpg")</f>
        <v>https://nematode.unl.edu/lafox1.jpg</v>
      </c>
      <c r="D5319" t="s">
        <v>77</v>
      </c>
      <c r="G5319" t="s">
        <v>44</v>
      </c>
      <c r="I5319" t="s">
        <v>45</v>
      </c>
      <c r="J5319" t="s">
        <v>6714</v>
      </c>
      <c r="M5319" t="s">
        <v>6696</v>
      </c>
      <c r="N5319" t="s">
        <v>6696</v>
      </c>
      <c r="O5319" t="s">
        <v>73</v>
      </c>
      <c r="P5319" t="s">
        <v>81</v>
      </c>
      <c r="Q5319" t="s">
        <v>82</v>
      </c>
      <c r="R5319" t="s">
        <v>6675</v>
      </c>
    </row>
    <row r="5320" spans="1:18" x14ac:dyDescent="0.25">
      <c r="A5320" t="s">
        <v>21588</v>
      </c>
      <c r="B5320" t="s">
        <v>6715</v>
      </c>
      <c r="C5320" t="str">
        <f>HYPERLINK("https://nematode.unl.edu/lafox10.jpg")</f>
        <v>https://nematode.unl.edu/lafox10.jpg</v>
      </c>
      <c r="D5320" t="s">
        <v>77</v>
      </c>
      <c r="G5320" t="s">
        <v>34</v>
      </c>
      <c r="H5320" t="s">
        <v>18</v>
      </c>
      <c r="I5320" t="s">
        <v>529</v>
      </c>
      <c r="J5320" t="s">
        <v>6714</v>
      </c>
      <c r="M5320" t="s">
        <v>6696</v>
      </c>
      <c r="N5320" t="s">
        <v>6696</v>
      </c>
      <c r="O5320" t="s">
        <v>73</v>
      </c>
      <c r="P5320" t="s">
        <v>81</v>
      </c>
      <c r="Q5320" t="s">
        <v>82</v>
      </c>
      <c r="R5320" t="s">
        <v>6675</v>
      </c>
    </row>
    <row r="5321" spans="1:18" x14ac:dyDescent="0.25">
      <c r="A5321" t="s">
        <v>21597</v>
      </c>
      <c r="B5321" t="s">
        <v>6716</v>
      </c>
      <c r="C5321" t="str">
        <f>HYPERLINK("https://nematode.unl.edu/lafox11.jpg")</f>
        <v>https://nematode.unl.edu/lafox11.jpg</v>
      </c>
      <c r="D5321" t="s">
        <v>77</v>
      </c>
      <c r="G5321" t="s">
        <v>3685</v>
      </c>
      <c r="I5321" t="s">
        <v>41</v>
      </c>
      <c r="J5321" t="s">
        <v>6714</v>
      </c>
      <c r="M5321" t="s">
        <v>6696</v>
      </c>
      <c r="N5321" t="s">
        <v>6696</v>
      </c>
      <c r="O5321" t="s">
        <v>73</v>
      </c>
      <c r="P5321" t="s">
        <v>81</v>
      </c>
      <c r="Q5321" t="s">
        <v>82</v>
      </c>
      <c r="R5321" t="s">
        <v>6675</v>
      </c>
    </row>
    <row r="5322" spans="1:18" x14ac:dyDescent="0.25">
      <c r="A5322" t="s">
        <v>21599</v>
      </c>
      <c r="B5322" t="s">
        <v>6717</v>
      </c>
      <c r="C5322" t="str">
        <f>HYPERLINK("https://nematode.unl.edu/lafox12.jpg")</f>
        <v>https://nematode.unl.edu/lafox12.jpg</v>
      </c>
      <c r="D5322" t="s">
        <v>77</v>
      </c>
      <c r="G5322" t="s">
        <v>6718</v>
      </c>
      <c r="I5322" t="s">
        <v>41</v>
      </c>
      <c r="J5322" t="s">
        <v>6714</v>
      </c>
      <c r="M5322" t="s">
        <v>6696</v>
      </c>
      <c r="N5322" t="s">
        <v>6696</v>
      </c>
      <c r="O5322" t="s">
        <v>73</v>
      </c>
      <c r="P5322" t="s">
        <v>81</v>
      </c>
      <c r="Q5322" t="s">
        <v>82</v>
      </c>
      <c r="R5322" t="s">
        <v>6675</v>
      </c>
    </row>
    <row r="5323" spans="1:18" x14ac:dyDescent="0.25">
      <c r="A5323" t="s">
        <v>21600</v>
      </c>
      <c r="B5323" t="s">
        <v>6719</v>
      </c>
      <c r="C5323" t="str">
        <f>HYPERLINK("https://nematode.unl.edu/lafox13.jpg")</f>
        <v>https://nematode.unl.edu/lafox13.jpg</v>
      </c>
      <c r="D5323" t="s">
        <v>77</v>
      </c>
      <c r="G5323" t="s">
        <v>6720</v>
      </c>
      <c r="I5323" t="s">
        <v>41</v>
      </c>
      <c r="J5323" t="s">
        <v>6714</v>
      </c>
      <c r="M5323" t="s">
        <v>6696</v>
      </c>
      <c r="N5323" t="s">
        <v>6696</v>
      </c>
      <c r="O5323" t="s">
        <v>73</v>
      </c>
      <c r="P5323" t="s">
        <v>81</v>
      </c>
      <c r="Q5323" t="s">
        <v>82</v>
      </c>
      <c r="R5323" t="s">
        <v>6675</v>
      </c>
    </row>
    <row r="5324" spans="1:18" x14ac:dyDescent="0.25">
      <c r="A5324" t="s">
        <v>21595</v>
      </c>
      <c r="B5324" t="s">
        <v>6721</v>
      </c>
      <c r="C5324" t="str">
        <f>HYPERLINK("https://nematode.unl.edu/lafox14.jpg")</f>
        <v>https://nematode.unl.edu/lafox14.jpg</v>
      </c>
      <c r="D5324" t="s">
        <v>77</v>
      </c>
      <c r="G5324" t="s">
        <v>243</v>
      </c>
      <c r="I5324" t="s">
        <v>41</v>
      </c>
      <c r="M5324" t="s">
        <v>6696</v>
      </c>
      <c r="N5324" t="s">
        <v>6696</v>
      </c>
      <c r="O5324" t="s">
        <v>73</v>
      </c>
      <c r="P5324" t="s">
        <v>81</v>
      </c>
      <c r="Q5324" t="s">
        <v>82</v>
      </c>
      <c r="R5324" t="s">
        <v>6675</v>
      </c>
    </row>
    <row r="5325" spans="1:18" x14ac:dyDescent="0.25">
      <c r="A5325" t="s">
        <v>21593</v>
      </c>
      <c r="B5325" t="s">
        <v>6722</v>
      </c>
      <c r="C5325" t="str">
        <f>HYPERLINK("https://nematode.unl.edu/lafox15.jpg")</f>
        <v>https://nematode.unl.edu/lafox15.jpg</v>
      </c>
      <c r="D5325" t="s">
        <v>77</v>
      </c>
      <c r="G5325" t="s">
        <v>87</v>
      </c>
      <c r="I5325" t="s">
        <v>41</v>
      </c>
      <c r="M5325" t="s">
        <v>6696</v>
      </c>
      <c r="N5325" t="s">
        <v>6696</v>
      </c>
      <c r="O5325" t="s">
        <v>73</v>
      </c>
      <c r="P5325" t="s">
        <v>81</v>
      </c>
      <c r="Q5325" t="s">
        <v>82</v>
      </c>
      <c r="R5325" t="s">
        <v>6675</v>
      </c>
    </row>
    <row r="5326" spans="1:18" x14ac:dyDescent="0.25">
      <c r="A5326" t="s">
        <v>21577</v>
      </c>
      <c r="B5326" t="s">
        <v>6723</v>
      </c>
      <c r="C5326" t="str">
        <f>HYPERLINK("https://nematode.unl.edu/lafox16.jpg")</f>
        <v>https://nematode.unl.edu/lafox16.jpg</v>
      </c>
      <c r="D5326" t="s">
        <v>77</v>
      </c>
      <c r="G5326" t="s">
        <v>386</v>
      </c>
      <c r="H5326" t="s">
        <v>18</v>
      </c>
      <c r="I5326" t="s">
        <v>529</v>
      </c>
      <c r="J5326" t="s">
        <v>6714</v>
      </c>
      <c r="M5326" t="s">
        <v>6696</v>
      </c>
      <c r="N5326" t="s">
        <v>6696</v>
      </c>
      <c r="O5326" t="s">
        <v>73</v>
      </c>
      <c r="P5326" t="s">
        <v>81</v>
      </c>
      <c r="Q5326" t="s">
        <v>82</v>
      </c>
      <c r="R5326" t="s">
        <v>6675</v>
      </c>
    </row>
    <row r="5327" spans="1:18" x14ac:dyDescent="0.25">
      <c r="A5327" t="s">
        <v>21601</v>
      </c>
      <c r="B5327" t="s">
        <v>6724</v>
      </c>
      <c r="C5327" t="str">
        <f>HYPERLINK("https://nematode.unl.edu/lafox17.jpg")</f>
        <v>https://nematode.unl.edu/lafox17.jpg</v>
      </c>
      <c r="D5327" t="s">
        <v>77</v>
      </c>
      <c r="G5327" t="s">
        <v>6725</v>
      </c>
      <c r="I5327" t="s">
        <v>41</v>
      </c>
      <c r="J5327" t="s">
        <v>6714</v>
      </c>
      <c r="M5327" t="s">
        <v>6696</v>
      </c>
      <c r="N5327" t="s">
        <v>6696</v>
      </c>
      <c r="O5327" t="s">
        <v>73</v>
      </c>
      <c r="P5327" t="s">
        <v>81</v>
      </c>
      <c r="Q5327" t="s">
        <v>82</v>
      </c>
      <c r="R5327" t="s">
        <v>6675</v>
      </c>
    </row>
    <row r="5328" spans="1:18" x14ac:dyDescent="0.25">
      <c r="A5328" t="s">
        <v>21608</v>
      </c>
      <c r="B5328" t="s">
        <v>6726</v>
      </c>
      <c r="C5328" t="str">
        <f>HYPERLINK("https://nematode.unl.edu/lafox18.jpg")</f>
        <v>https://nematode.unl.edu/lafox18.jpg</v>
      </c>
      <c r="D5328" t="s">
        <v>77</v>
      </c>
      <c r="G5328" t="s">
        <v>28</v>
      </c>
      <c r="I5328" t="s">
        <v>41</v>
      </c>
      <c r="M5328" t="s">
        <v>6696</v>
      </c>
      <c r="N5328" t="s">
        <v>6696</v>
      </c>
      <c r="O5328" t="s">
        <v>73</v>
      </c>
      <c r="P5328" t="s">
        <v>81</v>
      </c>
      <c r="Q5328" t="s">
        <v>82</v>
      </c>
      <c r="R5328" t="s">
        <v>6675</v>
      </c>
    </row>
    <row r="5329" spans="1:18" x14ac:dyDescent="0.25">
      <c r="A5329" t="s">
        <v>21581</v>
      </c>
      <c r="B5329" t="s">
        <v>6727</v>
      </c>
      <c r="C5329" t="str">
        <f>HYPERLINK("https://nematode.unl.edu/lafox2.jpg")</f>
        <v>https://nematode.unl.edu/lafox2.jpg</v>
      </c>
      <c r="D5329" t="s">
        <v>77</v>
      </c>
      <c r="G5329" t="s">
        <v>96</v>
      </c>
      <c r="H5329" t="s">
        <v>18</v>
      </c>
      <c r="I5329" t="s">
        <v>137</v>
      </c>
      <c r="M5329" t="s">
        <v>6696</v>
      </c>
      <c r="N5329" t="s">
        <v>6696</v>
      </c>
      <c r="O5329" t="s">
        <v>73</v>
      </c>
      <c r="P5329" t="s">
        <v>81</v>
      </c>
      <c r="Q5329" t="s">
        <v>82</v>
      </c>
      <c r="R5329" t="s">
        <v>6675</v>
      </c>
    </row>
    <row r="5330" spans="1:18" x14ac:dyDescent="0.25">
      <c r="A5330" t="s">
        <v>21589</v>
      </c>
      <c r="B5330" t="s">
        <v>6728</v>
      </c>
      <c r="C5330" t="str">
        <f>HYPERLINK("https://nematode.unl.edu/lafox3.jpg")</f>
        <v>https://nematode.unl.edu/lafox3.jpg</v>
      </c>
      <c r="D5330" t="s">
        <v>77</v>
      </c>
      <c r="G5330" t="s">
        <v>34</v>
      </c>
      <c r="H5330" t="s">
        <v>18</v>
      </c>
      <c r="M5330" t="s">
        <v>6696</v>
      </c>
      <c r="N5330" t="s">
        <v>6696</v>
      </c>
      <c r="O5330" t="s">
        <v>73</v>
      </c>
      <c r="P5330" t="s">
        <v>81</v>
      </c>
      <c r="Q5330" t="s">
        <v>82</v>
      </c>
      <c r="R5330" t="s">
        <v>6675</v>
      </c>
    </row>
    <row r="5331" spans="1:18" x14ac:dyDescent="0.25">
      <c r="A5331" t="s">
        <v>21582</v>
      </c>
      <c r="B5331" t="s">
        <v>6729</v>
      </c>
      <c r="C5331" t="str">
        <f>HYPERLINK("https://nematode.unl.edu/lafox4.jpg")</f>
        <v>https://nematode.unl.edu/lafox4.jpg</v>
      </c>
      <c r="D5331" t="s">
        <v>77</v>
      </c>
      <c r="G5331" t="s">
        <v>96</v>
      </c>
      <c r="H5331" t="s">
        <v>18</v>
      </c>
      <c r="M5331" t="s">
        <v>6696</v>
      </c>
      <c r="N5331" t="s">
        <v>6696</v>
      </c>
      <c r="O5331" t="s">
        <v>73</v>
      </c>
      <c r="P5331" t="s">
        <v>81</v>
      </c>
      <c r="Q5331" t="s">
        <v>82</v>
      </c>
      <c r="R5331" t="s">
        <v>6675</v>
      </c>
    </row>
    <row r="5332" spans="1:18" x14ac:dyDescent="0.25">
      <c r="A5332" t="s">
        <v>21611</v>
      </c>
      <c r="B5332" t="s">
        <v>6730</v>
      </c>
      <c r="C5332" t="str">
        <f>HYPERLINK("https://nematode.unl.edu/lafox5.jpg")</f>
        <v>https://nematode.unl.edu/lafox5.jpg</v>
      </c>
      <c r="D5332" t="s">
        <v>77</v>
      </c>
      <c r="G5332" t="s">
        <v>2113</v>
      </c>
      <c r="I5332" t="s">
        <v>137</v>
      </c>
      <c r="J5332" t="s">
        <v>6714</v>
      </c>
      <c r="M5332" t="s">
        <v>6696</v>
      </c>
      <c r="N5332" t="s">
        <v>6696</v>
      </c>
      <c r="O5332" t="s">
        <v>73</v>
      </c>
      <c r="P5332" t="s">
        <v>81</v>
      </c>
      <c r="Q5332" t="s">
        <v>82</v>
      </c>
      <c r="R5332" t="s">
        <v>6675</v>
      </c>
    </row>
    <row r="5333" spans="1:18" x14ac:dyDescent="0.25">
      <c r="A5333" t="s">
        <v>21609</v>
      </c>
      <c r="B5333" t="s">
        <v>6731</v>
      </c>
      <c r="C5333" t="str">
        <f>HYPERLINK("https://nematode.unl.edu/lafox6.jpg")</f>
        <v>https://nematode.unl.edu/lafox6.jpg</v>
      </c>
      <c r="D5333" t="s">
        <v>77</v>
      </c>
      <c r="G5333" t="s">
        <v>28</v>
      </c>
      <c r="I5333" t="s">
        <v>137</v>
      </c>
      <c r="M5333" t="s">
        <v>6696</v>
      </c>
      <c r="N5333" t="s">
        <v>6696</v>
      </c>
      <c r="O5333" t="s">
        <v>73</v>
      </c>
      <c r="P5333" t="s">
        <v>81</v>
      </c>
      <c r="Q5333" t="s">
        <v>82</v>
      </c>
      <c r="R5333" t="s">
        <v>6675</v>
      </c>
    </row>
    <row r="5334" spans="1:18" x14ac:dyDescent="0.25">
      <c r="A5334" t="s">
        <v>21602</v>
      </c>
      <c r="B5334" t="s">
        <v>6732</v>
      </c>
      <c r="C5334" t="str">
        <f>HYPERLINK("https://nematode.unl.edu/lafox7.jpg")</f>
        <v>https://nematode.unl.edu/lafox7.jpg</v>
      </c>
      <c r="D5334" t="s">
        <v>77</v>
      </c>
      <c r="G5334" t="s">
        <v>112</v>
      </c>
      <c r="I5334" t="s">
        <v>19</v>
      </c>
      <c r="M5334" t="s">
        <v>6696</v>
      </c>
      <c r="N5334" t="s">
        <v>6696</v>
      </c>
      <c r="O5334" t="s">
        <v>73</v>
      </c>
      <c r="P5334" t="s">
        <v>81</v>
      </c>
      <c r="Q5334" t="s">
        <v>82</v>
      </c>
      <c r="R5334" t="s">
        <v>6675</v>
      </c>
    </row>
    <row r="5335" spans="1:18" x14ac:dyDescent="0.25">
      <c r="A5335" t="s">
        <v>21610</v>
      </c>
      <c r="B5335" t="s">
        <v>6733</v>
      </c>
      <c r="C5335" t="str">
        <f>HYPERLINK("https://nematode.unl.edu/lafox8.jpg")</f>
        <v>https://nematode.unl.edu/lafox8.jpg</v>
      </c>
      <c r="D5335" t="s">
        <v>77</v>
      </c>
      <c r="G5335" t="s">
        <v>2382</v>
      </c>
      <c r="I5335" t="s">
        <v>19</v>
      </c>
      <c r="J5335" t="s">
        <v>6714</v>
      </c>
      <c r="M5335" t="s">
        <v>6696</v>
      </c>
      <c r="N5335" t="s">
        <v>6696</v>
      </c>
      <c r="O5335" t="s">
        <v>73</v>
      </c>
      <c r="P5335" t="s">
        <v>81</v>
      </c>
      <c r="Q5335" t="s">
        <v>82</v>
      </c>
      <c r="R5335" t="s">
        <v>6675</v>
      </c>
    </row>
    <row r="5336" spans="1:18" x14ac:dyDescent="0.25">
      <c r="A5336" t="s">
        <v>21596</v>
      </c>
      <c r="B5336" t="s">
        <v>6734</v>
      </c>
      <c r="C5336" t="str">
        <f>HYPERLINK("https://nematode.unl.edu/lafox9.jpg")</f>
        <v>https://nematode.unl.edu/lafox9.jpg</v>
      </c>
      <c r="D5336" t="s">
        <v>77</v>
      </c>
      <c r="G5336" t="s">
        <v>243</v>
      </c>
      <c r="M5336" t="s">
        <v>6696</v>
      </c>
      <c r="N5336" t="s">
        <v>6696</v>
      </c>
      <c r="O5336" t="s">
        <v>73</v>
      </c>
      <c r="P5336" t="s">
        <v>81</v>
      </c>
      <c r="Q5336" t="s">
        <v>82</v>
      </c>
      <c r="R5336" t="s">
        <v>6675</v>
      </c>
    </row>
    <row r="5337" spans="1:18" x14ac:dyDescent="0.25">
      <c r="A5337" t="s">
        <v>19884</v>
      </c>
      <c r="B5337" t="s">
        <v>6836</v>
      </c>
      <c r="C5337" t="str">
        <f>HYPERLINK("https://nematode.unl.edu/laimho1.jpg")</f>
        <v>https://nematode.unl.edu/laimho1.jpg</v>
      </c>
      <c r="D5337" t="s">
        <v>16</v>
      </c>
      <c r="G5337" t="s">
        <v>34</v>
      </c>
      <c r="H5337" t="s">
        <v>18</v>
      </c>
      <c r="I5337" t="s">
        <v>19</v>
      </c>
      <c r="J5337" t="s">
        <v>116</v>
      </c>
      <c r="L5337" t="s">
        <v>85</v>
      </c>
      <c r="M5337" t="s">
        <v>6837</v>
      </c>
      <c r="N5337" t="s">
        <v>6837</v>
      </c>
      <c r="O5337" t="s">
        <v>73</v>
      </c>
      <c r="P5337" t="s">
        <v>81</v>
      </c>
      <c r="Q5337" t="s">
        <v>489</v>
      </c>
      <c r="R5337" t="s">
        <v>6837</v>
      </c>
    </row>
    <row r="5338" spans="1:18" x14ac:dyDescent="0.25">
      <c r="A5338" t="s">
        <v>19885</v>
      </c>
      <c r="B5338" t="s">
        <v>6838</v>
      </c>
      <c r="C5338" t="str">
        <f>HYPERLINK("https://nematode.unl.edu/laimho2.jpg")</f>
        <v>https://nematode.unl.edu/laimho2.jpg</v>
      </c>
      <c r="D5338" t="s">
        <v>16</v>
      </c>
      <c r="G5338" t="s">
        <v>34</v>
      </c>
      <c r="H5338" t="s">
        <v>18</v>
      </c>
      <c r="I5338" t="s">
        <v>19</v>
      </c>
      <c r="L5338" t="s">
        <v>85</v>
      </c>
      <c r="M5338" t="s">
        <v>6837</v>
      </c>
      <c r="N5338" t="s">
        <v>6837</v>
      </c>
      <c r="O5338" t="s">
        <v>73</v>
      </c>
      <c r="P5338" t="s">
        <v>81</v>
      </c>
      <c r="Q5338" t="s">
        <v>489</v>
      </c>
      <c r="R5338" t="s">
        <v>6837</v>
      </c>
    </row>
    <row r="5339" spans="1:18" x14ac:dyDescent="0.25">
      <c r="A5339" t="s">
        <v>19886</v>
      </c>
      <c r="B5339" t="s">
        <v>6839</v>
      </c>
      <c r="C5339" t="str">
        <f>HYPERLINK("https://nematode.unl.edu/laimho3.jpg")</f>
        <v>https://nematode.unl.edu/laimho3.jpg</v>
      </c>
      <c r="D5339" t="s">
        <v>16</v>
      </c>
      <c r="G5339" t="s">
        <v>34</v>
      </c>
      <c r="H5339" t="s">
        <v>18</v>
      </c>
      <c r="I5339" t="s">
        <v>41</v>
      </c>
      <c r="L5339" t="s">
        <v>85</v>
      </c>
      <c r="M5339" t="s">
        <v>6837</v>
      </c>
      <c r="N5339" t="s">
        <v>6837</v>
      </c>
      <c r="O5339" t="s">
        <v>73</v>
      </c>
      <c r="P5339" t="s">
        <v>81</v>
      </c>
      <c r="Q5339" t="s">
        <v>489</v>
      </c>
      <c r="R5339" t="s">
        <v>6837</v>
      </c>
    </row>
    <row r="5340" spans="1:18" x14ac:dyDescent="0.25">
      <c r="A5340" t="s">
        <v>13143</v>
      </c>
      <c r="B5340" t="s">
        <v>6825</v>
      </c>
      <c r="C5340" t="str">
        <f>HYPERLINK("https://nematode.unl.edu/laimpe1.jpg")</f>
        <v>https://nematode.unl.edu/laimpe1.jpg</v>
      </c>
      <c r="D5340" t="s">
        <v>43</v>
      </c>
      <c r="G5340" t="s">
        <v>44</v>
      </c>
      <c r="I5340" t="s">
        <v>499</v>
      </c>
      <c r="J5340" t="s">
        <v>267</v>
      </c>
      <c r="L5340" t="s">
        <v>6826</v>
      </c>
      <c r="M5340" t="s">
        <v>6827</v>
      </c>
      <c r="N5340" t="s">
        <v>6827</v>
      </c>
      <c r="O5340" t="s">
        <v>23</v>
      </c>
      <c r="P5340" t="s">
        <v>24</v>
      </c>
      <c r="Q5340" t="s">
        <v>102</v>
      </c>
      <c r="R5340" t="s">
        <v>6828</v>
      </c>
    </row>
    <row r="5341" spans="1:18" x14ac:dyDescent="0.25">
      <c r="A5341" t="s">
        <v>13142</v>
      </c>
      <c r="B5341" t="s">
        <v>6829</v>
      </c>
      <c r="C5341" t="str">
        <f>HYPERLINK("https://nematode.unl.edu/laimpe2.jpg")</f>
        <v>https://nematode.unl.edu/laimpe2.jpg</v>
      </c>
      <c r="D5341" t="s">
        <v>43</v>
      </c>
      <c r="G5341" t="s">
        <v>34</v>
      </c>
      <c r="H5341" t="s">
        <v>18</v>
      </c>
      <c r="I5341" t="s">
        <v>19</v>
      </c>
      <c r="J5341" t="s">
        <v>267</v>
      </c>
      <c r="M5341" t="s">
        <v>6827</v>
      </c>
      <c r="N5341" t="s">
        <v>6827</v>
      </c>
      <c r="O5341" t="s">
        <v>23</v>
      </c>
      <c r="P5341" t="s">
        <v>24</v>
      </c>
      <c r="Q5341" t="s">
        <v>102</v>
      </c>
      <c r="R5341" t="s">
        <v>6828</v>
      </c>
    </row>
    <row r="5342" spans="1:18" x14ac:dyDescent="0.25">
      <c r="A5342" t="s">
        <v>13146</v>
      </c>
      <c r="B5342" t="s">
        <v>6830</v>
      </c>
      <c r="C5342" t="str">
        <f>HYPERLINK("https://nematode.unl.edu/laimpe3.jpg")</f>
        <v>https://nematode.unl.edu/laimpe3.jpg</v>
      </c>
      <c r="D5342" t="s">
        <v>43</v>
      </c>
      <c r="G5342" t="s">
        <v>28</v>
      </c>
      <c r="J5342" t="s">
        <v>267</v>
      </c>
      <c r="M5342" t="s">
        <v>6827</v>
      </c>
      <c r="N5342" t="s">
        <v>6827</v>
      </c>
      <c r="O5342" t="s">
        <v>23</v>
      </c>
      <c r="P5342" t="s">
        <v>24</v>
      </c>
      <c r="Q5342" t="s">
        <v>102</v>
      </c>
      <c r="R5342" t="s">
        <v>6828</v>
      </c>
    </row>
    <row r="5343" spans="1:18" x14ac:dyDescent="0.25">
      <c r="A5343" t="s">
        <v>13145</v>
      </c>
      <c r="B5343" t="s">
        <v>6831</v>
      </c>
      <c r="C5343" t="str">
        <f>HYPERLINK("https://nematode.unl.edu/laimpe4.jpg")</f>
        <v>https://nematode.unl.edu/laimpe4.jpg</v>
      </c>
      <c r="D5343" t="s">
        <v>43</v>
      </c>
      <c r="G5343" t="s">
        <v>6832</v>
      </c>
      <c r="I5343" t="s">
        <v>41</v>
      </c>
      <c r="J5343" t="s">
        <v>267</v>
      </c>
      <c r="L5343" t="s">
        <v>6826</v>
      </c>
      <c r="M5343" t="s">
        <v>6827</v>
      </c>
      <c r="N5343" t="s">
        <v>6827</v>
      </c>
      <c r="O5343" t="s">
        <v>23</v>
      </c>
      <c r="P5343" t="s">
        <v>24</v>
      </c>
      <c r="Q5343" t="s">
        <v>102</v>
      </c>
      <c r="R5343" t="s">
        <v>6828</v>
      </c>
    </row>
    <row r="5344" spans="1:18" x14ac:dyDescent="0.25">
      <c r="A5344" t="s">
        <v>13144</v>
      </c>
      <c r="B5344" t="s">
        <v>6833</v>
      </c>
      <c r="C5344" t="str">
        <f>HYPERLINK("https://nematode.unl.edu/laimpe5.jpg")</f>
        <v>https://nematode.unl.edu/laimpe5.jpg</v>
      </c>
      <c r="D5344" t="s">
        <v>43</v>
      </c>
      <c r="G5344" t="s">
        <v>53</v>
      </c>
      <c r="I5344" t="s">
        <v>41</v>
      </c>
      <c r="J5344" t="s">
        <v>267</v>
      </c>
      <c r="L5344" t="s">
        <v>6826</v>
      </c>
      <c r="M5344" t="s">
        <v>6827</v>
      </c>
      <c r="N5344" t="s">
        <v>6827</v>
      </c>
      <c r="O5344" t="s">
        <v>23</v>
      </c>
      <c r="P5344" t="s">
        <v>24</v>
      </c>
      <c r="Q5344" t="s">
        <v>102</v>
      </c>
      <c r="R5344" t="s">
        <v>6828</v>
      </c>
    </row>
    <row r="5345" spans="1:18" x14ac:dyDescent="0.25">
      <c r="A5345" t="s">
        <v>13148</v>
      </c>
      <c r="B5345" t="s">
        <v>6834</v>
      </c>
      <c r="C5345" t="str">
        <f>HYPERLINK("https://nematode.unl.edu/laimpe6.jpg")</f>
        <v>https://nematode.unl.edu/laimpe6.jpg</v>
      </c>
      <c r="D5345" t="s">
        <v>43</v>
      </c>
      <c r="G5345" t="s">
        <v>51</v>
      </c>
      <c r="I5345" t="s">
        <v>41</v>
      </c>
      <c r="J5345" t="s">
        <v>267</v>
      </c>
      <c r="M5345" t="s">
        <v>6827</v>
      </c>
      <c r="N5345" t="s">
        <v>6827</v>
      </c>
      <c r="O5345" t="s">
        <v>23</v>
      </c>
      <c r="P5345" t="s">
        <v>24</v>
      </c>
      <c r="Q5345" t="s">
        <v>102</v>
      </c>
      <c r="R5345" t="s">
        <v>6828</v>
      </c>
    </row>
    <row r="5346" spans="1:18" x14ac:dyDescent="0.25">
      <c r="A5346" t="s">
        <v>13147</v>
      </c>
      <c r="B5346" t="s">
        <v>6835</v>
      </c>
      <c r="C5346" t="str">
        <f>HYPERLINK("https://nematode.unl.edu/laimpe7.jpg")</f>
        <v>https://nematode.unl.edu/laimpe7.jpg</v>
      </c>
      <c r="D5346" t="s">
        <v>43</v>
      </c>
      <c r="G5346" t="s">
        <v>28</v>
      </c>
      <c r="I5346" t="s">
        <v>41</v>
      </c>
      <c r="J5346" t="s">
        <v>267</v>
      </c>
      <c r="M5346" t="s">
        <v>6827</v>
      </c>
      <c r="N5346" t="s">
        <v>6827</v>
      </c>
      <c r="O5346" t="s">
        <v>23</v>
      </c>
      <c r="P5346" t="s">
        <v>24</v>
      </c>
      <c r="Q5346" t="s">
        <v>102</v>
      </c>
      <c r="R5346" t="s">
        <v>6828</v>
      </c>
    </row>
    <row r="5347" spans="1:18" x14ac:dyDescent="0.25">
      <c r="A5347" t="s">
        <v>19882</v>
      </c>
      <c r="B5347" t="s">
        <v>6840</v>
      </c>
      <c r="C5347" t="str">
        <f>HYPERLINK("https://nematode.unl.edu/laimy1.jpg")</f>
        <v>https://nematode.unl.edu/laimy1.jpg</v>
      </c>
      <c r="D5347" t="s">
        <v>16</v>
      </c>
      <c r="G5347" t="s">
        <v>96</v>
      </c>
      <c r="H5347" t="s">
        <v>18</v>
      </c>
      <c r="I5347" t="s">
        <v>137</v>
      </c>
      <c r="J5347" t="s">
        <v>20</v>
      </c>
      <c r="L5347" t="s">
        <v>141</v>
      </c>
      <c r="M5347" t="s">
        <v>6837</v>
      </c>
      <c r="N5347" t="s">
        <v>6837</v>
      </c>
      <c r="O5347" t="s">
        <v>73</v>
      </c>
      <c r="P5347" t="s">
        <v>81</v>
      </c>
      <c r="Q5347" t="s">
        <v>489</v>
      </c>
      <c r="R5347" t="s">
        <v>6837</v>
      </c>
    </row>
    <row r="5348" spans="1:18" x14ac:dyDescent="0.25">
      <c r="A5348" t="s">
        <v>19894</v>
      </c>
      <c r="B5348" t="s">
        <v>6841</v>
      </c>
      <c r="C5348" t="str">
        <f>HYPERLINK("https://nematode.unl.edu/laimy2.jpg")</f>
        <v>https://nematode.unl.edu/laimy2.jpg</v>
      </c>
      <c r="D5348" t="s">
        <v>16</v>
      </c>
      <c r="G5348" t="s">
        <v>28</v>
      </c>
      <c r="J5348" t="s">
        <v>20</v>
      </c>
      <c r="L5348" t="s">
        <v>352</v>
      </c>
      <c r="M5348" t="s">
        <v>6837</v>
      </c>
      <c r="N5348" t="s">
        <v>6837</v>
      </c>
      <c r="O5348" t="s">
        <v>73</v>
      </c>
      <c r="P5348" t="s">
        <v>81</v>
      </c>
      <c r="Q5348" t="s">
        <v>489</v>
      </c>
      <c r="R5348" t="s">
        <v>6837</v>
      </c>
    </row>
    <row r="5349" spans="1:18" x14ac:dyDescent="0.25">
      <c r="A5349" t="s">
        <v>19887</v>
      </c>
      <c r="B5349" t="s">
        <v>6842</v>
      </c>
      <c r="C5349" t="str">
        <f>HYPERLINK("https://nematode.unl.edu/laimy3.jpg")</f>
        <v>https://nematode.unl.edu/laimy3.jpg</v>
      </c>
      <c r="D5349" t="s">
        <v>16</v>
      </c>
      <c r="G5349" t="s">
        <v>34</v>
      </c>
      <c r="H5349" t="s">
        <v>18</v>
      </c>
      <c r="I5349" t="s">
        <v>19</v>
      </c>
      <c r="J5349" t="s">
        <v>20</v>
      </c>
      <c r="L5349" t="s">
        <v>352</v>
      </c>
      <c r="M5349" t="s">
        <v>6837</v>
      </c>
      <c r="N5349" t="s">
        <v>6837</v>
      </c>
      <c r="O5349" t="s">
        <v>73</v>
      </c>
      <c r="P5349" t="s">
        <v>81</v>
      </c>
      <c r="Q5349" t="s">
        <v>489</v>
      </c>
      <c r="R5349" t="s">
        <v>6837</v>
      </c>
    </row>
    <row r="5350" spans="1:18" x14ac:dyDescent="0.25">
      <c r="A5350" t="s">
        <v>19890</v>
      </c>
      <c r="B5350" t="s">
        <v>6843</v>
      </c>
      <c r="C5350" t="str">
        <f>HYPERLINK("https://nematode.unl.edu/laimy4.jpg")</f>
        <v>https://nematode.unl.edu/laimy4.jpg</v>
      </c>
      <c r="D5350" t="s">
        <v>16</v>
      </c>
      <c r="G5350" t="s">
        <v>87</v>
      </c>
      <c r="I5350" t="s">
        <v>516</v>
      </c>
      <c r="J5350" t="s">
        <v>20</v>
      </c>
      <c r="L5350" t="s">
        <v>6844</v>
      </c>
      <c r="M5350" t="s">
        <v>6837</v>
      </c>
      <c r="N5350" t="s">
        <v>6837</v>
      </c>
      <c r="O5350" t="s">
        <v>73</v>
      </c>
      <c r="P5350" t="s">
        <v>81</v>
      </c>
      <c r="Q5350" t="s">
        <v>489</v>
      </c>
      <c r="R5350" t="s">
        <v>6837</v>
      </c>
    </row>
    <row r="5351" spans="1:18" x14ac:dyDescent="0.25">
      <c r="A5351" t="s">
        <v>19895</v>
      </c>
      <c r="B5351" t="s">
        <v>6845</v>
      </c>
      <c r="C5351" t="str">
        <f>HYPERLINK("https://nematode.unl.edu/laimy5.jpg")</f>
        <v>https://nematode.unl.edu/laimy5.jpg</v>
      </c>
      <c r="D5351" t="s">
        <v>16</v>
      </c>
      <c r="G5351" t="s">
        <v>28</v>
      </c>
      <c r="I5351" t="s">
        <v>516</v>
      </c>
      <c r="J5351" t="s">
        <v>20</v>
      </c>
      <c r="L5351" t="s">
        <v>141</v>
      </c>
      <c r="M5351" t="s">
        <v>6837</v>
      </c>
      <c r="N5351" t="s">
        <v>6837</v>
      </c>
      <c r="O5351" t="s">
        <v>73</v>
      </c>
      <c r="P5351" t="s">
        <v>81</v>
      </c>
      <c r="Q5351" t="s">
        <v>489</v>
      </c>
      <c r="R5351" t="s">
        <v>6837</v>
      </c>
    </row>
    <row r="5352" spans="1:18" x14ac:dyDescent="0.25">
      <c r="A5352" t="s">
        <v>19901</v>
      </c>
      <c r="B5352" t="s">
        <v>6856</v>
      </c>
      <c r="C5352" t="str">
        <f>HYPERLINK("https://nematode.unl.edu/laimyk1.jpg")</f>
        <v>https://nematode.unl.edu/laimyk1.jpg</v>
      </c>
      <c r="D5352" t="s">
        <v>77</v>
      </c>
      <c r="G5352" t="s">
        <v>44</v>
      </c>
      <c r="I5352" t="s">
        <v>516</v>
      </c>
      <c r="J5352" t="s">
        <v>3622</v>
      </c>
      <c r="L5352" t="s">
        <v>4481</v>
      </c>
      <c r="M5352" t="s">
        <v>6857</v>
      </c>
      <c r="N5352" t="s">
        <v>6857</v>
      </c>
      <c r="O5352" t="s">
        <v>73</v>
      </c>
      <c r="P5352" t="s">
        <v>81</v>
      </c>
      <c r="Q5352" t="s">
        <v>489</v>
      </c>
      <c r="R5352" t="s">
        <v>6837</v>
      </c>
    </row>
    <row r="5353" spans="1:18" x14ac:dyDescent="0.25">
      <c r="A5353" t="s">
        <v>19900</v>
      </c>
      <c r="B5353" t="s">
        <v>6858</v>
      </c>
      <c r="C5353" t="str">
        <f>HYPERLINK("https://nematode.unl.edu/laimyk2.jpg")</f>
        <v>https://nematode.unl.edu/laimyk2.jpg</v>
      </c>
      <c r="D5353" t="s">
        <v>77</v>
      </c>
      <c r="G5353" t="s">
        <v>96</v>
      </c>
      <c r="H5353" t="s">
        <v>18</v>
      </c>
      <c r="I5353" t="s">
        <v>41</v>
      </c>
      <c r="J5353" t="s">
        <v>3622</v>
      </c>
      <c r="L5353" t="s">
        <v>4481</v>
      </c>
      <c r="M5353" t="s">
        <v>6857</v>
      </c>
      <c r="N5353" t="s">
        <v>6857</v>
      </c>
      <c r="O5353" t="s">
        <v>73</v>
      </c>
      <c r="P5353" t="s">
        <v>81</v>
      </c>
      <c r="Q5353" t="s">
        <v>489</v>
      </c>
      <c r="R5353" t="s">
        <v>6837</v>
      </c>
    </row>
    <row r="5354" spans="1:18" x14ac:dyDescent="0.25">
      <c r="A5354" t="s">
        <v>19902</v>
      </c>
      <c r="B5354" t="s">
        <v>6859</v>
      </c>
      <c r="C5354" t="str">
        <f>HYPERLINK("https://nematode.unl.edu/laimyk3.jpg")</f>
        <v>https://nematode.unl.edu/laimyk3.jpg</v>
      </c>
      <c r="D5354" t="s">
        <v>77</v>
      </c>
      <c r="G5354" t="s">
        <v>2121</v>
      </c>
      <c r="I5354" t="s">
        <v>41</v>
      </c>
      <c r="J5354" t="s">
        <v>3622</v>
      </c>
      <c r="L5354" t="s">
        <v>4481</v>
      </c>
      <c r="M5354" t="s">
        <v>6857</v>
      </c>
      <c r="N5354" t="s">
        <v>6857</v>
      </c>
      <c r="O5354" t="s">
        <v>73</v>
      </c>
      <c r="P5354" t="s">
        <v>81</v>
      </c>
      <c r="Q5354" t="s">
        <v>489</v>
      </c>
      <c r="R5354" t="s">
        <v>6837</v>
      </c>
    </row>
    <row r="5355" spans="1:18" x14ac:dyDescent="0.25">
      <c r="A5355" t="s">
        <v>19903</v>
      </c>
      <c r="B5355" t="s">
        <v>6860</v>
      </c>
      <c r="C5355" t="str">
        <f>HYPERLINK("https://nematode.unl.edu/laimyk4.jpg")</f>
        <v>https://nematode.unl.edu/laimyk4.jpg</v>
      </c>
      <c r="D5355" t="s">
        <v>77</v>
      </c>
      <c r="G5355" t="s">
        <v>112</v>
      </c>
      <c r="I5355" t="s">
        <v>41</v>
      </c>
      <c r="J5355" t="s">
        <v>3622</v>
      </c>
      <c r="M5355" t="s">
        <v>6857</v>
      </c>
      <c r="N5355" t="s">
        <v>6857</v>
      </c>
      <c r="O5355" t="s">
        <v>73</v>
      </c>
      <c r="P5355" t="s">
        <v>81</v>
      </c>
      <c r="Q5355" t="s">
        <v>489</v>
      </c>
      <c r="R5355" t="s">
        <v>6837</v>
      </c>
    </row>
    <row r="5356" spans="1:18" x14ac:dyDescent="0.25">
      <c r="A5356" t="s">
        <v>19892</v>
      </c>
      <c r="B5356" t="s">
        <v>6846</v>
      </c>
      <c r="C5356" t="str">
        <f>HYPERLINK("https://nematode.unl.edu/laimytex1.jpg")</f>
        <v>https://nematode.unl.edu/laimytex1.jpg</v>
      </c>
      <c r="D5356" t="s">
        <v>43</v>
      </c>
      <c r="G5356" t="s">
        <v>44</v>
      </c>
      <c r="I5356" t="s">
        <v>45</v>
      </c>
      <c r="J5356" t="s">
        <v>282</v>
      </c>
      <c r="L5356" t="s">
        <v>4061</v>
      </c>
      <c r="M5356" t="s">
        <v>6837</v>
      </c>
      <c r="N5356" t="s">
        <v>6837</v>
      </c>
      <c r="O5356" t="s">
        <v>73</v>
      </c>
      <c r="P5356" t="s">
        <v>81</v>
      </c>
      <c r="Q5356" t="s">
        <v>489</v>
      </c>
      <c r="R5356" t="s">
        <v>6837</v>
      </c>
    </row>
    <row r="5357" spans="1:18" x14ac:dyDescent="0.25">
      <c r="A5357" t="s">
        <v>19896</v>
      </c>
      <c r="B5357" t="s">
        <v>6847</v>
      </c>
      <c r="C5357" t="str">
        <f>HYPERLINK("https://nematode.unl.edu/laimytex10.jpg")</f>
        <v>https://nematode.unl.edu/laimytex10.jpg</v>
      </c>
      <c r="D5357" t="s">
        <v>77</v>
      </c>
      <c r="G5357" t="s">
        <v>28</v>
      </c>
      <c r="J5357" t="s">
        <v>3679</v>
      </c>
      <c r="M5357" t="s">
        <v>6837</v>
      </c>
      <c r="N5357" t="s">
        <v>6837</v>
      </c>
      <c r="O5357" t="s">
        <v>73</v>
      </c>
      <c r="P5357" t="s">
        <v>81</v>
      </c>
      <c r="Q5357" t="s">
        <v>489</v>
      </c>
      <c r="R5357" t="s">
        <v>6837</v>
      </c>
    </row>
    <row r="5358" spans="1:18" x14ac:dyDescent="0.25">
      <c r="A5358" t="s">
        <v>19888</v>
      </c>
      <c r="B5358" t="s">
        <v>6848</v>
      </c>
      <c r="C5358" t="str">
        <f>HYPERLINK("https://nematode.unl.edu/laimytex2.jpg")</f>
        <v>https://nematode.unl.edu/laimytex2.jpg</v>
      </c>
      <c r="D5358" t="s">
        <v>43</v>
      </c>
      <c r="G5358" t="s">
        <v>34</v>
      </c>
      <c r="H5358" t="s">
        <v>18</v>
      </c>
      <c r="I5358" t="s">
        <v>19</v>
      </c>
      <c r="J5358" t="s">
        <v>282</v>
      </c>
      <c r="L5358" t="s">
        <v>4488</v>
      </c>
      <c r="M5358" t="s">
        <v>6837</v>
      </c>
      <c r="N5358" t="s">
        <v>6837</v>
      </c>
      <c r="O5358" t="s">
        <v>73</v>
      </c>
      <c r="P5358" t="s">
        <v>81</v>
      </c>
      <c r="Q5358" t="s">
        <v>489</v>
      </c>
      <c r="R5358" t="s">
        <v>6837</v>
      </c>
    </row>
    <row r="5359" spans="1:18" x14ac:dyDescent="0.25">
      <c r="A5359" t="s">
        <v>19891</v>
      </c>
      <c r="B5359" t="s">
        <v>6849</v>
      </c>
      <c r="C5359" t="str">
        <f>HYPERLINK("https://nematode.unl.edu/laimytex3.jpg")</f>
        <v>https://nematode.unl.edu/laimytex3.jpg</v>
      </c>
      <c r="D5359" t="s">
        <v>43</v>
      </c>
      <c r="G5359" t="s">
        <v>87</v>
      </c>
      <c r="I5359" t="s">
        <v>19</v>
      </c>
      <c r="J5359" t="s">
        <v>282</v>
      </c>
      <c r="M5359" t="s">
        <v>6837</v>
      </c>
      <c r="N5359" t="s">
        <v>6837</v>
      </c>
      <c r="O5359" t="s">
        <v>73</v>
      </c>
      <c r="P5359" t="s">
        <v>81</v>
      </c>
      <c r="Q5359" t="s">
        <v>489</v>
      </c>
      <c r="R5359" t="s">
        <v>6837</v>
      </c>
    </row>
    <row r="5360" spans="1:18" x14ac:dyDescent="0.25">
      <c r="A5360" t="s">
        <v>19899</v>
      </c>
      <c r="B5360" t="s">
        <v>6850</v>
      </c>
      <c r="C5360" t="str">
        <f>HYPERLINK("https://nematode.unl.edu/laimytex4.jpg")</f>
        <v>https://nematode.unl.edu/laimytex4.jpg</v>
      </c>
      <c r="D5360" t="s">
        <v>43</v>
      </c>
      <c r="G5360" t="s">
        <v>51</v>
      </c>
      <c r="J5360" t="s">
        <v>282</v>
      </c>
      <c r="M5360" t="s">
        <v>6837</v>
      </c>
      <c r="N5360" t="s">
        <v>6837</v>
      </c>
      <c r="O5360" t="s">
        <v>73</v>
      </c>
      <c r="P5360" t="s">
        <v>81</v>
      </c>
      <c r="Q5360" t="s">
        <v>489</v>
      </c>
      <c r="R5360" t="s">
        <v>6837</v>
      </c>
    </row>
    <row r="5361" spans="1:18" x14ac:dyDescent="0.25">
      <c r="A5361" t="s">
        <v>19897</v>
      </c>
      <c r="B5361" t="s">
        <v>6851</v>
      </c>
      <c r="C5361" t="str">
        <f>HYPERLINK("https://nematode.unl.edu/laimytex5.jpg")</f>
        <v>https://nematode.unl.edu/laimytex5.jpg</v>
      </c>
      <c r="D5361" t="s">
        <v>43</v>
      </c>
      <c r="G5361" t="s">
        <v>28</v>
      </c>
      <c r="J5361" t="s">
        <v>282</v>
      </c>
      <c r="M5361" t="s">
        <v>6837</v>
      </c>
      <c r="N5361" t="s">
        <v>6837</v>
      </c>
      <c r="O5361" t="s">
        <v>73</v>
      </c>
      <c r="P5361" t="s">
        <v>81</v>
      </c>
      <c r="Q5361" t="s">
        <v>489</v>
      </c>
      <c r="R5361" t="s">
        <v>6837</v>
      </c>
    </row>
    <row r="5362" spans="1:18" x14ac:dyDescent="0.25">
      <c r="A5362" t="s">
        <v>19893</v>
      </c>
      <c r="B5362" t="s">
        <v>6852</v>
      </c>
      <c r="C5362" t="str">
        <f>HYPERLINK("https://nematode.unl.edu/laimytex6.jpg")</f>
        <v>https://nematode.unl.edu/laimytex6.jpg</v>
      </c>
      <c r="D5362" t="s">
        <v>77</v>
      </c>
      <c r="G5362" t="s">
        <v>44</v>
      </c>
      <c r="I5362" t="s">
        <v>91</v>
      </c>
      <c r="J5362" t="s">
        <v>3679</v>
      </c>
      <c r="L5362" t="s">
        <v>4488</v>
      </c>
      <c r="M5362" t="s">
        <v>6837</v>
      </c>
      <c r="N5362" t="s">
        <v>6837</v>
      </c>
      <c r="O5362" t="s">
        <v>73</v>
      </c>
      <c r="P5362" t="s">
        <v>81</v>
      </c>
      <c r="Q5362" t="s">
        <v>489</v>
      </c>
      <c r="R5362" t="s">
        <v>6837</v>
      </c>
    </row>
    <row r="5363" spans="1:18" x14ac:dyDescent="0.25">
      <c r="A5363" t="s">
        <v>19889</v>
      </c>
      <c r="B5363" t="s">
        <v>6853</v>
      </c>
      <c r="C5363" t="str">
        <f>HYPERLINK("https://nematode.unl.edu/laimytex7.jpg")</f>
        <v>https://nematode.unl.edu/laimytex7.jpg</v>
      </c>
      <c r="D5363" t="s">
        <v>77</v>
      </c>
      <c r="G5363" t="s">
        <v>34</v>
      </c>
      <c r="H5363" t="s">
        <v>18</v>
      </c>
      <c r="I5363" t="s">
        <v>516</v>
      </c>
      <c r="J5363" t="s">
        <v>282</v>
      </c>
      <c r="L5363" t="s">
        <v>4061</v>
      </c>
      <c r="M5363" t="s">
        <v>6837</v>
      </c>
      <c r="N5363" t="s">
        <v>6837</v>
      </c>
      <c r="O5363" t="s">
        <v>73</v>
      </c>
      <c r="P5363" t="s">
        <v>81</v>
      </c>
      <c r="Q5363" t="s">
        <v>489</v>
      </c>
      <c r="R5363" t="s">
        <v>6837</v>
      </c>
    </row>
    <row r="5364" spans="1:18" x14ac:dyDescent="0.25">
      <c r="A5364" t="s">
        <v>19883</v>
      </c>
      <c r="B5364" t="s">
        <v>6854</v>
      </c>
      <c r="C5364" t="str">
        <f>HYPERLINK("https://nematode.unl.edu/laimytex8.jpg")</f>
        <v>https://nematode.unl.edu/laimytex8.jpg</v>
      </c>
      <c r="D5364" t="s">
        <v>77</v>
      </c>
      <c r="G5364" t="s">
        <v>17</v>
      </c>
      <c r="H5364" t="s">
        <v>18</v>
      </c>
      <c r="I5364" t="s">
        <v>19</v>
      </c>
      <c r="J5364" t="s">
        <v>282</v>
      </c>
      <c r="L5364" t="s">
        <v>4061</v>
      </c>
      <c r="M5364" t="s">
        <v>6837</v>
      </c>
      <c r="N5364" t="s">
        <v>6837</v>
      </c>
      <c r="O5364" t="s">
        <v>73</v>
      </c>
      <c r="P5364" t="s">
        <v>81</v>
      </c>
      <c r="Q5364" t="s">
        <v>489</v>
      </c>
      <c r="R5364" t="s">
        <v>6837</v>
      </c>
    </row>
    <row r="5365" spans="1:18" x14ac:dyDescent="0.25">
      <c r="A5365" t="s">
        <v>19898</v>
      </c>
      <c r="B5365" t="s">
        <v>6855</v>
      </c>
      <c r="C5365" t="str">
        <f>HYPERLINK("https://nematode.unl.edu/laimytex9.jpg")</f>
        <v>https://nematode.unl.edu/laimytex9.jpg</v>
      </c>
      <c r="D5365" t="s">
        <v>77</v>
      </c>
      <c r="G5365" t="s">
        <v>28</v>
      </c>
      <c r="J5365" t="s">
        <v>3679</v>
      </c>
      <c r="M5365" t="s">
        <v>6837</v>
      </c>
      <c r="N5365" t="s">
        <v>6837</v>
      </c>
      <c r="O5365" t="s">
        <v>73</v>
      </c>
      <c r="P5365" t="s">
        <v>81</v>
      </c>
      <c r="Q5365" t="s">
        <v>489</v>
      </c>
      <c r="R5365" t="s">
        <v>6837</v>
      </c>
    </row>
    <row r="5366" spans="1:18" x14ac:dyDescent="0.25">
      <c r="A5366" t="s">
        <v>19973</v>
      </c>
      <c r="B5366" t="s">
        <v>1516</v>
      </c>
      <c r="C5366" t="str">
        <f>HYPERLINK("https://nematode.unl.edu/laparafec1.jpg")</f>
        <v>https://nematode.unl.edu/laparafec1.jpg</v>
      </c>
      <c r="D5366" t="s">
        <v>43</v>
      </c>
      <c r="G5366" t="s">
        <v>44</v>
      </c>
      <c r="I5366" t="s">
        <v>516</v>
      </c>
      <c r="J5366" t="s">
        <v>1517</v>
      </c>
      <c r="L5366" t="s">
        <v>1518</v>
      </c>
      <c r="M5366" t="s">
        <v>1519</v>
      </c>
      <c r="N5366" t="s">
        <v>1520</v>
      </c>
      <c r="O5366" t="s">
        <v>73</v>
      </c>
      <c r="P5366" t="s">
        <v>81</v>
      </c>
      <c r="Q5366" t="s">
        <v>489</v>
      </c>
      <c r="R5366" t="s">
        <v>1521</v>
      </c>
    </row>
    <row r="5367" spans="1:18" x14ac:dyDescent="0.25">
      <c r="A5367" t="s">
        <v>19974</v>
      </c>
      <c r="B5367" t="s">
        <v>1522</v>
      </c>
      <c r="C5367" t="str">
        <f>HYPERLINK("https://nematode.unl.edu/laparafec10.jpg")</f>
        <v>https://nematode.unl.edu/laparafec10.jpg</v>
      </c>
      <c r="D5367" t="s">
        <v>43</v>
      </c>
      <c r="G5367" t="s">
        <v>44</v>
      </c>
      <c r="I5367" t="s">
        <v>45</v>
      </c>
      <c r="J5367" t="s">
        <v>1517</v>
      </c>
      <c r="L5367" t="s">
        <v>1523</v>
      </c>
      <c r="M5367" t="s">
        <v>1519</v>
      </c>
      <c r="N5367" t="s">
        <v>1520</v>
      </c>
      <c r="O5367" t="s">
        <v>73</v>
      </c>
      <c r="P5367" t="s">
        <v>81</v>
      </c>
      <c r="Q5367" t="s">
        <v>489</v>
      </c>
      <c r="R5367" t="s">
        <v>1521</v>
      </c>
    </row>
    <row r="5368" spans="1:18" x14ac:dyDescent="0.25">
      <c r="A5368" t="s">
        <v>19965</v>
      </c>
      <c r="B5368" t="s">
        <v>1524</v>
      </c>
      <c r="C5368" t="str">
        <f>HYPERLINK("https://nematode.unl.edu/laparafec11.jpg")</f>
        <v>https://nematode.unl.edu/laparafec11.jpg</v>
      </c>
      <c r="D5368" t="s">
        <v>77</v>
      </c>
      <c r="G5368" t="s">
        <v>96</v>
      </c>
      <c r="H5368" t="s">
        <v>18</v>
      </c>
      <c r="I5368" t="s">
        <v>19</v>
      </c>
      <c r="J5368" t="s">
        <v>1525</v>
      </c>
      <c r="L5368" t="s">
        <v>1526</v>
      </c>
      <c r="M5368" t="s">
        <v>1519</v>
      </c>
      <c r="N5368" t="s">
        <v>1520</v>
      </c>
      <c r="O5368" t="s">
        <v>73</v>
      </c>
      <c r="P5368" t="s">
        <v>81</v>
      </c>
      <c r="Q5368" t="s">
        <v>489</v>
      </c>
      <c r="R5368" t="s">
        <v>1521</v>
      </c>
    </row>
    <row r="5369" spans="1:18" x14ac:dyDescent="0.25">
      <c r="A5369" t="s">
        <v>19972</v>
      </c>
      <c r="B5369" t="s">
        <v>1527</v>
      </c>
      <c r="C5369" t="str">
        <f>HYPERLINK("https://nematode.unl.edu/laparafec12.jpg")</f>
        <v>https://nematode.unl.edu/laparafec12.jpg</v>
      </c>
      <c r="D5369" t="s">
        <v>43</v>
      </c>
      <c r="G5369" t="s">
        <v>1528</v>
      </c>
      <c r="I5369" t="s">
        <v>19</v>
      </c>
      <c r="J5369" t="s">
        <v>1517</v>
      </c>
      <c r="L5369" t="s">
        <v>1523</v>
      </c>
      <c r="M5369" t="s">
        <v>1519</v>
      </c>
      <c r="N5369" t="s">
        <v>1520</v>
      </c>
      <c r="O5369" t="s">
        <v>73</v>
      </c>
      <c r="P5369" t="s">
        <v>81</v>
      </c>
      <c r="Q5369" t="s">
        <v>489</v>
      </c>
      <c r="R5369" t="s">
        <v>1521</v>
      </c>
    </row>
    <row r="5370" spans="1:18" x14ac:dyDescent="0.25">
      <c r="A5370" t="s">
        <v>19963</v>
      </c>
      <c r="B5370" t="s">
        <v>1529</v>
      </c>
      <c r="C5370" t="str">
        <f>HYPERLINK("https://nematode.unl.edu/laparafec13.jpg")</f>
        <v>https://nematode.unl.edu/laparafec13.jpg</v>
      </c>
      <c r="D5370" t="s">
        <v>43</v>
      </c>
      <c r="G5370" t="s">
        <v>386</v>
      </c>
      <c r="H5370" t="s">
        <v>18</v>
      </c>
      <c r="I5370" t="s">
        <v>41</v>
      </c>
      <c r="J5370" t="s">
        <v>1517</v>
      </c>
      <c r="L5370" t="s">
        <v>1518</v>
      </c>
      <c r="M5370" t="s">
        <v>1519</v>
      </c>
      <c r="N5370" t="s">
        <v>1520</v>
      </c>
      <c r="O5370" t="s">
        <v>73</v>
      </c>
      <c r="P5370" t="s">
        <v>81</v>
      </c>
      <c r="Q5370" t="s">
        <v>489</v>
      </c>
      <c r="R5370" t="s">
        <v>1521</v>
      </c>
    </row>
    <row r="5371" spans="1:18" x14ac:dyDescent="0.25">
      <c r="A5371" t="s">
        <v>19968</v>
      </c>
      <c r="B5371" t="s">
        <v>1530</v>
      </c>
      <c r="C5371" t="str">
        <f>HYPERLINK("https://nematode.unl.edu/laparafec14.jpg")</f>
        <v>https://nematode.unl.edu/laparafec14.jpg</v>
      </c>
      <c r="D5371" t="s">
        <v>77</v>
      </c>
      <c r="G5371" t="s">
        <v>34</v>
      </c>
      <c r="H5371" t="s">
        <v>18</v>
      </c>
      <c r="I5371" t="s">
        <v>41</v>
      </c>
      <c r="M5371" t="s">
        <v>1519</v>
      </c>
      <c r="N5371" t="s">
        <v>1520</v>
      </c>
      <c r="O5371" t="s">
        <v>73</v>
      </c>
      <c r="P5371" t="s">
        <v>81</v>
      </c>
      <c r="Q5371" t="s">
        <v>489</v>
      </c>
      <c r="R5371" t="s">
        <v>1521</v>
      </c>
    </row>
    <row r="5372" spans="1:18" x14ac:dyDescent="0.25">
      <c r="A5372" t="s">
        <v>19979</v>
      </c>
      <c r="B5372" t="s">
        <v>1531</v>
      </c>
      <c r="C5372" t="str">
        <f>HYPERLINK("https://nematode.unl.edu/laparafec15.jpg")</f>
        <v>https://nematode.unl.edu/laparafec15.jpg</v>
      </c>
      <c r="D5372" t="s">
        <v>43</v>
      </c>
      <c r="G5372" t="s">
        <v>1532</v>
      </c>
      <c r="I5372" t="s">
        <v>41</v>
      </c>
      <c r="J5372" t="s">
        <v>1517</v>
      </c>
      <c r="L5372" t="s">
        <v>1518</v>
      </c>
      <c r="M5372" t="s">
        <v>1519</v>
      </c>
      <c r="N5372" t="s">
        <v>1520</v>
      </c>
      <c r="O5372" t="s">
        <v>73</v>
      </c>
      <c r="P5372" t="s">
        <v>81</v>
      </c>
      <c r="Q5372" t="s">
        <v>489</v>
      </c>
      <c r="R5372" t="s">
        <v>1521</v>
      </c>
    </row>
    <row r="5373" spans="1:18" x14ac:dyDescent="0.25">
      <c r="A5373" t="s">
        <v>19977</v>
      </c>
      <c r="B5373" t="s">
        <v>1533</v>
      </c>
      <c r="C5373" t="str">
        <f>HYPERLINK("https://nematode.unl.edu/laparafec16.jpg")</f>
        <v>https://nematode.unl.edu/laparafec16.jpg</v>
      </c>
      <c r="D5373" t="s">
        <v>43</v>
      </c>
      <c r="G5373" t="s">
        <v>243</v>
      </c>
      <c r="I5373" t="s">
        <v>41</v>
      </c>
      <c r="J5373" t="s">
        <v>1517</v>
      </c>
      <c r="L5373" t="s">
        <v>1518</v>
      </c>
      <c r="M5373" t="s">
        <v>1519</v>
      </c>
      <c r="N5373" t="s">
        <v>1520</v>
      </c>
      <c r="O5373" t="s">
        <v>73</v>
      </c>
      <c r="P5373" t="s">
        <v>81</v>
      </c>
      <c r="Q5373" t="s">
        <v>489</v>
      </c>
      <c r="R5373" t="s">
        <v>1521</v>
      </c>
    </row>
    <row r="5374" spans="1:18" x14ac:dyDescent="0.25">
      <c r="A5374" t="s">
        <v>19988</v>
      </c>
      <c r="B5374" t="s">
        <v>1534</v>
      </c>
      <c r="C5374" t="str">
        <f>HYPERLINK("https://nematode.unl.edu/laparafec17.jpg")</f>
        <v>https://nematode.unl.edu/laparafec17.jpg</v>
      </c>
      <c r="D5374" t="s">
        <v>43</v>
      </c>
      <c r="G5374" t="s">
        <v>51</v>
      </c>
      <c r="I5374" t="s">
        <v>41</v>
      </c>
      <c r="J5374" t="s">
        <v>1525</v>
      </c>
      <c r="L5374" t="s">
        <v>1526</v>
      </c>
      <c r="M5374" t="s">
        <v>1519</v>
      </c>
      <c r="N5374" t="s">
        <v>1520</v>
      </c>
      <c r="O5374" t="s">
        <v>73</v>
      </c>
      <c r="P5374" t="s">
        <v>81</v>
      </c>
      <c r="Q5374" t="s">
        <v>489</v>
      </c>
      <c r="R5374" t="s">
        <v>1521</v>
      </c>
    </row>
    <row r="5375" spans="1:18" x14ac:dyDescent="0.25">
      <c r="A5375" t="s">
        <v>19982</v>
      </c>
      <c r="B5375" t="s">
        <v>1535</v>
      </c>
      <c r="C5375" t="str">
        <f>HYPERLINK("https://nematode.unl.edu/laparafec18.jpg")</f>
        <v>https://nematode.unl.edu/laparafec18.jpg</v>
      </c>
      <c r="D5375" t="s">
        <v>43</v>
      </c>
      <c r="G5375" t="s">
        <v>1536</v>
      </c>
      <c r="I5375" t="s">
        <v>41</v>
      </c>
      <c r="J5375" t="s">
        <v>1517</v>
      </c>
      <c r="L5375" t="s">
        <v>1523</v>
      </c>
      <c r="M5375" t="s">
        <v>1519</v>
      </c>
      <c r="N5375" t="s">
        <v>1520</v>
      </c>
      <c r="O5375" t="s">
        <v>73</v>
      </c>
      <c r="P5375" t="s">
        <v>81</v>
      </c>
      <c r="Q5375" t="s">
        <v>489</v>
      </c>
      <c r="R5375" t="s">
        <v>1521</v>
      </c>
    </row>
    <row r="5376" spans="1:18" x14ac:dyDescent="0.25">
      <c r="A5376" t="s">
        <v>19975</v>
      </c>
      <c r="B5376" t="s">
        <v>1537</v>
      </c>
      <c r="C5376" t="str">
        <f>HYPERLINK("https://nematode.unl.edu/laparafec19.jpg")</f>
        <v>https://nematode.unl.edu/laparafec19.jpg</v>
      </c>
      <c r="D5376" t="s">
        <v>16</v>
      </c>
      <c r="G5376" t="s">
        <v>44</v>
      </c>
      <c r="I5376" t="s">
        <v>529</v>
      </c>
      <c r="J5376" t="s">
        <v>1517</v>
      </c>
      <c r="L5376" t="s">
        <v>1518</v>
      </c>
      <c r="M5376" t="s">
        <v>1519</v>
      </c>
      <c r="N5376" t="s">
        <v>1520</v>
      </c>
      <c r="O5376" t="s">
        <v>73</v>
      </c>
      <c r="P5376" t="s">
        <v>81</v>
      </c>
      <c r="Q5376" t="s">
        <v>489</v>
      </c>
      <c r="R5376" t="s">
        <v>1521</v>
      </c>
    </row>
    <row r="5377" spans="1:18" x14ac:dyDescent="0.25">
      <c r="A5377" t="s">
        <v>19969</v>
      </c>
      <c r="B5377" t="s">
        <v>1538</v>
      </c>
      <c r="C5377" t="str">
        <f>HYPERLINK("https://nematode.unl.edu/laparafec2.jpg")</f>
        <v>https://nematode.unl.edu/laparafec2.jpg</v>
      </c>
      <c r="D5377" t="s">
        <v>43</v>
      </c>
      <c r="G5377" t="s">
        <v>34</v>
      </c>
      <c r="H5377" t="s">
        <v>18</v>
      </c>
      <c r="I5377" t="s">
        <v>41</v>
      </c>
      <c r="J5377" t="s">
        <v>1525</v>
      </c>
      <c r="L5377" t="s">
        <v>1526</v>
      </c>
      <c r="M5377" t="s">
        <v>1519</v>
      </c>
      <c r="N5377" t="s">
        <v>1520</v>
      </c>
      <c r="O5377" t="s">
        <v>73</v>
      </c>
      <c r="P5377" t="s">
        <v>81</v>
      </c>
      <c r="Q5377" t="s">
        <v>489</v>
      </c>
      <c r="R5377" t="s">
        <v>1521</v>
      </c>
    </row>
    <row r="5378" spans="1:18" x14ac:dyDescent="0.25">
      <c r="A5378" t="s">
        <v>19966</v>
      </c>
      <c r="B5378" t="s">
        <v>1539</v>
      </c>
      <c r="C5378" t="str">
        <f>HYPERLINK("https://nematode.unl.edu/laparafec20.jpg")</f>
        <v>https://nematode.unl.edu/laparafec20.jpg</v>
      </c>
      <c r="D5378" t="s">
        <v>16</v>
      </c>
      <c r="G5378" t="s">
        <v>96</v>
      </c>
      <c r="H5378" t="s">
        <v>18</v>
      </c>
      <c r="I5378" t="s">
        <v>19</v>
      </c>
      <c r="J5378" t="s">
        <v>1525</v>
      </c>
      <c r="L5378" t="s">
        <v>1526</v>
      </c>
      <c r="M5378" t="s">
        <v>1519</v>
      </c>
      <c r="N5378" t="s">
        <v>1520</v>
      </c>
      <c r="O5378" t="s">
        <v>73</v>
      </c>
      <c r="P5378" t="s">
        <v>81</v>
      </c>
      <c r="Q5378" t="s">
        <v>489</v>
      </c>
      <c r="R5378" t="s">
        <v>1521</v>
      </c>
    </row>
    <row r="5379" spans="1:18" x14ac:dyDescent="0.25">
      <c r="A5379" t="s">
        <v>19976</v>
      </c>
      <c r="B5379" t="s">
        <v>1540</v>
      </c>
      <c r="C5379" t="str">
        <f>HYPERLINK("https://nematode.unl.edu/laparafec21.jpg")</f>
        <v>https://nematode.unl.edu/laparafec21.jpg</v>
      </c>
      <c r="D5379" t="s">
        <v>43</v>
      </c>
      <c r="G5379" t="s">
        <v>44</v>
      </c>
      <c r="I5379" t="s">
        <v>45</v>
      </c>
      <c r="J5379" t="s">
        <v>1517</v>
      </c>
      <c r="L5379" t="s">
        <v>1523</v>
      </c>
      <c r="M5379" t="s">
        <v>1519</v>
      </c>
      <c r="N5379" t="s">
        <v>1520</v>
      </c>
      <c r="O5379" t="s">
        <v>73</v>
      </c>
      <c r="P5379" t="s">
        <v>81</v>
      </c>
      <c r="Q5379" t="s">
        <v>489</v>
      </c>
      <c r="R5379" t="s">
        <v>1521</v>
      </c>
    </row>
    <row r="5380" spans="1:18" x14ac:dyDescent="0.25">
      <c r="A5380" t="s">
        <v>19967</v>
      </c>
      <c r="B5380" t="s">
        <v>1541</v>
      </c>
      <c r="C5380" t="str">
        <f>HYPERLINK("https://nematode.unl.edu/laparafec22.jpg")</f>
        <v>https://nematode.unl.edu/laparafec22.jpg</v>
      </c>
      <c r="D5380" t="s">
        <v>43</v>
      </c>
      <c r="G5380" t="s">
        <v>96</v>
      </c>
      <c r="H5380" t="s">
        <v>18</v>
      </c>
      <c r="I5380" t="s">
        <v>19</v>
      </c>
      <c r="J5380" t="s">
        <v>1517</v>
      </c>
      <c r="L5380" t="s">
        <v>1523</v>
      </c>
      <c r="M5380" t="s">
        <v>1519</v>
      </c>
      <c r="N5380" t="s">
        <v>1520</v>
      </c>
      <c r="O5380" t="s">
        <v>73</v>
      </c>
      <c r="P5380" t="s">
        <v>81</v>
      </c>
      <c r="Q5380" t="s">
        <v>489</v>
      </c>
      <c r="R5380" t="s">
        <v>1521</v>
      </c>
    </row>
    <row r="5381" spans="1:18" x14ac:dyDescent="0.25">
      <c r="A5381" t="s">
        <v>19983</v>
      </c>
      <c r="B5381" t="s">
        <v>1542</v>
      </c>
      <c r="C5381" t="str">
        <f>HYPERLINK("https://nematode.unl.edu/laparafec23.jpg")</f>
        <v>https://nematode.unl.edu/laparafec23.jpg</v>
      </c>
      <c r="D5381" t="s">
        <v>43</v>
      </c>
      <c r="G5381" t="s">
        <v>28</v>
      </c>
      <c r="I5381" t="s">
        <v>19</v>
      </c>
      <c r="J5381" t="s">
        <v>1517</v>
      </c>
      <c r="L5381" t="s">
        <v>1523</v>
      </c>
      <c r="M5381" t="s">
        <v>1519</v>
      </c>
      <c r="N5381" t="s">
        <v>1520</v>
      </c>
      <c r="O5381" t="s">
        <v>73</v>
      </c>
      <c r="P5381" t="s">
        <v>81</v>
      </c>
      <c r="Q5381" t="s">
        <v>489</v>
      </c>
      <c r="R5381" t="s">
        <v>1521</v>
      </c>
    </row>
    <row r="5382" spans="1:18" x14ac:dyDescent="0.25">
      <c r="A5382" t="s">
        <v>19970</v>
      </c>
      <c r="B5382" t="s">
        <v>1543</v>
      </c>
      <c r="C5382" t="str">
        <f>HYPERLINK("https://nematode.unl.edu/laparafec24.jpg")</f>
        <v>https://nematode.unl.edu/laparafec24.jpg</v>
      </c>
      <c r="D5382" t="s">
        <v>43</v>
      </c>
      <c r="G5382" t="s">
        <v>34</v>
      </c>
      <c r="H5382" t="s">
        <v>18</v>
      </c>
      <c r="I5382" t="s">
        <v>41</v>
      </c>
      <c r="J5382" t="s">
        <v>1525</v>
      </c>
      <c r="L5382" t="s">
        <v>1526</v>
      </c>
      <c r="M5382" t="s">
        <v>1519</v>
      </c>
      <c r="N5382" t="s">
        <v>1520</v>
      </c>
      <c r="O5382" t="s">
        <v>73</v>
      </c>
      <c r="P5382" t="s">
        <v>81</v>
      </c>
      <c r="Q5382" t="s">
        <v>489</v>
      </c>
      <c r="R5382" t="s">
        <v>1521</v>
      </c>
    </row>
    <row r="5383" spans="1:18" x14ac:dyDescent="0.25">
      <c r="A5383" t="s">
        <v>19989</v>
      </c>
      <c r="B5383" t="s">
        <v>1544</v>
      </c>
      <c r="C5383" t="str">
        <f>HYPERLINK("https://nematode.unl.edu/laparafec25.jpg")</f>
        <v>https://nematode.unl.edu/laparafec25.jpg</v>
      </c>
      <c r="D5383" t="s">
        <v>43</v>
      </c>
      <c r="G5383" t="s">
        <v>51</v>
      </c>
      <c r="I5383" t="s">
        <v>41</v>
      </c>
      <c r="M5383" t="s">
        <v>1519</v>
      </c>
      <c r="N5383" t="s">
        <v>1520</v>
      </c>
      <c r="O5383" t="s">
        <v>73</v>
      </c>
      <c r="P5383" t="s">
        <v>81</v>
      </c>
      <c r="Q5383" t="s">
        <v>489</v>
      </c>
      <c r="R5383" t="s">
        <v>1521</v>
      </c>
    </row>
    <row r="5384" spans="1:18" x14ac:dyDescent="0.25">
      <c r="A5384" t="s">
        <v>19984</v>
      </c>
      <c r="B5384" t="s">
        <v>1545</v>
      </c>
      <c r="C5384" t="str">
        <f>HYPERLINK("https://nematode.unl.edu/laparafec26.jpg")</f>
        <v>https://nematode.unl.edu/laparafec26.jpg</v>
      </c>
      <c r="D5384" t="s">
        <v>43</v>
      </c>
      <c r="G5384" t="s">
        <v>28</v>
      </c>
      <c r="I5384" t="s">
        <v>41</v>
      </c>
      <c r="J5384" t="s">
        <v>1517</v>
      </c>
      <c r="M5384" t="s">
        <v>1519</v>
      </c>
      <c r="N5384" t="s">
        <v>1520</v>
      </c>
      <c r="O5384" t="s">
        <v>73</v>
      </c>
      <c r="P5384" t="s">
        <v>81</v>
      </c>
      <c r="Q5384" t="s">
        <v>489</v>
      </c>
      <c r="R5384" t="s">
        <v>1521</v>
      </c>
    </row>
    <row r="5385" spans="1:18" x14ac:dyDescent="0.25">
      <c r="A5385" t="s">
        <v>19985</v>
      </c>
      <c r="B5385" t="s">
        <v>1546</v>
      </c>
      <c r="C5385" t="str">
        <f>HYPERLINK("https://nematode.unl.edu/laparafec27.jpg")</f>
        <v>https://nematode.unl.edu/laparafec27.jpg</v>
      </c>
      <c r="D5385" t="s">
        <v>43</v>
      </c>
      <c r="G5385" t="s">
        <v>28</v>
      </c>
      <c r="I5385" t="s">
        <v>41</v>
      </c>
      <c r="J5385" t="s">
        <v>1517</v>
      </c>
      <c r="M5385" t="s">
        <v>1519</v>
      </c>
      <c r="N5385" t="s">
        <v>1520</v>
      </c>
      <c r="O5385" t="s">
        <v>73</v>
      </c>
      <c r="P5385" t="s">
        <v>81</v>
      </c>
      <c r="Q5385" t="s">
        <v>489</v>
      </c>
      <c r="R5385" t="s">
        <v>1521</v>
      </c>
    </row>
    <row r="5386" spans="1:18" x14ac:dyDescent="0.25">
      <c r="A5386" t="s">
        <v>19986</v>
      </c>
      <c r="B5386" t="s">
        <v>1547</v>
      </c>
      <c r="C5386" t="str">
        <f>HYPERLINK("https://nematode.unl.edu/laparafec28.jpg")</f>
        <v>https://nematode.unl.edu/laparafec28.jpg</v>
      </c>
      <c r="D5386" t="s">
        <v>43</v>
      </c>
      <c r="G5386" t="s">
        <v>28</v>
      </c>
      <c r="I5386" t="s">
        <v>41</v>
      </c>
      <c r="J5386" t="s">
        <v>1525</v>
      </c>
      <c r="L5386" t="s">
        <v>1526</v>
      </c>
      <c r="M5386" t="s">
        <v>1519</v>
      </c>
      <c r="N5386" t="s">
        <v>1520</v>
      </c>
      <c r="O5386" t="s">
        <v>73</v>
      </c>
      <c r="P5386" t="s">
        <v>81</v>
      </c>
      <c r="Q5386" t="s">
        <v>489</v>
      </c>
      <c r="R5386" t="s">
        <v>1521</v>
      </c>
    </row>
    <row r="5387" spans="1:18" x14ac:dyDescent="0.25">
      <c r="A5387" t="s">
        <v>19964</v>
      </c>
      <c r="B5387" t="s">
        <v>1548</v>
      </c>
      <c r="C5387" t="str">
        <f>HYPERLINK("https://nematode.unl.edu/laparafec3.jpg")</f>
        <v>https://nematode.unl.edu/laparafec3.jpg</v>
      </c>
      <c r="D5387" t="s">
        <v>43</v>
      </c>
      <c r="G5387" t="s">
        <v>386</v>
      </c>
      <c r="H5387" t="s">
        <v>18</v>
      </c>
      <c r="J5387" t="s">
        <v>1525</v>
      </c>
      <c r="L5387" t="s">
        <v>1526</v>
      </c>
      <c r="M5387" t="s">
        <v>1519</v>
      </c>
      <c r="N5387" t="s">
        <v>1520</v>
      </c>
      <c r="O5387" t="s">
        <v>73</v>
      </c>
      <c r="P5387" t="s">
        <v>81</v>
      </c>
      <c r="Q5387" t="s">
        <v>489</v>
      </c>
      <c r="R5387" t="s">
        <v>1521</v>
      </c>
    </row>
    <row r="5388" spans="1:18" x14ac:dyDescent="0.25">
      <c r="A5388" t="s">
        <v>19980</v>
      </c>
      <c r="B5388" t="s">
        <v>1549</v>
      </c>
      <c r="C5388" t="str">
        <f>HYPERLINK("https://nematode.unl.edu/laparafec4.jpg")</f>
        <v>https://nematode.unl.edu/laparafec4.jpg</v>
      </c>
      <c r="D5388" t="s">
        <v>43</v>
      </c>
      <c r="G5388" t="s">
        <v>1550</v>
      </c>
      <c r="I5388" t="s">
        <v>41</v>
      </c>
      <c r="J5388" t="s">
        <v>1517</v>
      </c>
      <c r="L5388" t="s">
        <v>1523</v>
      </c>
      <c r="M5388" t="s">
        <v>1519</v>
      </c>
      <c r="N5388" t="s">
        <v>1520</v>
      </c>
      <c r="O5388" t="s">
        <v>73</v>
      </c>
      <c r="P5388" t="s">
        <v>81</v>
      </c>
      <c r="Q5388" t="s">
        <v>489</v>
      </c>
      <c r="R5388" t="s">
        <v>1521</v>
      </c>
    </row>
    <row r="5389" spans="1:18" x14ac:dyDescent="0.25">
      <c r="A5389" t="s">
        <v>19978</v>
      </c>
      <c r="B5389" t="s">
        <v>1551</v>
      </c>
      <c r="C5389" t="str">
        <f>HYPERLINK("https://nematode.unl.edu/laparafec5.jpg")</f>
        <v>https://nematode.unl.edu/laparafec5.jpg</v>
      </c>
      <c r="D5389" t="s">
        <v>43</v>
      </c>
      <c r="G5389" t="s">
        <v>243</v>
      </c>
      <c r="I5389" t="s">
        <v>41</v>
      </c>
      <c r="M5389" t="s">
        <v>1519</v>
      </c>
      <c r="N5389" t="s">
        <v>1520</v>
      </c>
      <c r="O5389" t="s">
        <v>73</v>
      </c>
      <c r="P5389" t="s">
        <v>81</v>
      </c>
      <c r="Q5389" t="s">
        <v>489</v>
      </c>
      <c r="R5389" t="s">
        <v>1521</v>
      </c>
    </row>
    <row r="5390" spans="1:18" x14ac:dyDescent="0.25">
      <c r="A5390" t="s">
        <v>19971</v>
      </c>
      <c r="B5390" t="s">
        <v>1552</v>
      </c>
      <c r="C5390" t="str">
        <f>HYPERLINK("https://nematode.unl.edu/laparafec6.jpg")</f>
        <v>https://nematode.unl.edu/laparafec6.jpg</v>
      </c>
      <c r="D5390" t="s">
        <v>43</v>
      </c>
      <c r="G5390" t="s">
        <v>1553</v>
      </c>
      <c r="I5390" t="s">
        <v>41</v>
      </c>
      <c r="J5390" t="s">
        <v>1517</v>
      </c>
      <c r="L5390" t="s">
        <v>1523</v>
      </c>
      <c r="M5390" t="s">
        <v>1519</v>
      </c>
      <c r="N5390" t="s">
        <v>1520</v>
      </c>
      <c r="O5390" t="s">
        <v>73</v>
      </c>
      <c r="P5390" t="s">
        <v>81</v>
      </c>
      <c r="Q5390" t="s">
        <v>489</v>
      </c>
      <c r="R5390" t="s">
        <v>1521</v>
      </c>
    </row>
    <row r="5391" spans="1:18" x14ac:dyDescent="0.25">
      <c r="A5391" t="s">
        <v>19981</v>
      </c>
      <c r="B5391" t="s">
        <v>1554</v>
      </c>
      <c r="C5391" t="str">
        <f>HYPERLINK("https://nematode.unl.edu/laparafec7.jpg")</f>
        <v>https://nematode.unl.edu/laparafec7.jpg</v>
      </c>
      <c r="D5391" t="s">
        <v>43</v>
      </c>
      <c r="G5391" t="s">
        <v>1555</v>
      </c>
      <c r="I5391" t="s">
        <v>41</v>
      </c>
      <c r="J5391" t="s">
        <v>1517</v>
      </c>
      <c r="L5391" t="s">
        <v>1523</v>
      </c>
      <c r="M5391" t="s">
        <v>1519</v>
      </c>
      <c r="N5391" t="s">
        <v>1520</v>
      </c>
      <c r="O5391" t="s">
        <v>73</v>
      </c>
      <c r="P5391" t="s">
        <v>81</v>
      </c>
      <c r="Q5391" t="s">
        <v>489</v>
      </c>
      <c r="R5391" t="s">
        <v>1521</v>
      </c>
    </row>
    <row r="5392" spans="1:18" x14ac:dyDescent="0.25">
      <c r="A5392" t="s">
        <v>19990</v>
      </c>
      <c r="B5392" t="s">
        <v>1556</v>
      </c>
      <c r="C5392" t="str">
        <f>HYPERLINK("https://nematode.unl.edu/laparafec8.jpg")</f>
        <v>https://nematode.unl.edu/laparafec8.jpg</v>
      </c>
      <c r="D5392" t="s">
        <v>43</v>
      </c>
      <c r="G5392" t="s">
        <v>1557</v>
      </c>
      <c r="I5392" t="s">
        <v>41</v>
      </c>
      <c r="J5392" t="s">
        <v>1517</v>
      </c>
      <c r="L5392" t="s">
        <v>1523</v>
      </c>
      <c r="M5392" t="s">
        <v>1519</v>
      </c>
      <c r="N5392" t="s">
        <v>1520</v>
      </c>
      <c r="O5392" t="s">
        <v>73</v>
      </c>
      <c r="P5392" t="s">
        <v>81</v>
      </c>
      <c r="Q5392" t="s">
        <v>489</v>
      </c>
      <c r="R5392" t="s">
        <v>1521</v>
      </c>
    </row>
    <row r="5393" spans="1:18" x14ac:dyDescent="0.25">
      <c r="A5393" t="s">
        <v>19987</v>
      </c>
      <c r="B5393" t="s">
        <v>1558</v>
      </c>
      <c r="C5393" t="str">
        <f>HYPERLINK("https://nematode.unl.edu/laparafec9.jpg")</f>
        <v>https://nematode.unl.edu/laparafec9.jpg</v>
      </c>
      <c r="D5393" t="s">
        <v>43</v>
      </c>
      <c r="G5393" t="s">
        <v>28</v>
      </c>
      <c r="I5393" t="s">
        <v>41</v>
      </c>
      <c r="J5393" t="s">
        <v>1525</v>
      </c>
      <c r="L5393" t="s">
        <v>1526</v>
      </c>
      <c r="M5393" t="s">
        <v>1519</v>
      </c>
      <c r="N5393" t="s">
        <v>1520</v>
      </c>
      <c r="O5393" t="s">
        <v>73</v>
      </c>
      <c r="P5393" t="s">
        <v>81</v>
      </c>
      <c r="Q5393" t="s">
        <v>489</v>
      </c>
      <c r="R5393" t="s">
        <v>1521</v>
      </c>
    </row>
    <row r="5394" spans="1:18" x14ac:dyDescent="0.25">
      <c r="A5394" t="s">
        <v>20062</v>
      </c>
      <c r="B5394" t="s">
        <v>6874</v>
      </c>
      <c r="C5394" t="str">
        <f>HYPERLINK("https://nematode.unl.edu/legra1.jpg")</f>
        <v>https://nematode.unl.edu/legra1.jpg</v>
      </c>
      <c r="D5394" t="s">
        <v>43</v>
      </c>
      <c r="G5394" t="s">
        <v>28</v>
      </c>
      <c r="J5394" t="s">
        <v>46</v>
      </c>
      <c r="L5394" t="s">
        <v>727</v>
      </c>
      <c r="M5394" t="s">
        <v>6875</v>
      </c>
      <c r="N5394" t="s">
        <v>6875</v>
      </c>
      <c r="O5394" t="s">
        <v>73</v>
      </c>
      <c r="P5394" t="s">
        <v>81</v>
      </c>
      <c r="Q5394" t="s">
        <v>2579</v>
      </c>
      <c r="R5394" t="s">
        <v>6876</v>
      </c>
    </row>
    <row r="5395" spans="1:18" x14ac:dyDescent="0.25">
      <c r="A5395" t="s">
        <v>20063</v>
      </c>
      <c r="B5395" t="s">
        <v>6877</v>
      </c>
      <c r="C5395" t="str">
        <f>HYPERLINK("https://nematode.unl.edu/legra10.jpg")</f>
        <v>https://nematode.unl.edu/legra10.jpg</v>
      </c>
      <c r="D5395" t="s">
        <v>43</v>
      </c>
      <c r="G5395" t="s">
        <v>28</v>
      </c>
      <c r="J5395" t="s">
        <v>46</v>
      </c>
      <c r="L5395" t="s">
        <v>727</v>
      </c>
      <c r="M5395" t="s">
        <v>6875</v>
      </c>
      <c r="N5395" t="s">
        <v>6875</v>
      </c>
      <c r="O5395" t="s">
        <v>73</v>
      </c>
      <c r="P5395" t="s">
        <v>81</v>
      </c>
      <c r="Q5395" t="s">
        <v>2579</v>
      </c>
      <c r="R5395" t="s">
        <v>6876</v>
      </c>
    </row>
    <row r="5396" spans="1:18" x14ac:dyDescent="0.25">
      <c r="A5396" t="s">
        <v>20036</v>
      </c>
      <c r="B5396" t="s">
        <v>6878</v>
      </c>
      <c r="C5396" t="str">
        <f>HYPERLINK("https://nematode.unl.edu/legra11.jpg")</f>
        <v>https://nematode.unl.edu/legra11.jpg</v>
      </c>
      <c r="D5396" t="s">
        <v>43</v>
      </c>
      <c r="G5396" t="s">
        <v>34</v>
      </c>
      <c r="H5396" t="s">
        <v>18</v>
      </c>
      <c r="I5396" t="s">
        <v>19</v>
      </c>
      <c r="J5396" t="s">
        <v>46</v>
      </c>
      <c r="L5396" t="s">
        <v>727</v>
      </c>
      <c r="M5396" t="s">
        <v>6875</v>
      </c>
      <c r="N5396" t="s">
        <v>6875</v>
      </c>
      <c r="O5396" t="s">
        <v>73</v>
      </c>
      <c r="P5396" t="s">
        <v>81</v>
      </c>
      <c r="Q5396" t="s">
        <v>2579</v>
      </c>
      <c r="R5396" t="s">
        <v>6876</v>
      </c>
    </row>
    <row r="5397" spans="1:18" x14ac:dyDescent="0.25">
      <c r="A5397" t="s">
        <v>20049</v>
      </c>
      <c r="B5397" t="s">
        <v>6879</v>
      </c>
      <c r="C5397" t="str">
        <f>HYPERLINK("https://nematode.unl.edu/legra12.jpg")</f>
        <v>https://nematode.unl.edu/legra12.jpg</v>
      </c>
      <c r="D5397" t="s">
        <v>43</v>
      </c>
      <c r="G5397" t="s">
        <v>87</v>
      </c>
      <c r="I5397" t="s">
        <v>19</v>
      </c>
      <c r="J5397" t="s">
        <v>46</v>
      </c>
      <c r="M5397" t="s">
        <v>6875</v>
      </c>
      <c r="N5397" t="s">
        <v>6875</v>
      </c>
      <c r="O5397" t="s">
        <v>73</v>
      </c>
      <c r="P5397" t="s">
        <v>81</v>
      </c>
      <c r="Q5397" t="s">
        <v>2579</v>
      </c>
      <c r="R5397" t="s">
        <v>6876</v>
      </c>
    </row>
    <row r="5398" spans="1:18" x14ac:dyDescent="0.25">
      <c r="A5398" t="s">
        <v>20073</v>
      </c>
      <c r="B5398" t="s">
        <v>6880</v>
      </c>
      <c r="C5398" t="str">
        <f>HYPERLINK("https://nematode.unl.edu/legra13.jpg")</f>
        <v>https://nematode.unl.edu/legra13.jpg</v>
      </c>
      <c r="D5398" t="s">
        <v>43</v>
      </c>
      <c r="G5398" t="s">
        <v>51</v>
      </c>
      <c r="I5398" t="s">
        <v>19</v>
      </c>
      <c r="J5398" t="s">
        <v>46</v>
      </c>
      <c r="L5398" t="s">
        <v>727</v>
      </c>
      <c r="M5398" t="s">
        <v>6875</v>
      </c>
      <c r="N5398" t="s">
        <v>6875</v>
      </c>
      <c r="O5398" t="s">
        <v>73</v>
      </c>
      <c r="P5398" t="s">
        <v>81</v>
      </c>
      <c r="Q5398" t="s">
        <v>2579</v>
      </c>
      <c r="R5398" t="s">
        <v>6876</v>
      </c>
    </row>
    <row r="5399" spans="1:18" x14ac:dyDescent="0.25">
      <c r="A5399" t="s">
        <v>20053</v>
      </c>
      <c r="B5399" t="s">
        <v>6881</v>
      </c>
      <c r="C5399" t="str">
        <f>HYPERLINK("https://nematode.unl.edu/legra14.jpg")</f>
        <v>https://nematode.unl.edu/legra14.jpg</v>
      </c>
      <c r="D5399" t="s">
        <v>77</v>
      </c>
      <c r="G5399" t="s">
        <v>44</v>
      </c>
      <c r="I5399" t="s">
        <v>91</v>
      </c>
      <c r="J5399" t="s">
        <v>46</v>
      </c>
      <c r="L5399" t="s">
        <v>727</v>
      </c>
      <c r="M5399" t="s">
        <v>6875</v>
      </c>
      <c r="N5399" t="s">
        <v>6875</v>
      </c>
      <c r="O5399" t="s">
        <v>73</v>
      </c>
      <c r="P5399" t="s">
        <v>81</v>
      </c>
      <c r="Q5399" t="s">
        <v>2579</v>
      </c>
      <c r="R5399" t="s">
        <v>6876</v>
      </c>
    </row>
    <row r="5400" spans="1:18" x14ac:dyDescent="0.25">
      <c r="A5400" t="s">
        <v>20037</v>
      </c>
      <c r="B5400" t="s">
        <v>6882</v>
      </c>
      <c r="C5400" t="str">
        <f>HYPERLINK("https://nematode.unl.edu/legra15.jpg")</f>
        <v>https://nematode.unl.edu/legra15.jpg</v>
      </c>
      <c r="D5400" t="s">
        <v>77</v>
      </c>
      <c r="G5400" t="s">
        <v>34</v>
      </c>
      <c r="H5400" t="s">
        <v>18</v>
      </c>
      <c r="I5400" t="s">
        <v>19</v>
      </c>
      <c r="J5400" t="s">
        <v>46</v>
      </c>
      <c r="L5400" t="s">
        <v>727</v>
      </c>
      <c r="M5400" t="s">
        <v>6875</v>
      </c>
      <c r="N5400" t="s">
        <v>6875</v>
      </c>
      <c r="O5400" t="s">
        <v>73</v>
      </c>
      <c r="P5400" t="s">
        <v>81</v>
      </c>
      <c r="Q5400" t="s">
        <v>2579</v>
      </c>
      <c r="R5400" t="s">
        <v>6876</v>
      </c>
    </row>
    <row r="5401" spans="1:18" x14ac:dyDescent="0.25">
      <c r="A5401" t="s">
        <v>20064</v>
      </c>
      <c r="B5401" t="s">
        <v>6883</v>
      </c>
      <c r="C5401" t="str">
        <f>HYPERLINK("https://nematode.unl.edu/legra16.jpg")</f>
        <v>https://nematode.unl.edu/legra16.jpg</v>
      </c>
      <c r="D5401" t="s">
        <v>77</v>
      </c>
      <c r="G5401" t="s">
        <v>28</v>
      </c>
      <c r="I5401" t="s">
        <v>19</v>
      </c>
      <c r="J5401" t="s">
        <v>46</v>
      </c>
      <c r="L5401" t="s">
        <v>727</v>
      </c>
      <c r="M5401" t="s">
        <v>6875</v>
      </c>
      <c r="N5401" t="s">
        <v>6875</v>
      </c>
      <c r="O5401" t="s">
        <v>73</v>
      </c>
      <c r="P5401" t="s">
        <v>81</v>
      </c>
      <c r="Q5401" t="s">
        <v>2579</v>
      </c>
      <c r="R5401" t="s">
        <v>6876</v>
      </c>
    </row>
    <row r="5402" spans="1:18" x14ac:dyDescent="0.25">
      <c r="A5402" t="s">
        <v>20057</v>
      </c>
      <c r="B5402" t="s">
        <v>6884</v>
      </c>
      <c r="C5402" t="str">
        <f>HYPERLINK("https://nematode.unl.edu/legra2.jpg")</f>
        <v>https://nematode.unl.edu/legra2.jpg</v>
      </c>
      <c r="D5402" t="s">
        <v>43</v>
      </c>
      <c r="G5402" t="s">
        <v>243</v>
      </c>
      <c r="I5402" t="s">
        <v>41</v>
      </c>
      <c r="J5402" t="s">
        <v>46</v>
      </c>
      <c r="L5402" t="s">
        <v>105</v>
      </c>
      <c r="M5402" t="s">
        <v>6875</v>
      </c>
      <c r="N5402" t="s">
        <v>6875</v>
      </c>
      <c r="O5402" t="s">
        <v>73</v>
      </c>
      <c r="P5402" t="s">
        <v>81</v>
      </c>
      <c r="Q5402" t="s">
        <v>2579</v>
      </c>
      <c r="R5402" t="s">
        <v>6876</v>
      </c>
    </row>
    <row r="5403" spans="1:18" x14ac:dyDescent="0.25">
      <c r="A5403" t="s">
        <v>20050</v>
      </c>
      <c r="B5403" t="s">
        <v>6885</v>
      </c>
      <c r="C5403" t="str">
        <f>HYPERLINK("https://nematode.unl.edu/legra3.jpg")</f>
        <v>https://nematode.unl.edu/legra3.jpg</v>
      </c>
      <c r="D5403" t="s">
        <v>43</v>
      </c>
      <c r="G5403" t="s">
        <v>87</v>
      </c>
      <c r="I5403" t="s">
        <v>19</v>
      </c>
      <c r="J5403" t="s">
        <v>46</v>
      </c>
      <c r="M5403" t="s">
        <v>6875</v>
      </c>
      <c r="N5403" t="s">
        <v>6875</v>
      </c>
      <c r="O5403" t="s">
        <v>73</v>
      </c>
      <c r="P5403" t="s">
        <v>81</v>
      </c>
      <c r="Q5403" t="s">
        <v>2579</v>
      </c>
      <c r="R5403" t="s">
        <v>6876</v>
      </c>
    </row>
    <row r="5404" spans="1:18" x14ac:dyDescent="0.25">
      <c r="A5404" t="s">
        <v>20065</v>
      </c>
      <c r="B5404" t="s">
        <v>6886</v>
      </c>
      <c r="C5404" t="str">
        <f>HYPERLINK("https://nematode.unl.edu/legra4.jpg")</f>
        <v>https://nematode.unl.edu/legra4.jpg</v>
      </c>
      <c r="D5404" t="s">
        <v>43</v>
      </c>
      <c r="G5404" t="s">
        <v>28</v>
      </c>
      <c r="I5404" t="s">
        <v>19</v>
      </c>
      <c r="J5404" t="s">
        <v>46</v>
      </c>
      <c r="L5404" t="s">
        <v>105</v>
      </c>
      <c r="M5404" t="s">
        <v>6875</v>
      </c>
      <c r="N5404" t="s">
        <v>6875</v>
      </c>
      <c r="O5404" t="s">
        <v>73</v>
      </c>
      <c r="P5404" t="s">
        <v>81</v>
      </c>
      <c r="Q5404" t="s">
        <v>2579</v>
      </c>
      <c r="R5404" t="s">
        <v>6876</v>
      </c>
    </row>
    <row r="5405" spans="1:18" x14ac:dyDescent="0.25">
      <c r="A5405" t="s">
        <v>20074</v>
      </c>
      <c r="B5405" t="s">
        <v>6887</v>
      </c>
      <c r="C5405" t="str">
        <f>HYPERLINK("https://nematode.unl.edu/legra5.jpg")</f>
        <v>https://nematode.unl.edu/legra5.jpg</v>
      </c>
      <c r="D5405" t="s">
        <v>43</v>
      </c>
      <c r="G5405" t="s">
        <v>51</v>
      </c>
      <c r="I5405" t="s">
        <v>19</v>
      </c>
      <c r="J5405" t="s">
        <v>46</v>
      </c>
      <c r="L5405" t="s">
        <v>105</v>
      </c>
      <c r="M5405" t="s">
        <v>6875</v>
      </c>
      <c r="N5405" t="s">
        <v>6875</v>
      </c>
      <c r="O5405" t="s">
        <v>73</v>
      </c>
      <c r="P5405" t="s">
        <v>81</v>
      </c>
      <c r="Q5405" t="s">
        <v>2579</v>
      </c>
      <c r="R5405" t="s">
        <v>6876</v>
      </c>
    </row>
    <row r="5406" spans="1:18" x14ac:dyDescent="0.25">
      <c r="A5406" t="s">
        <v>20054</v>
      </c>
      <c r="B5406" t="s">
        <v>6888</v>
      </c>
      <c r="C5406" t="str">
        <f>HYPERLINK("https://nematode.unl.edu/legra6.jpg")</f>
        <v>https://nematode.unl.edu/legra6.jpg</v>
      </c>
      <c r="D5406" t="s">
        <v>16</v>
      </c>
      <c r="G5406" t="s">
        <v>44</v>
      </c>
      <c r="I5406" t="s">
        <v>45</v>
      </c>
      <c r="J5406" t="s">
        <v>46</v>
      </c>
      <c r="L5406" t="s">
        <v>6889</v>
      </c>
      <c r="M5406" t="s">
        <v>6875</v>
      </c>
      <c r="N5406" t="s">
        <v>6875</v>
      </c>
      <c r="O5406" t="s">
        <v>73</v>
      </c>
      <c r="P5406" t="s">
        <v>81</v>
      </c>
      <c r="Q5406" t="s">
        <v>2579</v>
      </c>
      <c r="R5406" t="s">
        <v>6876</v>
      </c>
    </row>
    <row r="5407" spans="1:18" x14ac:dyDescent="0.25">
      <c r="A5407" t="s">
        <v>20038</v>
      </c>
      <c r="B5407" t="s">
        <v>6890</v>
      </c>
      <c r="C5407" t="str">
        <f>HYPERLINK("https://nematode.unl.edu/legra7.jpg")</f>
        <v>https://nematode.unl.edu/legra7.jpg</v>
      </c>
      <c r="D5407" t="s">
        <v>16</v>
      </c>
      <c r="G5407" t="s">
        <v>34</v>
      </c>
      <c r="H5407" t="s">
        <v>18</v>
      </c>
      <c r="I5407" t="s">
        <v>41</v>
      </c>
      <c r="J5407" t="s">
        <v>46</v>
      </c>
      <c r="L5407" t="s">
        <v>105</v>
      </c>
      <c r="M5407" t="s">
        <v>6875</v>
      </c>
      <c r="N5407" t="s">
        <v>6875</v>
      </c>
      <c r="O5407" t="s">
        <v>73</v>
      </c>
      <c r="P5407" t="s">
        <v>81</v>
      </c>
      <c r="Q5407" t="s">
        <v>2579</v>
      </c>
      <c r="R5407" t="s">
        <v>6876</v>
      </c>
    </row>
    <row r="5408" spans="1:18" x14ac:dyDescent="0.25">
      <c r="A5408" t="s">
        <v>20061</v>
      </c>
      <c r="B5408" t="s">
        <v>6891</v>
      </c>
      <c r="C5408" t="str">
        <f>HYPERLINK("https://nematode.unl.edu/legra8.jpg")</f>
        <v>https://nematode.unl.edu/legra8.jpg</v>
      </c>
      <c r="D5408" t="s">
        <v>77</v>
      </c>
      <c r="G5408" t="s">
        <v>112</v>
      </c>
      <c r="I5408" t="s">
        <v>19</v>
      </c>
      <c r="L5408" t="s">
        <v>105</v>
      </c>
      <c r="M5408" t="s">
        <v>6875</v>
      </c>
      <c r="N5408" t="s">
        <v>6875</v>
      </c>
      <c r="O5408" t="s">
        <v>73</v>
      </c>
      <c r="P5408" t="s">
        <v>81</v>
      </c>
      <c r="Q5408" t="s">
        <v>2579</v>
      </c>
      <c r="R5408" t="s">
        <v>6876</v>
      </c>
    </row>
    <row r="5409" spans="1:18" x14ac:dyDescent="0.25">
      <c r="A5409" t="s">
        <v>20039</v>
      </c>
      <c r="B5409" t="s">
        <v>6892</v>
      </c>
      <c r="C5409" t="str">
        <f>HYPERLINK("https://nematode.unl.edu/legra9.jpg")</f>
        <v>https://nematode.unl.edu/legra9.jpg</v>
      </c>
      <c r="D5409" t="s">
        <v>43</v>
      </c>
      <c r="G5409" t="s">
        <v>34</v>
      </c>
      <c r="H5409" t="s">
        <v>18</v>
      </c>
      <c r="I5409" t="s">
        <v>41</v>
      </c>
      <c r="J5409" t="s">
        <v>46</v>
      </c>
      <c r="L5409" t="s">
        <v>105</v>
      </c>
      <c r="M5409" t="s">
        <v>6875</v>
      </c>
      <c r="N5409" t="s">
        <v>6875</v>
      </c>
      <c r="O5409" t="s">
        <v>73</v>
      </c>
      <c r="P5409" t="s">
        <v>81</v>
      </c>
      <c r="Q5409" t="s">
        <v>2579</v>
      </c>
      <c r="R5409" t="s">
        <v>6876</v>
      </c>
    </row>
    <row r="5410" spans="1:18" x14ac:dyDescent="0.25">
      <c r="A5410" t="s">
        <v>20058</v>
      </c>
      <c r="B5410" t="s">
        <v>6893</v>
      </c>
      <c r="C5410" t="str">
        <f>HYPERLINK("https://nematode.unl.edu/legracmp.jpg")</f>
        <v>https://nematode.unl.edu/legracmp.jpg</v>
      </c>
      <c r="G5410" t="s">
        <v>108</v>
      </c>
      <c r="M5410" t="s">
        <v>6875</v>
      </c>
      <c r="N5410" t="s">
        <v>6875</v>
      </c>
      <c r="O5410" t="s">
        <v>73</v>
      </c>
      <c r="P5410" t="s">
        <v>81</v>
      </c>
      <c r="Q5410" t="s">
        <v>2579</v>
      </c>
      <c r="R5410" t="s">
        <v>6876</v>
      </c>
    </row>
    <row r="5411" spans="1:18" x14ac:dyDescent="0.25">
      <c r="A5411" t="s">
        <v>20051</v>
      </c>
      <c r="B5411" t="s">
        <v>6894</v>
      </c>
      <c r="C5411" t="str">
        <f>HYPERLINK("https://nematode.unl.edu/legran1.jpg")</f>
        <v>https://nematode.unl.edu/legran1.jpg</v>
      </c>
      <c r="D5411" t="s">
        <v>43</v>
      </c>
      <c r="G5411" t="s">
        <v>87</v>
      </c>
      <c r="I5411" t="s">
        <v>19</v>
      </c>
      <c r="J5411" t="s">
        <v>20</v>
      </c>
      <c r="M5411" t="s">
        <v>6875</v>
      </c>
      <c r="N5411" t="s">
        <v>6875</v>
      </c>
      <c r="O5411" t="s">
        <v>73</v>
      </c>
      <c r="P5411" t="s">
        <v>81</v>
      </c>
      <c r="Q5411" t="s">
        <v>2579</v>
      </c>
      <c r="R5411" t="s">
        <v>6876</v>
      </c>
    </row>
    <row r="5412" spans="1:18" x14ac:dyDescent="0.25">
      <c r="A5412" t="s">
        <v>20075</v>
      </c>
      <c r="B5412" t="s">
        <v>6895</v>
      </c>
      <c r="C5412" t="str">
        <f>HYPERLINK("https://nematode.unl.edu/legran10.jpg")</f>
        <v>https://nematode.unl.edu/legran10.jpg</v>
      </c>
      <c r="D5412" t="s">
        <v>43</v>
      </c>
      <c r="G5412" t="s">
        <v>51</v>
      </c>
      <c r="I5412" t="s">
        <v>41</v>
      </c>
      <c r="J5412" t="s">
        <v>20</v>
      </c>
      <c r="L5412" t="s">
        <v>141</v>
      </c>
      <c r="M5412" t="s">
        <v>6875</v>
      </c>
      <c r="N5412" t="s">
        <v>6875</v>
      </c>
      <c r="O5412" t="s">
        <v>73</v>
      </c>
      <c r="P5412" t="s">
        <v>81</v>
      </c>
      <c r="Q5412" t="s">
        <v>2579</v>
      </c>
      <c r="R5412" t="s">
        <v>6876</v>
      </c>
    </row>
    <row r="5413" spans="1:18" x14ac:dyDescent="0.25">
      <c r="A5413" t="s">
        <v>20040</v>
      </c>
      <c r="B5413" t="s">
        <v>6896</v>
      </c>
      <c r="C5413" t="str">
        <f>HYPERLINK("https://nematode.unl.edu/legran11.jpg")</f>
        <v>https://nematode.unl.edu/legran11.jpg</v>
      </c>
      <c r="D5413" t="s">
        <v>43</v>
      </c>
      <c r="G5413" t="s">
        <v>34</v>
      </c>
      <c r="H5413" t="s">
        <v>18</v>
      </c>
      <c r="I5413" t="s">
        <v>19</v>
      </c>
      <c r="J5413" t="s">
        <v>20</v>
      </c>
      <c r="L5413" t="s">
        <v>29</v>
      </c>
      <c r="M5413" t="s">
        <v>6875</v>
      </c>
      <c r="N5413" t="s">
        <v>6875</v>
      </c>
      <c r="O5413" t="s">
        <v>73</v>
      </c>
      <c r="P5413" t="s">
        <v>81</v>
      </c>
      <c r="Q5413" t="s">
        <v>2579</v>
      </c>
      <c r="R5413" t="s">
        <v>6876</v>
      </c>
    </row>
    <row r="5414" spans="1:18" x14ac:dyDescent="0.25">
      <c r="A5414" t="s">
        <v>20041</v>
      </c>
      <c r="B5414" t="s">
        <v>6897</v>
      </c>
      <c r="C5414" t="str">
        <f>HYPERLINK("https://nematode.unl.edu/legran12.jpg")</f>
        <v>https://nematode.unl.edu/legran12.jpg</v>
      </c>
      <c r="D5414" t="s">
        <v>43</v>
      </c>
      <c r="G5414" t="s">
        <v>34</v>
      </c>
      <c r="H5414" t="s">
        <v>18</v>
      </c>
      <c r="I5414" t="s">
        <v>19</v>
      </c>
      <c r="J5414" t="s">
        <v>20</v>
      </c>
      <c r="L5414" t="s">
        <v>141</v>
      </c>
      <c r="M5414" t="s">
        <v>6875</v>
      </c>
      <c r="N5414" t="s">
        <v>6875</v>
      </c>
      <c r="O5414" t="s">
        <v>73</v>
      </c>
      <c r="P5414" t="s">
        <v>81</v>
      </c>
      <c r="Q5414" t="s">
        <v>2579</v>
      </c>
      <c r="R5414" t="s">
        <v>6876</v>
      </c>
    </row>
    <row r="5415" spans="1:18" x14ac:dyDescent="0.25">
      <c r="A5415" t="s">
        <v>20076</v>
      </c>
      <c r="B5415" t="s">
        <v>6898</v>
      </c>
      <c r="C5415" t="str">
        <f>HYPERLINK("https://nematode.unl.edu/legran13.jpg")</f>
        <v>https://nematode.unl.edu/legran13.jpg</v>
      </c>
      <c r="D5415" t="s">
        <v>43</v>
      </c>
      <c r="G5415" t="s">
        <v>51</v>
      </c>
      <c r="I5415" t="s">
        <v>19</v>
      </c>
      <c r="J5415" t="s">
        <v>20</v>
      </c>
      <c r="L5415" t="s">
        <v>193</v>
      </c>
      <c r="M5415" t="s">
        <v>6875</v>
      </c>
      <c r="N5415" t="s">
        <v>6875</v>
      </c>
      <c r="O5415" t="s">
        <v>73</v>
      </c>
      <c r="P5415" t="s">
        <v>81</v>
      </c>
      <c r="Q5415" t="s">
        <v>2579</v>
      </c>
      <c r="R5415" t="s">
        <v>6876</v>
      </c>
    </row>
    <row r="5416" spans="1:18" x14ac:dyDescent="0.25">
      <c r="A5416" t="s">
        <v>20066</v>
      </c>
      <c r="B5416" t="s">
        <v>6899</v>
      </c>
      <c r="C5416" t="str">
        <f>HYPERLINK("https://nematode.unl.edu/legran14.jpg")</f>
        <v>https://nematode.unl.edu/legran14.jpg</v>
      </c>
      <c r="D5416" t="s">
        <v>43</v>
      </c>
      <c r="G5416" t="s">
        <v>28</v>
      </c>
      <c r="I5416" t="s">
        <v>19</v>
      </c>
      <c r="J5416" t="s">
        <v>20</v>
      </c>
      <c r="L5416" t="s">
        <v>64</v>
      </c>
      <c r="M5416" t="s">
        <v>6875</v>
      </c>
      <c r="N5416" t="s">
        <v>6875</v>
      </c>
      <c r="O5416" t="s">
        <v>73</v>
      </c>
      <c r="P5416" t="s">
        <v>81</v>
      </c>
      <c r="Q5416" t="s">
        <v>2579</v>
      </c>
      <c r="R5416" t="s">
        <v>6876</v>
      </c>
    </row>
    <row r="5417" spans="1:18" x14ac:dyDescent="0.25">
      <c r="A5417" t="s">
        <v>20055</v>
      </c>
      <c r="B5417" t="s">
        <v>6900</v>
      </c>
      <c r="C5417" t="str">
        <f>HYPERLINK("https://nematode.unl.edu/legran15.jpg")</f>
        <v>https://nematode.unl.edu/legran15.jpg</v>
      </c>
      <c r="D5417" t="s">
        <v>43</v>
      </c>
      <c r="G5417" t="s">
        <v>44</v>
      </c>
      <c r="I5417" t="s">
        <v>91</v>
      </c>
      <c r="J5417" t="s">
        <v>20</v>
      </c>
      <c r="L5417" t="s">
        <v>193</v>
      </c>
      <c r="M5417" t="s">
        <v>6875</v>
      </c>
      <c r="N5417" t="s">
        <v>6875</v>
      </c>
      <c r="O5417" t="s">
        <v>73</v>
      </c>
      <c r="P5417" t="s">
        <v>81</v>
      </c>
      <c r="Q5417" t="s">
        <v>2579</v>
      </c>
      <c r="R5417" t="s">
        <v>6876</v>
      </c>
    </row>
    <row r="5418" spans="1:18" x14ac:dyDescent="0.25">
      <c r="A5418" t="s">
        <v>20042</v>
      </c>
      <c r="B5418" t="s">
        <v>6901</v>
      </c>
      <c r="C5418" t="str">
        <f>HYPERLINK("https://nematode.unl.edu/legran16.jpg")</f>
        <v>https://nematode.unl.edu/legran16.jpg</v>
      </c>
      <c r="D5418" t="s">
        <v>43</v>
      </c>
      <c r="G5418" t="s">
        <v>34</v>
      </c>
      <c r="H5418" t="s">
        <v>18</v>
      </c>
      <c r="I5418" t="s">
        <v>41</v>
      </c>
      <c r="J5418" t="s">
        <v>20</v>
      </c>
      <c r="L5418" t="s">
        <v>141</v>
      </c>
      <c r="M5418" t="s">
        <v>6875</v>
      </c>
      <c r="N5418" t="s">
        <v>6875</v>
      </c>
      <c r="O5418" t="s">
        <v>73</v>
      </c>
      <c r="P5418" t="s">
        <v>81</v>
      </c>
      <c r="Q5418" t="s">
        <v>2579</v>
      </c>
      <c r="R5418" t="s">
        <v>6876</v>
      </c>
    </row>
    <row r="5419" spans="1:18" x14ac:dyDescent="0.25">
      <c r="A5419" t="s">
        <v>20067</v>
      </c>
      <c r="B5419" t="s">
        <v>6902</v>
      </c>
      <c r="C5419" t="str">
        <f>HYPERLINK("https://nematode.unl.edu/legran17.jpg")</f>
        <v>https://nematode.unl.edu/legran17.jpg</v>
      </c>
      <c r="D5419" t="s">
        <v>43</v>
      </c>
      <c r="G5419" t="s">
        <v>28</v>
      </c>
      <c r="M5419" t="s">
        <v>6875</v>
      </c>
      <c r="N5419" t="s">
        <v>6875</v>
      </c>
      <c r="O5419" t="s">
        <v>73</v>
      </c>
      <c r="P5419" t="s">
        <v>81</v>
      </c>
      <c r="Q5419" t="s">
        <v>2579</v>
      </c>
      <c r="R5419" t="s">
        <v>6876</v>
      </c>
    </row>
    <row r="5420" spans="1:18" x14ac:dyDescent="0.25">
      <c r="A5420" t="s">
        <v>20059</v>
      </c>
      <c r="B5420" t="s">
        <v>6903</v>
      </c>
      <c r="C5420" t="str">
        <f>HYPERLINK("https://nematode.unl.edu/legran18.jpg")</f>
        <v>https://nematode.unl.edu/legran18.jpg</v>
      </c>
      <c r="D5420" t="s">
        <v>43</v>
      </c>
      <c r="G5420" t="s">
        <v>205</v>
      </c>
      <c r="I5420" t="s">
        <v>137</v>
      </c>
      <c r="J5420" t="s">
        <v>20</v>
      </c>
      <c r="L5420" t="s">
        <v>6904</v>
      </c>
      <c r="M5420" t="s">
        <v>6875</v>
      </c>
      <c r="N5420" t="s">
        <v>6875</v>
      </c>
      <c r="O5420" t="s">
        <v>73</v>
      </c>
      <c r="P5420" t="s">
        <v>81</v>
      </c>
      <c r="Q5420" t="s">
        <v>2579</v>
      </c>
      <c r="R5420" t="s">
        <v>6876</v>
      </c>
    </row>
    <row r="5421" spans="1:18" x14ac:dyDescent="0.25">
      <c r="A5421" t="s">
        <v>20033</v>
      </c>
      <c r="B5421" t="s">
        <v>6905</v>
      </c>
      <c r="C5421" t="str">
        <f>HYPERLINK("https://nematode.unl.edu/legran19.jpg")</f>
        <v>https://nematode.unl.edu/legran19.jpg</v>
      </c>
      <c r="D5421" t="s">
        <v>43</v>
      </c>
      <c r="G5421" t="s">
        <v>96</v>
      </c>
      <c r="H5421" t="s">
        <v>18</v>
      </c>
      <c r="I5421" t="s">
        <v>137</v>
      </c>
      <c r="J5421" t="s">
        <v>20</v>
      </c>
      <c r="M5421" t="s">
        <v>6875</v>
      </c>
      <c r="N5421" t="s">
        <v>6875</v>
      </c>
      <c r="O5421" t="s">
        <v>73</v>
      </c>
      <c r="P5421" t="s">
        <v>81</v>
      </c>
      <c r="Q5421" t="s">
        <v>2579</v>
      </c>
      <c r="R5421" t="s">
        <v>6876</v>
      </c>
    </row>
    <row r="5422" spans="1:18" x14ac:dyDescent="0.25">
      <c r="A5422" t="s">
        <v>20077</v>
      </c>
      <c r="B5422" t="s">
        <v>6906</v>
      </c>
      <c r="C5422" t="str">
        <f>HYPERLINK("https://nematode.unl.edu/legran2.jpg")</f>
        <v>https://nematode.unl.edu/legran2.jpg</v>
      </c>
      <c r="D5422" t="s">
        <v>43</v>
      </c>
      <c r="G5422" t="s">
        <v>51</v>
      </c>
      <c r="J5422" t="s">
        <v>20</v>
      </c>
      <c r="L5422" t="s">
        <v>29</v>
      </c>
      <c r="M5422" t="s">
        <v>6875</v>
      </c>
      <c r="N5422" t="s">
        <v>6875</v>
      </c>
      <c r="O5422" t="s">
        <v>73</v>
      </c>
      <c r="P5422" t="s">
        <v>81</v>
      </c>
      <c r="Q5422" t="s">
        <v>2579</v>
      </c>
      <c r="R5422" t="s">
        <v>6876</v>
      </c>
    </row>
    <row r="5423" spans="1:18" x14ac:dyDescent="0.25">
      <c r="A5423" t="s">
        <v>20043</v>
      </c>
      <c r="B5423" t="s">
        <v>6907</v>
      </c>
      <c r="C5423" t="str">
        <f>HYPERLINK("https://nematode.unl.edu/legran20.jpg")</f>
        <v>https://nematode.unl.edu/legran20.jpg</v>
      </c>
      <c r="D5423" t="s">
        <v>43</v>
      </c>
      <c r="G5423" t="s">
        <v>34</v>
      </c>
      <c r="H5423" t="s">
        <v>18</v>
      </c>
      <c r="J5423" t="s">
        <v>20</v>
      </c>
      <c r="L5423" t="s">
        <v>85</v>
      </c>
      <c r="M5423" t="s">
        <v>6875</v>
      </c>
      <c r="N5423" t="s">
        <v>6875</v>
      </c>
      <c r="O5423" t="s">
        <v>73</v>
      </c>
      <c r="P5423" t="s">
        <v>81</v>
      </c>
      <c r="Q5423" t="s">
        <v>2579</v>
      </c>
      <c r="R5423" t="s">
        <v>6876</v>
      </c>
    </row>
    <row r="5424" spans="1:18" x14ac:dyDescent="0.25">
      <c r="A5424" t="s">
        <v>20034</v>
      </c>
      <c r="B5424" t="s">
        <v>6908</v>
      </c>
      <c r="C5424" t="str">
        <f>HYPERLINK("https://nematode.unl.edu/legran21.jpg")</f>
        <v>https://nematode.unl.edu/legran21.jpg</v>
      </c>
      <c r="D5424" t="s">
        <v>16</v>
      </c>
      <c r="G5424" t="s">
        <v>96</v>
      </c>
      <c r="H5424" t="s">
        <v>18</v>
      </c>
      <c r="I5424" t="s">
        <v>137</v>
      </c>
      <c r="J5424" t="s">
        <v>20</v>
      </c>
      <c r="L5424" t="s">
        <v>6904</v>
      </c>
      <c r="M5424" t="s">
        <v>6875</v>
      </c>
      <c r="N5424" t="s">
        <v>6875</v>
      </c>
      <c r="O5424" t="s">
        <v>73</v>
      </c>
      <c r="P5424" t="s">
        <v>81</v>
      </c>
      <c r="Q5424" t="s">
        <v>2579</v>
      </c>
      <c r="R5424" t="s">
        <v>6876</v>
      </c>
    </row>
    <row r="5425" spans="1:18" x14ac:dyDescent="0.25">
      <c r="A5425" t="s">
        <v>20044</v>
      </c>
      <c r="B5425" t="s">
        <v>6909</v>
      </c>
      <c r="C5425" t="str">
        <f>HYPERLINK("https://nematode.unl.edu/legran22.jpg")</f>
        <v>https://nematode.unl.edu/legran22.jpg</v>
      </c>
      <c r="D5425" t="s">
        <v>16</v>
      </c>
      <c r="G5425" t="s">
        <v>34</v>
      </c>
      <c r="H5425" t="s">
        <v>18</v>
      </c>
      <c r="I5425" t="s">
        <v>19</v>
      </c>
      <c r="J5425" t="s">
        <v>20</v>
      </c>
      <c r="L5425" t="s">
        <v>29</v>
      </c>
      <c r="M5425" t="s">
        <v>6875</v>
      </c>
      <c r="N5425" t="s">
        <v>6875</v>
      </c>
      <c r="O5425" t="s">
        <v>73</v>
      </c>
      <c r="P5425" t="s">
        <v>81</v>
      </c>
      <c r="Q5425" t="s">
        <v>2579</v>
      </c>
      <c r="R5425" t="s">
        <v>6876</v>
      </c>
    </row>
    <row r="5426" spans="1:18" x14ac:dyDescent="0.25">
      <c r="A5426" t="s">
        <v>20068</v>
      </c>
      <c r="B5426" t="s">
        <v>6910</v>
      </c>
      <c r="C5426" t="str">
        <f>HYPERLINK("https://nematode.unl.edu/legran23.jpg")</f>
        <v>https://nematode.unl.edu/legran23.jpg</v>
      </c>
      <c r="D5426" t="s">
        <v>16</v>
      </c>
      <c r="G5426" t="s">
        <v>28</v>
      </c>
      <c r="J5426" t="s">
        <v>20</v>
      </c>
      <c r="M5426" t="s">
        <v>6875</v>
      </c>
      <c r="N5426" t="s">
        <v>6875</v>
      </c>
      <c r="O5426" t="s">
        <v>73</v>
      </c>
      <c r="P5426" t="s">
        <v>81</v>
      </c>
      <c r="Q5426" t="s">
        <v>2579</v>
      </c>
      <c r="R5426" t="s">
        <v>6876</v>
      </c>
    </row>
    <row r="5427" spans="1:18" x14ac:dyDescent="0.25">
      <c r="A5427" t="s">
        <v>20069</v>
      </c>
      <c r="B5427" t="s">
        <v>6911</v>
      </c>
      <c r="C5427" t="str">
        <f>HYPERLINK("https://nematode.unl.edu/legran3.jpg")</f>
        <v>https://nematode.unl.edu/legran3.jpg</v>
      </c>
      <c r="D5427" t="s">
        <v>43</v>
      </c>
      <c r="G5427" t="s">
        <v>28</v>
      </c>
      <c r="I5427" t="s">
        <v>19</v>
      </c>
      <c r="J5427" t="s">
        <v>20</v>
      </c>
      <c r="M5427" t="s">
        <v>6875</v>
      </c>
      <c r="N5427" t="s">
        <v>6875</v>
      </c>
      <c r="O5427" t="s">
        <v>73</v>
      </c>
      <c r="P5427" t="s">
        <v>81</v>
      </c>
      <c r="Q5427" t="s">
        <v>2579</v>
      </c>
      <c r="R5427" t="s">
        <v>6876</v>
      </c>
    </row>
    <row r="5428" spans="1:18" x14ac:dyDescent="0.25">
      <c r="A5428" t="s">
        <v>20070</v>
      </c>
      <c r="B5428" t="s">
        <v>6912</v>
      </c>
      <c r="C5428" t="str">
        <f>HYPERLINK("https://nematode.unl.edu/legran4.jpg")</f>
        <v>https://nematode.unl.edu/legran4.jpg</v>
      </c>
      <c r="D5428" t="s">
        <v>43</v>
      </c>
      <c r="G5428" t="s">
        <v>28</v>
      </c>
      <c r="I5428" t="s">
        <v>19</v>
      </c>
      <c r="J5428" t="s">
        <v>20</v>
      </c>
      <c r="L5428" t="s">
        <v>141</v>
      </c>
      <c r="M5428" t="s">
        <v>6875</v>
      </c>
      <c r="N5428" t="s">
        <v>6875</v>
      </c>
      <c r="O5428" t="s">
        <v>73</v>
      </c>
      <c r="P5428" t="s">
        <v>81</v>
      </c>
      <c r="Q5428" t="s">
        <v>2579</v>
      </c>
      <c r="R5428" t="s">
        <v>6876</v>
      </c>
    </row>
    <row r="5429" spans="1:18" x14ac:dyDescent="0.25">
      <c r="A5429" t="s">
        <v>20078</v>
      </c>
      <c r="B5429" t="s">
        <v>6913</v>
      </c>
      <c r="C5429" t="str">
        <f>HYPERLINK("https://nematode.unl.edu/legran5.jpg")</f>
        <v>https://nematode.unl.edu/legran5.jpg</v>
      </c>
      <c r="D5429" t="s">
        <v>43</v>
      </c>
      <c r="G5429" t="s">
        <v>51</v>
      </c>
      <c r="I5429" t="s">
        <v>19</v>
      </c>
      <c r="J5429" t="s">
        <v>20</v>
      </c>
      <c r="M5429" t="s">
        <v>6875</v>
      </c>
      <c r="N5429" t="s">
        <v>6875</v>
      </c>
      <c r="O5429" t="s">
        <v>73</v>
      </c>
      <c r="P5429" t="s">
        <v>81</v>
      </c>
      <c r="Q5429" t="s">
        <v>2579</v>
      </c>
      <c r="R5429" t="s">
        <v>6876</v>
      </c>
    </row>
    <row r="5430" spans="1:18" x14ac:dyDescent="0.25">
      <c r="A5430" t="s">
        <v>20052</v>
      </c>
      <c r="B5430" t="s">
        <v>6914</v>
      </c>
      <c r="C5430" t="str">
        <f>HYPERLINK("https://nematode.unl.edu/legran6.jpg")</f>
        <v>https://nematode.unl.edu/legran6.jpg</v>
      </c>
      <c r="D5430" t="s">
        <v>77</v>
      </c>
      <c r="G5430" t="s">
        <v>87</v>
      </c>
      <c r="I5430" t="s">
        <v>19</v>
      </c>
      <c r="J5430" t="s">
        <v>20</v>
      </c>
      <c r="L5430" t="s">
        <v>141</v>
      </c>
      <c r="M5430" t="s">
        <v>6875</v>
      </c>
      <c r="N5430" t="s">
        <v>6875</v>
      </c>
      <c r="O5430" t="s">
        <v>73</v>
      </c>
      <c r="P5430" t="s">
        <v>81</v>
      </c>
      <c r="Q5430" t="s">
        <v>2579</v>
      </c>
      <c r="R5430" t="s">
        <v>6876</v>
      </c>
    </row>
    <row r="5431" spans="1:18" x14ac:dyDescent="0.25">
      <c r="A5431" t="s">
        <v>20045</v>
      </c>
      <c r="B5431" t="s">
        <v>6915</v>
      </c>
      <c r="C5431" t="str">
        <f>HYPERLINK("https://nematode.unl.edu/legran7.jpg")</f>
        <v>https://nematode.unl.edu/legran7.jpg</v>
      </c>
      <c r="D5431" t="s">
        <v>43</v>
      </c>
      <c r="G5431" t="s">
        <v>34</v>
      </c>
      <c r="H5431" t="s">
        <v>18</v>
      </c>
      <c r="J5431" t="s">
        <v>20</v>
      </c>
      <c r="L5431" t="s">
        <v>352</v>
      </c>
      <c r="M5431" t="s">
        <v>6875</v>
      </c>
      <c r="N5431" t="s">
        <v>6875</v>
      </c>
      <c r="O5431" t="s">
        <v>73</v>
      </c>
      <c r="P5431" t="s">
        <v>81</v>
      </c>
      <c r="Q5431" t="s">
        <v>2579</v>
      </c>
      <c r="R5431" t="s">
        <v>6876</v>
      </c>
    </row>
    <row r="5432" spans="1:18" x14ac:dyDescent="0.25">
      <c r="A5432" t="s">
        <v>20046</v>
      </c>
      <c r="B5432" t="s">
        <v>6916</v>
      </c>
      <c r="C5432" t="str">
        <f>HYPERLINK("https://nematode.unl.edu/legran8.jpg")</f>
        <v>https://nematode.unl.edu/legran8.jpg</v>
      </c>
      <c r="D5432" t="s">
        <v>43</v>
      </c>
      <c r="G5432" t="s">
        <v>34</v>
      </c>
      <c r="H5432" t="s">
        <v>18</v>
      </c>
      <c r="I5432" t="s">
        <v>41</v>
      </c>
      <c r="L5432" t="s">
        <v>220</v>
      </c>
      <c r="M5432" t="s">
        <v>6875</v>
      </c>
      <c r="N5432" t="s">
        <v>6875</v>
      </c>
      <c r="O5432" t="s">
        <v>73</v>
      </c>
      <c r="P5432" t="s">
        <v>81</v>
      </c>
      <c r="Q5432" t="s">
        <v>2579</v>
      </c>
      <c r="R5432" t="s">
        <v>6876</v>
      </c>
    </row>
    <row r="5433" spans="1:18" x14ac:dyDescent="0.25">
      <c r="A5433" t="s">
        <v>20047</v>
      </c>
      <c r="B5433" t="s">
        <v>6917</v>
      </c>
      <c r="C5433" t="str">
        <f>HYPERLINK("https://nematode.unl.edu/legran9.jpg")</f>
        <v>https://nematode.unl.edu/legran9.jpg</v>
      </c>
      <c r="D5433" t="s">
        <v>43</v>
      </c>
      <c r="G5433" t="s">
        <v>34</v>
      </c>
      <c r="H5433" t="s">
        <v>18</v>
      </c>
      <c r="I5433" t="s">
        <v>41</v>
      </c>
      <c r="J5433" t="s">
        <v>20</v>
      </c>
      <c r="L5433" t="s">
        <v>220</v>
      </c>
      <c r="M5433" t="s">
        <v>6875</v>
      </c>
      <c r="N5433" t="s">
        <v>6875</v>
      </c>
      <c r="O5433" t="s">
        <v>73</v>
      </c>
      <c r="P5433" t="s">
        <v>81</v>
      </c>
      <c r="Q5433" t="s">
        <v>2579</v>
      </c>
      <c r="R5433" t="s">
        <v>6876</v>
      </c>
    </row>
    <row r="5434" spans="1:18" x14ac:dyDescent="0.25">
      <c r="A5434" t="s">
        <v>18444</v>
      </c>
      <c r="B5434" t="s">
        <v>6861</v>
      </c>
      <c r="C5434" t="str">
        <f>HYPERLINK("https://nematode.unl.edu/lelenc1.jpg")</f>
        <v>https://nematode.unl.edu/lelenc1.jpg</v>
      </c>
      <c r="D5434" t="s">
        <v>43</v>
      </c>
      <c r="G5434" t="s">
        <v>44</v>
      </c>
      <c r="I5434" t="s">
        <v>499</v>
      </c>
      <c r="J5434" t="s">
        <v>20</v>
      </c>
      <c r="L5434" t="s">
        <v>217</v>
      </c>
      <c r="M5434" t="s">
        <v>6862</v>
      </c>
      <c r="N5434" t="s">
        <v>6862</v>
      </c>
      <c r="O5434" t="s">
        <v>23</v>
      </c>
      <c r="P5434" t="s">
        <v>24</v>
      </c>
      <c r="Q5434" t="s">
        <v>69</v>
      </c>
      <c r="R5434" t="s">
        <v>6862</v>
      </c>
    </row>
    <row r="5435" spans="1:18" x14ac:dyDescent="0.25">
      <c r="A5435" t="s">
        <v>18442</v>
      </c>
      <c r="B5435" t="s">
        <v>6863</v>
      </c>
      <c r="C5435" t="str">
        <f>HYPERLINK("https://nematode.unl.edu/lelenc2.jpg")</f>
        <v>https://nematode.unl.edu/lelenc2.jpg</v>
      </c>
      <c r="D5435" t="s">
        <v>43</v>
      </c>
      <c r="G5435" t="s">
        <v>34</v>
      </c>
      <c r="H5435" t="s">
        <v>18</v>
      </c>
      <c r="I5435" t="s">
        <v>19</v>
      </c>
      <c r="J5435" t="s">
        <v>20</v>
      </c>
      <c r="L5435" t="s">
        <v>193</v>
      </c>
      <c r="M5435" t="s">
        <v>6862</v>
      </c>
      <c r="N5435" t="s">
        <v>6862</v>
      </c>
      <c r="O5435" t="s">
        <v>23</v>
      </c>
      <c r="P5435" t="s">
        <v>24</v>
      </c>
      <c r="Q5435" t="s">
        <v>69</v>
      </c>
      <c r="R5435" t="s">
        <v>6862</v>
      </c>
    </row>
    <row r="5436" spans="1:18" x14ac:dyDescent="0.25">
      <c r="A5436" t="s">
        <v>18445</v>
      </c>
      <c r="B5436" t="s">
        <v>6864</v>
      </c>
      <c r="C5436" t="str">
        <f>HYPERLINK("https://nematode.unl.edu/lelenc3.jpg")</f>
        <v>https://nematode.unl.edu/lelenc3.jpg</v>
      </c>
      <c r="D5436" t="s">
        <v>43</v>
      </c>
      <c r="G5436" t="s">
        <v>28</v>
      </c>
      <c r="M5436" t="s">
        <v>6862</v>
      </c>
      <c r="N5436" t="s">
        <v>6862</v>
      </c>
      <c r="O5436" t="s">
        <v>23</v>
      </c>
      <c r="P5436" t="s">
        <v>24</v>
      </c>
      <c r="Q5436" t="s">
        <v>69</v>
      </c>
      <c r="R5436" t="s">
        <v>6862</v>
      </c>
    </row>
    <row r="5437" spans="1:18" x14ac:dyDescent="0.25">
      <c r="A5437" t="s">
        <v>18443</v>
      </c>
      <c r="B5437" t="s">
        <v>6865</v>
      </c>
      <c r="C5437" t="str">
        <f>HYPERLINK("https://nematode.unl.edu/lelenc4.jpg")</f>
        <v>https://nematode.unl.edu/lelenc4.jpg</v>
      </c>
      <c r="D5437" t="s">
        <v>43</v>
      </c>
      <c r="G5437" t="s">
        <v>34</v>
      </c>
      <c r="H5437" t="s">
        <v>18</v>
      </c>
      <c r="I5437" t="s">
        <v>41</v>
      </c>
      <c r="J5437" t="s">
        <v>20</v>
      </c>
      <c r="L5437" t="s">
        <v>193</v>
      </c>
      <c r="M5437" t="s">
        <v>6862</v>
      </c>
      <c r="N5437" t="s">
        <v>6862</v>
      </c>
      <c r="O5437" t="s">
        <v>23</v>
      </c>
      <c r="P5437" t="s">
        <v>24</v>
      </c>
      <c r="Q5437" t="s">
        <v>69</v>
      </c>
      <c r="R5437" t="s">
        <v>6862</v>
      </c>
    </row>
    <row r="5438" spans="1:18" x14ac:dyDescent="0.25">
      <c r="A5438" t="s">
        <v>18447</v>
      </c>
      <c r="B5438" t="s">
        <v>6866</v>
      </c>
      <c r="C5438" t="str">
        <f>HYPERLINK("https://nematode.unl.edu/lelenc5.jpg")</f>
        <v>https://nematode.unl.edu/lelenc5.jpg</v>
      </c>
      <c r="D5438" t="s">
        <v>43</v>
      </c>
      <c r="G5438" t="s">
        <v>51</v>
      </c>
      <c r="J5438" t="s">
        <v>20</v>
      </c>
      <c r="L5438" t="s">
        <v>193</v>
      </c>
      <c r="M5438" t="s">
        <v>6862</v>
      </c>
      <c r="N5438" t="s">
        <v>6862</v>
      </c>
      <c r="O5438" t="s">
        <v>23</v>
      </c>
      <c r="P5438" t="s">
        <v>24</v>
      </c>
      <c r="Q5438" t="s">
        <v>69</v>
      </c>
      <c r="R5438" t="s">
        <v>6862</v>
      </c>
    </row>
    <row r="5439" spans="1:18" x14ac:dyDescent="0.25">
      <c r="A5439" t="s">
        <v>18446</v>
      </c>
      <c r="B5439" t="s">
        <v>6867</v>
      </c>
      <c r="C5439" t="str">
        <f>HYPERLINK("https://nematode.unl.edu/lelenc6.jpg")</f>
        <v>https://nematode.unl.edu/lelenc6.jpg</v>
      </c>
      <c r="D5439" t="s">
        <v>43</v>
      </c>
      <c r="G5439" t="s">
        <v>28</v>
      </c>
      <c r="I5439" t="s">
        <v>41</v>
      </c>
      <c r="J5439" t="s">
        <v>20</v>
      </c>
      <c r="L5439" t="s">
        <v>64</v>
      </c>
      <c r="M5439" t="s">
        <v>6862</v>
      </c>
      <c r="N5439" t="s">
        <v>6862</v>
      </c>
      <c r="O5439" t="s">
        <v>23</v>
      </c>
      <c r="P5439" t="s">
        <v>24</v>
      </c>
      <c r="Q5439" t="s">
        <v>69</v>
      </c>
      <c r="R5439" t="s">
        <v>6862</v>
      </c>
    </row>
    <row r="5440" spans="1:18" x14ac:dyDescent="0.25">
      <c r="A5440" t="s">
        <v>20081</v>
      </c>
      <c r="B5440" t="s">
        <v>6926</v>
      </c>
      <c r="C5440" t="str">
        <f>HYPERLINK("https://nematode.unl.edu/lemic1.jpg")</f>
        <v>https://nematode.unl.edu/lemic1.jpg</v>
      </c>
      <c r="D5440" t="s">
        <v>16</v>
      </c>
      <c r="G5440" t="s">
        <v>34</v>
      </c>
      <c r="H5440" t="s">
        <v>18</v>
      </c>
      <c r="I5440" t="s">
        <v>19</v>
      </c>
      <c r="L5440" t="s">
        <v>217</v>
      </c>
      <c r="M5440" t="s">
        <v>6927</v>
      </c>
      <c r="N5440" t="s">
        <v>6927</v>
      </c>
      <c r="O5440" t="s">
        <v>73</v>
      </c>
      <c r="P5440" t="s">
        <v>81</v>
      </c>
      <c r="Q5440" t="s">
        <v>2579</v>
      </c>
      <c r="R5440" t="s">
        <v>6876</v>
      </c>
    </row>
    <row r="5441" spans="1:18" x14ac:dyDescent="0.25">
      <c r="A5441" t="s">
        <v>20082</v>
      </c>
      <c r="B5441" t="s">
        <v>6928</v>
      </c>
      <c r="C5441" t="str">
        <f>HYPERLINK("https://nematode.unl.edu/lemic10.jpg")</f>
        <v>https://nematode.unl.edu/lemic10.jpg</v>
      </c>
      <c r="D5441" t="s">
        <v>16</v>
      </c>
      <c r="G5441" t="s">
        <v>34</v>
      </c>
      <c r="H5441" t="s">
        <v>18</v>
      </c>
      <c r="I5441" t="s">
        <v>41</v>
      </c>
      <c r="J5441" t="s">
        <v>20</v>
      </c>
      <c r="L5441" t="s">
        <v>6904</v>
      </c>
      <c r="M5441" t="s">
        <v>6927</v>
      </c>
      <c r="N5441" t="s">
        <v>6927</v>
      </c>
      <c r="O5441" t="s">
        <v>73</v>
      </c>
      <c r="P5441" t="s">
        <v>81</v>
      </c>
      <c r="Q5441" t="s">
        <v>2579</v>
      </c>
      <c r="R5441" t="s">
        <v>6876</v>
      </c>
    </row>
    <row r="5442" spans="1:18" x14ac:dyDescent="0.25">
      <c r="A5442" t="s">
        <v>20085</v>
      </c>
      <c r="B5442" t="s">
        <v>6929</v>
      </c>
      <c r="C5442" t="str">
        <f>HYPERLINK("https://nematode.unl.edu/lemic2.jpg")</f>
        <v>https://nematode.unl.edu/lemic2.jpg</v>
      </c>
      <c r="D5442" t="s">
        <v>16</v>
      </c>
      <c r="G5442" t="s">
        <v>87</v>
      </c>
      <c r="L5442" t="s">
        <v>193</v>
      </c>
      <c r="M5442" t="s">
        <v>6927</v>
      </c>
      <c r="N5442" t="s">
        <v>6927</v>
      </c>
      <c r="O5442" t="s">
        <v>73</v>
      </c>
      <c r="P5442" t="s">
        <v>81</v>
      </c>
      <c r="Q5442" t="s">
        <v>2579</v>
      </c>
      <c r="R5442" t="s">
        <v>6876</v>
      </c>
    </row>
    <row r="5443" spans="1:18" x14ac:dyDescent="0.25">
      <c r="A5443" t="s">
        <v>20089</v>
      </c>
      <c r="B5443" t="s">
        <v>6930</v>
      </c>
      <c r="C5443" t="str">
        <f>HYPERLINK("https://nematode.unl.edu/lemic3.jpg")</f>
        <v>https://nematode.unl.edu/lemic3.jpg</v>
      </c>
      <c r="D5443" t="s">
        <v>16</v>
      </c>
      <c r="G5443" t="s">
        <v>28</v>
      </c>
      <c r="I5443" t="s">
        <v>19</v>
      </c>
      <c r="L5443" t="s">
        <v>217</v>
      </c>
      <c r="M5443" t="s">
        <v>6927</v>
      </c>
      <c r="N5443" t="s">
        <v>6927</v>
      </c>
      <c r="O5443" t="s">
        <v>73</v>
      </c>
      <c r="P5443" t="s">
        <v>81</v>
      </c>
      <c r="Q5443" t="s">
        <v>2579</v>
      </c>
      <c r="R5443" t="s">
        <v>6876</v>
      </c>
    </row>
    <row r="5444" spans="1:18" x14ac:dyDescent="0.25">
      <c r="A5444" t="s">
        <v>20083</v>
      </c>
      <c r="B5444" t="s">
        <v>6931</v>
      </c>
      <c r="C5444" t="str">
        <f>HYPERLINK("https://nematode.unl.edu/lemic4.jpg")</f>
        <v>https://nematode.unl.edu/lemic4.jpg</v>
      </c>
      <c r="D5444" t="s">
        <v>16</v>
      </c>
      <c r="G5444" t="s">
        <v>34</v>
      </c>
      <c r="H5444" t="s">
        <v>18</v>
      </c>
      <c r="I5444" t="s">
        <v>41</v>
      </c>
      <c r="J5444" t="s">
        <v>20</v>
      </c>
      <c r="L5444" t="s">
        <v>6932</v>
      </c>
      <c r="M5444" t="s">
        <v>6927</v>
      </c>
      <c r="N5444" t="s">
        <v>6927</v>
      </c>
      <c r="O5444" t="s">
        <v>73</v>
      </c>
      <c r="P5444" t="s">
        <v>81</v>
      </c>
      <c r="Q5444" t="s">
        <v>2579</v>
      </c>
      <c r="R5444" t="s">
        <v>6876</v>
      </c>
    </row>
    <row r="5445" spans="1:18" x14ac:dyDescent="0.25">
      <c r="A5445" t="s">
        <v>20090</v>
      </c>
      <c r="B5445" t="s">
        <v>6933</v>
      </c>
      <c r="C5445" t="str">
        <f>HYPERLINK("https://nematode.unl.edu/lemic5.jpg")</f>
        <v>https://nematode.unl.edu/lemic5.jpg</v>
      </c>
      <c r="D5445" t="s">
        <v>16</v>
      </c>
      <c r="G5445" t="s">
        <v>28</v>
      </c>
      <c r="L5445" t="s">
        <v>85</v>
      </c>
      <c r="M5445" t="s">
        <v>6927</v>
      </c>
      <c r="N5445" t="s">
        <v>6927</v>
      </c>
      <c r="O5445" t="s">
        <v>73</v>
      </c>
      <c r="P5445" t="s">
        <v>81</v>
      </c>
      <c r="Q5445" t="s">
        <v>2579</v>
      </c>
      <c r="R5445" t="s">
        <v>6876</v>
      </c>
    </row>
    <row r="5446" spans="1:18" x14ac:dyDescent="0.25">
      <c r="A5446" t="s">
        <v>20086</v>
      </c>
      <c r="B5446" t="s">
        <v>6934</v>
      </c>
      <c r="C5446" t="str">
        <f>HYPERLINK("https://nematode.unl.edu/lemic6.jpg")</f>
        <v>https://nematode.unl.edu/lemic6.jpg</v>
      </c>
      <c r="D5446" t="s">
        <v>16</v>
      </c>
      <c r="G5446" t="s">
        <v>87</v>
      </c>
      <c r="I5446" t="s">
        <v>19</v>
      </c>
      <c r="L5446" t="s">
        <v>85</v>
      </c>
      <c r="M5446" t="s">
        <v>6927</v>
      </c>
      <c r="N5446" t="s">
        <v>6927</v>
      </c>
      <c r="O5446" t="s">
        <v>73</v>
      </c>
      <c r="P5446" t="s">
        <v>81</v>
      </c>
      <c r="Q5446" t="s">
        <v>2579</v>
      </c>
      <c r="R5446" t="s">
        <v>6876</v>
      </c>
    </row>
    <row r="5447" spans="1:18" x14ac:dyDescent="0.25">
      <c r="A5447" t="s">
        <v>20084</v>
      </c>
      <c r="B5447" t="s">
        <v>6935</v>
      </c>
      <c r="C5447" t="str">
        <f>HYPERLINK("https://nematode.unl.edu/lemic7.jpg")</f>
        <v>https://nematode.unl.edu/lemic7.jpg</v>
      </c>
      <c r="D5447" t="s">
        <v>16</v>
      </c>
      <c r="G5447" t="s">
        <v>34</v>
      </c>
      <c r="H5447" t="s">
        <v>18</v>
      </c>
      <c r="I5447" t="s">
        <v>19</v>
      </c>
      <c r="M5447" t="s">
        <v>6927</v>
      </c>
      <c r="N5447" t="s">
        <v>6927</v>
      </c>
      <c r="O5447" t="s">
        <v>73</v>
      </c>
      <c r="P5447" t="s">
        <v>81</v>
      </c>
      <c r="Q5447" t="s">
        <v>2579</v>
      </c>
      <c r="R5447" t="s">
        <v>6876</v>
      </c>
    </row>
    <row r="5448" spans="1:18" x14ac:dyDescent="0.25">
      <c r="A5448" t="s">
        <v>20087</v>
      </c>
      <c r="B5448" t="s">
        <v>6936</v>
      </c>
      <c r="C5448" t="str">
        <f>HYPERLINK("https://nematode.unl.edu/lemic8.jpg")</f>
        <v>https://nematode.unl.edu/lemic8.jpg</v>
      </c>
      <c r="D5448" t="s">
        <v>16</v>
      </c>
      <c r="G5448" t="s">
        <v>87</v>
      </c>
      <c r="L5448" t="s">
        <v>35</v>
      </c>
      <c r="M5448" t="s">
        <v>6927</v>
      </c>
      <c r="N5448" t="s">
        <v>6927</v>
      </c>
      <c r="O5448" t="s">
        <v>73</v>
      </c>
      <c r="P5448" t="s">
        <v>81</v>
      </c>
      <c r="Q5448" t="s">
        <v>2579</v>
      </c>
      <c r="R5448" t="s">
        <v>6876</v>
      </c>
    </row>
    <row r="5449" spans="1:18" x14ac:dyDescent="0.25">
      <c r="A5449" t="s">
        <v>20080</v>
      </c>
      <c r="B5449" t="s">
        <v>6937</v>
      </c>
      <c r="C5449" t="str">
        <f>HYPERLINK("https://nematode.unl.edu/lemic9.jpg")</f>
        <v>https://nematode.unl.edu/lemic9.jpg</v>
      </c>
      <c r="D5449" t="s">
        <v>16</v>
      </c>
      <c r="G5449" t="s">
        <v>386</v>
      </c>
      <c r="H5449" t="s">
        <v>18</v>
      </c>
      <c r="I5449" t="s">
        <v>41</v>
      </c>
      <c r="L5449" t="s">
        <v>85</v>
      </c>
      <c r="M5449" t="s">
        <v>6927</v>
      </c>
      <c r="N5449" t="s">
        <v>6927</v>
      </c>
      <c r="O5449" t="s">
        <v>73</v>
      </c>
      <c r="P5449" t="s">
        <v>81</v>
      </c>
      <c r="Q5449" t="s">
        <v>2579</v>
      </c>
      <c r="R5449" t="s">
        <v>6876</v>
      </c>
    </row>
    <row r="5450" spans="1:18" x14ac:dyDescent="0.25">
      <c r="A5450" t="s">
        <v>20088</v>
      </c>
      <c r="B5450" t="s">
        <v>6938</v>
      </c>
      <c r="C5450" t="str">
        <f>HYPERLINK("https://nematode.unl.edu/lemiccmp.jpg")</f>
        <v>https://nematode.unl.edu/lemiccmp.jpg</v>
      </c>
      <c r="G5450" t="s">
        <v>108</v>
      </c>
      <c r="M5450" t="s">
        <v>6927</v>
      </c>
      <c r="N5450" t="s">
        <v>6927</v>
      </c>
      <c r="O5450" t="s">
        <v>73</v>
      </c>
      <c r="P5450" t="s">
        <v>81</v>
      </c>
      <c r="Q5450" t="s">
        <v>2579</v>
      </c>
      <c r="R5450" t="s">
        <v>6876</v>
      </c>
    </row>
    <row r="5451" spans="1:18" x14ac:dyDescent="0.25">
      <c r="A5451" t="s">
        <v>20035</v>
      </c>
      <c r="B5451" t="s">
        <v>6918</v>
      </c>
      <c r="C5451" t="str">
        <f>HYPERLINK("https://nematode.unl.edu/leptog1.jpg")</f>
        <v>https://nematode.unl.edu/leptog1.jpg</v>
      </c>
      <c r="D5451" t="s">
        <v>16</v>
      </c>
      <c r="G5451" t="s">
        <v>96</v>
      </c>
      <c r="H5451" t="s">
        <v>18</v>
      </c>
      <c r="I5451" t="s">
        <v>19</v>
      </c>
      <c r="J5451" t="s">
        <v>127</v>
      </c>
      <c r="L5451" t="s">
        <v>162</v>
      </c>
      <c r="M5451" t="s">
        <v>6875</v>
      </c>
      <c r="N5451" t="s">
        <v>6875</v>
      </c>
      <c r="O5451" t="s">
        <v>73</v>
      </c>
      <c r="P5451" t="s">
        <v>81</v>
      </c>
      <c r="Q5451" t="s">
        <v>2579</v>
      </c>
      <c r="R5451" t="s">
        <v>6876</v>
      </c>
    </row>
    <row r="5452" spans="1:18" x14ac:dyDescent="0.25">
      <c r="A5452" t="s">
        <v>20071</v>
      </c>
      <c r="B5452" t="s">
        <v>6919</v>
      </c>
      <c r="C5452" t="str">
        <f>HYPERLINK("https://nematode.unl.edu/leptog2.jpg")</f>
        <v>https://nematode.unl.edu/leptog2.jpg</v>
      </c>
      <c r="D5452" t="s">
        <v>16</v>
      </c>
      <c r="G5452" t="s">
        <v>28</v>
      </c>
      <c r="J5452" t="s">
        <v>127</v>
      </c>
      <c r="L5452" t="s">
        <v>162</v>
      </c>
      <c r="M5452" t="s">
        <v>6875</v>
      </c>
      <c r="N5452" t="s">
        <v>6875</v>
      </c>
      <c r="O5452" t="s">
        <v>73</v>
      </c>
      <c r="P5452" t="s">
        <v>81</v>
      </c>
      <c r="Q5452" t="s">
        <v>2579</v>
      </c>
      <c r="R5452" t="s">
        <v>6876</v>
      </c>
    </row>
    <row r="5453" spans="1:18" x14ac:dyDescent="0.25">
      <c r="A5453" t="s">
        <v>12309</v>
      </c>
      <c r="B5453" t="s">
        <v>6868</v>
      </c>
      <c r="C5453" t="str">
        <f>HYPERLINK("https://nematode.unl.edu/leptol1.jpg")</f>
        <v>https://nematode.unl.edu/leptol1.jpg</v>
      </c>
      <c r="D5453" t="s">
        <v>16</v>
      </c>
      <c r="G5453" t="s">
        <v>34</v>
      </c>
      <c r="H5453" t="s">
        <v>18</v>
      </c>
      <c r="I5453" t="s">
        <v>41</v>
      </c>
      <c r="J5453" t="s">
        <v>20</v>
      </c>
      <c r="L5453" t="s">
        <v>64</v>
      </c>
      <c r="M5453" t="s">
        <v>6869</v>
      </c>
      <c r="N5453" t="s">
        <v>6869</v>
      </c>
      <c r="O5453" t="s">
        <v>23</v>
      </c>
      <c r="P5453" t="s">
        <v>1649</v>
      </c>
      <c r="Q5453" t="s">
        <v>6870</v>
      </c>
      <c r="R5453" t="s">
        <v>6869</v>
      </c>
    </row>
    <row r="5454" spans="1:18" x14ac:dyDescent="0.25">
      <c r="A5454" t="s">
        <v>12312</v>
      </c>
      <c r="B5454" t="s">
        <v>6871</v>
      </c>
      <c r="C5454" t="str">
        <f>HYPERLINK("https://nematode.unl.edu/leptol2.jpg")</f>
        <v>https://nematode.unl.edu/leptol2.jpg</v>
      </c>
      <c r="D5454" t="s">
        <v>16</v>
      </c>
      <c r="G5454" t="s">
        <v>44</v>
      </c>
      <c r="I5454" t="s">
        <v>499</v>
      </c>
      <c r="J5454" t="s">
        <v>20</v>
      </c>
      <c r="L5454" t="s">
        <v>64</v>
      </c>
      <c r="M5454" t="s">
        <v>6869</v>
      </c>
      <c r="N5454" t="s">
        <v>6869</v>
      </c>
      <c r="O5454" t="s">
        <v>23</v>
      </c>
      <c r="P5454" t="s">
        <v>1649</v>
      </c>
      <c r="Q5454" t="s">
        <v>6870</v>
      </c>
      <c r="R5454" t="s">
        <v>6869</v>
      </c>
    </row>
    <row r="5455" spans="1:18" x14ac:dyDescent="0.25">
      <c r="A5455" t="s">
        <v>12310</v>
      </c>
      <c r="B5455" t="s">
        <v>6872</v>
      </c>
      <c r="C5455" t="str">
        <f>HYPERLINK("https://nematode.unl.edu/leptol3.jpg")</f>
        <v>https://nematode.unl.edu/leptol3.jpg</v>
      </c>
      <c r="D5455" t="s">
        <v>16</v>
      </c>
      <c r="G5455" t="s">
        <v>34</v>
      </c>
      <c r="H5455" t="s">
        <v>18</v>
      </c>
      <c r="I5455" t="s">
        <v>41</v>
      </c>
      <c r="J5455" t="s">
        <v>20</v>
      </c>
      <c r="L5455" t="s">
        <v>64</v>
      </c>
      <c r="M5455" t="s">
        <v>6869</v>
      </c>
      <c r="N5455" t="s">
        <v>6869</v>
      </c>
      <c r="O5455" t="s">
        <v>23</v>
      </c>
      <c r="P5455" t="s">
        <v>1649</v>
      </c>
      <c r="Q5455" t="s">
        <v>6870</v>
      </c>
      <c r="R5455" t="s">
        <v>6869</v>
      </c>
    </row>
    <row r="5456" spans="1:18" x14ac:dyDescent="0.25">
      <c r="A5456" t="s">
        <v>12311</v>
      </c>
      <c r="B5456" t="s">
        <v>6873</v>
      </c>
      <c r="C5456" t="str">
        <f>HYPERLINK("https://nematode.unl.edu/leptols1.jpg")</f>
        <v>https://nematode.unl.edu/leptols1.jpg</v>
      </c>
      <c r="D5456" t="s">
        <v>77</v>
      </c>
      <c r="G5456" t="s">
        <v>34</v>
      </c>
      <c r="H5456" t="s">
        <v>18</v>
      </c>
      <c r="I5456" t="s">
        <v>19</v>
      </c>
      <c r="M5456" t="s">
        <v>6869</v>
      </c>
      <c r="N5456" t="s">
        <v>6869</v>
      </c>
      <c r="O5456" t="s">
        <v>23</v>
      </c>
      <c r="P5456" t="s">
        <v>1649</v>
      </c>
      <c r="Q5456" t="s">
        <v>6870</v>
      </c>
      <c r="R5456" t="s">
        <v>6869</v>
      </c>
    </row>
    <row r="5457" spans="1:18" x14ac:dyDescent="0.25">
      <c r="A5457" t="s">
        <v>20056</v>
      </c>
      <c r="B5457" t="s">
        <v>6920</v>
      </c>
      <c r="C5457" t="str">
        <f>HYPERLINK("https://nematode.unl.edu/leptoncr1.jpg")</f>
        <v>https://nematode.unl.edu/leptoncr1.jpg</v>
      </c>
      <c r="D5457" t="s">
        <v>43</v>
      </c>
      <c r="G5457" t="s">
        <v>44</v>
      </c>
      <c r="I5457" t="s">
        <v>19</v>
      </c>
      <c r="J5457" t="s">
        <v>1517</v>
      </c>
      <c r="L5457" t="s">
        <v>1526</v>
      </c>
      <c r="M5457" t="s">
        <v>6875</v>
      </c>
      <c r="N5457" t="s">
        <v>6875</v>
      </c>
      <c r="O5457" t="s">
        <v>73</v>
      </c>
      <c r="P5457" t="s">
        <v>81</v>
      </c>
      <c r="Q5457" t="s">
        <v>2579</v>
      </c>
      <c r="R5457" t="s">
        <v>6876</v>
      </c>
    </row>
    <row r="5458" spans="1:18" x14ac:dyDescent="0.25">
      <c r="A5458" t="s">
        <v>20048</v>
      </c>
      <c r="B5458" t="s">
        <v>6921</v>
      </c>
      <c r="C5458" t="str">
        <f>HYPERLINK("https://nematode.unl.edu/leptoncr2.jpg")</f>
        <v>https://nematode.unl.edu/leptoncr2.jpg</v>
      </c>
      <c r="D5458" t="s">
        <v>43</v>
      </c>
      <c r="G5458" t="s">
        <v>34</v>
      </c>
      <c r="H5458" t="s">
        <v>18</v>
      </c>
      <c r="I5458" t="s">
        <v>41</v>
      </c>
      <c r="J5458" t="s">
        <v>1525</v>
      </c>
      <c r="L5458" t="s">
        <v>1526</v>
      </c>
      <c r="M5458" t="s">
        <v>6875</v>
      </c>
      <c r="N5458" t="s">
        <v>6875</v>
      </c>
      <c r="O5458" t="s">
        <v>73</v>
      </c>
      <c r="P5458" t="s">
        <v>81</v>
      </c>
      <c r="Q5458" t="s">
        <v>2579</v>
      </c>
      <c r="R5458" t="s">
        <v>6876</v>
      </c>
    </row>
    <row r="5459" spans="1:18" x14ac:dyDescent="0.25">
      <c r="A5459" t="s">
        <v>20032</v>
      </c>
      <c r="B5459" t="s">
        <v>6922</v>
      </c>
      <c r="C5459" t="str">
        <f>HYPERLINK("https://nematode.unl.edu/leptoncr3.jpg")</f>
        <v>https://nematode.unl.edu/leptoncr3.jpg</v>
      </c>
      <c r="D5459" t="s">
        <v>43</v>
      </c>
      <c r="G5459" t="s">
        <v>386</v>
      </c>
      <c r="H5459" t="s">
        <v>18</v>
      </c>
      <c r="I5459" t="s">
        <v>41</v>
      </c>
      <c r="J5459" t="s">
        <v>1525</v>
      </c>
      <c r="L5459" t="s">
        <v>1526</v>
      </c>
      <c r="M5459" t="s">
        <v>6875</v>
      </c>
      <c r="N5459" t="s">
        <v>6875</v>
      </c>
      <c r="O5459" t="s">
        <v>73</v>
      </c>
      <c r="P5459" t="s">
        <v>81</v>
      </c>
      <c r="Q5459" t="s">
        <v>2579</v>
      </c>
      <c r="R5459" t="s">
        <v>6876</v>
      </c>
    </row>
    <row r="5460" spans="1:18" x14ac:dyDescent="0.25">
      <c r="A5460" t="s">
        <v>20060</v>
      </c>
      <c r="B5460" t="s">
        <v>6923</v>
      </c>
      <c r="C5460" t="str">
        <f>HYPERLINK("https://nematode.unl.edu/leptoncr4.jpg")</f>
        <v>https://nematode.unl.edu/leptoncr4.jpg</v>
      </c>
      <c r="D5460" t="s">
        <v>43</v>
      </c>
      <c r="G5460" t="s">
        <v>2150</v>
      </c>
      <c r="I5460" t="s">
        <v>41</v>
      </c>
      <c r="J5460" t="s">
        <v>1525</v>
      </c>
      <c r="L5460" t="s">
        <v>1526</v>
      </c>
      <c r="M5460" t="s">
        <v>6875</v>
      </c>
      <c r="N5460" t="s">
        <v>6875</v>
      </c>
      <c r="O5460" t="s">
        <v>73</v>
      </c>
      <c r="P5460" t="s">
        <v>81</v>
      </c>
      <c r="Q5460" t="s">
        <v>2579</v>
      </c>
      <c r="R5460" t="s">
        <v>6876</v>
      </c>
    </row>
    <row r="5461" spans="1:18" x14ac:dyDescent="0.25">
      <c r="A5461" t="s">
        <v>20079</v>
      </c>
      <c r="B5461" t="s">
        <v>6924</v>
      </c>
      <c r="C5461" t="str">
        <f>HYPERLINK("https://nematode.unl.edu/leptoncr5.jpg")</f>
        <v>https://nematode.unl.edu/leptoncr5.jpg</v>
      </c>
      <c r="D5461" t="s">
        <v>43</v>
      </c>
      <c r="G5461" t="s">
        <v>51</v>
      </c>
      <c r="I5461" t="s">
        <v>41</v>
      </c>
      <c r="J5461" t="s">
        <v>1525</v>
      </c>
      <c r="L5461" t="s">
        <v>1526</v>
      </c>
      <c r="M5461" t="s">
        <v>6875</v>
      </c>
      <c r="N5461" t="s">
        <v>6875</v>
      </c>
      <c r="O5461" t="s">
        <v>73</v>
      </c>
      <c r="P5461" t="s">
        <v>81</v>
      </c>
      <c r="Q5461" t="s">
        <v>2579</v>
      </c>
      <c r="R5461" t="s">
        <v>6876</v>
      </c>
    </row>
    <row r="5462" spans="1:18" x14ac:dyDescent="0.25">
      <c r="A5462" t="s">
        <v>20072</v>
      </c>
      <c r="B5462" t="s">
        <v>6925</v>
      </c>
      <c r="C5462" t="str">
        <f>HYPERLINK("https://nematode.unl.edu/leptoncr6.jpg")</f>
        <v>https://nematode.unl.edu/leptoncr6.jpg</v>
      </c>
      <c r="D5462" t="s">
        <v>43</v>
      </c>
      <c r="G5462" t="s">
        <v>28</v>
      </c>
      <c r="I5462" t="s">
        <v>41</v>
      </c>
      <c r="J5462" t="s">
        <v>1525</v>
      </c>
      <c r="L5462" t="s">
        <v>1526</v>
      </c>
      <c r="M5462" t="s">
        <v>6875</v>
      </c>
      <c r="N5462" t="s">
        <v>6875</v>
      </c>
      <c r="O5462" t="s">
        <v>73</v>
      </c>
      <c r="P5462" t="s">
        <v>81</v>
      </c>
      <c r="Q5462" t="s">
        <v>2579</v>
      </c>
      <c r="R5462" t="s">
        <v>6876</v>
      </c>
    </row>
    <row r="5463" spans="1:18" x14ac:dyDescent="0.25">
      <c r="A5463" t="s">
        <v>21621</v>
      </c>
      <c r="B5463" t="s">
        <v>6763</v>
      </c>
      <c r="C5463" t="str">
        <f>HYPERLINK("https://nematode.unl.edu/lobes1.jpg")</f>
        <v>https://nematode.unl.edu/lobes1.jpg</v>
      </c>
      <c r="D5463" t="s">
        <v>43</v>
      </c>
      <c r="G5463" t="s">
        <v>96</v>
      </c>
      <c r="H5463" t="s">
        <v>18</v>
      </c>
      <c r="M5463" t="s">
        <v>6746</v>
      </c>
      <c r="N5463" t="s">
        <v>6746</v>
      </c>
      <c r="O5463" t="s">
        <v>73</v>
      </c>
      <c r="P5463" t="s">
        <v>81</v>
      </c>
      <c r="Q5463" t="s">
        <v>82</v>
      </c>
      <c r="R5463" t="s">
        <v>6675</v>
      </c>
    </row>
    <row r="5464" spans="1:18" x14ac:dyDescent="0.25">
      <c r="A5464" t="s">
        <v>21623</v>
      </c>
      <c r="B5464" t="s">
        <v>6764</v>
      </c>
      <c r="C5464" t="str">
        <f>HYPERLINK("https://nematode.unl.edu/lobes10.jpg")</f>
        <v>https://nematode.unl.edu/lobes10.jpg</v>
      </c>
      <c r="D5464" t="s">
        <v>77</v>
      </c>
      <c r="G5464" t="s">
        <v>17</v>
      </c>
      <c r="H5464" t="s">
        <v>18</v>
      </c>
      <c r="M5464" t="s">
        <v>6746</v>
      </c>
      <c r="N5464" t="s">
        <v>6746</v>
      </c>
      <c r="O5464" t="s">
        <v>73</v>
      </c>
      <c r="P5464" t="s">
        <v>81</v>
      </c>
      <c r="Q5464" t="s">
        <v>82</v>
      </c>
      <c r="R5464" t="s">
        <v>6675</v>
      </c>
    </row>
    <row r="5465" spans="1:18" x14ac:dyDescent="0.25">
      <c r="A5465" t="s">
        <v>21648</v>
      </c>
      <c r="B5465" t="s">
        <v>6765</v>
      </c>
      <c r="C5465" t="str">
        <f>HYPERLINK("https://nematode.unl.edu/lobes11.jpg")</f>
        <v>https://nematode.unl.edu/lobes11.jpg</v>
      </c>
      <c r="D5465" t="s">
        <v>43</v>
      </c>
      <c r="G5465" t="s">
        <v>51</v>
      </c>
      <c r="I5465" t="s">
        <v>19</v>
      </c>
      <c r="J5465" t="s">
        <v>2824</v>
      </c>
      <c r="L5465" t="s">
        <v>4488</v>
      </c>
      <c r="M5465" t="s">
        <v>6746</v>
      </c>
      <c r="N5465" t="s">
        <v>6746</v>
      </c>
      <c r="O5465" t="s">
        <v>73</v>
      </c>
      <c r="P5465" t="s">
        <v>81</v>
      </c>
      <c r="Q5465" t="s">
        <v>82</v>
      </c>
      <c r="R5465" t="s">
        <v>6675</v>
      </c>
    </row>
    <row r="5466" spans="1:18" x14ac:dyDescent="0.25">
      <c r="A5466" t="s">
        <v>21645</v>
      </c>
      <c r="B5466" t="s">
        <v>6766</v>
      </c>
      <c r="C5466" t="str">
        <f>HYPERLINK("https://nematode.unl.edu/lobes12.jpg")</f>
        <v>https://nematode.unl.edu/lobes12.jpg</v>
      </c>
      <c r="D5466" t="s">
        <v>43</v>
      </c>
      <c r="G5466" t="s">
        <v>28</v>
      </c>
      <c r="I5466" t="s">
        <v>19</v>
      </c>
      <c r="M5466" t="s">
        <v>6746</v>
      </c>
      <c r="N5466" t="s">
        <v>6746</v>
      </c>
      <c r="O5466" t="s">
        <v>73</v>
      </c>
      <c r="P5466" t="s">
        <v>81</v>
      </c>
      <c r="Q5466" t="s">
        <v>82</v>
      </c>
      <c r="R5466" t="s">
        <v>6675</v>
      </c>
    </row>
    <row r="5467" spans="1:18" x14ac:dyDescent="0.25">
      <c r="A5467" t="s">
        <v>21622</v>
      </c>
      <c r="B5467" t="s">
        <v>6767</v>
      </c>
      <c r="C5467" t="str">
        <f>HYPERLINK("https://nematode.unl.edu/lobes2.jpg")</f>
        <v>https://nematode.unl.edu/lobes2.jpg</v>
      </c>
      <c r="D5467" t="s">
        <v>43</v>
      </c>
      <c r="G5467" t="s">
        <v>96</v>
      </c>
      <c r="H5467" t="s">
        <v>18</v>
      </c>
      <c r="I5467" t="s">
        <v>45</v>
      </c>
      <c r="M5467" t="s">
        <v>6746</v>
      </c>
      <c r="N5467" t="s">
        <v>6746</v>
      </c>
      <c r="O5467" t="s">
        <v>73</v>
      </c>
      <c r="P5467" t="s">
        <v>81</v>
      </c>
      <c r="Q5467" t="s">
        <v>82</v>
      </c>
      <c r="R5467" t="s">
        <v>6675</v>
      </c>
    </row>
    <row r="5468" spans="1:18" x14ac:dyDescent="0.25">
      <c r="A5468" t="s">
        <v>21637</v>
      </c>
      <c r="B5468" t="s">
        <v>6768</v>
      </c>
      <c r="C5468" t="str">
        <f>HYPERLINK("https://nematode.unl.edu/lobes3.jpg")</f>
        <v>https://nematode.unl.edu/lobes3.jpg</v>
      </c>
      <c r="D5468" t="s">
        <v>43</v>
      </c>
      <c r="G5468" t="s">
        <v>44</v>
      </c>
      <c r="M5468" t="s">
        <v>6746</v>
      </c>
      <c r="N5468" t="s">
        <v>6746</v>
      </c>
      <c r="O5468" t="s">
        <v>73</v>
      </c>
      <c r="P5468" t="s">
        <v>81</v>
      </c>
      <c r="Q5468" t="s">
        <v>82</v>
      </c>
      <c r="R5468" t="s">
        <v>6675</v>
      </c>
    </row>
    <row r="5469" spans="1:18" x14ac:dyDescent="0.25">
      <c r="A5469" t="s">
        <v>21638</v>
      </c>
      <c r="B5469" t="s">
        <v>6769</v>
      </c>
      <c r="C5469" t="str">
        <f>HYPERLINK("https://nematode.unl.edu/lobes4.jpg")</f>
        <v>https://nematode.unl.edu/lobes4.jpg</v>
      </c>
      <c r="D5469" t="s">
        <v>43</v>
      </c>
      <c r="G5469" t="s">
        <v>181</v>
      </c>
      <c r="I5469" t="s">
        <v>45</v>
      </c>
      <c r="J5469" t="s">
        <v>2824</v>
      </c>
      <c r="M5469" t="s">
        <v>6746</v>
      </c>
      <c r="N5469" t="s">
        <v>6746</v>
      </c>
      <c r="O5469" t="s">
        <v>73</v>
      </c>
      <c r="P5469" t="s">
        <v>81</v>
      </c>
      <c r="Q5469" t="s">
        <v>82</v>
      </c>
      <c r="R5469" t="s">
        <v>6675</v>
      </c>
    </row>
    <row r="5470" spans="1:18" x14ac:dyDescent="0.25">
      <c r="A5470" t="s">
        <v>21630</v>
      </c>
      <c r="B5470" t="s">
        <v>6770</v>
      </c>
      <c r="C5470" t="str">
        <f>HYPERLINK("https://nematode.unl.edu/lobes5.jpg")</f>
        <v>https://nematode.unl.edu/lobes5.jpg</v>
      </c>
      <c r="D5470" t="s">
        <v>43</v>
      </c>
      <c r="G5470" t="s">
        <v>34</v>
      </c>
      <c r="H5470" t="s">
        <v>18</v>
      </c>
      <c r="I5470" t="s">
        <v>19</v>
      </c>
      <c r="M5470" t="s">
        <v>6746</v>
      </c>
      <c r="N5470" t="s">
        <v>6746</v>
      </c>
      <c r="O5470" t="s">
        <v>73</v>
      </c>
      <c r="P5470" t="s">
        <v>81</v>
      </c>
      <c r="Q5470" t="s">
        <v>82</v>
      </c>
      <c r="R5470" t="s">
        <v>6675</v>
      </c>
    </row>
    <row r="5471" spans="1:18" x14ac:dyDescent="0.25">
      <c r="A5471" t="s">
        <v>21636</v>
      </c>
      <c r="B5471" t="s">
        <v>6771</v>
      </c>
      <c r="C5471" t="str">
        <f>HYPERLINK("https://nematode.unl.edu/lobes6.jpg")</f>
        <v>https://nematode.unl.edu/lobes6.jpg</v>
      </c>
      <c r="D5471" t="s">
        <v>43</v>
      </c>
      <c r="G5471" t="s">
        <v>87</v>
      </c>
      <c r="I5471" t="s">
        <v>516</v>
      </c>
      <c r="J5471" t="s">
        <v>2824</v>
      </c>
      <c r="L5471" t="s">
        <v>4488</v>
      </c>
      <c r="M5471" t="s">
        <v>6746</v>
      </c>
      <c r="N5471" t="s">
        <v>6746</v>
      </c>
      <c r="O5471" t="s">
        <v>73</v>
      </c>
      <c r="P5471" t="s">
        <v>81</v>
      </c>
      <c r="Q5471" t="s">
        <v>82</v>
      </c>
      <c r="R5471" t="s">
        <v>6675</v>
      </c>
    </row>
    <row r="5472" spans="1:18" x14ac:dyDescent="0.25">
      <c r="A5472" t="s">
        <v>21649</v>
      </c>
      <c r="B5472" t="s">
        <v>6772</v>
      </c>
      <c r="C5472" t="str">
        <f>HYPERLINK("https://nematode.unl.edu/lobes7.jpg")</f>
        <v>https://nematode.unl.edu/lobes7.jpg</v>
      </c>
      <c r="D5472" t="s">
        <v>43</v>
      </c>
      <c r="G5472" t="s">
        <v>51</v>
      </c>
      <c r="I5472" t="s">
        <v>19</v>
      </c>
      <c r="M5472" t="s">
        <v>6746</v>
      </c>
      <c r="N5472" t="s">
        <v>6746</v>
      </c>
      <c r="O5472" t="s">
        <v>73</v>
      </c>
      <c r="P5472" t="s">
        <v>81</v>
      </c>
      <c r="Q5472" t="s">
        <v>82</v>
      </c>
      <c r="R5472" t="s">
        <v>6675</v>
      </c>
    </row>
    <row r="5473" spans="1:18" x14ac:dyDescent="0.25">
      <c r="A5473" t="s">
        <v>21646</v>
      </c>
      <c r="B5473" t="s">
        <v>6773</v>
      </c>
      <c r="C5473" t="str">
        <f>HYPERLINK("https://nematode.unl.edu/lobes8.jpg")</f>
        <v>https://nematode.unl.edu/lobes8.jpg</v>
      </c>
      <c r="D5473" t="s">
        <v>43</v>
      </c>
      <c r="G5473" t="s">
        <v>28</v>
      </c>
      <c r="I5473" t="s">
        <v>19</v>
      </c>
      <c r="M5473" t="s">
        <v>6746</v>
      </c>
      <c r="N5473" t="s">
        <v>6746</v>
      </c>
      <c r="O5473" t="s">
        <v>73</v>
      </c>
      <c r="P5473" t="s">
        <v>81</v>
      </c>
      <c r="Q5473" t="s">
        <v>82</v>
      </c>
      <c r="R5473" t="s">
        <v>6675</v>
      </c>
    </row>
    <row r="5474" spans="1:18" x14ac:dyDescent="0.25">
      <c r="A5474" t="s">
        <v>21631</v>
      </c>
      <c r="B5474" t="s">
        <v>6774</v>
      </c>
      <c r="C5474" t="str">
        <f>HYPERLINK("https://nematode.unl.edu/lobes9.jpg")</f>
        <v>https://nematode.unl.edu/lobes9.jpg</v>
      </c>
      <c r="D5474" t="s">
        <v>43</v>
      </c>
      <c r="G5474" t="s">
        <v>34</v>
      </c>
      <c r="H5474" t="s">
        <v>18</v>
      </c>
      <c r="I5474" t="s">
        <v>19</v>
      </c>
      <c r="M5474" t="s">
        <v>6746</v>
      </c>
      <c r="N5474" t="s">
        <v>6746</v>
      </c>
      <c r="O5474" t="s">
        <v>73</v>
      </c>
      <c r="P5474" t="s">
        <v>81</v>
      </c>
      <c r="Q5474" t="s">
        <v>82</v>
      </c>
      <c r="R5474" t="s">
        <v>6675</v>
      </c>
    </row>
    <row r="5475" spans="1:18" x14ac:dyDescent="0.25">
      <c r="A5475" t="s">
        <v>13966</v>
      </c>
      <c r="B5475" t="s">
        <v>6948</v>
      </c>
      <c r="C5475" t="str">
        <f>HYPERLINK("https://nematode.unl.edu/lobocriche1.jpg")</f>
        <v>https://nematode.unl.edu/lobocriche1.jpg</v>
      </c>
      <c r="D5475" t="s">
        <v>43</v>
      </c>
      <c r="G5475" t="s">
        <v>44</v>
      </c>
      <c r="I5475" t="s">
        <v>516</v>
      </c>
      <c r="J5475" t="s">
        <v>6188</v>
      </c>
      <c r="L5475" t="s">
        <v>6949</v>
      </c>
      <c r="M5475" t="s">
        <v>6940</v>
      </c>
      <c r="N5475" t="s">
        <v>6940</v>
      </c>
      <c r="O5475" t="s">
        <v>23</v>
      </c>
      <c r="P5475" t="s">
        <v>24</v>
      </c>
      <c r="Q5475" t="s">
        <v>642</v>
      </c>
      <c r="R5475" t="s">
        <v>6940</v>
      </c>
    </row>
    <row r="5476" spans="1:18" x14ac:dyDescent="0.25">
      <c r="A5476" t="s">
        <v>13967</v>
      </c>
      <c r="B5476" t="s">
        <v>6950</v>
      </c>
      <c r="C5476" t="str">
        <f>HYPERLINK("https://nematode.unl.edu/lobocriche10.jpg")</f>
        <v>https://nematode.unl.edu/lobocriche10.jpg</v>
      </c>
      <c r="D5476" t="s">
        <v>43</v>
      </c>
      <c r="G5476" t="s">
        <v>44</v>
      </c>
      <c r="I5476" t="s">
        <v>19</v>
      </c>
      <c r="J5476" t="s">
        <v>6188</v>
      </c>
      <c r="L5476" t="s">
        <v>6949</v>
      </c>
      <c r="M5476" t="s">
        <v>6940</v>
      </c>
      <c r="N5476" t="s">
        <v>6940</v>
      </c>
      <c r="O5476" t="s">
        <v>23</v>
      </c>
      <c r="P5476" t="s">
        <v>24</v>
      </c>
      <c r="Q5476" t="s">
        <v>642</v>
      </c>
      <c r="R5476" t="s">
        <v>6940</v>
      </c>
    </row>
    <row r="5477" spans="1:18" x14ac:dyDescent="0.25">
      <c r="A5477" t="s">
        <v>13956</v>
      </c>
      <c r="B5477" t="s">
        <v>6951</v>
      </c>
      <c r="C5477" t="str">
        <f>HYPERLINK("https://nematode.unl.edu/lobocriche11.jpg")</f>
        <v>https://nematode.unl.edu/lobocriche11.jpg</v>
      </c>
      <c r="D5477" t="s">
        <v>43</v>
      </c>
      <c r="G5477" t="s">
        <v>34</v>
      </c>
      <c r="H5477" t="s">
        <v>18</v>
      </c>
      <c r="J5477" t="s">
        <v>4654</v>
      </c>
      <c r="M5477" t="s">
        <v>6940</v>
      </c>
      <c r="N5477" t="s">
        <v>6940</v>
      </c>
      <c r="O5477" t="s">
        <v>23</v>
      </c>
      <c r="P5477" t="s">
        <v>24</v>
      </c>
      <c r="Q5477" t="s">
        <v>642</v>
      </c>
      <c r="R5477" t="s">
        <v>6940</v>
      </c>
    </row>
    <row r="5478" spans="1:18" x14ac:dyDescent="0.25">
      <c r="A5478" t="s">
        <v>13950</v>
      </c>
      <c r="B5478" t="s">
        <v>6952</v>
      </c>
      <c r="C5478" t="str">
        <f>HYPERLINK("https://nematode.unl.edu/lobocriche12.jpg")</f>
        <v>https://nematode.unl.edu/lobocriche12.jpg</v>
      </c>
      <c r="D5478" t="s">
        <v>43</v>
      </c>
      <c r="G5478" t="s">
        <v>96</v>
      </c>
      <c r="H5478" t="s">
        <v>18</v>
      </c>
      <c r="I5478" t="s">
        <v>41</v>
      </c>
      <c r="J5478" t="s">
        <v>4654</v>
      </c>
      <c r="M5478" t="s">
        <v>6940</v>
      </c>
      <c r="N5478" t="s">
        <v>6940</v>
      </c>
      <c r="O5478" t="s">
        <v>23</v>
      </c>
      <c r="P5478" t="s">
        <v>24</v>
      </c>
      <c r="Q5478" t="s">
        <v>642</v>
      </c>
      <c r="R5478" t="s">
        <v>6940</v>
      </c>
    </row>
    <row r="5479" spans="1:18" x14ac:dyDescent="0.25">
      <c r="A5479" t="s">
        <v>13951</v>
      </c>
      <c r="B5479" t="s">
        <v>6953</v>
      </c>
      <c r="C5479" t="str">
        <f>HYPERLINK("https://nematode.unl.edu/lobocriche13.jpg")</f>
        <v>https://nematode.unl.edu/lobocriche13.jpg</v>
      </c>
      <c r="D5479" t="s">
        <v>43</v>
      </c>
      <c r="G5479" t="s">
        <v>96</v>
      </c>
      <c r="H5479" t="s">
        <v>18</v>
      </c>
      <c r="I5479" t="s">
        <v>41</v>
      </c>
      <c r="J5479" t="s">
        <v>4654</v>
      </c>
      <c r="M5479" t="s">
        <v>6940</v>
      </c>
      <c r="N5479" t="s">
        <v>6940</v>
      </c>
      <c r="O5479" t="s">
        <v>23</v>
      </c>
      <c r="P5479" t="s">
        <v>24</v>
      </c>
      <c r="Q5479" t="s">
        <v>642</v>
      </c>
      <c r="R5479" t="s">
        <v>6940</v>
      </c>
    </row>
    <row r="5480" spans="1:18" x14ac:dyDescent="0.25">
      <c r="A5480" t="s">
        <v>13981</v>
      </c>
      <c r="B5480" t="s">
        <v>6954</v>
      </c>
      <c r="C5480" t="str">
        <f>HYPERLINK("https://nematode.unl.edu/lobocriche14.jpg")</f>
        <v>https://nematode.unl.edu/lobocriche14.jpg</v>
      </c>
      <c r="D5480" t="s">
        <v>43</v>
      </c>
      <c r="G5480" t="s">
        <v>224</v>
      </c>
      <c r="I5480" t="s">
        <v>41</v>
      </c>
      <c r="J5480" t="s">
        <v>4654</v>
      </c>
      <c r="M5480" t="s">
        <v>6940</v>
      </c>
      <c r="N5480" t="s">
        <v>6940</v>
      </c>
      <c r="O5480" t="s">
        <v>23</v>
      </c>
      <c r="P5480" t="s">
        <v>24</v>
      </c>
      <c r="Q5480" t="s">
        <v>642</v>
      </c>
      <c r="R5480" t="s">
        <v>6940</v>
      </c>
    </row>
    <row r="5481" spans="1:18" x14ac:dyDescent="0.25">
      <c r="A5481" t="s">
        <v>13985</v>
      </c>
      <c r="B5481" t="s">
        <v>6955</v>
      </c>
      <c r="C5481" t="str">
        <f>HYPERLINK("https://nematode.unl.edu/lobocriche15.jpg")</f>
        <v>https://nematode.unl.edu/lobocriche15.jpg</v>
      </c>
      <c r="D5481" t="s">
        <v>43</v>
      </c>
      <c r="G5481" t="s">
        <v>181</v>
      </c>
      <c r="J5481" t="s">
        <v>4654</v>
      </c>
      <c r="M5481" t="s">
        <v>6940</v>
      </c>
      <c r="N5481" t="s">
        <v>6940</v>
      </c>
      <c r="O5481" t="s">
        <v>23</v>
      </c>
      <c r="P5481" t="s">
        <v>24</v>
      </c>
      <c r="Q5481" t="s">
        <v>642</v>
      </c>
      <c r="R5481" t="s">
        <v>6940</v>
      </c>
    </row>
    <row r="5482" spans="1:18" x14ac:dyDescent="0.25">
      <c r="A5482" t="s">
        <v>13957</v>
      </c>
      <c r="B5482" t="s">
        <v>6956</v>
      </c>
      <c r="C5482" t="str">
        <f>HYPERLINK("https://nematode.unl.edu/lobocriche2.jpg")</f>
        <v>https://nematode.unl.edu/lobocriche2.jpg</v>
      </c>
      <c r="D5482" t="s">
        <v>43</v>
      </c>
      <c r="G5482" t="s">
        <v>34</v>
      </c>
      <c r="H5482" t="s">
        <v>18</v>
      </c>
      <c r="I5482" t="s">
        <v>41</v>
      </c>
      <c r="J5482" t="s">
        <v>4654</v>
      </c>
      <c r="M5482" t="s">
        <v>6940</v>
      </c>
      <c r="N5482" t="s">
        <v>6940</v>
      </c>
      <c r="O5482" t="s">
        <v>23</v>
      </c>
      <c r="P5482" t="s">
        <v>24</v>
      </c>
      <c r="Q5482" t="s">
        <v>642</v>
      </c>
      <c r="R5482" t="s">
        <v>6940</v>
      </c>
    </row>
    <row r="5483" spans="1:18" x14ac:dyDescent="0.25">
      <c r="A5483" t="s">
        <v>13986</v>
      </c>
      <c r="B5483" t="s">
        <v>6957</v>
      </c>
      <c r="C5483" t="str">
        <f>HYPERLINK("https://nematode.unl.edu/lobocriche3.jpg")</f>
        <v>https://nematode.unl.edu/lobocriche3.jpg</v>
      </c>
      <c r="D5483" t="s">
        <v>43</v>
      </c>
      <c r="G5483" t="s">
        <v>674</v>
      </c>
      <c r="I5483" t="s">
        <v>41</v>
      </c>
      <c r="J5483" t="s">
        <v>6188</v>
      </c>
      <c r="L5483" t="s">
        <v>6949</v>
      </c>
      <c r="M5483" t="s">
        <v>6940</v>
      </c>
      <c r="N5483" t="s">
        <v>6940</v>
      </c>
      <c r="O5483" t="s">
        <v>23</v>
      </c>
      <c r="P5483" t="s">
        <v>24</v>
      </c>
      <c r="Q5483" t="s">
        <v>642</v>
      </c>
      <c r="R5483" t="s">
        <v>6940</v>
      </c>
    </row>
    <row r="5484" spans="1:18" x14ac:dyDescent="0.25">
      <c r="A5484" t="s">
        <v>13987</v>
      </c>
      <c r="B5484" t="s">
        <v>6958</v>
      </c>
      <c r="C5484" t="str">
        <f>HYPERLINK("https://nematode.unl.edu/lobocriche4.jpg")</f>
        <v>https://nematode.unl.edu/lobocriche4.jpg</v>
      </c>
      <c r="D5484" t="s">
        <v>43</v>
      </c>
      <c r="G5484" t="s">
        <v>674</v>
      </c>
      <c r="I5484" t="s">
        <v>41</v>
      </c>
      <c r="J5484" t="s">
        <v>6188</v>
      </c>
      <c r="L5484" t="s">
        <v>6949</v>
      </c>
      <c r="M5484" t="s">
        <v>6940</v>
      </c>
      <c r="N5484" t="s">
        <v>6940</v>
      </c>
      <c r="O5484" t="s">
        <v>23</v>
      </c>
      <c r="P5484" t="s">
        <v>24</v>
      </c>
      <c r="Q5484" t="s">
        <v>642</v>
      </c>
      <c r="R5484" t="s">
        <v>6940</v>
      </c>
    </row>
    <row r="5485" spans="1:18" x14ac:dyDescent="0.25">
      <c r="A5485" t="s">
        <v>13991</v>
      </c>
      <c r="B5485" t="s">
        <v>6959</v>
      </c>
      <c r="C5485" t="str">
        <f>HYPERLINK("https://nematode.unl.edu/lobocriche5.jpg")</f>
        <v>https://nematode.unl.edu/lobocriche5.jpg</v>
      </c>
      <c r="D5485" t="s">
        <v>43</v>
      </c>
      <c r="G5485" t="s">
        <v>28</v>
      </c>
      <c r="J5485" t="s">
        <v>4654</v>
      </c>
      <c r="M5485" t="s">
        <v>6940</v>
      </c>
      <c r="N5485" t="s">
        <v>6940</v>
      </c>
      <c r="O5485" t="s">
        <v>23</v>
      </c>
      <c r="P5485" t="s">
        <v>24</v>
      </c>
      <c r="Q5485" t="s">
        <v>642</v>
      </c>
      <c r="R5485" t="s">
        <v>6940</v>
      </c>
    </row>
    <row r="5486" spans="1:18" x14ac:dyDescent="0.25">
      <c r="A5486" t="s">
        <v>14001</v>
      </c>
      <c r="B5486" t="s">
        <v>6960</v>
      </c>
      <c r="C5486" t="str">
        <f>HYPERLINK("https://nematode.unl.edu/lobocriche6.jpg")</f>
        <v>https://nematode.unl.edu/lobocriche6.jpg</v>
      </c>
      <c r="D5486" t="s">
        <v>43</v>
      </c>
      <c r="G5486" t="s">
        <v>6961</v>
      </c>
      <c r="I5486" t="s">
        <v>529</v>
      </c>
      <c r="J5486" t="s">
        <v>6188</v>
      </c>
      <c r="L5486" t="s">
        <v>6949</v>
      </c>
      <c r="M5486" t="s">
        <v>6940</v>
      </c>
      <c r="N5486" t="s">
        <v>6940</v>
      </c>
      <c r="O5486" t="s">
        <v>23</v>
      </c>
      <c r="P5486" t="s">
        <v>24</v>
      </c>
      <c r="Q5486" t="s">
        <v>642</v>
      </c>
      <c r="R5486" t="s">
        <v>6940</v>
      </c>
    </row>
    <row r="5487" spans="1:18" x14ac:dyDescent="0.25">
      <c r="A5487" t="s">
        <v>13952</v>
      </c>
      <c r="B5487" t="s">
        <v>6962</v>
      </c>
      <c r="C5487" t="str">
        <f>HYPERLINK("https://nematode.unl.edu/lobocriche7.jpg")</f>
        <v>https://nematode.unl.edu/lobocriche7.jpg</v>
      </c>
      <c r="D5487" t="s">
        <v>43</v>
      </c>
      <c r="G5487" t="s">
        <v>96</v>
      </c>
      <c r="H5487" t="s">
        <v>18</v>
      </c>
      <c r="I5487" t="s">
        <v>41</v>
      </c>
      <c r="J5487" t="s">
        <v>4654</v>
      </c>
      <c r="M5487" t="s">
        <v>6940</v>
      </c>
      <c r="N5487" t="s">
        <v>6940</v>
      </c>
      <c r="O5487" t="s">
        <v>23</v>
      </c>
      <c r="P5487" t="s">
        <v>24</v>
      </c>
      <c r="Q5487" t="s">
        <v>642</v>
      </c>
      <c r="R5487" t="s">
        <v>6940</v>
      </c>
    </row>
    <row r="5488" spans="1:18" x14ac:dyDescent="0.25">
      <c r="A5488" t="s">
        <v>13968</v>
      </c>
      <c r="B5488" t="s">
        <v>6963</v>
      </c>
      <c r="C5488" t="str">
        <f>HYPERLINK("https://nematode.unl.edu/lobocriche8.jpg")</f>
        <v>https://nematode.unl.edu/lobocriche8.jpg</v>
      </c>
      <c r="D5488" t="s">
        <v>43</v>
      </c>
      <c r="G5488" t="s">
        <v>44</v>
      </c>
      <c r="I5488" t="s">
        <v>41</v>
      </c>
      <c r="J5488" t="s">
        <v>4654</v>
      </c>
      <c r="M5488" t="s">
        <v>6940</v>
      </c>
      <c r="N5488" t="s">
        <v>6940</v>
      </c>
      <c r="O5488" t="s">
        <v>23</v>
      </c>
      <c r="P5488" t="s">
        <v>24</v>
      </c>
      <c r="Q5488" t="s">
        <v>642</v>
      </c>
      <c r="R5488" t="s">
        <v>6940</v>
      </c>
    </row>
    <row r="5489" spans="1:18" x14ac:dyDescent="0.25">
      <c r="A5489" t="s">
        <v>13982</v>
      </c>
      <c r="B5489" t="s">
        <v>6964</v>
      </c>
      <c r="C5489" t="str">
        <f>HYPERLINK("https://nematode.unl.edu/lobocriche9.jpg")</f>
        <v>https://nematode.unl.edu/lobocriche9.jpg</v>
      </c>
      <c r="D5489" t="s">
        <v>43</v>
      </c>
      <c r="G5489" t="s">
        <v>224</v>
      </c>
      <c r="I5489" t="s">
        <v>41</v>
      </c>
      <c r="J5489" t="s">
        <v>4654</v>
      </c>
      <c r="M5489" t="s">
        <v>6940</v>
      </c>
      <c r="N5489" t="s">
        <v>6940</v>
      </c>
      <c r="O5489" t="s">
        <v>23</v>
      </c>
      <c r="P5489" t="s">
        <v>24</v>
      </c>
      <c r="Q5489" t="s">
        <v>642</v>
      </c>
      <c r="R5489" t="s">
        <v>6940</v>
      </c>
    </row>
    <row r="5490" spans="1:18" x14ac:dyDescent="0.25">
      <c r="A5490" t="s">
        <v>14027</v>
      </c>
      <c r="B5490" t="s">
        <v>7030</v>
      </c>
      <c r="C5490" t="str">
        <f>HYPERLINK("https://nematode.unl.edu/lobocrip1.jpg")</f>
        <v>https://nematode.unl.edu/lobocrip1.jpg</v>
      </c>
      <c r="D5490" t="s">
        <v>43</v>
      </c>
      <c r="G5490" t="s">
        <v>44</v>
      </c>
      <c r="I5490" t="s">
        <v>137</v>
      </c>
      <c r="J5490" t="s">
        <v>7031</v>
      </c>
      <c r="L5490" t="s">
        <v>6241</v>
      </c>
      <c r="M5490" t="s">
        <v>7008</v>
      </c>
      <c r="N5490" t="s">
        <v>7008</v>
      </c>
      <c r="O5490" t="s">
        <v>23</v>
      </c>
      <c r="P5490" t="s">
        <v>24</v>
      </c>
      <c r="Q5490" t="s">
        <v>642</v>
      </c>
      <c r="R5490" t="s">
        <v>6940</v>
      </c>
    </row>
    <row r="5491" spans="1:18" x14ac:dyDescent="0.25">
      <c r="A5491" t="s">
        <v>14028</v>
      </c>
      <c r="B5491" t="s">
        <v>7032</v>
      </c>
      <c r="C5491" t="str">
        <f>HYPERLINK("https://nematode.unl.edu/lobocrip2.jpg")</f>
        <v>https://nematode.unl.edu/lobocrip2.jpg</v>
      </c>
      <c r="D5491" t="s">
        <v>43</v>
      </c>
      <c r="G5491" t="s">
        <v>44</v>
      </c>
      <c r="I5491" t="s">
        <v>19</v>
      </c>
      <c r="J5491" t="s">
        <v>7031</v>
      </c>
      <c r="L5491" t="s">
        <v>6241</v>
      </c>
      <c r="M5491" t="s">
        <v>7008</v>
      </c>
      <c r="N5491" t="s">
        <v>7008</v>
      </c>
      <c r="O5491" t="s">
        <v>23</v>
      </c>
      <c r="P5491" t="s">
        <v>24</v>
      </c>
      <c r="Q5491" t="s">
        <v>642</v>
      </c>
      <c r="R5491" t="s">
        <v>6940</v>
      </c>
    </row>
    <row r="5492" spans="1:18" x14ac:dyDescent="0.25">
      <c r="A5492" t="s">
        <v>14018</v>
      </c>
      <c r="B5492" t="s">
        <v>7033</v>
      </c>
      <c r="C5492" t="str">
        <f>HYPERLINK("https://nematode.unl.edu/lobocrip3.jpg")</f>
        <v>https://nematode.unl.edu/lobocrip3.jpg</v>
      </c>
      <c r="D5492" t="s">
        <v>43</v>
      </c>
      <c r="G5492" t="s">
        <v>34</v>
      </c>
      <c r="H5492" t="s">
        <v>18</v>
      </c>
      <c r="I5492" t="s">
        <v>41</v>
      </c>
      <c r="M5492" t="s">
        <v>7008</v>
      </c>
      <c r="N5492" t="s">
        <v>7008</v>
      </c>
      <c r="O5492" t="s">
        <v>23</v>
      </c>
      <c r="P5492" t="s">
        <v>24</v>
      </c>
      <c r="Q5492" t="s">
        <v>642</v>
      </c>
      <c r="R5492" t="s">
        <v>6940</v>
      </c>
    </row>
    <row r="5493" spans="1:18" x14ac:dyDescent="0.25">
      <c r="A5493" t="s">
        <v>14032</v>
      </c>
      <c r="B5493" t="s">
        <v>7034</v>
      </c>
      <c r="C5493" t="str">
        <f>HYPERLINK("https://nematode.unl.edu/lobocrip4.jpg")</f>
        <v>https://nematode.unl.edu/lobocrip4.jpg</v>
      </c>
      <c r="D5493" t="s">
        <v>43</v>
      </c>
      <c r="G5493" t="s">
        <v>7035</v>
      </c>
      <c r="I5493" t="s">
        <v>529</v>
      </c>
      <c r="J5493" t="s">
        <v>7031</v>
      </c>
      <c r="L5493" t="s">
        <v>6241</v>
      </c>
      <c r="M5493" t="s">
        <v>7008</v>
      </c>
      <c r="N5493" t="s">
        <v>7008</v>
      </c>
      <c r="O5493" t="s">
        <v>23</v>
      </c>
      <c r="P5493" t="s">
        <v>24</v>
      </c>
      <c r="Q5493" t="s">
        <v>642</v>
      </c>
      <c r="R5493" t="s">
        <v>6940</v>
      </c>
    </row>
    <row r="5494" spans="1:18" x14ac:dyDescent="0.25">
      <c r="A5494" t="s">
        <v>14038</v>
      </c>
      <c r="B5494" t="s">
        <v>7036</v>
      </c>
      <c r="C5494" t="str">
        <f>HYPERLINK("https://nematode.unl.edu/lobocrip5.jpg")</f>
        <v>https://nematode.unl.edu/lobocrip5.jpg</v>
      </c>
      <c r="D5494" t="s">
        <v>43</v>
      </c>
      <c r="G5494" t="s">
        <v>28</v>
      </c>
      <c r="I5494" t="s">
        <v>41</v>
      </c>
      <c r="J5494" t="s">
        <v>7031</v>
      </c>
      <c r="L5494" t="s">
        <v>22867</v>
      </c>
      <c r="M5494" t="s">
        <v>7008</v>
      </c>
      <c r="N5494" t="s">
        <v>7008</v>
      </c>
      <c r="O5494" t="s">
        <v>23</v>
      </c>
      <c r="P5494" t="s">
        <v>24</v>
      </c>
      <c r="Q5494" t="s">
        <v>642</v>
      </c>
      <c r="R5494" t="s">
        <v>6940</v>
      </c>
    </row>
    <row r="5495" spans="1:18" x14ac:dyDescent="0.25">
      <c r="A5495" t="s">
        <v>14029</v>
      </c>
      <c r="B5495" t="s">
        <v>7037</v>
      </c>
      <c r="C5495" t="str">
        <f>HYPERLINK("https://nematode.unl.edu/lobocrip6.jpg")</f>
        <v>https://nematode.unl.edu/lobocrip6.jpg</v>
      </c>
      <c r="D5495" t="s">
        <v>16</v>
      </c>
      <c r="G5495" t="s">
        <v>44</v>
      </c>
      <c r="I5495" t="s">
        <v>19</v>
      </c>
      <c r="J5495" t="s">
        <v>7031</v>
      </c>
      <c r="L5495" t="s">
        <v>6241</v>
      </c>
      <c r="M5495" t="s">
        <v>7008</v>
      </c>
      <c r="N5495" t="s">
        <v>7008</v>
      </c>
      <c r="O5495" t="s">
        <v>23</v>
      </c>
      <c r="P5495" t="s">
        <v>24</v>
      </c>
      <c r="Q5495" t="s">
        <v>642</v>
      </c>
      <c r="R5495" t="s">
        <v>6940</v>
      </c>
    </row>
    <row r="5496" spans="1:18" x14ac:dyDescent="0.25">
      <c r="A5496" t="s">
        <v>14030</v>
      </c>
      <c r="B5496" t="s">
        <v>7038</v>
      </c>
      <c r="C5496" t="str">
        <f>HYPERLINK("https://nematode.unl.edu/lobocrith-bursa.jpg")</f>
        <v>https://nematode.unl.edu/lobocrith-bursa.jpg</v>
      </c>
      <c r="G5496" t="s">
        <v>108</v>
      </c>
      <c r="M5496" t="s">
        <v>7008</v>
      </c>
      <c r="N5496" t="s">
        <v>7008</v>
      </c>
      <c r="O5496" t="s">
        <v>23</v>
      </c>
      <c r="P5496" t="s">
        <v>24</v>
      </c>
      <c r="Q5496" t="s">
        <v>642</v>
      </c>
      <c r="R5496" t="s">
        <v>6940</v>
      </c>
    </row>
    <row r="5497" spans="1:18" x14ac:dyDescent="0.25">
      <c r="A5497" t="s">
        <v>14009</v>
      </c>
      <c r="B5497" t="s">
        <v>7039</v>
      </c>
      <c r="C5497" t="str">
        <f>HYPERLINK("https://nematode.unl.edu/lobocrith-cuticle.jpg")</f>
        <v>https://nematode.unl.edu/lobocrith-cuticle.jpg</v>
      </c>
      <c r="D5497" t="s">
        <v>16</v>
      </c>
      <c r="G5497" t="s">
        <v>96</v>
      </c>
      <c r="H5497" t="s">
        <v>18</v>
      </c>
      <c r="M5497" t="s">
        <v>7008</v>
      </c>
      <c r="N5497" t="s">
        <v>7008</v>
      </c>
      <c r="O5497" t="s">
        <v>23</v>
      </c>
      <c r="P5497" t="s">
        <v>24</v>
      </c>
      <c r="Q5497" t="s">
        <v>642</v>
      </c>
      <c r="R5497" t="s">
        <v>6940</v>
      </c>
    </row>
    <row r="5498" spans="1:18" x14ac:dyDescent="0.25">
      <c r="A5498" t="s">
        <v>13969</v>
      </c>
      <c r="B5498" t="s">
        <v>6965</v>
      </c>
      <c r="C5498" t="str">
        <f>HYPERLINK("https://nematode.unl.edu/lobonine1.jpg")</f>
        <v>https://nematode.unl.edu/lobonine1.jpg</v>
      </c>
      <c r="D5498" t="s">
        <v>43</v>
      </c>
      <c r="G5498" t="s">
        <v>44</v>
      </c>
      <c r="I5498" t="s">
        <v>19</v>
      </c>
      <c r="J5498" t="s">
        <v>46</v>
      </c>
      <c r="M5498" t="s">
        <v>6940</v>
      </c>
      <c r="N5498" t="s">
        <v>6940</v>
      </c>
      <c r="O5498" t="s">
        <v>23</v>
      </c>
      <c r="P5498" t="s">
        <v>24</v>
      </c>
      <c r="Q5498" t="s">
        <v>642</v>
      </c>
      <c r="R5498" t="s">
        <v>6940</v>
      </c>
    </row>
    <row r="5499" spans="1:18" x14ac:dyDescent="0.25">
      <c r="A5499" t="s">
        <v>13958</v>
      </c>
      <c r="B5499" t="s">
        <v>6966</v>
      </c>
      <c r="C5499" t="str">
        <f>HYPERLINK("https://nematode.unl.edu/lobonine2.jpg")</f>
        <v>https://nematode.unl.edu/lobonine2.jpg</v>
      </c>
      <c r="D5499" t="s">
        <v>43</v>
      </c>
      <c r="G5499" t="s">
        <v>34</v>
      </c>
      <c r="H5499" t="s">
        <v>18</v>
      </c>
      <c r="J5499" t="s">
        <v>46</v>
      </c>
      <c r="M5499" t="s">
        <v>6940</v>
      </c>
      <c r="N5499" t="s">
        <v>6940</v>
      </c>
      <c r="O5499" t="s">
        <v>23</v>
      </c>
      <c r="P5499" t="s">
        <v>24</v>
      </c>
      <c r="Q5499" t="s">
        <v>642</v>
      </c>
      <c r="R5499" t="s">
        <v>6940</v>
      </c>
    </row>
    <row r="5500" spans="1:18" x14ac:dyDescent="0.25">
      <c r="A5500" t="s">
        <v>13992</v>
      </c>
      <c r="B5500" t="s">
        <v>6967</v>
      </c>
      <c r="C5500" t="str">
        <f>HYPERLINK("https://nematode.unl.edu/lobonine3.jpg")</f>
        <v>https://nematode.unl.edu/lobonine3.jpg</v>
      </c>
      <c r="D5500" t="s">
        <v>43</v>
      </c>
      <c r="G5500" t="s">
        <v>28</v>
      </c>
      <c r="I5500" t="s">
        <v>41</v>
      </c>
      <c r="J5500" t="s">
        <v>46</v>
      </c>
      <c r="M5500" t="s">
        <v>6940</v>
      </c>
      <c r="N5500" t="s">
        <v>6940</v>
      </c>
      <c r="O5500" t="s">
        <v>23</v>
      </c>
      <c r="P5500" t="s">
        <v>24</v>
      </c>
      <c r="Q5500" t="s">
        <v>642</v>
      </c>
      <c r="R5500" t="s">
        <v>6940</v>
      </c>
    </row>
    <row r="5501" spans="1:18" x14ac:dyDescent="0.25">
      <c r="A5501" t="s">
        <v>13983</v>
      </c>
      <c r="B5501" t="s">
        <v>6968</v>
      </c>
      <c r="C5501" t="str">
        <f>HYPERLINK("https://nematode.unl.edu/lobonine4.jpg")</f>
        <v>https://nematode.unl.edu/lobonine4.jpg</v>
      </c>
      <c r="D5501" t="s">
        <v>43</v>
      </c>
      <c r="G5501" t="s">
        <v>224</v>
      </c>
      <c r="I5501" t="s">
        <v>41</v>
      </c>
      <c r="M5501" t="s">
        <v>6940</v>
      </c>
      <c r="N5501" t="s">
        <v>6940</v>
      </c>
      <c r="O5501" t="s">
        <v>23</v>
      </c>
      <c r="P5501" t="s">
        <v>24</v>
      </c>
      <c r="Q5501" t="s">
        <v>642</v>
      </c>
      <c r="R5501" t="s">
        <v>6940</v>
      </c>
    </row>
    <row r="5502" spans="1:18" x14ac:dyDescent="0.25">
      <c r="A5502" t="s">
        <v>13970</v>
      </c>
      <c r="B5502" t="s">
        <v>6969</v>
      </c>
      <c r="C5502" t="str">
        <f>HYPERLINK("https://nematode.unl.edu/lobonine5.jpg")</f>
        <v>https://nematode.unl.edu/lobonine5.jpg</v>
      </c>
      <c r="D5502" t="s">
        <v>43</v>
      </c>
      <c r="G5502" t="s">
        <v>44</v>
      </c>
      <c r="I5502" t="s">
        <v>19</v>
      </c>
      <c r="J5502" t="s">
        <v>46</v>
      </c>
      <c r="M5502" t="s">
        <v>6940</v>
      </c>
      <c r="N5502" t="s">
        <v>6940</v>
      </c>
      <c r="O5502" t="s">
        <v>23</v>
      </c>
      <c r="P5502" t="s">
        <v>24</v>
      </c>
      <c r="Q5502" t="s">
        <v>642</v>
      </c>
      <c r="R5502" t="s">
        <v>6940</v>
      </c>
    </row>
    <row r="5503" spans="1:18" x14ac:dyDescent="0.25">
      <c r="A5503" t="s">
        <v>13959</v>
      </c>
      <c r="B5503" t="s">
        <v>6970</v>
      </c>
      <c r="C5503" t="str">
        <f>HYPERLINK("https://nematode.unl.edu/lobonine6.jpg")</f>
        <v>https://nematode.unl.edu/lobonine6.jpg</v>
      </c>
      <c r="D5503" t="s">
        <v>43</v>
      </c>
      <c r="G5503" t="s">
        <v>34</v>
      </c>
      <c r="H5503" t="s">
        <v>18</v>
      </c>
      <c r="I5503" t="s">
        <v>41</v>
      </c>
      <c r="J5503" t="s">
        <v>46</v>
      </c>
      <c r="M5503" t="s">
        <v>6940</v>
      </c>
      <c r="N5503" t="s">
        <v>6940</v>
      </c>
      <c r="O5503" t="s">
        <v>23</v>
      </c>
      <c r="P5503" t="s">
        <v>24</v>
      </c>
      <c r="Q5503" t="s">
        <v>642</v>
      </c>
      <c r="R5503" t="s">
        <v>6940</v>
      </c>
    </row>
    <row r="5504" spans="1:18" x14ac:dyDescent="0.25">
      <c r="A5504" t="s">
        <v>13993</v>
      </c>
      <c r="B5504" t="s">
        <v>6971</v>
      </c>
      <c r="C5504" t="str">
        <f>HYPERLINK("https://nematode.unl.edu/lobonine7.jpg")</f>
        <v>https://nematode.unl.edu/lobonine7.jpg</v>
      </c>
      <c r="D5504" t="s">
        <v>43</v>
      </c>
      <c r="G5504" t="s">
        <v>28</v>
      </c>
      <c r="J5504" t="s">
        <v>46</v>
      </c>
      <c r="M5504" t="s">
        <v>6940</v>
      </c>
      <c r="N5504" t="s">
        <v>6940</v>
      </c>
      <c r="O5504" t="s">
        <v>23</v>
      </c>
      <c r="P5504" t="s">
        <v>24</v>
      </c>
      <c r="Q5504" t="s">
        <v>642</v>
      </c>
      <c r="R5504" t="s">
        <v>6940</v>
      </c>
    </row>
    <row r="5505" spans="1:18" x14ac:dyDescent="0.25">
      <c r="A5505" t="s">
        <v>13971</v>
      </c>
      <c r="B5505" t="s">
        <v>6972</v>
      </c>
      <c r="C5505" t="str">
        <f>HYPERLINK("https://nematode.unl.edu/lobonine8.jpg")</f>
        <v>https://nematode.unl.edu/lobonine8.jpg</v>
      </c>
      <c r="D5505" t="s">
        <v>43</v>
      </c>
      <c r="G5505" t="s">
        <v>44</v>
      </c>
      <c r="I5505" t="s">
        <v>41</v>
      </c>
      <c r="J5505" t="s">
        <v>46</v>
      </c>
      <c r="M5505" t="s">
        <v>6940</v>
      </c>
      <c r="N5505" t="s">
        <v>6940</v>
      </c>
      <c r="O5505" t="s">
        <v>23</v>
      </c>
      <c r="P5505" t="s">
        <v>24</v>
      </c>
      <c r="Q5505" t="s">
        <v>642</v>
      </c>
      <c r="R5505" t="s">
        <v>6940</v>
      </c>
    </row>
    <row r="5506" spans="1:18" x14ac:dyDescent="0.25">
      <c r="A5506" t="s">
        <v>13972</v>
      </c>
      <c r="B5506" t="s">
        <v>6973</v>
      </c>
      <c r="C5506" t="str">
        <f>HYPERLINK("https://nematode.unl.edu/lobosauk1.jpg")</f>
        <v>https://nematode.unl.edu/lobosauk1.jpg</v>
      </c>
      <c r="D5506" t="s">
        <v>43</v>
      </c>
      <c r="G5506" t="s">
        <v>44</v>
      </c>
      <c r="I5506" t="s">
        <v>19</v>
      </c>
      <c r="J5506" t="s">
        <v>6974</v>
      </c>
      <c r="L5506" t="s">
        <v>6975</v>
      </c>
      <c r="M5506" t="s">
        <v>6940</v>
      </c>
      <c r="N5506" t="s">
        <v>6940</v>
      </c>
      <c r="O5506" t="s">
        <v>23</v>
      </c>
      <c r="P5506" t="s">
        <v>24</v>
      </c>
      <c r="Q5506" t="s">
        <v>642</v>
      </c>
      <c r="R5506" t="s">
        <v>6940</v>
      </c>
    </row>
    <row r="5507" spans="1:18" x14ac:dyDescent="0.25">
      <c r="A5507" t="s">
        <v>13960</v>
      </c>
      <c r="B5507" t="s">
        <v>6976</v>
      </c>
      <c r="C5507" t="str">
        <f>HYPERLINK("https://nematode.unl.edu/lobosauk2.jpg")</f>
        <v>https://nematode.unl.edu/lobosauk2.jpg</v>
      </c>
      <c r="D5507" t="s">
        <v>43</v>
      </c>
      <c r="G5507" t="s">
        <v>34</v>
      </c>
      <c r="H5507" t="s">
        <v>18</v>
      </c>
      <c r="J5507" t="s">
        <v>4543</v>
      </c>
      <c r="M5507" t="s">
        <v>6940</v>
      </c>
      <c r="N5507" t="s">
        <v>6940</v>
      </c>
      <c r="O5507" t="s">
        <v>23</v>
      </c>
      <c r="P5507" t="s">
        <v>24</v>
      </c>
      <c r="Q5507" t="s">
        <v>642</v>
      </c>
      <c r="R5507" t="s">
        <v>6940</v>
      </c>
    </row>
    <row r="5508" spans="1:18" x14ac:dyDescent="0.25">
      <c r="A5508" t="s">
        <v>13961</v>
      </c>
      <c r="B5508" t="s">
        <v>6977</v>
      </c>
      <c r="C5508" t="str">
        <f>HYPERLINK("https://nematode.unl.edu/lobosauk3.jpg")</f>
        <v>https://nematode.unl.edu/lobosauk3.jpg</v>
      </c>
      <c r="D5508" t="s">
        <v>43</v>
      </c>
      <c r="G5508" t="s">
        <v>34</v>
      </c>
      <c r="H5508" t="s">
        <v>18</v>
      </c>
      <c r="I5508" t="s">
        <v>41</v>
      </c>
      <c r="J5508" t="s">
        <v>4543</v>
      </c>
      <c r="M5508" t="s">
        <v>6940</v>
      </c>
      <c r="N5508" t="s">
        <v>6940</v>
      </c>
      <c r="O5508" t="s">
        <v>23</v>
      </c>
      <c r="P5508" t="s">
        <v>24</v>
      </c>
      <c r="Q5508" t="s">
        <v>642</v>
      </c>
      <c r="R5508" t="s">
        <v>6940</v>
      </c>
    </row>
    <row r="5509" spans="1:18" x14ac:dyDescent="0.25">
      <c r="A5509" t="s">
        <v>13994</v>
      </c>
      <c r="B5509" t="s">
        <v>6978</v>
      </c>
      <c r="C5509" t="str">
        <f>HYPERLINK("https://nematode.unl.edu/lobosauk4.jpg")</f>
        <v>https://nematode.unl.edu/lobosauk4.jpg</v>
      </c>
      <c r="D5509" t="s">
        <v>43</v>
      </c>
      <c r="G5509" t="s">
        <v>28</v>
      </c>
      <c r="I5509" t="s">
        <v>41</v>
      </c>
      <c r="J5509" t="s">
        <v>4543</v>
      </c>
      <c r="M5509" t="s">
        <v>6940</v>
      </c>
      <c r="N5509" t="s">
        <v>6940</v>
      </c>
      <c r="O5509" t="s">
        <v>23</v>
      </c>
      <c r="P5509" t="s">
        <v>24</v>
      </c>
      <c r="Q5509" t="s">
        <v>642</v>
      </c>
      <c r="R5509" t="s">
        <v>6940</v>
      </c>
    </row>
    <row r="5510" spans="1:18" x14ac:dyDescent="0.25">
      <c r="A5510" t="s">
        <v>13995</v>
      </c>
      <c r="B5510" t="s">
        <v>6979</v>
      </c>
      <c r="C5510" t="str">
        <f>HYPERLINK("https://nematode.unl.edu/lobosauk5.jpg")</f>
        <v>https://nematode.unl.edu/lobosauk5.jpg</v>
      </c>
      <c r="D5510" t="s">
        <v>43</v>
      </c>
      <c r="G5510" t="s">
        <v>28</v>
      </c>
      <c r="I5510" t="s">
        <v>41</v>
      </c>
      <c r="J5510" t="s">
        <v>4543</v>
      </c>
      <c r="M5510" t="s">
        <v>6940</v>
      </c>
      <c r="N5510" t="s">
        <v>6940</v>
      </c>
      <c r="O5510" t="s">
        <v>23</v>
      </c>
      <c r="P5510" t="s">
        <v>24</v>
      </c>
      <c r="Q5510" t="s">
        <v>642</v>
      </c>
      <c r="R5510" t="s">
        <v>6940</v>
      </c>
    </row>
    <row r="5511" spans="1:18" x14ac:dyDescent="0.25">
      <c r="A5511" t="s">
        <v>20117</v>
      </c>
      <c r="B5511" t="s">
        <v>7082</v>
      </c>
      <c r="C5511" t="str">
        <f>HYPERLINK("https://nematode.unl.edu/lobre1.jpg")</f>
        <v>https://nematode.unl.edu/lobre1.jpg</v>
      </c>
      <c r="D5511" t="s">
        <v>43</v>
      </c>
      <c r="G5511" t="s">
        <v>44</v>
      </c>
      <c r="I5511" t="s">
        <v>91</v>
      </c>
      <c r="L5511" t="s">
        <v>4488</v>
      </c>
      <c r="M5511" t="s">
        <v>7083</v>
      </c>
      <c r="N5511" t="s">
        <v>7083</v>
      </c>
      <c r="O5511" t="s">
        <v>73</v>
      </c>
      <c r="P5511" t="s">
        <v>81</v>
      </c>
      <c r="Q5511" t="s">
        <v>7077</v>
      </c>
      <c r="R5511" t="s">
        <v>7076</v>
      </c>
    </row>
    <row r="5512" spans="1:18" x14ac:dyDescent="0.25">
      <c r="A5512" t="s">
        <v>20119</v>
      </c>
      <c r="B5512" t="s">
        <v>7084</v>
      </c>
      <c r="C5512" t="str">
        <f>HYPERLINK("https://nematode.unl.edu/lobrevcmp.jpg")</f>
        <v>https://nematode.unl.edu/lobrevcmp.jpg</v>
      </c>
      <c r="G5512" t="s">
        <v>108</v>
      </c>
      <c r="M5512" t="s">
        <v>7083</v>
      </c>
      <c r="N5512" t="s">
        <v>7083</v>
      </c>
      <c r="O5512" t="s">
        <v>73</v>
      </c>
      <c r="P5512" t="s">
        <v>81</v>
      </c>
      <c r="Q5512" t="s">
        <v>7077</v>
      </c>
      <c r="R5512" t="s">
        <v>7076</v>
      </c>
    </row>
    <row r="5513" spans="1:18" x14ac:dyDescent="0.25">
      <c r="A5513" t="s">
        <v>20118</v>
      </c>
      <c r="B5513" t="s">
        <v>7085</v>
      </c>
      <c r="C5513" t="str">
        <f>HYPERLINK("https://nematode.unl.edu/lobrevi1.jpg")</f>
        <v>https://nematode.unl.edu/lobrevi1.jpg</v>
      </c>
      <c r="D5513" t="s">
        <v>43</v>
      </c>
      <c r="G5513" t="s">
        <v>44</v>
      </c>
      <c r="I5513" t="s">
        <v>91</v>
      </c>
      <c r="J5513" t="s">
        <v>2824</v>
      </c>
      <c r="L5513" t="s">
        <v>4488</v>
      </c>
      <c r="M5513" t="s">
        <v>7083</v>
      </c>
      <c r="N5513" t="s">
        <v>7083</v>
      </c>
      <c r="O5513" t="s">
        <v>73</v>
      </c>
      <c r="P5513" t="s">
        <v>81</v>
      </c>
      <c r="Q5513" t="s">
        <v>7077</v>
      </c>
      <c r="R5513" t="s">
        <v>7076</v>
      </c>
    </row>
    <row r="5514" spans="1:18" x14ac:dyDescent="0.25">
      <c r="A5514" t="s">
        <v>20115</v>
      </c>
      <c r="B5514" t="s">
        <v>7086</v>
      </c>
      <c r="C5514" t="str">
        <f>HYPERLINK("https://nematode.unl.edu/lobrevi2.jpg")</f>
        <v>https://nematode.unl.edu/lobrevi2.jpg</v>
      </c>
      <c r="D5514" t="s">
        <v>77</v>
      </c>
      <c r="G5514" t="s">
        <v>34</v>
      </c>
      <c r="H5514" t="s">
        <v>18</v>
      </c>
      <c r="M5514" t="s">
        <v>7083</v>
      </c>
      <c r="N5514" t="s">
        <v>7083</v>
      </c>
      <c r="O5514" t="s">
        <v>73</v>
      </c>
      <c r="P5514" t="s">
        <v>81</v>
      </c>
      <c r="Q5514" t="s">
        <v>7077</v>
      </c>
      <c r="R5514" t="s">
        <v>7076</v>
      </c>
    </row>
    <row r="5515" spans="1:18" x14ac:dyDescent="0.25">
      <c r="A5515" t="s">
        <v>20122</v>
      </c>
      <c r="B5515" t="s">
        <v>7087</v>
      </c>
      <c r="C5515" t="str">
        <f>HYPERLINK("https://nematode.unl.edu/lobrevi3.jpg")</f>
        <v>https://nematode.unl.edu/lobrevi3.jpg</v>
      </c>
      <c r="D5515" t="s">
        <v>43</v>
      </c>
      <c r="G5515" t="s">
        <v>51</v>
      </c>
      <c r="I5515" t="s">
        <v>45</v>
      </c>
      <c r="J5515" t="s">
        <v>2824</v>
      </c>
      <c r="L5515" t="s">
        <v>4488</v>
      </c>
      <c r="M5515" t="s">
        <v>7083</v>
      </c>
      <c r="N5515" t="s">
        <v>7083</v>
      </c>
      <c r="O5515" t="s">
        <v>73</v>
      </c>
      <c r="P5515" t="s">
        <v>81</v>
      </c>
      <c r="Q5515" t="s">
        <v>7077</v>
      </c>
      <c r="R5515" t="s">
        <v>7076</v>
      </c>
    </row>
    <row r="5516" spans="1:18" x14ac:dyDescent="0.25">
      <c r="A5516" t="s">
        <v>20120</v>
      </c>
      <c r="B5516" t="s">
        <v>7088</v>
      </c>
      <c r="C5516" t="str">
        <f>HYPERLINK("https://nematode.unl.edu/lobrevi4.jpg")</f>
        <v>https://nematode.unl.edu/lobrevi4.jpg</v>
      </c>
      <c r="D5516" t="s">
        <v>77</v>
      </c>
      <c r="G5516" t="s">
        <v>28</v>
      </c>
      <c r="I5516" t="s">
        <v>45</v>
      </c>
      <c r="M5516" t="s">
        <v>7083</v>
      </c>
      <c r="N5516" t="s">
        <v>7083</v>
      </c>
      <c r="O5516" t="s">
        <v>73</v>
      </c>
      <c r="P5516" t="s">
        <v>81</v>
      </c>
      <c r="Q5516" t="s">
        <v>7077</v>
      </c>
      <c r="R5516" t="s">
        <v>7076</v>
      </c>
    </row>
    <row r="5517" spans="1:18" x14ac:dyDescent="0.25">
      <c r="A5517" t="s">
        <v>20116</v>
      </c>
      <c r="B5517" t="s">
        <v>7089</v>
      </c>
      <c r="C5517" t="str">
        <f>HYPERLINK("https://nematode.unl.edu/lobrevi5.jpg")</f>
        <v>https://nematode.unl.edu/lobrevi5.jpg</v>
      </c>
      <c r="D5517" t="s">
        <v>43</v>
      </c>
      <c r="G5517" t="s">
        <v>34</v>
      </c>
      <c r="H5517" t="s">
        <v>18</v>
      </c>
      <c r="I5517" t="s">
        <v>19</v>
      </c>
      <c r="M5517" t="s">
        <v>7083</v>
      </c>
      <c r="N5517" t="s">
        <v>7083</v>
      </c>
      <c r="O5517" t="s">
        <v>73</v>
      </c>
      <c r="P5517" t="s">
        <v>81</v>
      </c>
      <c r="Q5517" t="s">
        <v>7077</v>
      </c>
      <c r="R5517" t="s">
        <v>7076</v>
      </c>
    </row>
    <row r="5518" spans="1:18" x14ac:dyDescent="0.25">
      <c r="A5518" t="s">
        <v>20123</v>
      </c>
      <c r="B5518" t="s">
        <v>7090</v>
      </c>
      <c r="C5518" t="str">
        <f>HYPERLINK("https://nematode.unl.edu/lobrevi6.jpg")</f>
        <v>https://nematode.unl.edu/lobrevi6.jpg</v>
      </c>
      <c r="D5518" t="s">
        <v>43</v>
      </c>
      <c r="G5518" t="s">
        <v>51</v>
      </c>
      <c r="M5518" t="s">
        <v>7083</v>
      </c>
      <c r="N5518" t="s">
        <v>7083</v>
      </c>
      <c r="O5518" t="s">
        <v>73</v>
      </c>
      <c r="P5518" t="s">
        <v>81</v>
      </c>
      <c r="Q5518" t="s">
        <v>7077</v>
      </c>
      <c r="R5518" t="s">
        <v>7076</v>
      </c>
    </row>
    <row r="5519" spans="1:18" x14ac:dyDescent="0.25">
      <c r="A5519" t="s">
        <v>20121</v>
      </c>
      <c r="B5519" t="s">
        <v>7091</v>
      </c>
      <c r="C5519" t="str">
        <f>HYPERLINK("https://nematode.unl.edu/lobrevi7.jpg")</f>
        <v>https://nematode.unl.edu/lobrevi7.jpg</v>
      </c>
      <c r="D5519" t="s">
        <v>43</v>
      </c>
      <c r="G5519" t="s">
        <v>28</v>
      </c>
      <c r="I5519" t="s">
        <v>19</v>
      </c>
      <c r="M5519" t="s">
        <v>7083</v>
      </c>
      <c r="N5519" t="s">
        <v>7083</v>
      </c>
      <c r="O5519" t="s">
        <v>73</v>
      </c>
      <c r="P5519" t="s">
        <v>81</v>
      </c>
      <c r="Q5519" t="s">
        <v>7077</v>
      </c>
      <c r="R5519" t="s">
        <v>7076</v>
      </c>
    </row>
    <row r="5520" spans="1:18" x14ac:dyDescent="0.25">
      <c r="A5520" t="s">
        <v>19904</v>
      </c>
      <c r="B5520" t="s">
        <v>7040</v>
      </c>
      <c r="C5520" t="str">
        <f>HYPERLINK("https://nematode.unl.edu/lonchar1.jpg")</f>
        <v>https://nematode.unl.edu/lonchar1.jpg</v>
      </c>
      <c r="D5520" t="s">
        <v>43</v>
      </c>
      <c r="G5520" t="s">
        <v>96</v>
      </c>
      <c r="H5520" t="s">
        <v>18</v>
      </c>
      <c r="J5520" t="s">
        <v>127</v>
      </c>
      <c r="L5520" t="s">
        <v>128</v>
      </c>
      <c r="M5520" t="s">
        <v>7041</v>
      </c>
      <c r="N5520" t="s">
        <v>7041</v>
      </c>
      <c r="O5520" t="s">
        <v>73</v>
      </c>
      <c r="P5520" t="s">
        <v>81</v>
      </c>
      <c r="Q5520" t="s">
        <v>489</v>
      </c>
      <c r="R5520" t="s">
        <v>7041</v>
      </c>
    </row>
    <row r="5521" spans="1:18" x14ac:dyDescent="0.25">
      <c r="A5521" t="s">
        <v>20113</v>
      </c>
      <c r="B5521" t="s">
        <v>7075</v>
      </c>
      <c r="C5521" t="str">
        <f>HYPERLINK("https://nematode.unl.edu/longmi1.jpg")</f>
        <v>https://nematode.unl.edu/longmi1.jpg</v>
      </c>
      <c r="D5521" t="s">
        <v>16</v>
      </c>
      <c r="G5521" t="s">
        <v>44</v>
      </c>
      <c r="I5521" t="s">
        <v>91</v>
      </c>
      <c r="J5521" t="s">
        <v>46</v>
      </c>
      <c r="L5521" t="s">
        <v>727</v>
      </c>
      <c r="M5521" t="s">
        <v>7076</v>
      </c>
      <c r="N5521" t="s">
        <v>7076</v>
      </c>
      <c r="O5521" t="s">
        <v>73</v>
      </c>
      <c r="P5521" t="s">
        <v>81</v>
      </c>
      <c r="Q5521" t="s">
        <v>7077</v>
      </c>
      <c r="R5521" t="s">
        <v>7076</v>
      </c>
    </row>
    <row r="5522" spans="1:18" x14ac:dyDescent="0.25">
      <c r="A5522" t="s">
        <v>20111</v>
      </c>
      <c r="B5522" t="s">
        <v>7078</v>
      </c>
      <c r="C5522" t="str">
        <f>HYPERLINK("https://nematode.unl.edu/longmi2.jpg")</f>
        <v>https://nematode.unl.edu/longmi2.jpg</v>
      </c>
      <c r="D5522" t="s">
        <v>16</v>
      </c>
      <c r="G5522" t="s">
        <v>34</v>
      </c>
      <c r="H5522" t="s">
        <v>18</v>
      </c>
      <c r="I5522" t="s">
        <v>19</v>
      </c>
      <c r="J5522" t="s">
        <v>46</v>
      </c>
      <c r="L5522" t="s">
        <v>727</v>
      </c>
      <c r="M5522" t="s">
        <v>7076</v>
      </c>
      <c r="N5522" t="s">
        <v>7076</v>
      </c>
      <c r="O5522" t="s">
        <v>73</v>
      </c>
      <c r="P5522" t="s">
        <v>81</v>
      </c>
      <c r="Q5522" t="s">
        <v>7077</v>
      </c>
      <c r="R5522" t="s">
        <v>7076</v>
      </c>
    </row>
    <row r="5523" spans="1:18" x14ac:dyDescent="0.25">
      <c r="A5523" t="s">
        <v>20110</v>
      </c>
      <c r="B5523" t="s">
        <v>7079</v>
      </c>
      <c r="C5523" t="str">
        <f>HYPERLINK("https://nematode.unl.edu/longmi3.jpg")</f>
        <v>https://nematode.unl.edu/longmi3.jpg</v>
      </c>
      <c r="D5523" t="s">
        <v>16</v>
      </c>
      <c r="G5523" t="s">
        <v>17</v>
      </c>
      <c r="H5523" t="s">
        <v>18</v>
      </c>
      <c r="I5523" t="s">
        <v>516</v>
      </c>
      <c r="J5523" t="s">
        <v>46</v>
      </c>
      <c r="L5523" t="s">
        <v>727</v>
      </c>
      <c r="M5523" t="s">
        <v>7076</v>
      </c>
      <c r="N5523" t="s">
        <v>7076</v>
      </c>
      <c r="O5523" t="s">
        <v>73</v>
      </c>
      <c r="P5523" t="s">
        <v>81</v>
      </c>
      <c r="Q5523" t="s">
        <v>7077</v>
      </c>
      <c r="R5523" t="s">
        <v>7076</v>
      </c>
    </row>
    <row r="5524" spans="1:18" x14ac:dyDescent="0.25">
      <c r="A5524" t="s">
        <v>20114</v>
      </c>
      <c r="B5524" t="s">
        <v>7080</v>
      </c>
      <c r="C5524" t="str">
        <f>HYPERLINK("https://nematode.unl.edu/longmi4.jpg")</f>
        <v>https://nematode.unl.edu/longmi4.jpg</v>
      </c>
      <c r="D5524" t="s">
        <v>16</v>
      </c>
      <c r="G5524" t="s">
        <v>28</v>
      </c>
      <c r="I5524" t="s">
        <v>516</v>
      </c>
      <c r="J5524" t="s">
        <v>46</v>
      </c>
      <c r="L5524" t="s">
        <v>727</v>
      </c>
      <c r="M5524" t="s">
        <v>7076</v>
      </c>
      <c r="N5524" t="s">
        <v>7076</v>
      </c>
      <c r="O5524" t="s">
        <v>73</v>
      </c>
      <c r="P5524" t="s">
        <v>81</v>
      </c>
      <c r="Q5524" t="s">
        <v>7077</v>
      </c>
      <c r="R5524" t="s">
        <v>7076</v>
      </c>
    </row>
    <row r="5525" spans="1:18" x14ac:dyDescent="0.25">
      <c r="A5525" t="s">
        <v>20112</v>
      </c>
      <c r="B5525" t="s">
        <v>7081</v>
      </c>
      <c r="C5525" t="str">
        <f>HYPERLINK("https://nematode.unl.edu/longsty.jpg")</f>
        <v>https://nematode.unl.edu/longsty.jpg</v>
      </c>
      <c r="D5525" t="s">
        <v>16</v>
      </c>
      <c r="G5525" t="s">
        <v>34</v>
      </c>
      <c r="H5525" t="s">
        <v>18</v>
      </c>
      <c r="I5525" t="s">
        <v>516</v>
      </c>
      <c r="J5525" t="s">
        <v>46</v>
      </c>
      <c r="L5525" t="s">
        <v>727</v>
      </c>
      <c r="M5525" t="s">
        <v>7076</v>
      </c>
      <c r="N5525" t="s">
        <v>7076</v>
      </c>
      <c r="O5525" t="s">
        <v>73</v>
      </c>
      <c r="P5525" t="s">
        <v>81</v>
      </c>
      <c r="Q5525" t="s">
        <v>7077</v>
      </c>
      <c r="R5525" t="s">
        <v>7076</v>
      </c>
    </row>
    <row r="5526" spans="1:18" x14ac:dyDescent="0.25">
      <c r="A5526" t="s">
        <v>20448</v>
      </c>
      <c r="B5526" t="s">
        <v>7054</v>
      </c>
      <c r="C5526" t="str">
        <f>HYPERLINK("https://nematode.unl.edu/lonpa1.jpg")</f>
        <v>https://nematode.unl.edu/lonpa1.jpg</v>
      </c>
      <c r="D5526" t="s">
        <v>77</v>
      </c>
      <c r="G5526" t="s">
        <v>44</v>
      </c>
      <c r="I5526" t="s">
        <v>1008</v>
      </c>
      <c r="J5526" t="s">
        <v>57</v>
      </c>
      <c r="L5526" t="s">
        <v>7055</v>
      </c>
      <c r="M5526" t="s">
        <v>7056</v>
      </c>
      <c r="N5526" t="s">
        <v>7056</v>
      </c>
      <c r="O5526" t="s">
        <v>73</v>
      </c>
      <c r="P5526" t="s">
        <v>81</v>
      </c>
      <c r="Q5526" t="s">
        <v>1101</v>
      </c>
      <c r="R5526" t="s">
        <v>7043</v>
      </c>
    </row>
    <row r="5527" spans="1:18" x14ac:dyDescent="0.25">
      <c r="A5527" t="s">
        <v>20440</v>
      </c>
      <c r="B5527" t="s">
        <v>7057</v>
      </c>
      <c r="C5527" t="str">
        <f>HYPERLINK("https://nematode.unl.edu/lonpa2.jpg")</f>
        <v>https://nematode.unl.edu/lonpa2.jpg</v>
      </c>
      <c r="D5527" t="s">
        <v>43</v>
      </c>
      <c r="G5527" t="s">
        <v>96</v>
      </c>
      <c r="H5527" t="s">
        <v>18</v>
      </c>
      <c r="I5527" t="s">
        <v>19</v>
      </c>
      <c r="J5527" t="s">
        <v>317</v>
      </c>
      <c r="M5527" t="s">
        <v>7056</v>
      </c>
      <c r="N5527" t="s">
        <v>7056</v>
      </c>
      <c r="O5527" t="s">
        <v>73</v>
      </c>
      <c r="P5527" t="s">
        <v>81</v>
      </c>
      <c r="Q5527" t="s">
        <v>1101</v>
      </c>
      <c r="R5527" t="s">
        <v>7043</v>
      </c>
    </row>
    <row r="5528" spans="1:18" x14ac:dyDescent="0.25">
      <c r="A5528" t="s">
        <v>20446</v>
      </c>
      <c r="B5528" t="s">
        <v>7058</v>
      </c>
      <c r="C5528" t="str">
        <f>HYPERLINK("https://nematode.unl.edu/lonpa3.jpg")</f>
        <v>https://nematode.unl.edu/lonpa3.jpg</v>
      </c>
      <c r="D5528" t="s">
        <v>43</v>
      </c>
      <c r="G5528" t="s">
        <v>34</v>
      </c>
      <c r="H5528" t="s">
        <v>18</v>
      </c>
      <c r="I5528" t="s">
        <v>41</v>
      </c>
      <c r="J5528" t="s">
        <v>317</v>
      </c>
      <c r="M5528" t="s">
        <v>7056</v>
      </c>
      <c r="N5528" t="s">
        <v>7056</v>
      </c>
      <c r="O5528" t="s">
        <v>73</v>
      </c>
      <c r="P5528" t="s">
        <v>81</v>
      </c>
      <c r="Q5528" t="s">
        <v>1101</v>
      </c>
      <c r="R5528" t="s">
        <v>7043</v>
      </c>
    </row>
    <row r="5529" spans="1:18" x14ac:dyDescent="0.25">
      <c r="A5529" t="s">
        <v>20454</v>
      </c>
      <c r="B5529" t="s">
        <v>7059</v>
      </c>
      <c r="C5529" t="str">
        <f>HYPERLINK("https://nematode.unl.edu/lonpa4.jpg")</f>
        <v>https://nematode.unl.edu/lonpa4.jpg</v>
      </c>
      <c r="D5529" t="s">
        <v>43</v>
      </c>
      <c r="G5529" t="s">
        <v>51</v>
      </c>
      <c r="J5529" t="s">
        <v>317</v>
      </c>
      <c r="M5529" t="s">
        <v>7056</v>
      </c>
      <c r="N5529" t="s">
        <v>7056</v>
      </c>
      <c r="O5529" t="s">
        <v>73</v>
      </c>
      <c r="P5529" t="s">
        <v>81</v>
      </c>
      <c r="Q5529" t="s">
        <v>1101</v>
      </c>
      <c r="R5529" t="s">
        <v>7043</v>
      </c>
    </row>
    <row r="5530" spans="1:18" x14ac:dyDescent="0.25">
      <c r="A5530" t="s">
        <v>20450</v>
      </c>
      <c r="B5530" t="s">
        <v>7060</v>
      </c>
      <c r="C5530" t="str">
        <f>HYPERLINK("https://nematode.unl.edu/lonpa5.jpg")</f>
        <v>https://nematode.unl.edu/lonpa5.jpg</v>
      </c>
      <c r="D5530" t="s">
        <v>43</v>
      </c>
      <c r="G5530" t="s">
        <v>243</v>
      </c>
      <c r="I5530" t="s">
        <v>529</v>
      </c>
      <c r="J5530" t="s">
        <v>317</v>
      </c>
      <c r="L5530" t="s">
        <v>7055</v>
      </c>
      <c r="M5530" t="s">
        <v>7056</v>
      </c>
      <c r="N5530" t="s">
        <v>7056</v>
      </c>
      <c r="O5530" t="s">
        <v>73</v>
      </c>
      <c r="P5530" t="s">
        <v>81</v>
      </c>
      <c r="Q5530" t="s">
        <v>1101</v>
      </c>
      <c r="R5530" t="s">
        <v>7043</v>
      </c>
    </row>
    <row r="5531" spans="1:18" x14ac:dyDescent="0.25">
      <c r="A5531" t="s">
        <v>20451</v>
      </c>
      <c r="B5531" t="s">
        <v>7061</v>
      </c>
      <c r="C5531" t="str">
        <f>HYPERLINK("https://nematode.unl.edu/lonpa6.jpg")</f>
        <v>https://nematode.unl.edu/lonpa6.jpg</v>
      </c>
      <c r="D5531" t="s">
        <v>43</v>
      </c>
      <c r="G5531" t="s">
        <v>28</v>
      </c>
      <c r="I5531" t="s">
        <v>19</v>
      </c>
      <c r="J5531" t="s">
        <v>317</v>
      </c>
      <c r="M5531" t="s">
        <v>7056</v>
      </c>
      <c r="N5531" t="s">
        <v>7056</v>
      </c>
      <c r="O5531" t="s">
        <v>73</v>
      </c>
      <c r="P5531" t="s">
        <v>81</v>
      </c>
      <c r="Q5531" t="s">
        <v>1101</v>
      </c>
      <c r="R5531" t="s">
        <v>7043</v>
      </c>
    </row>
    <row r="5532" spans="1:18" x14ac:dyDescent="0.25">
      <c r="A5532" t="s">
        <v>20441</v>
      </c>
      <c r="B5532" t="s">
        <v>7062</v>
      </c>
      <c r="C5532" t="str">
        <f>HYPERLINK("https://nematode.unl.edu/lonpacmp.jpg")</f>
        <v>https://nematode.unl.edu/lonpacmp.jpg</v>
      </c>
      <c r="D5532" t="s">
        <v>43</v>
      </c>
      <c r="G5532" t="s">
        <v>96</v>
      </c>
      <c r="H5532" t="s">
        <v>18</v>
      </c>
      <c r="M5532" t="s">
        <v>7056</v>
      </c>
      <c r="N5532" t="s">
        <v>7056</v>
      </c>
      <c r="O5532" t="s">
        <v>73</v>
      </c>
      <c r="P5532" t="s">
        <v>81</v>
      </c>
      <c r="Q5532" t="s">
        <v>1101</v>
      </c>
      <c r="R5532" t="s">
        <v>7043</v>
      </c>
    </row>
    <row r="5533" spans="1:18" x14ac:dyDescent="0.25">
      <c r="A5533" t="s">
        <v>21691</v>
      </c>
      <c r="B5533" t="s">
        <v>7092</v>
      </c>
      <c r="C5533" t="str">
        <f>HYPERLINK("https://nematode.unl.edu/lordell1.jpg")</f>
        <v>https://nematode.unl.edu/lordell1.jpg</v>
      </c>
      <c r="D5533" t="s">
        <v>16</v>
      </c>
      <c r="G5533" t="s">
        <v>44</v>
      </c>
      <c r="I5533" t="s">
        <v>45</v>
      </c>
      <c r="J5533" t="s">
        <v>20</v>
      </c>
      <c r="L5533" t="s">
        <v>138</v>
      </c>
      <c r="M5533" t="s">
        <v>7093</v>
      </c>
      <c r="N5533" t="s">
        <v>7093</v>
      </c>
      <c r="O5533" t="s">
        <v>73</v>
      </c>
      <c r="P5533" t="s">
        <v>81</v>
      </c>
      <c r="Q5533" t="s">
        <v>82</v>
      </c>
      <c r="R5533" t="s">
        <v>7093</v>
      </c>
    </row>
    <row r="5534" spans="1:18" x14ac:dyDescent="0.25">
      <c r="A5534" t="s">
        <v>21688</v>
      </c>
      <c r="B5534" t="s">
        <v>7094</v>
      </c>
      <c r="C5534" t="str">
        <f>HYPERLINK("https://nematode.unl.edu/lordell14.jpg")</f>
        <v>https://nematode.unl.edu/lordell14.jpg</v>
      </c>
      <c r="D5534" t="s">
        <v>43</v>
      </c>
      <c r="G5534" t="s">
        <v>34</v>
      </c>
      <c r="H5534" t="s">
        <v>18</v>
      </c>
      <c r="I5534" t="s">
        <v>41</v>
      </c>
      <c r="J5534" t="s">
        <v>20</v>
      </c>
      <c r="L5534" t="s">
        <v>64</v>
      </c>
      <c r="M5534" t="s">
        <v>7093</v>
      </c>
      <c r="N5534" t="s">
        <v>7093</v>
      </c>
      <c r="O5534" t="s">
        <v>73</v>
      </c>
      <c r="P5534" t="s">
        <v>81</v>
      </c>
      <c r="Q5534" t="s">
        <v>82</v>
      </c>
      <c r="R5534" t="s">
        <v>7093</v>
      </c>
    </row>
    <row r="5535" spans="1:18" x14ac:dyDescent="0.25">
      <c r="A5535" t="s">
        <v>21692</v>
      </c>
      <c r="B5535" t="s">
        <v>7095</v>
      </c>
      <c r="C5535" t="str">
        <f>HYPERLINK("https://nematode.unl.edu/lordell15.jpg")</f>
        <v>https://nematode.unl.edu/lordell15.jpg</v>
      </c>
      <c r="D5535" t="s">
        <v>43</v>
      </c>
      <c r="G5535" t="s">
        <v>243</v>
      </c>
      <c r="I5535" t="s">
        <v>499</v>
      </c>
      <c r="J5535" t="s">
        <v>20</v>
      </c>
      <c r="L5535" t="s">
        <v>64</v>
      </c>
      <c r="M5535" t="s">
        <v>7093</v>
      </c>
      <c r="N5535" t="s">
        <v>7093</v>
      </c>
      <c r="O5535" t="s">
        <v>73</v>
      </c>
      <c r="P5535" t="s">
        <v>81</v>
      </c>
      <c r="Q5535" t="s">
        <v>82</v>
      </c>
      <c r="R5535" t="s">
        <v>7093</v>
      </c>
    </row>
    <row r="5536" spans="1:18" x14ac:dyDescent="0.25">
      <c r="A5536" t="s">
        <v>21697</v>
      </c>
      <c r="B5536" t="s">
        <v>7096</v>
      </c>
      <c r="C5536" t="str">
        <f>HYPERLINK("https://nematode.unl.edu/lordell16.jpg")</f>
        <v>https://nematode.unl.edu/lordell16.jpg</v>
      </c>
      <c r="D5536" t="s">
        <v>43</v>
      </c>
      <c r="G5536" t="s">
        <v>51</v>
      </c>
      <c r="I5536" t="s">
        <v>41</v>
      </c>
      <c r="J5536" t="s">
        <v>20</v>
      </c>
      <c r="L5536" t="s">
        <v>64</v>
      </c>
      <c r="M5536" t="s">
        <v>7093</v>
      </c>
      <c r="N5536" t="s">
        <v>7093</v>
      </c>
      <c r="O5536" t="s">
        <v>73</v>
      </c>
      <c r="P5536" t="s">
        <v>81</v>
      </c>
      <c r="Q5536" t="s">
        <v>82</v>
      </c>
      <c r="R5536" t="s">
        <v>7093</v>
      </c>
    </row>
    <row r="5537" spans="1:18" x14ac:dyDescent="0.25">
      <c r="A5537" t="s">
        <v>21695</v>
      </c>
      <c r="B5537" t="s">
        <v>7097</v>
      </c>
      <c r="C5537" t="str">
        <f>HYPERLINK("https://nematode.unl.edu/lordell17.jpg")</f>
        <v>https://nematode.unl.edu/lordell17.jpg</v>
      </c>
      <c r="D5537" t="s">
        <v>43</v>
      </c>
      <c r="G5537" t="s">
        <v>28</v>
      </c>
      <c r="I5537" t="s">
        <v>41</v>
      </c>
      <c r="J5537" t="s">
        <v>20</v>
      </c>
      <c r="L5537" t="s">
        <v>64</v>
      </c>
      <c r="M5537" t="s">
        <v>7093</v>
      </c>
      <c r="N5537" t="s">
        <v>7093</v>
      </c>
      <c r="O5537" t="s">
        <v>73</v>
      </c>
      <c r="P5537" t="s">
        <v>81</v>
      </c>
      <c r="Q5537" t="s">
        <v>82</v>
      </c>
      <c r="R5537" t="s">
        <v>7093</v>
      </c>
    </row>
    <row r="5538" spans="1:18" x14ac:dyDescent="0.25">
      <c r="A5538" t="s">
        <v>21687</v>
      </c>
      <c r="B5538" t="s">
        <v>7098</v>
      </c>
      <c r="C5538" t="str">
        <f>HYPERLINK("https://nematode.unl.edu/lordell18.jpg")</f>
        <v>https://nematode.unl.edu/lordell18.jpg</v>
      </c>
      <c r="D5538" t="s">
        <v>43</v>
      </c>
      <c r="G5538" t="s">
        <v>96</v>
      </c>
      <c r="H5538" t="s">
        <v>18</v>
      </c>
      <c r="I5538" t="s">
        <v>41</v>
      </c>
      <c r="J5538" t="s">
        <v>20</v>
      </c>
      <c r="L5538" t="s">
        <v>64</v>
      </c>
      <c r="M5538" t="s">
        <v>7093</v>
      </c>
      <c r="N5538" t="s">
        <v>7093</v>
      </c>
      <c r="O5538" t="s">
        <v>73</v>
      </c>
      <c r="P5538" t="s">
        <v>81</v>
      </c>
      <c r="Q5538" t="s">
        <v>82</v>
      </c>
      <c r="R5538" t="s">
        <v>7093</v>
      </c>
    </row>
    <row r="5539" spans="1:18" x14ac:dyDescent="0.25">
      <c r="A5539" t="s">
        <v>21693</v>
      </c>
      <c r="B5539" t="s">
        <v>7099</v>
      </c>
      <c r="C5539" t="str">
        <f>HYPERLINK("https://nematode.unl.edu/lordell19.jpg")</f>
        <v>https://nematode.unl.edu/lordell19.jpg</v>
      </c>
      <c r="D5539" t="s">
        <v>43</v>
      </c>
      <c r="G5539" t="s">
        <v>7100</v>
      </c>
      <c r="I5539" t="s">
        <v>41</v>
      </c>
      <c r="J5539" t="s">
        <v>20</v>
      </c>
      <c r="L5539" t="s">
        <v>64</v>
      </c>
      <c r="M5539" t="s">
        <v>7093</v>
      </c>
      <c r="N5539" t="s">
        <v>7093</v>
      </c>
      <c r="O5539" t="s">
        <v>73</v>
      </c>
      <c r="P5539" t="s">
        <v>81</v>
      </c>
      <c r="Q5539" t="s">
        <v>82</v>
      </c>
      <c r="R5539" t="s">
        <v>7093</v>
      </c>
    </row>
    <row r="5540" spans="1:18" x14ac:dyDescent="0.25">
      <c r="A5540" t="s">
        <v>21689</v>
      </c>
      <c r="B5540" t="s">
        <v>7101</v>
      </c>
      <c r="C5540" t="str">
        <f>HYPERLINK("https://nematode.unl.edu/lordell2.jpg")</f>
        <v>https://nematode.unl.edu/lordell2.jpg</v>
      </c>
      <c r="D5540" t="s">
        <v>16</v>
      </c>
      <c r="G5540" t="s">
        <v>34</v>
      </c>
      <c r="H5540" t="s">
        <v>18</v>
      </c>
      <c r="J5540" t="s">
        <v>20</v>
      </c>
      <c r="L5540" t="s">
        <v>138</v>
      </c>
      <c r="M5540" t="s">
        <v>7093</v>
      </c>
      <c r="N5540" t="s">
        <v>7093</v>
      </c>
      <c r="O5540" t="s">
        <v>73</v>
      </c>
      <c r="P5540" t="s">
        <v>81</v>
      </c>
      <c r="Q5540" t="s">
        <v>82</v>
      </c>
      <c r="R5540" t="s">
        <v>7093</v>
      </c>
    </row>
    <row r="5541" spans="1:18" x14ac:dyDescent="0.25">
      <c r="A5541" t="s">
        <v>21690</v>
      </c>
      <c r="B5541" t="s">
        <v>7102</v>
      </c>
      <c r="C5541" t="str">
        <f>HYPERLINK("https://nematode.unl.edu/lordell3.jpg")</f>
        <v>https://nematode.unl.edu/lordell3.jpg</v>
      </c>
      <c r="D5541" t="s">
        <v>16</v>
      </c>
      <c r="G5541" t="s">
        <v>87</v>
      </c>
      <c r="J5541" t="s">
        <v>20</v>
      </c>
      <c r="L5541" t="s">
        <v>173</v>
      </c>
      <c r="M5541" t="s">
        <v>7093</v>
      </c>
      <c r="N5541" t="s">
        <v>7093</v>
      </c>
      <c r="O5541" t="s">
        <v>73</v>
      </c>
      <c r="P5541" t="s">
        <v>81</v>
      </c>
      <c r="Q5541" t="s">
        <v>82</v>
      </c>
      <c r="R5541" t="s">
        <v>7093</v>
      </c>
    </row>
    <row r="5542" spans="1:18" x14ac:dyDescent="0.25">
      <c r="A5542" t="s">
        <v>21694</v>
      </c>
      <c r="B5542" t="s">
        <v>7103</v>
      </c>
      <c r="C5542" t="str">
        <f>HYPERLINK("https://nematode.unl.edu/lordell4.jpg")</f>
        <v>https://nematode.unl.edu/lordell4.jpg</v>
      </c>
      <c r="D5542" t="s">
        <v>16</v>
      </c>
      <c r="G5542" t="s">
        <v>181</v>
      </c>
      <c r="I5542" t="s">
        <v>19</v>
      </c>
      <c r="J5542" t="s">
        <v>20</v>
      </c>
      <c r="L5542" t="s">
        <v>212</v>
      </c>
      <c r="M5542" t="s">
        <v>7093</v>
      </c>
      <c r="N5542" t="s">
        <v>7093</v>
      </c>
      <c r="O5542" t="s">
        <v>73</v>
      </c>
      <c r="P5542" t="s">
        <v>81</v>
      </c>
      <c r="Q5542" t="s">
        <v>82</v>
      </c>
      <c r="R5542" t="s">
        <v>7093</v>
      </c>
    </row>
    <row r="5543" spans="1:18" x14ac:dyDescent="0.25">
      <c r="A5543" t="s">
        <v>21696</v>
      </c>
      <c r="B5543" t="s">
        <v>7104</v>
      </c>
      <c r="C5543" t="str">
        <f>HYPERLINK("https://nematode.unl.edu/lordell5.jpg")</f>
        <v>https://nematode.unl.edu/lordell5.jpg</v>
      </c>
      <c r="D5543" t="s">
        <v>16</v>
      </c>
      <c r="G5543" t="s">
        <v>28</v>
      </c>
      <c r="J5543" t="s">
        <v>20</v>
      </c>
      <c r="L5543" t="s">
        <v>141</v>
      </c>
      <c r="M5543" t="s">
        <v>7093</v>
      </c>
      <c r="N5543" t="s">
        <v>7093</v>
      </c>
      <c r="O5543" t="s">
        <v>73</v>
      </c>
      <c r="P5543" t="s">
        <v>81</v>
      </c>
      <c r="Q5543" t="s">
        <v>82</v>
      </c>
      <c r="R5543" t="s">
        <v>7093</v>
      </c>
    </row>
    <row r="5544" spans="1:18" x14ac:dyDescent="0.25">
      <c r="A5544" t="s">
        <v>21704</v>
      </c>
      <c r="B5544" t="s">
        <v>7105</v>
      </c>
      <c r="C5544" t="str">
        <f>HYPERLINK("https://nematode.unl.edu/lordpar1.jpg")</f>
        <v>https://nematode.unl.edu/lordpar1.jpg</v>
      </c>
      <c r="D5544" t="s">
        <v>43</v>
      </c>
      <c r="G5544" t="s">
        <v>44</v>
      </c>
      <c r="I5544" t="s">
        <v>45</v>
      </c>
      <c r="J5544" t="s">
        <v>20</v>
      </c>
      <c r="L5544" t="s">
        <v>29</v>
      </c>
      <c r="M5544" t="s">
        <v>7106</v>
      </c>
      <c r="N5544" t="s">
        <v>7106</v>
      </c>
      <c r="O5544" t="s">
        <v>73</v>
      </c>
      <c r="P5544" t="s">
        <v>81</v>
      </c>
      <c r="Q5544" t="s">
        <v>82</v>
      </c>
      <c r="R5544" t="s">
        <v>7093</v>
      </c>
    </row>
    <row r="5545" spans="1:18" x14ac:dyDescent="0.25">
      <c r="A5545" t="s">
        <v>21698</v>
      </c>
      <c r="B5545" t="s">
        <v>7107</v>
      </c>
      <c r="C5545" t="str">
        <f>HYPERLINK("https://nematode.unl.edu/lordpar10.jpg")</f>
        <v>https://nematode.unl.edu/lordpar10.jpg</v>
      </c>
      <c r="D5545" t="s">
        <v>43</v>
      </c>
      <c r="G5545" t="s">
        <v>34</v>
      </c>
      <c r="H5545" t="s">
        <v>18</v>
      </c>
      <c r="J5545" t="s">
        <v>20</v>
      </c>
      <c r="L5545" t="s">
        <v>29</v>
      </c>
      <c r="M5545" t="s">
        <v>7106</v>
      </c>
      <c r="N5545" t="s">
        <v>7106</v>
      </c>
      <c r="O5545" t="s">
        <v>73</v>
      </c>
      <c r="P5545" t="s">
        <v>81</v>
      </c>
      <c r="Q5545" t="s">
        <v>82</v>
      </c>
      <c r="R5545" t="s">
        <v>7093</v>
      </c>
    </row>
    <row r="5546" spans="1:18" x14ac:dyDescent="0.25">
      <c r="A5546" t="s">
        <v>21709</v>
      </c>
      <c r="B5546" t="s">
        <v>7108</v>
      </c>
      <c r="C5546" t="str">
        <f>HYPERLINK("https://nematode.unl.edu/lordpar11.jpg")</f>
        <v>https://nematode.unl.edu/lordpar11.jpg</v>
      </c>
      <c r="D5546" t="s">
        <v>43</v>
      </c>
      <c r="G5546" t="s">
        <v>51</v>
      </c>
      <c r="J5546" t="s">
        <v>20</v>
      </c>
      <c r="L5546" t="s">
        <v>29</v>
      </c>
      <c r="M5546" t="s">
        <v>7106</v>
      </c>
      <c r="N5546" t="s">
        <v>7106</v>
      </c>
      <c r="O5546" t="s">
        <v>73</v>
      </c>
      <c r="P5546" t="s">
        <v>81</v>
      </c>
      <c r="Q5546" t="s">
        <v>82</v>
      </c>
      <c r="R5546" t="s">
        <v>7093</v>
      </c>
    </row>
    <row r="5547" spans="1:18" x14ac:dyDescent="0.25">
      <c r="A5547" t="s">
        <v>21705</v>
      </c>
      <c r="B5547" t="s">
        <v>7109</v>
      </c>
      <c r="C5547" t="str">
        <f>HYPERLINK("https://nematode.unl.edu/lordpar12.jpg")</f>
        <v>https://nematode.unl.edu/lordpar12.jpg</v>
      </c>
      <c r="D5547" t="s">
        <v>43</v>
      </c>
      <c r="G5547" t="s">
        <v>5156</v>
      </c>
      <c r="I5547" t="s">
        <v>41</v>
      </c>
      <c r="J5547" t="s">
        <v>20</v>
      </c>
      <c r="L5547" t="s">
        <v>29</v>
      </c>
      <c r="M5547" t="s">
        <v>7106</v>
      </c>
      <c r="N5547" t="s">
        <v>7106</v>
      </c>
      <c r="O5547" t="s">
        <v>73</v>
      </c>
      <c r="P5547" t="s">
        <v>81</v>
      </c>
      <c r="Q5547" t="s">
        <v>82</v>
      </c>
      <c r="R5547" t="s">
        <v>7093</v>
      </c>
    </row>
    <row r="5548" spans="1:18" x14ac:dyDescent="0.25">
      <c r="A5548" t="s">
        <v>21699</v>
      </c>
      <c r="B5548" t="s">
        <v>7110</v>
      </c>
      <c r="C5548" t="str">
        <f>HYPERLINK("https://nematode.unl.edu/lordpar13.jpg")</f>
        <v>https://nematode.unl.edu/lordpar13.jpg</v>
      </c>
      <c r="D5548" t="s">
        <v>43</v>
      </c>
      <c r="G5548" t="s">
        <v>34</v>
      </c>
      <c r="H5548" t="s">
        <v>18</v>
      </c>
      <c r="I5548" t="s">
        <v>19</v>
      </c>
      <c r="J5548" t="s">
        <v>20</v>
      </c>
      <c r="L5548" t="s">
        <v>64</v>
      </c>
      <c r="M5548" t="s">
        <v>7106</v>
      </c>
      <c r="N5548" t="s">
        <v>7106</v>
      </c>
      <c r="O5548" t="s">
        <v>73</v>
      </c>
      <c r="P5548" t="s">
        <v>81</v>
      </c>
      <c r="Q5548" t="s">
        <v>82</v>
      </c>
      <c r="R5548" t="s">
        <v>7093</v>
      </c>
    </row>
    <row r="5549" spans="1:18" x14ac:dyDescent="0.25">
      <c r="A5549" t="s">
        <v>21710</v>
      </c>
      <c r="B5549" t="s">
        <v>7111</v>
      </c>
      <c r="C5549" t="str">
        <f>HYPERLINK("https://nematode.unl.edu/lordpar14.jpg")</f>
        <v>https://nematode.unl.edu/lordpar14.jpg</v>
      </c>
      <c r="D5549" t="s">
        <v>43</v>
      </c>
      <c r="G5549" t="s">
        <v>51</v>
      </c>
      <c r="I5549" t="s">
        <v>19</v>
      </c>
      <c r="J5549" t="s">
        <v>20</v>
      </c>
      <c r="L5549" t="s">
        <v>64</v>
      </c>
      <c r="M5549" t="s">
        <v>7106</v>
      </c>
      <c r="N5549" t="s">
        <v>7106</v>
      </c>
      <c r="O5549" t="s">
        <v>73</v>
      </c>
      <c r="P5549" t="s">
        <v>81</v>
      </c>
      <c r="Q5549" t="s">
        <v>82</v>
      </c>
      <c r="R5549" t="s">
        <v>7093</v>
      </c>
    </row>
    <row r="5550" spans="1:18" x14ac:dyDescent="0.25">
      <c r="A5550" t="s">
        <v>21706</v>
      </c>
      <c r="B5550" t="s">
        <v>7112</v>
      </c>
      <c r="C5550" t="str">
        <f>HYPERLINK("https://nematode.unl.edu/lordpar15.jpg")</f>
        <v>https://nematode.unl.edu/lordpar15.jpg</v>
      </c>
      <c r="D5550" t="s">
        <v>43</v>
      </c>
      <c r="G5550" t="s">
        <v>28</v>
      </c>
      <c r="J5550" t="s">
        <v>20</v>
      </c>
      <c r="L5550" t="s">
        <v>64</v>
      </c>
      <c r="M5550" t="s">
        <v>7106</v>
      </c>
      <c r="N5550" t="s">
        <v>7106</v>
      </c>
      <c r="O5550" t="s">
        <v>73</v>
      </c>
      <c r="P5550" t="s">
        <v>81</v>
      </c>
      <c r="Q5550" t="s">
        <v>82</v>
      </c>
      <c r="R5550" t="s">
        <v>7093</v>
      </c>
    </row>
    <row r="5551" spans="1:18" x14ac:dyDescent="0.25">
      <c r="A5551" t="s">
        <v>21700</v>
      </c>
      <c r="B5551" t="s">
        <v>7113</v>
      </c>
      <c r="C5551" t="str">
        <f>HYPERLINK("https://nematode.unl.edu/lordpar2.jpg")</f>
        <v>https://nematode.unl.edu/lordpar2.jpg</v>
      </c>
      <c r="D5551" t="s">
        <v>43</v>
      </c>
      <c r="G5551" t="s">
        <v>34</v>
      </c>
      <c r="H5551" t="s">
        <v>18</v>
      </c>
      <c r="J5551" t="s">
        <v>20</v>
      </c>
      <c r="M5551" t="s">
        <v>7106</v>
      </c>
      <c r="N5551" t="s">
        <v>7106</v>
      </c>
      <c r="O5551" t="s">
        <v>73</v>
      </c>
      <c r="P5551" t="s">
        <v>81</v>
      </c>
      <c r="Q5551" t="s">
        <v>82</v>
      </c>
      <c r="R5551" t="s">
        <v>7093</v>
      </c>
    </row>
    <row r="5552" spans="1:18" x14ac:dyDescent="0.25">
      <c r="A5552" t="s">
        <v>21702</v>
      </c>
      <c r="B5552" t="s">
        <v>7114</v>
      </c>
      <c r="C5552" t="str">
        <f>HYPERLINK("https://nematode.unl.edu/lordpar3.jpg")</f>
        <v>https://nematode.unl.edu/lordpar3.jpg</v>
      </c>
      <c r="D5552" t="s">
        <v>43</v>
      </c>
      <c r="G5552" t="s">
        <v>87</v>
      </c>
      <c r="J5552" t="s">
        <v>20</v>
      </c>
      <c r="L5552" t="s">
        <v>29</v>
      </c>
      <c r="M5552" t="s">
        <v>7106</v>
      </c>
      <c r="N5552" t="s">
        <v>7106</v>
      </c>
      <c r="O5552" t="s">
        <v>73</v>
      </c>
      <c r="P5552" t="s">
        <v>81</v>
      </c>
      <c r="Q5552" t="s">
        <v>82</v>
      </c>
      <c r="R5552" t="s">
        <v>7093</v>
      </c>
    </row>
    <row r="5553" spans="1:18" x14ac:dyDescent="0.25">
      <c r="A5553" t="s">
        <v>21711</v>
      </c>
      <c r="B5553" t="s">
        <v>7115</v>
      </c>
      <c r="C5553" t="str">
        <f>HYPERLINK("https://nematode.unl.edu/lordpar4.jpg")</f>
        <v>https://nematode.unl.edu/lordpar4.jpg</v>
      </c>
      <c r="D5553" t="s">
        <v>43</v>
      </c>
      <c r="G5553" t="s">
        <v>51</v>
      </c>
      <c r="J5553" t="s">
        <v>20</v>
      </c>
      <c r="L5553" t="s">
        <v>29</v>
      </c>
      <c r="M5553" t="s">
        <v>7106</v>
      </c>
      <c r="N5553" t="s">
        <v>7106</v>
      </c>
      <c r="O5553" t="s">
        <v>73</v>
      </c>
      <c r="P5553" t="s">
        <v>81</v>
      </c>
      <c r="Q5553" t="s">
        <v>82</v>
      </c>
      <c r="R5553" t="s">
        <v>7093</v>
      </c>
    </row>
    <row r="5554" spans="1:18" x14ac:dyDescent="0.25">
      <c r="A5554" t="s">
        <v>21707</v>
      </c>
      <c r="B5554" t="s">
        <v>7116</v>
      </c>
      <c r="C5554" t="str">
        <f>HYPERLINK("https://nematode.unl.edu/lordpar5.jpg")</f>
        <v>https://nematode.unl.edu/lordpar5.jpg</v>
      </c>
      <c r="D5554" t="s">
        <v>43</v>
      </c>
      <c r="G5554" t="s">
        <v>28</v>
      </c>
      <c r="M5554" t="s">
        <v>7106</v>
      </c>
      <c r="N5554" t="s">
        <v>7106</v>
      </c>
      <c r="O5554" t="s">
        <v>73</v>
      </c>
      <c r="P5554" t="s">
        <v>81</v>
      </c>
      <c r="Q5554" t="s">
        <v>82</v>
      </c>
      <c r="R5554" t="s">
        <v>7093</v>
      </c>
    </row>
    <row r="5555" spans="1:18" x14ac:dyDescent="0.25">
      <c r="A5555" t="s">
        <v>21708</v>
      </c>
      <c r="B5555" t="s">
        <v>7117</v>
      </c>
      <c r="C5555" t="str">
        <f>HYPERLINK("https://nematode.unl.edu/lordpar6.jpg")</f>
        <v>https://nematode.unl.edu/lordpar6.jpg</v>
      </c>
      <c r="D5555" t="s">
        <v>43</v>
      </c>
      <c r="G5555" t="s">
        <v>28</v>
      </c>
      <c r="I5555" t="s">
        <v>19</v>
      </c>
      <c r="J5555" t="s">
        <v>20</v>
      </c>
      <c r="L5555" t="s">
        <v>29</v>
      </c>
      <c r="M5555" t="s">
        <v>7106</v>
      </c>
      <c r="N5555" t="s">
        <v>7106</v>
      </c>
      <c r="O5555" t="s">
        <v>73</v>
      </c>
      <c r="P5555" t="s">
        <v>81</v>
      </c>
      <c r="Q5555" t="s">
        <v>82</v>
      </c>
      <c r="R5555" t="s">
        <v>7093</v>
      </c>
    </row>
    <row r="5556" spans="1:18" x14ac:dyDescent="0.25">
      <c r="A5556" t="s">
        <v>21712</v>
      </c>
      <c r="B5556" t="s">
        <v>7118</v>
      </c>
      <c r="C5556" t="str">
        <f>HYPERLINK("https://nematode.unl.edu/lordpar7.jpg")</f>
        <v>https://nematode.unl.edu/lordpar7.jpg</v>
      </c>
      <c r="D5556" t="s">
        <v>43</v>
      </c>
      <c r="G5556" t="s">
        <v>51</v>
      </c>
      <c r="I5556" t="s">
        <v>19</v>
      </c>
      <c r="M5556" t="s">
        <v>7106</v>
      </c>
      <c r="N5556" t="s">
        <v>7106</v>
      </c>
      <c r="O5556" t="s">
        <v>73</v>
      </c>
      <c r="P5556" t="s">
        <v>81</v>
      </c>
      <c r="Q5556" t="s">
        <v>82</v>
      </c>
      <c r="R5556" t="s">
        <v>7093</v>
      </c>
    </row>
    <row r="5557" spans="1:18" x14ac:dyDescent="0.25">
      <c r="A5557" t="s">
        <v>21703</v>
      </c>
      <c r="B5557" t="s">
        <v>7119</v>
      </c>
      <c r="C5557" t="str">
        <f>HYPERLINK("https://nematode.unl.edu/lordpar8.jpg")</f>
        <v>https://nematode.unl.edu/lordpar8.jpg</v>
      </c>
      <c r="D5557" t="s">
        <v>43</v>
      </c>
      <c r="G5557" t="s">
        <v>87</v>
      </c>
      <c r="M5557" t="s">
        <v>7106</v>
      </c>
      <c r="N5557" t="s">
        <v>7106</v>
      </c>
      <c r="O5557" t="s">
        <v>73</v>
      </c>
      <c r="P5557" t="s">
        <v>81</v>
      </c>
      <c r="Q5557" t="s">
        <v>82</v>
      </c>
      <c r="R5557" t="s">
        <v>7093</v>
      </c>
    </row>
    <row r="5558" spans="1:18" x14ac:dyDescent="0.25">
      <c r="A5558" t="s">
        <v>21701</v>
      </c>
      <c r="B5558" t="s">
        <v>7120</v>
      </c>
      <c r="C5558" t="str">
        <f>HYPERLINK("https://nematode.unl.edu/lordpar9.jpg")</f>
        <v>https://nematode.unl.edu/lordpar9.jpg</v>
      </c>
      <c r="D5558" t="s">
        <v>43</v>
      </c>
      <c r="G5558" t="s">
        <v>34</v>
      </c>
      <c r="H5558" t="s">
        <v>18</v>
      </c>
      <c r="J5558" t="s">
        <v>20</v>
      </c>
      <c r="L5558" t="s">
        <v>29</v>
      </c>
      <c r="M5558" t="s">
        <v>7106</v>
      </c>
      <c r="N5558" t="s">
        <v>7106</v>
      </c>
      <c r="O5558" t="s">
        <v>73</v>
      </c>
      <c r="P5558" t="s">
        <v>81</v>
      </c>
      <c r="Q5558" t="s">
        <v>82</v>
      </c>
      <c r="R5558" t="s">
        <v>7093</v>
      </c>
    </row>
    <row r="5559" spans="1:18" x14ac:dyDescent="0.25">
      <c r="A5559" t="s">
        <v>20434</v>
      </c>
      <c r="B5559" t="s">
        <v>7042</v>
      </c>
      <c r="C5559" t="str">
        <f>HYPERLINK("https://nematode.unl.edu/lore1.jpg")</f>
        <v>https://nematode.unl.edu/lore1.jpg</v>
      </c>
      <c r="D5559" t="s">
        <v>43</v>
      </c>
      <c r="G5559" t="s">
        <v>44</v>
      </c>
      <c r="I5559" t="s">
        <v>91</v>
      </c>
      <c r="J5559" t="s">
        <v>267</v>
      </c>
      <c r="M5559" t="s">
        <v>7043</v>
      </c>
      <c r="N5559" t="s">
        <v>7043</v>
      </c>
      <c r="O5559" t="s">
        <v>73</v>
      </c>
      <c r="P5559" t="s">
        <v>81</v>
      </c>
      <c r="Q5559" t="s">
        <v>1101</v>
      </c>
      <c r="R5559" t="s">
        <v>7043</v>
      </c>
    </row>
    <row r="5560" spans="1:18" x14ac:dyDescent="0.25">
      <c r="A5560" t="s">
        <v>20437</v>
      </c>
      <c r="B5560" t="s">
        <v>7044</v>
      </c>
      <c r="C5560" t="str">
        <f>HYPERLINK("https://nematode.unl.edu/lore10.jpg")</f>
        <v>https://nematode.unl.edu/lore10.jpg</v>
      </c>
      <c r="D5560" t="s">
        <v>43</v>
      </c>
      <c r="G5560" t="s">
        <v>51</v>
      </c>
      <c r="I5560" t="s">
        <v>516</v>
      </c>
      <c r="J5560" t="s">
        <v>267</v>
      </c>
      <c r="M5560" t="s">
        <v>7043</v>
      </c>
      <c r="N5560" t="s">
        <v>7043</v>
      </c>
      <c r="O5560" t="s">
        <v>73</v>
      </c>
      <c r="P5560" t="s">
        <v>81</v>
      </c>
      <c r="Q5560" t="s">
        <v>1101</v>
      </c>
      <c r="R5560" t="s">
        <v>7043</v>
      </c>
    </row>
    <row r="5561" spans="1:18" x14ac:dyDescent="0.25">
      <c r="A5561" t="s">
        <v>20435</v>
      </c>
      <c r="B5561" t="s">
        <v>7045</v>
      </c>
      <c r="C5561" t="str">
        <f>HYPERLINK("https://nematode.unl.edu/lore11.jpg")</f>
        <v>https://nematode.unl.edu/lore11.jpg</v>
      </c>
      <c r="D5561" t="s">
        <v>43</v>
      </c>
      <c r="G5561" t="s">
        <v>28</v>
      </c>
      <c r="I5561" t="s">
        <v>19</v>
      </c>
      <c r="M5561" t="s">
        <v>7043</v>
      </c>
      <c r="N5561" t="s">
        <v>7043</v>
      </c>
      <c r="O5561" t="s">
        <v>73</v>
      </c>
      <c r="P5561" t="s">
        <v>81</v>
      </c>
      <c r="Q5561" t="s">
        <v>1101</v>
      </c>
      <c r="R5561" t="s">
        <v>7043</v>
      </c>
    </row>
    <row r="5562" spans="1:18" x14ac:dyDescent="0.25">
      <c r="A5562" t="s">
        <v>20429</v>
      </c>
      <c r="B5562" t="s">
        <v>7046</v>
      </c>
      <c r="C5562" t="str">
        <f>HYPERLINK("https://nematode.unl.edu/lore2.jpg")</f>
        <v>https://nematode.unl.edu/lore2.jpg</v>
      </c>
      <c r="G5562" t="s">
        <v>96</v>
      </c>
      <c r="H5562" t="s">
        <v>18</v>
      </c>
      <c r="I5562" t="s">
        <v>19</v>
      </c>
      <c r="J5562" t="s">
        <v>267</v>
      </c>
      <c r="M5562" t="s">
        <v>7043</v>
      </c>
      <c r="N5562" t="s">
        <v>7043</v>
      </c>
      <c r="O5562" t="s">
        <v>73</v>
      </c>
      <c r="P5562" t="s">
        <v>81</v>
      </c>
      <c r="Q5562" t="s">
        <v>1101</v>
      </c>
      <c r="R5562" t="s">
        <v>7043</v>
      </c>
    </row>
    <row r="5563" spans="1:18" x14ac:dyDescent="0.25">
      <c r="A5563" t="s">
        <v>20432</v>
      </c>
      <c r="B5563" t="s">
        <v>7047</v>
      </c>
      <c r="C5563" t="str">
        <f>HYPERLINK("https://nematode.unl.edu/lore3.jpg")</f>
        <v>https://nematode.unl.edu/lore3.jpg</v>
      </c>
      <c r="D5563" t="s">
        <v>43</v>
      </c>
      <c r="G5563" t="s">
        <v>87</v>
      </c>
      <c r="I5563" t="s">
        <v>19</v>
      </c>
      <c r="J5563" t="s">
        <v>267</v>
      </c>
      <c r="M5563" t="s">
        <v>7043</v>
      </c>
      <c r="N5563" t="s">
        <v>7043</v>
      </c>
      <c r="O5563" t="s">
        <v>73</v>
      </c>
      <c r="P5563" t="s">
        <v>81</v>
      </c>
      <c r="Q5563" t="s">
        <v>1101</v>
      </c>
      <c r="R5563" t="s">
        <v>7043</v>
      </c>
    </row>
    <row r="5564" spans="1:18" x14ac:dyDescent="0.25">
      <c r="A5564" t="s">
        <v>20438</v>
      </c>
      <c r="B5564" t="s">
        <v>7048</v>
      </c>
      <c r="C5564" t="str">
        <f>HYPERLINK("https://nematode.unl.edu/lore4.jpg")</f>
        <v>https://nematode.unl.edu/lore4.jpg</v>
      </c>
      <c r="D5564" t="s">
        <v>43</v>
      </c>
      <c r="G5564" t="s">
        <v>51</v>
      </c>
      <c r="J5564" t="s">
        <v>267</v>
      </c>
      <c r="M5564" t="s">
        <v>7043</v>
      </c>
      <c r="N5564" t="s">
        <v>7043</v>
      </c>
      <c r="O5564" t="s">
        <v>73</v>
      </c>
      <c r="P5564" t="s">
        <v>81</v>
      </c>
      <c r="Q5564" t="s">
        <v>1101</v>
      </c>
      <c r="R5564" t="s">
        <v>7043</v>
      </c>
    </row>
    <row r="5565" spans="1:18" x14ac:dyDescent="0.25">
      <c r="A5565" t="s">
        <v>20436</v>
      </c>
      <c r="B5565" t="s">
        <v>7049</v>
      </c>
      <c r="C5565" t="str">
        <f>HYPERLINK("https://nematode.unl.edu/lore5.jpg")</f>
        <v>https://nematode.unl.edu/lore5.jpg</v>
      </c>
      <c r="D5565" t="s">
        <v>43</v>
      </c>
      <c r="G5565" t="s">
        <v>28</v>
      </c>
      <c r="J5565" t="s">
        <v>267</v>
      </c>
      <c r="M5565" t="s">
        <v>7043</v>
      </c>
      <c r="N5565" t="s">
        <v>7043</v>
      </c>
      <c r="O5565" t="s">
        <v>73</v>
      </c>
      <c r="P5565" t="s">
        <v>81</v>
      </c>
      <c r="Q5565" t="s">
        <v>1101</v>
      </c>
      <c r="R5565" t="s">
        <v>7043</v>
      </c>
    </row>
    <row r="5566" spans="1:18" x14ac:dyDescent="0.25">
      <c r="A5566" t="s">
        <v>20430</v>
      </c>
      <c r="B5566" t="s">
        <v>7050</v>
      </c>
      <c r="C5566" t="str">
        <f>HYPERLINK("https://nematode.unl.edu/lore6.jpg")</f>
        <v>https://nematode.unl.edu/lore6.jpg</v>
      </c>
      <c r="D5566" t="s">
        <v>43</v>
      </c>
      <c r="G5566" t="s">
        <v>34</v>
      </c>
      <c r="H5566" t="s">
        <v>18</v>
      </c>
      <c r="I5566" t="s">
        <v>41</v>
      </c>
      <c r="J5566" t="s">
        <v>267</v>
      </c>
      <c r="M5566" t="s">
        <v>7043</v>
      </c>
      <c r="N5566" t="s">
        <v>7043</v>
      </c>
      <c r="O5566" t="s">
        <v>73</v>
      </c>
      <c r="P5566" t="s">
        <v>81</v>
      </c>
      <c r="Q5566" t="s">
        <v>1101</v>
      </c>
      <c r="R5566" t="s">
        <v>7043</v>
      </c>
    </row>
    <row r="5567" spans="1:18" x14ac:dyDescent="0.25">
      <c r="A5567" t="s">
        <v>20439</v>
      </c>
      <c r="B5567" t="s">
        <v>7051</v>
      </c>
      <c r="C5567" t="str">
        <f>HYPERLINK("https://nematode.unl.edu/lore7.jpg")</f>
        <v>https://nematode.unl.edu/lore7.jpg</v>
      </c>
      <c r="D5567" t="s">
        <v>43</v>
      </c>
      <c r="G5567" t="s">
        <v>51</v>
      </c>
      <c r="I5567" t="s">
        <v>529</v>
      </c>
      <c r="J5567" t="s">
        <v>267</v>
      </c>
      <c r="M5567" t="s">
        <v>7043</v>
      </c>
      <c r="N5567" t="s">
        <v>7043</v>
      </c>
      <c r="O5567" t="s">
        <v>73</v>
      </c>
      <c r="P5567" t="s">
        <v>81</v>
      </c>
      <c r="Q5567" t="s">
        <v>1101</v>
      </c>
      <c r="R5567" t="s">
        <v>7043</v>
      </c>
    </row>
    <row r="5568" spans="1:18" x14ac:dyDescent="0.25">
      <c r="A5568" t="s">
        <v>20431</v>
      </c>
      <c r="B5568" t="s">
        <v>7052</v>
      </c>
      <c r="C5568" t="str">
        <f>HYPERLINK("https://nematode.unl.edu/lore8.jpg")</f>
        <v>https://nematode.unl.edu/lore8.jpg</v>
      </c>
      <c r="D5568" t="s">
        <v>43</v>
      </c>
      <c r="G5568" t="s">
        <v>34</v>
      </c>
      <c r="H5568" t="s">
        <v>18</v>
      </c>
      <c r="I5568" t="s">
        <v>19</v>
      </c>
      <c r="M5568" t="s">
        <v>7043</v>
      </c>
      <c r="N5568" t="s">
        <v>7043</v>
      </c>
      <c r="O5568" t="s">
        <v>73</v>
      </c>
      <c r="P5568" t="s">
        <v>81</v>
      </c>
      <c r="Q5568" t="s">
        <v>1101</v>
      </c>
      <c r="R5568" t="s">
        <v>7043</v>
      </c>
    </row>
    <row r="5569" spans="1:18" x14ac:dyDescent="0.25">
      <c r="A5569" t="s">
        <v>20433</v>
      </c>
      <c r="B5569" t="s">
        <v>7053</v>
      </c>
      <c r="C5569" t="str">
        <f>HYPERLINK("https://nematode.unl.edu/lore9.jpg")</f>
        <v>https://nematode.unl.edu/lore9.jpg</v>
      </c>
      <c r="D5569" t="s">
        <v>43</v>
      </c>
      <c r="G5569" t="s">
        <v>87</v>
      </c>
      <c r="I5569" t="s">
        <v>19</v>
      </c>
      <c r="M5569" t="s">
        <v>7043</v>
      </c>
      <c r="N5569" t="s">
        <v>7043</v>
      </c>
      <c r="O5569" t="s">
        <v>73</v>
      </c>
      <c r="P5569" t="s">
        <v>81</v>
      </c>
      <c r="Q5569" t="s">
        <v>1101</v>
      </c>
      <c r="R5569" t="s">
        <v>7043</v>
      </c>
    </row>
    <row r="5570" spans="1:18" x14ac:dyDescent="0.25">
      <c r="A5570" t="s">
        <v>20449</v>
      </c>
      <c r="B5570" t="s">
        <v>7063</v>
      </c>
      <c r="C5570" t="str">
        <f>HYPERLINK("https://nematode.unl.edu/lorelap1.jpg")</f>
        <v>https://nematode.unl.edu/lorelap1.jpg</v>
      </c>
      <c r="D5570" t="s">
        <v>43</v>
      </c>
      <c r="G5570" t="s">
        <v>44</v>
      </c>
      <c r="I5570" t="s">
        <v>45</v>
      </c>
      <c r="J5570" t="s">
        <v>7064</v>
      </c>
      <c r="L5570" t="s">
        <v>7065</v>
      </c>
      <c r="M5570" t="s">
        <v>7056</v>
      </c>
      <c r="N5570" t="s">
        <v>7056</v>
      </c>
      <c r="O5570" t="s">
        <v>73</v>
      </c>
      <c r="P5570" t="s">
        <v>81</v>
      </c>
      <c r="Q5570" t="s">
        <v>1101</v>
      </c>
      <c r="R5570" t="s">
        <v>7043</v>
      </c>
    </row>
    <row r="5571" spans="1:18" x14ac:dyDescent="0.25">
      <c r="A5571" t="s">
        <v>20452</v>
      </c>
      <c r="B5571" t="s">
        <v>7066</v>
      </c>
      <c r="C5571" t="str">
        <f>HYPERLINK("https://nematode.unl.edu/lorelap10.jpg")</f>
        <v>https://nematode.unl.edu/lorelap10.jpg</v>
      </c>
      <c r="D5571" t="s">
        <v>43</v>
      </c>
      <c r="G5571" t="s">
        <v>28</v>
      </c>
      <c r="I5571" t="s">
        <v>41</v>
      </c>
      <c r="M5571" t="s">
        <v>7056</v>
      </c>
      <c r="N5571" t="s">
        <v>7056</v>
      </c>
      <c r="O5571" t="s">
        <v>73</v>
      </c>
      <c r="P5571" t="s">
        <v>81</v>
      </c>
      <c r="Q5571" t="s">
        <v>1101</v>
      </c>
      <c r="R5571" t="s">
        <v>7043</v>
      </c>
    </row>
    <row r="5572" spans="1:18" x14ac:dyDescent="0.25">
      <c r="A5572" t="s">
        <v>20442</v>
      </c>
      <c r="B5572" t="s">
        <v>7067</v>
      </c>
      <c r="C5572" t="str">
        <f>HYPERLINK("https://nematode.unl.edu/lorelap2.jpg")</f>
        <v>https://nematode.unl.edu/lorelap2.jpg</v>
      </c>
      <c r="D5572" t="s">
        <v>43</v>
      </c>
      <c r="G5572" t="s">
        <v>96</v>
      </c>
      <c r="H5572" t="s">
        <v>18</v>
      </c>
      <c r="I5572" t="s">
        <v>19</v>
      </c>
      <c r="M5572" t="s">
        <v>7056</v>
      </c>
      <c r="N5572" t="s">
        <v>7056</v>
      </c>
      <c r="O5572" t="s">
        <v>73</v>
      </c>
      <c r="P5572" t="s">
        <v>81</v>
      </c>
      <c r="Q5572" t="s">
        <v>1101</v>
      </c>
      <c r="R5572" t="s">
        <v>7043</v>
      </c>
    </row>
    <row r="5573" spans="1:18" x14ac:dyDescent="0.25">
      <c r="A5573" t="s">
        <v>20455</v>
      </c>
      <c r="B5573" t="s">
        <v>7068</v>
      </c>
      <c r="C5573" t="str">
        <f>HYPERLINK("https://nematode.unl.edu/lorelap3.jpg")</f>
        <v>https://nematode.unl.edu/lorelap3.jpg</v>
      </c>
      <c r="D5573" t="s">
        <v>43</v>
      </c>
      <c r="G5573" t="s">
        <v>51</v>
      </c>
      <c r="M5573" t="s">
        <v>7056</v>
      </c>
      <c r="N5573" t="s">
        <v>7056</v>
      </c>
      <c r="O5573" t="s">
        <v>73</v>
      </c>
      <c r="P5573" t="s">
        <v>81</v>
      </c>
      <c r="Q5573" t="s">
        <v>1101</v>
      </c>
      <c r="R5573" t="s">
        <v>7043</v>
      </c>
    </row>
    <row r="5574" spans="1:18" x14ac:dyDescent="0.25">
      <c r="A5574" t="s">
        <v>20453</v>
      </c>
      <c r="B5574" t="s">
        <v>7069</v>
      </c>
      <c r="C5574" t="str">
        <f>HYPERLINK("https://nematode.unl.edu/lorelap4.jpg")</f>
        <v>https://nematode.unl.edu/lorelap4.jpg</v>
      </c>
      <c r="D5574" t="s">
        <v>43</v>
      </c>
      <c r="G5574" t="s">
        <v>28</v>
      </c>
      <c r="M5574" t="s">
        <v>7056</v>
      </c>
      <c r="N5574" t="s">
        <v>7056</v>
      </c>
      <c r="O5574" t="s">
        <v>73</v>
      </c>
      <c r="P5574" t="s">
        <v>81</v>
      </c>
      <c r="Q5574" t="s">
        <v>1101</v>
      </c>
      <c r="R5574" t="s">
        <v>7043</v>
      </c>
    </row>
    <row r="5575" spans="1:18" x14ac:dyDescent="0.25">
      <c r="A5575" t="s">
        <v>20447</v>
      </c>
      <c r="B5575" t="s">
        <v>7070</v>
      </c>
      <c r="C5575" t="str">
        <f>HYPERLINK("https://nematode.unl.edu/lorelap5.jpg")</f>
        <v>https://nematode.unl.edu/lorelap5.jpg</v>
      </c>
      <c r="D5575" t="s">
        <v>43</v>
      </c>
      <c r="G5575" t="s">
        <v>34</v>
      </c>
      <c r="H5575" t="s">
        <v>18</v>
      </c>
      <c r="M5575" t="s">
        <v>7056</v>
      </c>
      <c r="N5575" t="s">
        <v>7056</v>
      </c>
      <c r="O5575" t="s">
        <v>73</v>
      </c>
      <c r="P5575" t="s">
        <v>81</v>
      </c>
      <c r="Q5575" t="s">
        <v>1101</v>
      </c>
      <c r="R5575" t="s">
        <v>7043</v>
      </c>
    </row>
    <row r="5576" spans="1:18" x14ac:dyDescent="0.25">
      <c r="A5576" t="s">
        <v>20443</v>
      </c>
      <c r="B5576" t="s">
        <v>7071</v>
      </c>
      <c r="C5576" t="str">
        <f>HYPERLINK("https://nematode.unl.edu/lorelap6.jpg")</f>
        <v>https://nematode.unl.edu/lorelap6.jpg</v>
      </c>
      <c r="D5576" t="s">
        <v>43</v>
      </c>
      <c r="G5576" t="s">
        <v>17</v>
      </c>
      <c r="H5576" t="s">
        <v>18</v>
      </c>
      <c r="I5576" t="s">
        <v>41</v>
      </c>
      <c r="M5576" t="s">
        <v>7056</v>
      </c>
      <c r="N5576" t="s">
        <v>7056</v>
      </c>
      <c r="O5576" t="s">
        <v>73</v>
      </c>
      <c r="P5576" t="s">
        <v>81</v>
      </c>
      <c r="Q5576" t="s">
        <v>1101</v>
      </c>
      <c r="R5576" t="s">
        <v>7043</v>
      </c>
    </row>
    <row r="5577" spans="1:18" x14ac:dyDescent="0.25">
      <c r="A5577" t="s">
        <v>20444</v>
      </c>
      <c r="B5577" t="s">
        <v>7072</v>
      </c>
      <c r="C5577" t="str">
        <f>HYPERLINK("https://nematode.unl.edu/lorelap7.jpg")</f>
        <v>https://nematode.unl.edu/lorelap7.jpg</v>
      </c>
      <c r="D5577" t="s">
        <v>43</v>
      </c>
      <c r="G5577" t="s">
        <v>17</v>
      </c>
      <c r="H5577" t="s">
        <v>18</v>
      </c>
      <c r="I5577" t="s">
        <v>41</v>
      </c>
      <c r="M5577" t="s">
        <v>7056</v>
      </c>
      <c r="N5577" t="s">
        <v>7056</v>
      </c>
      <c r="O5577" t="s">
        <v>73</v>
      </c>
      <c r="P5577" t="s">
        <v>81</v>
      </c>
      <c r="Q5577" t="s">
        <v>1101</v>
      </c>
      <c r="R5577" t="s">
        <v>7043</v>
      </c>
    </row>
    <row r="5578" spans="1:18" x14ac:dyDescent="0.25">
      <c r="A5578" t="s">
        <v>20445</v>
      </c>
      <c r="B5578" t="s">
        <v>7073</v>
      </c>
      <c r="C5578" t="str">
        <f>HYPERLINK("https://nematode.unl.edu/lorelap8.jpg")</f>
        <v>https://nematode.unl.edu/lorelap8.jpg</v>
      </c>
      <c r="D5578" t="s">
        <v>43</v>
      </c>
      <c r="G5578" t="s">
        <v>17</v>
      </c>
      <c r="H5578" t="s">
        <v>18</v>
      </c>
      <c r="I5578" t="s">
        <v>529</v>
      </c>
      <c r="J5578" t="s">
        <v>7064</v>
      </c>
      <c r="L5578" t="s">
        <v>7065</v>
      </c>
      <c r="M5578" t="s">
        <v>7056</v>
      </c>
      <c r="N5578" t="s">
        <v>7056</v>
      </c>
      <c r="O5578" t="s">
        <v>73</v>
      </c>
      <c r="P5578" t="s">
        <v>81</v>
      </c>
      <c r="Q5578" t="s">
        <v>1101</v>
      </c>
      <c r="R5578" t="s">
        <v>7043</v>
      </c>
    </row>
    <row r="5579" spans="1:18" x14ac:dyDescent="0.25">
      <c r="A5579" t="s">
        <v>20456</v>
      </c>
      <c r="B5579" t="s">
        <v>7074</v>
      </c>
      <c r="C5579" t="str">
        <f>HYPERLINK("https://nematode.unl.edu/lorelap9.jpg")</f>
        <v>https://nematode.unl.edu/lorelap9.jpg</v>
      </c>
      <c r="D5579" t="s">
        <v>43</v>
      </c>
      <c r="G5579" t="s">
        <v>51</v>
      </c>
      <c r="I5579" t="s">
        <v>41</v>
      </c>
      <c r="M5579" t="s">
        <v>7056</v>
      </c>
      <c r="N5579" t="s">
        <v>7056</v>
      </c>
      <c r="O5579" t="s">
        <v>73</v>
      </c>
      <c r="P5579" t="s">
        <v>81</v>
      </c>
      <c r="Q5579" t="s">
        <v>1101</v>
      </c>
      <c r="R5579" t="s">
        <v>7043</v>
      </c>
    </row>
    <row r="5580" spans="1:18" x14ac:dyDescent="0.25">
      <c r="A5580" t="s">
        <v>14394</v>
      </c>
      <c r="B5580" t="s">
        <v>7590</v>
      </c>
      <c r="C5580" t="str">
        <f>HYPERLINK("https://nematode.unl.edu/macarena1.jpg")</f>
        <v>https://nematode.unl.edu/macarena1.jpg</v>
      </c>
      <c r="D5580" t="s">
        <v>16</v>
      </c>
      <c r="G5580" t="s">
        <v>44</v>
      </c>
      <c r="I5580" t="s">
        <v>516</v>
      </c>
      <c r="J5580" t="s">
        <v>7437</v>
      </c>
      <c r="K5580" t="s">
        <v>22849</v>
      </c>
      <c r="L5580" t="s">
        <v>7438</v>
      </c>
      <c r="M5580" t="s">
        <v>1233</v>
      </c>
      <c r="N5580" t="s">
        <v>1233</v>
      </c>
      <c r="O5580" t="s">
        <v>23</v>
      </c>
      <c r="P5580" t="s">
        <v>24</v>
      </c>
      <c r="Q5580" t="s">
        <v>642</v>
      </c>
      <c r="R5580" t="s">
        <v>1214</v>
      </c>
    </row>
    <row r="5581" spans="1:18" x14ac:dyDescent="0.25">
      <c r="A5581" t="s">
        <v>14252</v>
      </c>
      <c r="B5581" t="s">
        <v>7591</v>
      </c>
      <c r="C5581" t="str">
        <f>HYPERLINK("https://nematode.unl.edu/macarena2.jpg")</f>
        <v>https://nematode.unl.edu/macarena2.jpg</v>
      </c>
      <c r="D5581" t="s">
        <v>16</v>
      </c>
      <c r="G5581" t="s">
        <v>34</v>
      </c>
      <c r="H5581" t="s">
        <v>18</v>
      </c>
      <c r="I5581" t="s">
        <v>41</v>
      </c>
      <c r="M5581" t="s">
        <v>1233</v>
      </c>
      <c r="N5581" t="s">
        <v>1233</v>
      </c>
      <c r="O5581" t="s">
        <v>23</v>
      </c>
      <c r="P5581" t="s">
        <v>24</v>
      </c>
      <c r="Q5581" t="s">
        <v>642</v>
      </c>
      <c r="R5581" t="s">
        <v>1214</v>
      </c>
    </row>
    <row r="5582" spans="1:18" x14ac:dyDescent="0.25">
      <c r="A5582" t="s">
        <v>14573</v>
      </c>
      <c r="B5582" t="s">
        <v>7592</v>
      </c>
      <c r="C5582" t="str">
        <f>HYPERLINK("https://nematode.unl.edu/macarena3.jpg")</f>
        <v>https://nematode.unl.edu/macarena3.jpg</v>
      </c>
      <c r="D5582" t="s">
        <v>16</v>
      </c>
      <c r="G5582" t="s">
        <v>28</v>
      </c>
      <c r="I5582" t="s">
        <v>41</v>
      </c>
      <c r="M5582" t="s">
        <v>1233</v>
      </c>
      <c r="N5582" t="s">
        <v>1233</v>
      </c>
      <c r="O5582" t="s">
        <v>23</v>
      </c>
      <c r="P5582" t="s">
        <v>24</v>
      </c>
      <c r="Q5582" t="s">
        <v>642</v>
      </c>
      <c r="R5582" t="s">
        <v>1214</v>
      </c>
    </row>
    <row r="5583" spans="1:18" x14ac:dyDescent="0.25">
      <c r="A5583" t="s">
        <v>14395</v>
      </c>
      <c r="B5583" t="s">
        <v>7593</v>
      </c>
      <c r="C5583" t="str">
        <f>HYPERLINK("https://nematode.unl.edu/macarena4.jpg")</f>
        <v>https://nematode.unl.edu/macarena4.jpg</v>
      </c>
      <c r="D5583" t="s">
        <v>16</v>
      </c>
      <c r="G5583" t="s">
        <v>44</v>
      </c>
      <c r="I5583" t="s">
        <v>41</v>
      </c>
      <c r="M5583" t="s">
        <v>1233</v>
      </c>
      <c r="N5583" t="s">
        <v>1233</v>
      </c>
      <c r="O5583" t="s">
        <v>23</v>
      </c>
      <c r="P5583" t="s">
        <v>24</v>
      </c>
      <c r="Q5583" t="s">
        <v>642</v>
      </c>
      <c r="R5583" t="s">
        <v>1214</v>
      </c>
    </row>
    <row r="5584" spans="1:18" x14ac:dyDescent="0.25">
      <c r="A5584" t="s">
        <v>14396</v>
      </c>
      <c r="B5584" t="s">
        <v>7594</v>
      </c>
      <c r="C5584" t="str">
        <f>HYPERLINK("https://nematode.unl.edu/macbeal1.jpg")</f>
        <v>https://nematode.unl.edu/macbeal1.jpg</v>
      </c>
      <c r="D5584" t="s">
        <v>43</v>
      </c>
      <c r="G5584" t="s">
        <v>44</v>
      </c>
      <c r="I5584" t="s">
        <v>137</v>
      </c>
      <c r="J5584" t="s">
        <v>7595</v>
      </c>
      <c r="K5584" t="s">
        <v>22865</v>
      </c>
      <c r="L5584" t="s">
        <v>6949</v>
      </c>
      <c r="M5584" t="s">
        <v>1233</v>
      </c>
      <c r="N5584" t="s">
        <v>1233</v>
      </c>
      <c r="O5584" t="s">
        <v>23</v>
      </c>
      <c r="P5584" t="s">
        <v>24</v>
      </c>
      <c r="Q5584" t="s">
        <v>642</v>
      </c>
      <c r="R5584" t="s">
        <v>1214</v>
      </c>
    </row>
    <row r="5585" spans="1:18" x14ac:dyDescent="0.25">
      <c r="A5585" t="s">
        <v>14574</v>
      </c>
      <c r="B5585" t="s">
        <v>7596</v>
      </c>
      <c r="C5585" t="str">
        <f>HYPERLINK("https://nematode.unl.edu/macbeal10.jpg")</f>
        <v>https://nematode.unl.edu/macbeal10.jpg</v>
      </c>
      <c r="D5585" t="s">
        <v>43</v>
      </c>
      <c r="G5585" t="s">
        <v>28</v>
      </c>
      <c r="I5585" t="s">
        <v>41</v>
      </c>
      <c r="J5585" t="s">
        <v>7595</v>
      </c>
      <c r="K5585" t="s">
        <v>22865</v>
      </c>
      <c r="L5585" t="s">
        <v>7625</v>
      </c>
      <c r="M5585" t="s">
        <v>1233</v>
      </c>
      <c r="N5585" t="s">
        <v>1233</v>
      </c>
      <c r="O5585" t="s">
        <v>23</v>
      </c>
      <c r="P5585" t="s">
        <v>24</v>
      </c>
      <c r="Q5585" t="s">
        <v>642</v>
      </c>
      <c r="R5585" t="s">
        <v>1214</v>
      </c>
    </row>
    <row r="5586" spans="1:18" x14ac:dyDescent="0.25">
      <c r="A5586" t="s">
        <v>14397</v>
      </c>
      <c r="B5586" t="s">
        <v>7597</v>
      </c>
      <c r="C5586" t="str">
        <f>HYPERLINK("https://nematode.unl.edu/macbeal11.jpg")</f>
        <v>https://nematode.unl.edu/macbeal11.jpg</v>
      </c>
      <c r="D5586" t="s">
        <v>43</v>
      </c>
      <c r="G5586" t="s">
        <v>44</v>
      </c>
      <c r="I5586" t="s">
        <v>19</v>
      </c>
      <c r="J5586" t="s">
        <v>7595</v>
      </c>
      <c r="K5586" t="s">
        <v>22865</v>
      </c>
      <c r="L5586" t="s">
        <v>7598</v>
      </c>
      <c r="M5586" t="s">
        <v>1233</v>
      </c>
      <c r="N5586" t="s">
        <v>1233</v>
      </c>
      <c r="O5586" t="s">
        <v>23</v>
      </c>
      <c r="P5586" t="s">
        <v>24</v>
      </c>
      <c r="Q5586" t="s">
        <v>642</v>
      </c>
      <c r="R5586" t="s">
        <v>1214</v>
      </c>
    </row>
    <row r="5587" spans="1:18" x14ac:dyDescent="0.25">
      <c r="A5587" t="s">
        <v>14253</v>
      </c>
      <c r="B5587" t="s">
        <v>7599</v>
      </c>
      <c r="C5587" t="str">
        <f>HYPERLINK("https://nematode.unl.edu/macbeal12.jpg")</f>
        <v>https://nematode.unl.edu/macbeal12.jpg</v>
      </c>
      <c r="D5587" t="s">
        <v>43</v>
      </c>
      <c r="G5587" t="s">
        <v>34</v>
      </c>
      <c r="H5587" t="s">
        <v>18</v>
      </c>
      <c r="I5587" t="s">
        <v>41</v>
      </c>
      <c r="J5587" t="s">
        <v>7595</v>
      </c>
      <c r="K5587" t="s">
        <v>22865</v>
      </c>
      <c r="L5587" t="s">
        <v>7598</v>
      </c>
      <c r="M5587" t="s">
        <v>1233</v>
      </c>
      <c r="N5587" t="s">
        <v>1233</v>
      </c>
      <c r="O5587" t="s">
        <v>23</v>
      </c>
      <c r="P5587" t="s">
        <v>24</v>
      </c>
      <c r="Q5587" t="s">
        <v>642</v>
      </c>
      <c r="R5587" t="s">
        <v>1214</v>
      </c>
    </row>
    <row r="5588" spans="1:18" x14ac:dyDescent="0.25">
      <c r="A5588" t="s">
        <v>14575</v>
      </c>
      <c r="B5588" t="s">
        <v>7600</v>
      </c>
      <c r="C5588" t="str">
        <f>HYPERLINK("https://nematode.unl.edu/macbeal13.jpg")</f>
        <v>https://nematode.unl.edu/macbeal13.jpg</v>
      </c>
      <c r="D5588" t="s">
        <v>43</v>
      </c>
      <c r="G5588" t="s">
        <v>28</v>
      </c>
      <c r="I5588" t="s">
        <v>41</v>
      </c>
      <c r="J5588" t="s">
        <v>7595</v>
      </c>
      <c r="K5588" t="s">
        <v>22865</v>
      </c>
      <c r="L5588" t="s">
        <v>7598</v>
      </c>
      <c r="M5588" t="s">
        <v>1233</v>
      </c>
      <c r="N5588" t="s">
        <v>1233</v>
      </c>
      <c r="O5588" t="s">
        <v>23</v>
      </c>
      <c r="P5588" t="s">
        <v>24</v>
      </c>
      <c r="Q5588" t="s">
        <v>642</v>
      </c>
      <c r="R5588" t="s">
        <v>1214</v>
      </c>
    </row>
    <row r="5589" spans="1:18" x14ac:dyDescent="0.25">
      <c r="A5589" t="s">
        <v>14398</v>
      </c>
      <c r="B5589" t="s">
        <v>7601</v>
      </c>
      <c r="C5589" t="str">
        <f>HYPERLINK("https://nematode.unl.edu/macbeal14.jpg")</f>
        <v>https://nematode.unl.edu/macbeal14.jpg</v>
      </c>
      <c r="D5589" t="s">
        <v>43</v>
      </c>
      <c r="G5589" t="s">
        <v>44</v>
      </c>
      <c r="I5589" t="s">
        <v>19</v>
      </c>
      <c r="J5589" t="s">
        <v>7595</v>
      </c>
      <c r="K5589" t="s">
        <v>22865</v>
      </c>
      <c r="L5589" t="s">
        <v>7598</v>
      </c>
      <c r="M5589" t="s">
        <v>1233</v>
      </c>
      <c r="N5589" t="s">
        <v>1233</v>
      </c>
      <c r="O5589" t="s">
        <v>23</v>
      </c>
      <c r="P5589" t="s">
        <v>24</v>
      </c>
      <c r="Q5589" t="s">
        <v>642</v>
      </c>
      <c r="R5589" t="s">
        <v>1214</v>
      </c>
    </row>
    <row r="5590" spans="1:18" x14ac:dyDescent="0.25">
      <c r="A5590" t="s">
        <v>14254</v>
      </c>
      <c r="B5590" t="s">
        <v>7602</v>
      </c>
      <c r="C5590" t="str">
        <f>HYPERLINK("https://nematode.unl.edu/macbeal15.jpg")</f>
        <v>https://nematode.unl.edu/macbeal15.jpg</v>
      </c>
      <c r="D5590" t="s">
        <v>43</v>
      </c>
      <c r="G5590" t="s">
        <v>34</v>
      </c>
      <c r="H5590" t="s">
        <v>18</v>
      </c>
      <c r="I5590" t="s">
        <v>529</v>
      </c>
      <c r="J5590" t="s">
        <v>7595</v>
      </c>
      <c r="K5590" t="s">
        <v>22865</v>
      </c>
      <c r="L5590" t="s">
        <v>7598</v>
      </c>
      <c r="M5590" t="s">
        <v>1233</v>
      </c>
      <c r="N5590" t="s">
        <v>1233</v>
      </c>
      <c r="O5590" t="s">
        <v>23</v>
      </c>
      <c r="P5590" t="s">
        <v>24</v>
      </c>
      <c r="Q5590" t="s">
        <v>642</v>
      </c>
      <c r="R5590" t="s">
        <v>1214</v>
      </c>
    </row>
    <row r="5591" spans="1:18" x14ac:dyDescent="0.25">
      <c r="A5591" t="s">
        <v>14576</v>
      </c>
      <c r="B5591" t="s">
        <v>7603</v>
      </c>
      <c r="C5591" t="str">
        <f>HYPERLINK("https://nematode.unl.edu/macbeal16.jpg")</f>
        <v>https://nematode.unl.edu/macbeal16.jpg</v>
      </c>
      <c r="D5591" t="s">
        <v>43</v>
      </c>
      <c r="G5591" t="s">
        <v>28</v>
      </c>
      <c r="I5591" t="s">
        <v>41</v>
      </c>
      <c r="J5591" t="s">
        <v>7595</v>
      </c>
      <c r="K5591" t="s">
        <v>22865</v>
      </c>
      <c r="L5591" t="s">
        <v>7598</v>
      </c>
      <c r="M5591" t="s">
        <v>1233</v>
      </c>
      <c r="N5591" t="s">
        <v>1233</v>
      </c>
      <c r="O5591" t="s">
        <v>23</v>
      </c>
      <c r="P5591" t="s">
        <v>24</v>
      </c>
      <c r="Q5591" t="s">
        <v>642</v>
      </c>
      <c r="R5591" t="s">
        <v>1214</v>
      </c>
    </row>
    <row r="5592" spans="1:18" x14ac:dyDescent="0.25">
      <c r="A5592" t="s">
        <v>14577</v>
      </c>
      <c r="B5592" t="s">
        <v>7604</v>
      </c>
      <c r="C5592" t="str">
        <f>HYPERLINK("https://nematode.unl.edu/macbeal17.jpg")</f>
        <v>https://nematode.unl.edu/macbeal17.jpg</v>
      </c>
      <c r="G5592" t="s">
        <v>28</v>
      </c>
      <c r="I5592" t="s">
        <v>41</v>
      </c>
      <c r="J5592" t="s">
        <v>7595</v>
      </c>
      <c r="K5592" t="s">
        <v>22865</v>
      </c>
      <c r="L5592" t="s">
        <v>7598</v>
      </c>
      <c r="M5592" t="s">
        <v>1233</v>
      </c>
      <c r="N5592" t="s">
        <v>1233</v>
      </c>
      <c r="O5592" t="s">
        <v>23</v>
      </c>
      <c r="P5592" t="s">
        <v>24</v>
      </c>
      <c r="Q5592" t="s">
        <v>642</v>
      </c>
      <c r="R5592" t="s">
        <v>1214</v>
      </c>
    </row>
    <row r="5593" spans="1:18" x14ac:dyDescent="0.25">
      <c r="A5593" t="s">
        <v>14255</v>
      </c>
      <c r="B5593" t="s">
        <v>7605</v>
      </c>
      <c r="C5593" t="str">
        <f>HYPERLINK("https://nematode.unl.edu/macbeal18.jpg")</f>
        <v>https://nematode.unl.edu/macbeal18.jpg</v>
      </c>
      <c r="D5593" t="s">
        <v>43</v>
      </c>
      <c r="G5593" t="s">
        <v>34</v>
      </c>
      <c r="H5593" t="s">
        <v>18</v>
      </c>
      <c r="I5593" t="s">
        <v>41</v>
      </c>
      <c r="J5593" t="s">
        <v>7595</v>
      </c>
      <c r="K5593" t="s">
        <v>22865</v>
      </c>
      <c r="L5593" t="s">
        <v>7598</v>
      </c>
      <c r="M5593" t="s">
        <v>1233</v>
      </c>
      <c r="N5593" t="s">
        <v>1233</v>
      </c>
      <c r="O5593" t="s">
        <v>23</v>
      </c>
      <c r="P5593" t="s">
        <v>24</v>
      </c>
      <c r="Q5593" t="s">
        <v>642</v>
      </c>
      <c r="R5593" t="s">
        <v>1214</v>
      </c>
    </row>
    <row r="5594" spans="1:18" x14ac:dyDescent="0.25">
      <c r="A5594" t="s">
        <v>14578</v>
      </c>
      <c r="B5594" t="s">
        <v>7606</v>
      </c>
      <c r="C5594" t="str">
        <f>HYPERLINK("https://nematode.unl.edu/macbeal19.jpg")</f>
        <v>https://nematode.unl.edu/macbeal19.jpg</v>
      </c>
      <c r="D5594" t="s">
        <v>43</v>
      </c>
      <c r="G5594" t="s">
        <v>28</v>
      </c>
      <c r="J5594" t="s">
        <v>7595</v>
      </c>
      <c r="K5594" t="s">
        <v>22865</v>
      </c>
      <c r="L5594" t="s">
        <v>7598</v>
      </c>
      <c r="M5594" t="s">
        <v>1233</v>
      </c>
      <c r="N5594" t="s">
        <v>1233</v>
      </c>
      <c r="O5594" t="s">
        <v>23</v>
      </c>
      <c r="P5594" t="s">
        <v>24</v>
      </c>
      <c r="Q5594" t="s">
        <v>642</v>
      </c>
      <c r="R5594" t="s">
        <v>1214</v>
      </c>
    </row>
    <row r="5595" spans="1:18" x14ac:dyDescent="0.25">
      <c r="A5595" t="s">
        <v>14399</v>
      </c>
      <c r="B5595" t="s">
        <v>7607</v>
      </c>
      <c r="C5595" t="str">
        <f>HYPERLINK("https://nematode.unl.edu/macbeal2.jpg")</f>
        <v>https://nematode.unl.edu/macbeal2.jpg</v>
      </c>
      <c r="D5595" t="s">
        <v>43</v>
      </c>
      <c r="G5595" t="s">
        <v>44</v>
      </c>
      <c r="I5595" t="s">
        <v>19</v>
      </c>
      <c r="J5595" t="s">
        <v>7595</v>
      </c>
      <c r="K5595" t="s">
        <v>22865</v>
      </c>
      <c r="L5595" t="s">
        <v>6949</v>
      </c>
      <c r="M5595" t="s">
        <v>1233</v>
      </c>
      <c r="N5595" t="s">
        <v>1233</v>
      </c>
      <c r="O5595" t="s">
        <v>23</v>
      </c>
      <c r="P5595" t="s">
        <v>24</v>
      </c>
      <c r="Q5595" t="s">
        <v>642</v>
      </c>
      <c r="R5595" t="s">
        <v>1214</v>
      </c>
    </row>
    <row r="5596" spans="1:18" x14ac:dyDescent="0.25">
      <c r="A5596" t="s">
        <v>14400</v>
      </c>
      <c r="B5596" t="s">
        <v>7608</v>
      </c>
      <c r="C5596" t="str">
        <f>HYPERLINK("https://nematode.unl.edu/macbeal20.jpg")</f>
        <v>https://nematode.unl.edu/macbeal20.jpg</v>
      </c>
      <c r="D5596" t="s">
        <v>43</v>
      </c>
      <c r="G5596" t="s">
        <v>44</v>
      </c>
      <c r="I5596" t="s">
        <v>41</v>
      </c>
      <c r="J5596" t="s">
        <v>7595</v>
      </c>
      <c r="K5596" t="s">
        <v>22865</v>
      </c>
      <c r="L5596" t="s">
        <v>7598</v>
      </c>
      <c r="M5596" t="s">
        <v>1233</v>
      </c>
      <c r="N5596" t="s">
        <v>1233</v>
      </c>
      <c r="O5596" t="s">
        <v>23</v>
      </c>
      <c r="P5596" t="s">
        <v>24</v>
      </c>
      <c r="Q5596" t="s">
        <v>642</v>
      </c>
      <c r="R5596" t="s">
        <v>1214</v>
      </c>
    </row>
    <row r="5597" spans="1:18" x14ac:dyDescent="0.25">
      <c r="A5597" t="s">
        <v>14401</v>
      </c>
      <c r="B5597" t="s">
        <v>7609</v>
      </c>
      <c r="C5597" t="str">
        <f>HYPERLINK("https://nematode.unl.edu/macbeal21.jpg")</f>
        <v>https://nematode.unl.edu/macbeal21.jpg</v>
      </c>
      <c r="D5597" t="s">
        <v>43</v>
      </c>
      <c r="G5597" t="s">
        <v>44</v>
      </c>
      <c r="I5597" t="s">
        <v>19</v>
      </c>
      <c r="J5597" t="s">
        <v>7595</v>
      </c>
      <c r="K5597" t="s">
        <v>22865</v>
      </c>
      <c r="L5597" t="s">
        <v>7598</v>
      </c>
      <c r="M5597" t="s">
        <v>1233</v>
      </c>
      <c r="N5597" t="s">
        <v>1233</v>
      </c>
      <c r="O5597" t="s">
        <v>23</v>
      </c>
      <c r="P5597" t="s">
        <v>24</v>
      </c>
      <c r="Q5597" t="s">
        <v>642</v>
      </c>
      <c r="R5597" t="s">
        <v>1214</v>
      </c>
    </row>
    <row r="5598" spans="1:18" x14ac:dyDescent="0.25">
      <c r="A5598" t="s">
        <v>14256</v>
      </c>
      <c r="B5598" t="s">
        <v>7610</v>
      </c>
      <c r="C5598" t="str">
        <f>HYPERLINK("https://nematode.unl.edu/macbeal22.jpg")</f>
        <v>https://nematode.unl.edu/macbeal22.jpg</v>
      </c>
      <c r="D5598" t="s">
        <v>43</v>
      </c>
      <c r="G5598" t="s">
        <v>34</v>
      </c>
      <c r="H5598" t="s">
        <v>18</v>
      </c>
      <c r="I5598" t="s">
        <v>41</v>
      </c>
      <c r="J5598" t="s">
        <v>7595</v>
      </c>
      <c r="K5598" t="s">
        <v>22865</v>
      </c>
      <c r="L5598" t="s">
        <v>7598</v>
      </c>
      <c r="M5598" t="s">
        <v>1233</v>
      </c>
      <c r="N5598" t="s">
        <v>1233</v>
      </c>
      <c r="O5598" t="s">
        <v>23</v>
      </c>
      <c r="P5598" t="s">
        <v>24</v>
      </c>
      <c r="Q5598" t="s">
        <v>642</v>
      </c>
      <c r="R5598" t="s">
        <v>1214</v>
      </c>
    </row>
    <row r="5599" spans="1:18" x14ac:dyDescent="0.25">
      <c r="A5599" t="s">
        <v>14579</v>
      </c>
      <c r="B5599" t="s">
        <v>7611</v>
      </c>
      <c r="C5599" t="str">
        <f>HYPERLINK("https://nematode.unl.edu/macbeal23.jpg")</f>
        <v>https://nematode.unl.edu/macbeal23.jpg</v>
      </c>
      <c r="D5599" t="s">
        <v>43</v>
      </c>
      <c r="G5599" t="s">
        <v>28</v>
      </c>
      <c r="J5599" t="s">
        <v>7595</v>
      </c>
      <c r="K5599" t="s">
        <v>22865</v>
      </c>
      <c r="L5599" t="s">
        <v>7598</v>
      </c>
      <c r="M5599" t="s">
        <v>1233</v>
      </c>
      <c r="N5599" t="s">
        <v>1233</v>
      </c>
      <c r="O5599" t="s">
        <v>23</v>
      </c>
      <c r="P5599" t="s">
        <v>24</v>
      </c>
      <c r="Q5599" t="s">
        <v>642</v>
      </c>
      <c r="R5599" t="s">
        <v>1214</v>
      </c>
    </row>
    <row r="5600" spans="1:18" x14ac:dyDescent="0.25">
      <c r="A5600" t="s">
        <v>14580</v>
      </c>
      <c r="B5600" t="s">
        <v>7612</v>
      </c>
      <c r="C5600" t="str">
        <f>HYPERLINK("https://nematode.unl.edu/macbeal24.jpg")</f>
        <v>https://nematode.unl.edu/macbeal24.jpg</v>
      </c>
      <c r="D5600" t="s">
        <v>43</v>
      </c>
      <c r="G5600" t="s">
        <v>28</v>
      </c>
      <c r="I5600" t="s">
        <v>41</v>
      </c>
      <c r="J5600" t="s">
        <v>7595</v>
      </c>
      <c r="K5600" t="s">
        <v>22865</v>
      </c>
      <c r="L5600" t="s">
        <v>7598</v>
      </c>
      <c r="M5600" t="s">
        <v>1233</v>
      </c>
      <c r="N5600" t="s">
        <v>1233</v>
      </c>
      <c r="O5600" t="s">
        <v>23</v>
      </c>
      <c r="P5600" t="s">
        <v>24</v>
      </c>
      <c r="Q5600" t="s">
        <v>642</v>
      </c>
      <c r="R5600" t="s">
        <v>1214</v>
      </c>
    </row>
    <row r="5601" spans="1:18" x14ac:dyDescent="0.25">
      <c r="A5601" t="s">
        <v>14402</v>
      </c>
      <c r="B5601" t="s">
        <v>7613</v>
      </c>
      <c r="C5601" t="str">
        <f>HYPERLINK("https://nematode.unl.edu/macbeal25.jpg")</f>
        <v>https://nematode.unl.edu/macbeal25.jpg</v>
      </c>
      <c r="D5601" t="s">
        <v>43</v>
      </c>
      <c r="G5601" t="s">
        <v>44</v>
      </c>
      <c r="I5601" t="s">
        <v>41</v>
      </c>
      <c r="J5601" t="s">
        <v>7595</v>
      </c>
      <c r="K5601" t="s">
        <v>22865</v>
      </c>
      <c r="L5601" t="s">
        <v>7598</v>
      </c>
      <c r="M5601" t="s">
        <v>1233</v>
      </c>
      <c r="N5601" t="s">
        <v>1233</v>
      </c>
      <c r="O5601" t="s">
        <v>23</v>
      </c>
      <c r="P5601" t="s">
        <v>24</v>
      </c>
      <c r="Q5601" t="s">
        <v>642</v>
      </c>
      <c r="R5601" t="s">
        <v>1214</v>
      </c>
    </row>
    <row r="5602" spans="1:18" x14ac:dyDescent="0.25">
      <c r="A5602" t="s">
        <v>14403</v>
      </c>
      <c r="B5602" t="s">
        <v>7614</v>
      </c>
      <c r="C5602" t="str">
        <f>HYPERLINK("https://nematode.unl.edu/macbeal26.jpg")</f>
        <v>https://nematode.unl.edu/macbeal26.jpg</v>
      </c>
      <c r="D5602" t="s">
        <v>43</v>
      </c>
      <c r="G5602" t="s">
        <v>44</v>
      </c>
      <c r="I5602" t="s">
        <v>19</v>
      </c>
      <c r="J5602" t="s">
        <v>7595</v>
      </c>
      <c r="K5602" t="s">
        <v>22865</v>
      </c>
      <c r="L5602" t="s">
        <v>7598</v>
      </c>
      <c r="M5602" t="s">
        <v>1233</v>
      </c>
      <c r="N5602" t="s">
        <v>1233</v>
      </c>
      <c r="O5602" t="s">
        <v>23</v>
      </c>
      <c r="P5602" t="s">
        <v>24</v>
      </c>
      <c r="Q5602" t="s">
        <v>642</v>
      </c>
      <c r="R5602" t="s">
        <v>1214</v>
      </c>
    </row>
    <row r="5603" spans="1:18" x14ac:dyDescent="0.25">
      <c r="A5603" t="s">
        <v>14257</v>
      </c>
      <c r="B5603" t="s">
        <v>7615</v>
      </c>
      <c r="C5603" t="str">
        <f>HYPERLINK("https://nematode.unl.edu/macbeal27.jpg")</f>
        <v>https://nematode.unl.edu/macbeal27.jpg</v>
      </c>
      <c r="D5603" t="s">
        <v>43</v>
      </c>
      <c r="G5603" t="s">
        <v>34</v>
      </c>
      <c r="H5603" t="s">
        <v>18</v>
      </c>
      <c r="J5603" t="s">
        <v>7595</v>
      </c>
      <c r="K5603" t="s">
        <v>22865</v>
      </c>
      <c r="L5603" t="s">
        <v>7598</v>
      </c>
      <c r="M5603" t="s">
        <v>1233</v>
      </c>
      <c r="N5603" t="s">
        <v>1233</v>
      </c>
      <c r="O5603" t="s">
        <v>23</v>
      </c>
      <c r="P5603" t="s">
        <v>24</v>
      </c>
      <c r="Q5603" t="s">
        <v>642</v>
      </c>
      <c r="R5603" t="s">
        <v>1214</v>
      </c>
    </row>
    <row r="5604" spans="1:18" x14ac:dyDescent="0.25">
      <c r="A5604" t="s">
        <v>14581</v>
      </c>
      <c r="B5604" t="s">
        <v>7616</v>
      </c>
      <c r="C5604" t="str">
        <f>HYPERLINK("https://nematode.unl.edu/macbeal28.jpg")</f>
        <v>https://nematode.unl.edu/macbeal28.jpg</v>
      </c>
      <c r="D5604" t="s">
        <v>43</v>
      </c>
      <c r="G5604" t="s">
        <v>28</v>
      </c>
      <c r="J5604" t="s">
        <v>7595</v>
      </c>
      <c r="K5604" t="s">
        <v>22865</v>
      </c>
      <c r="L5604" t="s">
        <v>7598</v>
      </c>
      <c r="M5604" t="s">
        <v>1233</v>
      </c>
      <c r="N5604" t="s">
        <v>1233</v>
      </c>
      <c r="O5604" t="s">
        <v>23</v>
      </c>
      <c r="P5604" t="s">
        <v>24</v>
      </c>
      <c r="Q5604" t="s">
        <v>642</v>
      </c>
      <c r="R5604" t="s">
        <v>1214</v>
      </c>
    </row>
    <row r="5605" spans="1:18" x14ac:dyDescent="0.25">
      <c r="A5605" t="s">
        <v>14404</v>
      </c>
      <c r="B5605" t="s">
        <v>7617</v>
      </c>
      <c r="C5605" t="str">
        <f>HYPERLINK("https://nematode.unl.edu/macbeal29.jpg")</f>
        <v>https://nematode.unl.edu/macbeal29.jpg</v>
      </c>
      <c r="D5605" t="s">
        <v>43</v>
      </c>
      <c r="G5605" t="s">
        <v>44</v>
      </c>
      <c r="I5605" t="s">
        <v>19</v>
      </c>
      <c r="J5605" t="s">
        <v>7595</v>
      </c>
      <c r="K5605" t="s">
        <v>22865</v>
      </c>
      <c r="L5605" t="s">
        <v>7598</v>
      </c>
      <c r="M5605" t="s">
        <v>1233</v>
      </c>
      <c r="N5605" t="s">
        <v>1233</v>
      </c>
      <c r="O5605" t="s">
        <v>23</v>
      </c>
      <c r="P5605" t="s">
        <v>24</v>
      </c>
      <c r="Q5605" t="s">
        <v>642</v>
      </c>
      <c r="R5605" t="s">
        <v>1214</v>
      </c>
    </row>
    <row r="5606" spans="1:18" x14ac:dyDescent="0.25">
      <c r="A5606" t="s">
        <v>14707</v>
      </c>
      <c r="B5606" t="s">
        <v>7618</v>
      </c>
      <c r="C5606" t="str">
        <f>HYPERLINK("https://nematode.unl.edu/macbeal3.jpg")</f>
        <v>https://nematode.unl.edu/macbeal3.jpg</v>
      </c>
      <c r="D5606" t="s">
        <v>43</v>
      </c>
      <c r="G5606" t="s">
        <v>51</v>
      </c>
      <c r="I5606" t="s">
        <v>19</v>
      </c>
      <c r="J5606" t="s">
        <v>7595</v>
      </c>
      <c r="K5606" t="s">
        <v>22865</v>
      </c>
      <c r="L5606" t="s">
        <v>6949</v>
      </c>
      <c r="M5606" t="s">
        <v>1233</v>
      </c>
      <c r="N5606" t="s">
        <v>1233</v>
      </c>
      <c r="O5606" t="s">
        <v>23</v>
      </c>
      <c r="P5606" t="s">
        <v>24</v>
      </c>
      <c r="Q5606" t="s">
        <v>642</v>
      </c>
      <c r="R5606" t="s">
        <v>1214</v>
      </c>
    </row>
    <row r="5607" spans="1:18" x14ac:dyDescent="0.25">
      <c r="A5607" t="s">
        <v>14258</v>
      </c>
      <c r="B5607" t="s">
        <v>7619</v>
      </c>
      <c r="C5607" t="str">
        <f>HYPERLINK("https://nematode.unl.edu/macbeal30.jpg")</f>
        <v>https://nematode.unl.edu/macbeal30.jpg</v>
      </c>
      <c r="D5607" t="s">
        <v>43</v>
      </c>
      <c r="G5607" t="s">
        <v>34</v>
      </c>
      <c r="H5607" t="s">
        <v>18</v>
      </c>
      <c r="I5607" t="s">
        <v>41</v>
      </c>
      <c r="J5607" t="s">
        <v>7595</v>
      </c>
      <c r="K5607" t="s">
        <v>22865</v>
      </c>
      <c r="L5607" t="s">
        <v>7598</v>
      </c>
      <c r="M5607" t="s">
        <v>1233</v>
      </c>
      <c r="N5607" t="s">
        <v>1233</v>
      </c>
      <c r="O5607" t="s">
        <v>23</v>
      </c>
      <c r="P5607" t="s">
        <v>24</v>
      </c>
      <c r="Q5607" t="s">
        <v>642</v>
      </c>
      <c r="R5607" t="s">
        <v>1214</v>
      </c>
    </row>
    <row r="5608" spans="1:18" x14ac:dyDescent="0.25">
      <c r="A5608" t="s">
        <v>14582</v>
      </c>
      <c r="B5608" t="s">
        <v>7620</v>
      </c>
      <c r="C5608" t="str">
        <f>HYPERLINK("https://nematode.unl.edu/macbeal31.jpg")</f>
        <v>https://nematode.unl.edu/macbeal31.jpg</v>
      </c>
      <c r="D5608" t="s">
        <v>43</v>
      </c>
      <c r="G5608" t="s">
        <v>28</v>
      </c>
      <c r="J5608" t="s">
        <v>7595</v>
      </c>
      <c r="K5608" t="s">
        <v>22865</v>
      </c>
      <c r="L5608" t="s">
        <v>7598</v>
      </c>
      <c r="M5608" t="s">
        <v>1233</v>
      </c>
      <c r="N5608" t="s">
        <v>1233</v>
      </c>
      <c r="O5608" t="s">
        <v>23</v>
      </c>
      <c r="P5608" t="s">
        <v>24</v>
      </c>
      <c r="Q5608" t="s">
        <v>642</v>
      </c>
      <c r="R5608" t="s">
        <v>1214</v>
      </c>
    </row>
    <row r="5609" spans="1:18" x14ac:dyDescent="0.25">
      <c r="A5609" t="s">
        <v>14405</v>
      </c>
      <c r="B5609" t="s">
        <v>7621</v>
      </c>
      <c r="C5609" t="str">
        <f>HYPERLINK("https://nematode.unl.edu/macbeal4.jpg")</f>
        <v>https://nematode.unl.edu/macbeal4.jpg</v>
      </c>
      <c r="D5609" t="s">
        <v>43</v>
      </c>
      <c r="G5609" t="s">
        <v>44</v>
      </c>
      <c r="I5609" t="s">
        <v>137</v>
      </c>
      <c r="J5609" t="s">
        <v>7595</v>
      </c>
      <c r="K5609" t="s">
        <v>22865</v>
      </c>
      <c r="L5609" t="s">
        <v>7598</v>
      </c>
      <c r="M5609" t="s">
        <v>1233</v>
      </c>
      <c r="N5609" t="s">
        <v>1233</v>
      </c>
      <c r="O5609" t="s">
        <v>23</v>
      </c>
      <c r="P5609" t="s">
        <v>24</v>
      </c>
      <c r="Q5609" t="s">
        <v>642</v>
      </c>
      <c r="R5609" t="s">
        <v>1214</v>
      </c>
    </row>
    <row r="5610" spans="1:18" x14ac:dyDescent="0.25">
      <c r="A5610" t="s">
        <v>14406</v>
      </c>
      <c r="B5610" t="s">
        <v>7622</v>
      </c>
      <c r="C5610" t="str">
        <f>HYPERLINK("https://nematode.unl.edu/macbeal5.jpg")</f>
        <v>https://nematode.unl.edu/macbeal5.jpg</v>
      </c>
      <c r="D5610" t="s">
        <v>43</v>
      </c>
      <c r="G5610" t="s">
        <v>44</v>
      </c>
      <c r="I5610" t="s">
        <v>19</v>
      </c>
      <c r="J5610" t="s">
        <v>7595</v>
      </c>
      <c r="K5610" t="s">
        <v>22865</v>
      </c>
      <c r="L5610" t="s">
        <v>6949</v>
      </c>
      <c r="M5610" t="s">
        <v>1233</v>
      </c>
      <c r="N5610" t="s">
        <v>1233</v>
      </c>
      <c r="O5610" t="s">
        <v>23</v>
      </c>
      <c r="P5610" t="s">
        <v>24</v>
      </c>
      <c r="Q5610" t="s">
        <v>642</v>
      </c>
      <c r="R5610" t="s">
        <v>1214</v>
      </c>
    </row>
    <row r="5611" spans="1:18" x14ac:dyDescent="0.25">
      <c r="A5611" t="s">
        <v>14583</v>
      </c>
      <c r="B5611" t="s">
        <v>7623</v>
      </c>
      <c r="C5611" t="str">
        <f>HYPERLINK("https://nematode.unl.edu/macbeal6.jpg")</f>
        <v>https://nematode.unl.edu/macbeal6.jpg</v>
      </c>
      <c r="D5611" t="s">
        <v>43</v>
      </c>
      <c r="G5611" t="s">
        <v>28</v>
      </c>
      <c r="I5611" t="s">
        <v>19</v>
      </c>
      <c r="J5611" t="s">
        <v>7595</v>
      </c>
      <c r="K5611" t="s">
        <v>22865</v>
      </c>
      <c r="L5611" t="s">
        <v>6949</v>
      </c>
      <c r="M5611" t="s">
        <v>1233</v>
      </c>
      <c r="N5611" t="s">
        <v>1233</v>
      </c>
      <c r="O5611" t="s">
        <v>23</v>
      </c>
      <c r="P5611" t="s">
        <v>24</v>
      </c>
      <c r="Q5611" t="s">
        <v>642</v>
      </c>
      <c r="R5611" t="s">
        <v>1214</v>
      </c>
    </row>
    <row r="5612" spans="1:18" x14ac:dyDescent="0.25">
      <c r="A5612" t="s">
        <v>14407</v>
      </c>
      <c r="B5612" t="s">
        <v>7624</v>
      </c>
      <c r="C5612" t="str">
        <f>HYPERLINK("https://nematode.unl.edu/macbeal7.jpg")</f>
        <v>https://nematode.unl.edu/macbeal7.jpg</v>
      </c>
      <c r="D5612" t="s">
        <v>43</v>
      </c>
      <c r="G5612" t="s">
        <v>44</v>
      </c>
      <c r="I5612" t="s">
        <v>19</v>
      </c>
      <c r="J5612" t="s">
        <v>7595</v>
      </c>
      <c r="K5612" t="s">
        <v>22865</v>
      </c>
      <c r="L5612" t="s">
        <v>7625</v>
      </c>
      <c r="M5612" t="s">
        <v>1233</v>
      </c>
      <c r="N5612" t="s">
        <v>1233</v>
      </c>
      <c r="O5612" t="s">
        <v>23</v>
      </c>
      <c r="P5612" t="s">
        <v>24</v>
      </c>
      <c r="Q5612" t="s">
        <v>642</v>
      </c>
      <c r="R5612" t="s">
        <v>1214</v>
      </c>
    </row>
    <row r="5613" spans="1:18" x14ac:dyDescent="0.25">
      <c r="A5613" t="s">
        <v>14259</v>
      </c>
      <c r="B5613" t="s">
        <v>7626</v>
      </c>
      <c r="C5613" t="str">
        <f>HYPERLINK("https://nematode.unl.edu/macbeal8.jpg")</f>
        <v>https://nematode.unl.edu/macbeal8.jpg</v>
      </c>
      <c r="D5613" t="s">
        <v>43</v>
      </c>
      <c r="G5613" t="s">
        <v>34</v>
      </c>
      <c r="H5613" t="s">
        <v>18</v>
      </c>
      <c r="I5613" t="s">
        <v>41</v>
      </c>
      <c r="J5613" t="s">
        <v>7595</v>
      </c>
      <c r="K5613" t="s">
        <v>22865</v>
      </c>
      <c r="L5613" t="s">
        <v>7625</v>
      </c>
      <c r="M5613" t="s">
        <v>1233</v>
      </c>
      <c r="N5613" t="s">
        <v>1233</v>
      </c>
      <c r="O5613" t="s">
        <v>23</v>
      </c>
      <c r="P5613" t="s">
        <v>24</v>
      </c>
      <c r="Q5613" t="s">
        <v>642</v>
      </c>
      <c r="R5613" t="s">
        <v>1214</v>
      </c>
    </row>
    <row r="5614" spans="1:18" x14ac:dyDescent="0.25">
      <c r="A5614" t="s">
        <v>14408</v>
      </c>
      <c r="B5614" t="s">
        <v>7627</v>
      </c>
      <c r="C5614" t="str">
        <f>HYPERLINK("https://nematode.unl.edu/macbeal9.jpg")</f>
        <v>https://nematode.unl.edu/macbeal9.jpg</v>
      </c>
      <c r="D5614" t="s">
        <v>43</v>
      </c>
      <c r="G5614" t="s">
        <v>44</v>
      </c>
      <c r="I5614" t="s">
        <v>41</v>
      </c>
      <c r="J5614" t="s">
        <v>7595</v>
      </c>
      <c r="K5614" t="s">
        <v>22865</v>
      </c>
      <c r="L5614" t="s">
        <v>7625</v>
      </c>
      <c r="M5614" t="s">
        <v>1233</v>
      </c>
      <c r="N5614" t="s">
        <v>1233</v>
      </c>
      <c r="O5614" t="s">
        <v>23</v>
      </c>
      <c r="P5614" t="s">
        <v>24</v>
      </c>
      <c r="Q5614" t="s">
        <v>642</v>
      </c>
      <c r="R5614" t="s">
        <v>1214</v>
      </c>
    </row>
    <row r="5615" spans="1:18" x14ac:dyDescent="0.25">
      <c r="A5615" t="s">
        <v>14845</v>
      </c>
      <c r="B5615" t="s">
        <v>8174</v>
      </c>
      <c r="C5615" t="str">
        <f>HYPERLINK("https://nematode.unl.edu/mackals1.jpg")</f>
        <v>https://nematode.unl.edu/mackals1.jpg</v>
      </c>
      <c r="D5615" t="s">
        <v>43</v>
      </c>
      <c r="G5615" t="s">
        <v>44</v>
      </c>
      <c r="I5615" t="s">
        <v>137</v>
      </c>
      <c r="J5615" t="s">
        <v>4296</v>
      </c>
      <c r="L5615" t="s">
        <v>6949</v>
      </c>
      <c r="M5615" t="s">
        <v>8133</v>
      </c>
      <c r="N5615" t="s">
        <v>8133</v>
      </c>
      <c r="O5615" t="s">
        <v>23</v>
      </c>
      <c r="P5615" t="s">
        <v>24</v>
      </c>
      <c r="Q5615" t="s">
        <v>642</v>
      </c>
      <c r="R5615" t="s">
        <v>1214</v>
      </c>
    </row>
    <row r="5616" spans="1:18" x14ac:dyDescent="0.25">
      <c r="A5616" t="s">
        <v>14846</v>
      </c>
      <c r="B5616" t="s">
        <v>8175</v>
      </c>
      <c r="C5616" t="str">
        <f>HYPERLINK("https://nematode.unl.edu/mackals2.jpg")</f>
        <v>https://nematode.unl.edu/mackals2.jpg</v>
      </c>
      <c r="D5616" t="s">
        <v>43</v>
      </c>
      <c r="G5616" t="s">
        <v>44</v>
      </c>
      <c r="I5616" t="s">
        <v>19</v>
      </c>
      <c r="J5616" t="s">
        <v>4296</v>
      </c>
      <c r="L5616" t="s">
        <v>6949</v>
      </c>
      <c r="M5616" t="s">
        <v>8133</v>
      </c>
      <c r="N5616" t="s">
        <v>8133</v>
      </c>
      <c r="O5616" t="s">
        <v>23</v>
      </c>
      <c r="P5616" t="s">
        <v>24</v>
      </c>
      <c r="Q5616" t="s">
        <v>642</v>
      </c>
      <c r="R5616" t="s">
        <v>1214</v>
      </c>
    </row>
    <row r="5617" spans="1:18" x14ac:dyDescent="0.25">
      <c r="A5617" t="s">
        <v>14802</v>
      </c>
      <c r="B5617" t="s">
        <v>8176</v>
      </c>
      <c r="C5617" t="str">
        <f>HYPERLINK("https://nematode.unl.edu/mackals3.jpg")</f>
        <v>https://nematode.unl.edu/mackals3.jpg</v>
      </c>
      <c r="D5617" t="s">
        <v>43</v>
      </c>
      <c r="G5617" t="s">
        <v>34</v>
      </c>
      <c r="H5617" t="s">
        <v>18</v>
      </c>
      <c r="I5617" t="s">
        <v>41</v>
      </c>
      <c r="J5617" t="s">
        <v>4296</v>
      </c>
      <c r="M5617" t="s">
        <v>8133</v>
      </c>
      <c r="N5617" t="s">
        <v>8133</v>
      </c>
      <c r="O5617" t="s">
        <v>23</v>
      </c>
      <c r="P5617" t="s">
        <v>24</v>
      </c>
      <c r="Q5617" t="s">
        <v>642</v>
      </c>
      <c r="R5617" t="s">
        <v>1214</v>
      </c>
    </row>
    <row r="5618" spans="1:18" x14ac:dyDescent="0.25">
      <c r="A5618" t="s">
        <v>14893</v>
      </c>
      <c r="B5618" t="s">
        <v>8177</v>
      </c>
      <c r="C5618" t="str">
        <f>HYPERLINK("https://nematode.unl.edu/mackals4.jpg")</f>
        <v>https://nematode.unl.edu/mackals4.jpg</v>
      </c>
      <c r="D5618" t="s">
        <v>43</v>
      </c>
      <c r="G5618" t="s">
        <v>28</v>
      </c>
      <c r="I5618" t="s">
        <v>41</v>
      </c>
      <c r="J5618" t="s">
        <v>4296</v>
      </c>
      <c r="M5618" t="s">
        <v>8133</v>
      </c>
      <c r="N5618" t="s">
        <v>8133</v>
      </c>
      <c r="O5618" t="s">
        <v>23</v>
      </c>
      <c r="P5618" t="s">
        <v>24</v>
      </c>
      <c r="Q5618" t="s">
        <v>642</v>
      </c>
      <c r="R5618" t="s">
        <v>1214</v>
      </c>
    </row>
    <row r="5619" spans="1:18" x14ac:dyDescent="0.25">
      <c r="A5619" t="s">
        <v>14054</v>
      </c>
      <c r="B5619" t="s">
        <v>1231</v>
      </c>
      <c r="C5619" t="str">
        <f>HYPERLINK("https://nematode.unl.edu/macrop1.jpg")</f>
        <v>https://nematode.unl.edu/macrop1.jpg</v>
      </c>
      <c r="D5619" t="s">
        <v>43</v>
      </c>
      <c r="G5619" t="s">
        <v>44</v>
      </c>
      <c r="I5619" t="s">
        <v>499</v>
      </c>
      <c r="J5619" t="s">
        <v>46</v>
      </c>
      <c r="L5619" t="s">
        <v>727</v>
      </c>
      <c r="M5619" t="s">
        <v>1232</v>
      </c>
      <c r="N5619" t="s">
        <v>1233</v>
      </c>
      <c r="O5619" t="s">
        <v>23</v>
      </c>
      <c r="P5619" t="s">
        <v>24</v>
      </c>
      <c r="Q5619" t="s">
        <v>642</v>
      </c>
      <c r="R5619" t="s">
        <v>1214</v>
      </c>
    </row>
    <row r="5620" spans="1:18" x14ac:dyDescent="0.25">
      <c r="A5620" t="s">
        <v>14052</v>
      </c>
      <c r="B5620" t="s">
        <v>1234</v>
      </c>
      <c r="C5620" t="str">
        <f>HYPERLINK("https://nematode.unl.edu/macrop2.jpg")</f>
        <v>https://nematode.unl.edu/macrop2.jpg</v>
      </c>
      <c r="D5620" t="s">
        <v>43</v>
      </c>
      <c r="G5620" t="s">
        <v>34</v>
      </c>
      <c r="H5620" t="s">
        <v>18</v>
      </c>
      <c r="I5620" t="s">
        <v>19</v>
      </c>
      <c r="J5620" t="s">
        <v>46</v>
      </c>
      <c r="M5620" t="s">
        <v>1232</v>
      </c>
      <c r="N5620" t="s">
        <v>1233</v>
      </c>
      <c r="O5620" t="s">
        <v>23</v>
      </c>
      <c r="P5620" t="s">
        <v>24</v>
      </c>
      <c r="Q5620" t="s">
        <v>642</v>
      </c>
      <c r="R5620" t="s">
        <v>1214</v>
      </c>
    </row>
    <row r="5621" spans="1:18" x14ac:dyDescent="0.25">
      <c r="A5621" t="s">
        <v>14057</v>
      </c>
      <c r="B5621" t="s">
        <v>1235</v>
      </c>
      <c r="C5621" t="str">
        <f>HYPERLINK("https://nematode.unl.edu/macrop3.jpg")</f>
        <v>https://nematode.unl.edu/macrop3.jpg</v>
      </c>
      <c r="D5621" t="s">
        <v>43</v>
      </c>
      <c r="G5621" t="s">
        <v>28</v>
      </c>
      <c r="I5621" t="s">
        <v>516</v>
      </c>
      <c r="J5621" t="s">
        <v>46</v>
      </c>
      <c r="L5621" t="s">
        <v>727</v>
      </c>
      <c r="M5621" t="s">
        <v>1232</v>
      </c>
      <c r="N5621" t="s">
        <v>1233</v>
      </c>
      <c r="O5621" t="s">
        <v>23</v>
      </c>
      <c r="P5621" t="s">
        <v>24</v>
      </c>
      <c r="Q5621" t="s">
        <v>642</v>
      </c>
      <c r="R5621" t="s">
        <v>1214</v>
      </c>
    </row>
    <row r="5622" spans="1:18" x14ac:dyDescent="0.25">
      <c r="A5622" t="s">
        <v>14055</v>
      </c>
      <c r="B5622" t="s">
        <v>1236</v>
      </c>
      <c r="C5622" t="str">
        <f>HYPERLINK("https://nematode.unl.edu/macrop4.jpg")</f>
        <v>https://nematode.unl.edu/macrop4.jpg</v>
      </c>
      <c r="D5622" t="s">
        <v>16</v>
      </c>
      <c r="G5622" t="s">
        <v>44</v>
      </c>
      <c r="I5622" t="s">
        <v>499</v>
      </c>
      <c r="J5622" t="s">
        <v>46</v>
      </c>
      <c r="L5622" t="s">
        <v>727</v>
      </c>
      <c r="M5622" t="s">
        <v>1232</v>
      </c>
      <c r="N5622" t="s">
        <v>1233</v>
      </c>
      <c r="O5622" t="s">
        <v>23</v>
      </c>
      <c r="P5622" t="s">
        <v>24</v>
      </c>
      <c r="Q5622" t="s">
        <v>642</v>
      </c>
      <c r="R5622" t="s">
        <v>1214</v>
      </c>
    </row>
    <row r="5623" spans="1:18" x14ac:dyDescent="0.25">
      <c r="A5623" t="s">
        <v>14053</v>
      </c>
      <c r="B5623" t="s">
        <v>1237</v>
      </c>
      <c r="C5623" t="str">
        <f>HYPERLINK("https://nematode.unl.edu/macrop5.jpg")</f>
        <v>https://nematode.unl.edu/macrop5.jpg</v>
      </c>
      <c r="G5623" t="s">
        <v>34</v>
      </c>
      <c r="H5623" t="s">
        <v>18</v>
      </c>
      <c r="I5623" t="s">
        <v>19</v>
      </c>
      <c r="J5623" t="s">
        <v>46</v>
      </c>
      <c r="M5623" t="s">
        <v>1232</v>
      </c>
      <c r="N5623" t="s">
        <v>1233</v>
      </c>
      <c r="O5623" t="s">
        <v>23</v>
      </c>
      <c r="P5623" t="s">
        <v>24</v>
      </c>
      <c r="Q5623" t="s">
        <v>642</v>
      </c>
      <c r="R5623" t="s">
        <v>1214</v>
      </c>
    </row>
    <row r="5624" spans="1:18" x14ac:dyDescent="0.25">
      <c r="A5624" t="s">
        <v>14056</v>
      </c>
      <c r="B5624" t="s">
        <v>1238</v>
      </c>
      <c r="C5624" t="str">
        <f>HYPERLINK("https://nematode.unl.edu/macrop6.jpg")</f>
        <v>https://nematode.unl.edu/macrop6.jpg</v>
      </c>
      <c r="D5624" t="s">
        <v>16</v>
      </c>
      <c r="G5624" t="s">
        <v>224</v>
      </c>
      <c r="I5624" t="s">
        <v>529</v>
      </c>
      <c r="J5624" t="s">
        <v>46</v>
      </c>
      <c r="L5624" t="s">
        <v>727</v>
      </c>
      <c r="M5624" t="s">
        <v>1232</v>
      </c>
      <c r="N5624" t="s">
        <v>1233</v>
      </c>
      <c r="O5624" t="s">
        <v>23</v>
      </c>
      <c r="P5624" t="s">
        <v>24</v>
      </c>
      <c r="Q5624" t="s">
        <v>642</v>
      </c>
      <c r="R5624" t="s">
        <v>1214</v>
      </c>
    </row>
    <row r="5625" spans="1:18" x14ac:dyDescent="0.25">
      <c r="A5625" t="s">
        <v>15275</v>
      </c>
      <c r="B5625" t="s">
        <v>8563</v>
      </c>
      <c r="C5625" t="str">
        <f>HYPERLINK("https://nematode.unl.edu/macroplax1.jpg")</f>
        <v>https://nematode.unl.edu/macroplax1.jpg</v>
      </c>
      <c r="D5625" t="s">
        <v>43</v>
      </c>
      <c r="G5625" t="s">
        <v>44</v>
      </c>
      <c r="I5625" t="s">
        <v>19</v>
      </c>
      <c r="J5625" t="s">
        <v>7031</v>
      </c>
      <c r="L5625" t="s">
        <v>6241</v>
      </c>
      <c r="M5625" t="s">
        <v>8559</v>
      </c>
      <c r="N5625" t="s">
        <v>8559</v>
      </c>
      <c r="O5625" t="s">
        <v>23</v>
      </c>
      <c r="P5625" t="s">
        <v>24</v>
      </c>
      <c r="Q5625" t="s">
        <v>642</v>
      </c>
      <c r="R5625" t="s">
        <v>1214</v>
      </c>
    </row>
    <row r="5626" spans="1:18" x14ac:dyDescent="0.25">
      <c r="A5626" t="s">
        <v>15212</v>
      </c>
      <c r="B5626" t="s">
        <v>8564</v>
      </c>
      <c r="C5626" t="str">
        <f>HYPERLINK("https://nematode.unl.edu/macroplax10.jpg")</f>
        <v>https://nematode.unl.edu/macroplax10.jpg</v>
      </c>
      <c r="D5626" t="s">
        <v>16</v>
      </c>
      <c r="G5626" t="s">
        <v>34</v>
      </c>
      <c r="H5626" t="s">
        <v>18</v>
      </c>
      <c r="I5626" t="s">
        <v>41</v>
      </c>
      <c r="M5626" t="s">
        <v>8559</v>
      </c>
      <c r="N5626" t="s">
        <v>8559</v>
      </c>
      <c r="O5626" t="s">
        <v>23</v>
      </c>
      <c r="P5626" t="s">
        <v>24</v>
      </c>
      <c r="Q5626" t="s">
        <v>642</v>
      </c>
      <c r="R5626" t="s">
        <v>1214</v>
      </c>
    </row>
    <row r="5627" spans="1:18" x14ac:dyDescent="0.25">
      <c r="A5627" t="s">
        <v>15370</v>
      </c>
      <c r="B5627" t="s">
        <v>8565</v>
      </c>
      <c r="C5627" t="str">
        <f>HYPERLINK("https://nematode.unl.edu/macroplax11.jpg")</f>
        <v>https://nematode.unl.edu/macroplax11.jpg</v>
      </c>
      <c r="D5627" t="s">
        <v>16</v>
      </c>
      <c r="G5627" t="s">
        <v>28</v>
      </c>
      <c r="M5627" t="s">
        <v>8559</v>
      </c>
      <c r="N5627" t="s">
        <v>8559</v>
      </c>
      <c r="O5627" t="s">
        <v>23</v>
      </c>
      <c r="P5627" t="s">
        <v>24</v>
      </c>
      <c r="Q5627" t="s">
        <v>642</v>
      </c>
      <c r="R5627" t="s">
        <v>1214</v>
      </c>
    </row>
    <row r="5628" spans="1:18" x14ac:dyDescent="0.25">
      <c r="A5628" t="s">
        <v>15276</v>
      </c>
      <c r="B5628" t="s">
        <v>8566</v>
      </c>
      <c r="C5628" t="str">
        <f>HYPERLINK("https://nematode.unl.edu/macroplax12.jpg")</f>
        <v>https://nematode.unl.edu/macroplax12.jpg</v>
      </c>
      <c r="D5628" t="s">
        <v>16</v>
      </c>
      <c r="G5628" t="s">
        <v>44</v>
      </c>
      <c r="I5628" t="s">
        <v>41</v>
      </c>
      <c r="M5628" t="s">
        <v>8559</v>
      </c>
      <c r="N5628" t="s">
        <v>8559</v>
      </c>
      <c r="O5628" t="s">
        <v>23</v>
      </c>
      <c r="P5628" t="s">
        <v>24</v>
      </c>
      <c r="Q5628" t="s">
        <v>642</v>
      </c>
      <c r="R5628" t="s">
        <v>1214</v>
      </c>
    </row>
    <row r="5629" spans="1:18" x14ac:dyDescent="0.25">
      <c r="A5629" t="s">
        <v>15277</v>
      </c>
      <c r="B5629" t="s">
        <v>8567</v>
      </c>
      <c r="C5629" t="str">
        <f>HYPERLINK("https://nematode.unl.edu/macroplax13.jpg")</f>
        <v>https://nematode.unl.edu/macroplax13.jpg</v>
      </c>
      <c r="D5629" t="s">
        <v>43</v>
      </c>
      <c r="G5629" t="s">
        <v>44</v>
      </c>
      <c r="I5629" t="s">
        <v>19</v>
      </c>
      <c r="J5629" t="s">
        <v>7031</v>
      </c>
      <c r="L5629" t="s">
        <v>6241</v>
      </c>
      <c r="M5629" t="s">
        <v>8559</v>
      </c>
      <c r="N5629" t="s">
        <v>8559</v>
      </c>
      <c r="O5629" t="s">
        <v>23</v>
      </c>
      <c r="P5629" t="s">
        <v>24</v>
      </c>
      <c r="Q5629" t="s">
        <v>642</v>
      </c>
      <c r="R5629" t="s">
        <v>1214</v>
      </c>
    </row>
    <row r="5630" spans="1:18" x14ac:dyDescent="0.25">
      <c r="A5630" t="s">
        <v>15213</v>
      </c>
      <c r="B5630" t="s">
        <v>8568</v>
      </c>
      <c r="C5630" t="str">
        <f>HYPERLINK("https://nematode.unl.edu/macroplax14.jpg")</f>
        <v>https://nematode.unl.edu/macroplax14.jpg</v>
      </c>
      <c r="D5630" t="s">
        <v>43</v>
      </c>
      <c r="G5630" t="s">
        <v>34</v>
      </c>
      <c r="H5630" t="s">
        <v>18</v>
      </c>
      <c r="M5630" t="s">
        <v>8559</v>
      </c>
      <c r="N5630" t="s">
        <v>8559</v>
      </c>
      <c r="O5630" t="s">
        <v>23</v>
      </c>
      <c r="P5630" t="s">
        <v>24</v>
      </c>
      <c r="Q5630" t="s">
        <v>642</v>
      </c>
      <c r="R5630" t="s">
        <v>1214</v>
      </c>
    </row>
    <row r="5631" spans="1:18" x14ac:dyDescent="0.25">
      <c r="A5631" t="s">
        <v>15360</v>
      </c>
      <c r="B5631" t="s">
        <v>8569</v>
      </c>
      <c r="C5631" t="str">
        <f>HYPERLINK("https://nematode.unl.edu/macroplax15.jpg")</f>
        <v>https://nematode.unl.edu/macroplax15.jpg</v>
      </c>
      <c r="D5631" t="s">
        <v>43</v>
      </c>
      <c r="G5631" t="s">
        <v>8570</v>
      </c>
      <c r="I5631" t="s">
        <v>529</v>
      </c>
      <c r="J5631" t="s">
        <v>7031</v>
      </c>
      <c r="L5631" t="s">
        <v>6241</v>
      </c>
      <c r="M5631" t="s">
        <v>8559</v>
      </c>
      <c r="N5631" t="s">
        <v>8559</v>
      </c>
      <c r="O5631" t="s">
        <v>23</v>
      </c>
      <c r="P5631" t="s">
        <v>24</v>
      </c>
      <c r="Q5631" t="s">
        <v>642</v>
      </c>
      <c r="R5631" t="s">
        <v>1214</v>
      </c>
    </row>
    <row r="5632" spans="1:18" x14ac:dyDescent="0.25">
      <c r="A5632" t="s">
        <v>15268</v>
      </c>
      <c r="B5632" t="s">
        <v>8571</v>
      </c>
      <c r="C5632" t="str">
        <f>HYPERLINK("https://nematode.unl.edu/macroplax16.jpg")</f>
        <v>https://nematode.unl.edu/macroplax16.jpg</v>
      </c>
      <c r="D5632" t="s">
        <v>43</v>
      </c>
      <c r="G5632" t="s">
        <v>4059</v>
      </c>
      <c r="H5632" t="s">
        <v>18</v>
      </c>
      <c r="I5632" t="s">
        <v>41</v>
      </c>
      <c r="J5632" t="s">
        <v>7031</v>
      </c>
      <c r="L5632" t="s">
        <v>6241</v>
      </c>
      <c r="M5632" t="s">
        <v>8559</v>
      </c>
      <c r="N5632" t="s">
        <v>8559</v>
      </c>
      <c r="O5632" t="s">
        <v>23</v>
      </c>
      <c r="P5632" t="s">
        <v>24</v>
      </c>
      <c r="Q5632" t="s">
        <v>642</v>
      </c>
      <c r="R5632" t="s">
        <v>1214</v>
      </c>
    </row>
    <row r="5633" spans="1:18" x14ac:dyDescent="0.25">
      <c r="A5633" t="s">
        <v>15414</v>
      </c>
      <c r="B5633" t="s">
        <v>8572</v>
      </c>
      <c r="C5633" t="str">
        <f>HYPERLINK("https://nematode.unl.edu/macroplax17.jpg")</f>
        <v>https://nematode.unl.edu/macroplax17.jpg</v>
      </c>
      <c r="D5633" t="s">
        <v>43</v>
      </c>
      <c r="G5633" t="s">
        <v>51</v>
      </c>
      <c r="M5633" t="s">
        <v>8559</v>
      </c>
      <c r="N5633" t="s">
        <v>8559</v>
      </c>
      <c r="O5633" t="s">
        <v>23</v>
      </c>
      <c r="P5633" t="s">
        <v>24</v>
      </c>
      <c r="Q5633" t="s">
        <v>642</v>
      </c>
      <c r="R5633" t="s">
        <v>1214</v>
      </c>
    </row>
    <row r="5634" spans="1:18" x14ac:dyDescent="0.25">
      <c r="A5634" t="s">
        <v>15415</v>
      </c>
      <c r="B5634" t="s">
        <v>8573</v>
      </c>
      <c r="C5634" t="str">
        <f>HYPERLINK("https://nematode.unl.edu/macroplax18.jpg")</f>
        <v>https://nematode.unl.edu/macroplax18.jpg</v>
      </c>
      <c r="D5634" t="s">
        <v>43</v>
      </c>
      <c r="G5634" t="s">
        <v>51</v>
      </c>
      <c r="I5634" t="s">
        <v>41</v>
      </c>
      <c r="M5634" t="s">
        <v>8559</v>
      </c>
      <c r="N5634" t="s">
        <v>8559</v>
      </c>
      <c r="O5634" t="s">
        <v>23</v>
      </c>
      <c r="P5634" t="s">
        <v>24</v>
      </c>
      <c r="Q5634" t="s">
        <v>642</v>
      </c>
      <c r="R5634" t="s">
        <v>1214</v>
      </c>
    </row>
    <row r="5635" spans="1:18" x14ac:dyDescent="0.25">
      <c r="A5635" t="s">
        <v>15278</v>
      </c>
      <c r="B5635" t="s">
        <v>8574</v>
      </c>
      <c r="C5635" t="str">
        <f>HYPERLINK("https://nematode.unl.edu/macroplax19.jpg")</f>
        <v>https://nematode.unl.edu/macroplax19.jpg</v>
      </c>
      <c r="D5635" t="s">
        <v>43</v>
      </c>
      <c r="G5635" t="s">
        <v>44</v>
      </c>
      <c r="I5635" t="s">
        <v>41</v>
      </c>
      <c r="M5635" t="s">
        <v>8559</v>
      </c>
      <c r="N5635" t="s">
        <v>8559</v>
      </c>
      <c r="O5635" t="s">
        <v>23</v>
      </c>
      <c r="P5635" t="s">
        <v>24</v>
      </c>
      <c r="Q5635" t="s">
        <v>642</v>
      </c>
      <c r="R5635" t="s">
        <v>1214</v>
      </c>
    </row>
    <row r="5636" spans="1:18" x14ac:dyDescent="0.25">
      <c r="A5636" t="s">
        <v>15279</v>
      </c>
      <c r="B5636" t="s">
        <v>8575</v>
      </c>
      <c r="C5636" t="str">
        <f>HYPERLINK("https://nematode.unl.edu/macroplax2.jpg")</f>
        <v>https://nematode.unl.edu/macroplax2.jpg</v>
      </c>
      <c r="D5636" t="s">
        <v>43</v>
      </c>
      <c r="G5636" t="s">
        <v>44</v>
      </c>
      <c r="I5636" t="s">
        <v>137</v>
      </c>
      <c r="J5636" t="s">
        <v>7031</v>
      </c>
      <c r="L5636" t="s">
        <v>6241</v>
      </c>
      <c r="M5636" t="s">
        <v>8559</v>
      </c>
      <c r="N5636" t="s">
        <v>8559</v>
      </c>
      <c r="O5636" t="s">
        <v>23</v>
      </c>
      <c r="P5636" t="s">
        <v>24</v>
      </c>
      <c r="Q5636" t="s">
        <v>642</v>
      </c>
      <c r="R5636" t="s">
        <v>1214</v>
      </c>
    </row>
    <row r="5637" spans="1:18" x14ac:dyDescent="0.25">
      <c r="A5637" t="s">
        <v>15280</v>
      </c>
      <c r="B5637" t="s">
        <v>8576</v>
      </c>
      <c r="C5637" t="str">
        <f>HYPERLINK("https://nematode.unl.edu/macroplax20.jpg")</f>
        <v>https://nematode.unl.edu/macroplax20.jpg</v>
      </c>
      <c r="D5637" t="s">
        <v>16</v>
      </c>
      <c r="G5637" t="s">
        <v>44</v>
      </c>
      <c r="I5637" t="s">
        <v>516</v>
      </c>
      <c r="J5637" t="s">
        <v>7031</v>
      </c>
      <c r="M5637" t="s">
        <v>8559</v>
      </c>
      <c r="N5637" t="s">
        <v>8559</v>
      </c>
      <c r="O5637" t="s">
        <v>23</v>
      </c>
      <c r="P5637" t="s">
        <v>24</v>
      </c>
      <c r="Q5637" t="s">
        <v>642</v>
      </c>
      <c r="R5637" t="s">
        <v>1214</v>
      </c>
    </row>
    <row r="5638" spans="1:18" x14ac:dyDescent="0.25">
      <c r="A5638" t="s">
        <v>15214</v>
      </c>
      <c r="B5638" t="s">
        <v>8577</v>
      </c>
      <c r="C5638" t="str">
        <f>HYPERLINK("https://nematode.unl.edu/macroplax21.jpg")</f>
        <v>https://nematode.unl.edu/macroplax21.jpg</v>
      </c>
      <c r="D5638" t="s">
        <v>16</v>
      </c>
      <c r="G5638" t="s">
        <v>34</v>
      </c>
      <c r="H5638" t="s">
        <v>18</v>
      </c>
      <c r="M5638" t="s">
        <v>8559</v>
      </c>
      <c r="N5638" t="s">
        <v>8559</v>
      </c>
      <c r="O5638" t="s">
        <v>23</v>
      </c>
      <c r="P5638" t="s">
        <v>24</v>
      </c>
      <c r="Q5638" t="s">
        <v>642</v>
      </c>
      <c r="R5638" t="s">
        <v>1214</v>
      </c>
    </row>
    <row r="5639" spans="1:18" x14ac:dyDescent="0.25">
      <c r="A5639" t="s">
        <v>15215</v>
      </c>
      <c r="B5639" t="s">
        <v>8578</v>
      </c>
      <c r="C5639" t="str">
        <f>HYPERLINK("https://nematode.unl.edu/macroplax22.jpg")</f>
        <v>https://nematode.unl.edu/macroplax22.jpg</v>
      </c>
      <c r="D5639" t="s">
        <v>16</v>
      </c>
      <c r="G5639" t="s">
        <v>34</v>
      </c>
      <c r="H5639" t="s">
        <v>18</v>
      </c>
      <c r="M5639" t="s">
        <v>8559</v>
      </c>
      <c r="N5639" t="s">
        <v>8559</v>
      </c>
      <c r="O5639" t="s">
        <v>23</v>
      </c>
      <c r="P5639" t="s">
        <v>24</v>
      </c>
      <c r="Q5639" t="s">
        <v>642</v>
      </c>
      <c r="R5639" t="s">
        <v>1214</v>
      </c>
    </row>
    <row r="5640" spans="1:18" x14ac:dyDescent="0.25">
      <c r="A5640" t="s">
        <v>15371</v>
      </c>
      <c r="B5640" t="s">
        <v>8579</v>
      </c>
      <c r="C5640" t="str">
        <f>HYPERLINK("https://nematode.unl.edu/macroplax23.jpg")</f>
        <v>https://nematode.unl.edu/macroplax23.jpg</v>
      </c>
      <c r="D5640" t="s">
        <v>16</v>
      </c>
      <c r="G5640" t="s">
        <v>28</v>
      </c>
      <c r="M5640" t="s">
        <v>8559</v>
      </c>
      <c r="N5640" t="s">
        <v>8559</v>
      </c>
      <c r="O5640" t="s">
        <v>23</v>
      </c>
      <c r="P5640" t="s">
        <v>24</v>
      </c>
      <c r="Q5640" t="s">
        <v>642</v>
      </c>
      <c r="R5640" t="s">
        <v>1214</v>
      </c>
    </row>
    <row r="5641" spans="1:18" x14ac:dyDescent="0.25">
      <c r="A5641" t="s">
        <v>15281</v>
      </c>
      <c r="B5641" t="s">
        <v>8580</v>
      </c>
      <c r="C5641" t="str">
        <f>HYPERLINK("https://nematode.unl.edu/macroplax24.jpg")</f>
        <v>https://nematode.unl.edu/macroplax24.jpg</v>
      </c>
      <c r="D5641" t="s">
        <v>16</v>
      </c>
      <c r="G5641" t="s">
        <v>44</v>
      </c>
      <c r="M5641" t="s">
        <v>8559</v>
      </c>
      <c r="N5641" t="s">
        <v>8559</v>
      </c>
      <c r="O5641" t="s">
        <v>23</v>
      </c>
      <c r="P5641" t="s">
        <v>24</v>
      </c>
      <c r="Q5641" t="s">
        <v>642</v>
      </c>
      <c r="R5641" t="s">
        <v>1214</v>
      </c>
    </row>
    <row r="5642" spans="1:18" x14ac:dyDescent="0.25">
      <c r="A5642" t="s">
        <v>15340</v>
      </c>
      <c r="B5642" t="s">
        <v>8581</v>
      </c>
      <c r="C5642" t="str">
        <f>HYPERLINK("https://nematode.unl.edu/macroplax25.jpg")</f>
        <v>https://nematode.unl.edu/macroplax25.jpg</v>
      </c>
      <c r="D5642" t="s">
        <v>16</v>
      </c>
      <c r="G5642" t="s">
        <v>224</v>
      </c>
      <c r="M5642" t="s">
        <v>8559</v>
      </c>
      <c r="N5642" t="s">
        <v>8559</v>
      </c>
      <c r="O5642" t="s">
        <v>23</v>
      </c>
      <c r="P5642" t="s">
        <v>24</v>
      </c>
      <c r="Q5642" t="s">
        <v>642</v>
      </c>
      <c r="R5642" t="s">
        <v>1214</v>
      </c>
    </row>
    <row r="5643" spans="1:18" x14ac:dyDescent="0.25">
      <c r="A5643" t="s">
        <v>15198</v>
      </c>
      <c r="B5643" t="s">
        <v>8582</v>
      </c>
      <c r="C5643" t="str">
        <f>HYPERLINK("https://nematode.unl.edu/macroplax3.jpg")</f>
        <v>https://nematode.unl.edu/macroplax3.jpg</v>
      </c>
      <c r="D5643" t="s">
        <v>43</v>
      </c>
      <c r="G5643" t="s">
        <v>96</v>
      </c>
      <c r="H5643" t="s">
        <v>18</v>
      </c>
      <c r="M5643" t="s">
        <v>8559</v>
      </c>
      <c r="N5643" t="s">
        <v>8559</v>
      </c>
      <c r="O5643" t="s">
        <v>23</v>
      </c>
      <c r="P5643" t="s">
        <v>24</v>
      </c>
      <c r="Q5643" t="s">
        <v>642</v>
      </c>
      <c r="R5643" t="s">
        <v>1214</v>
      </c>
    </row>
    <row r="5644" spans="1:18" x14ac:dyDescent="0.25">
      <c r="A5644" t="s">
        <v>15364</v>
      </c>
      <c r="B5644" t="s">
        <v>8583</v>
      </c>
      <c r="C5644" t="str">
        <f>HYPERLINK("https://nematode.unl.edu/macroplax4.jpg")</f>
        <v>https://nematode.unl.edu/macroplax4.jpg</v>
      </c>
      <c r="D5644" t="s">
        <v>43</v>
      </c>
      <c r="G5644" t="s">
        <v>181</v>
      </c>
      <c r="I5644" t="s">
        <v>19</v>
      </c>
      <c r="M5644" t="s">
        <v>8559</v>
      </c>
      <c r="N5644" t="s">
        <v>8559</v>
      </c>
      <c r="O5644" t="s">
        <v>23</v>
      </c>
      <c r="P5644" t="s">
        <v>24</v>
      </c>
      <c r="Q5644" t="s">
        <v>642</v>
      </c>
      <c r="R5644" t="s">
        <v>1214</v>
      </c>
    </row>
    <row r="5645" spans="1:18" x14ac:dyDescent="0.25">
      <c r="A5645" t="s">
        <v>15282</v>
      </c>
      <c r="B5645" t="s">
        <v>8584</v>
      </c>
      <c r="C5645" t="str">
        <f>HYPERLINK("https://nematode.unl.edu/macroplax5.jpg")</f>
        <v>https://nematode.unl.edu/macroplax5.jpg</v>
      </c>
      <c r="D5645" t="s">
        <v>16</v>
      </c>
      <c r="G5645" t="s">
        <v>44</v>
      </c>
      <c r="I5645" t="s">
        <v>19</v>
      </c>
      <c r="J5645" t="s">
        <v>7031</v>
      </c>
      <c r="M5645" t="s">
        <v>8559</v>
      </c>
      <c r="N5645" t="s">
        <v>8559</v>
      </c>
      <c r="O5645" t="s">
        <v>23</v>
      </c>
      <c r="P5645" t="s">
        <v>24</v>
      </c>
      <c r="Q5645" t="s">
        <v>642</v>
      </c>
      <c r="R5645" t="s">
        <v>1214</v>
      </c>
    </row>
    <row r="5646" spans="1:18" x14ac:dyDescent="0.25">
      <c r="A5646" t="s">
        <v>15216</v>
      </c>
      <c r="B5646" t="s">
        <v>8585</v>
      </c>
      <c r="C5646" t="str">
        <f>HYPERLINK("https://nematode.unl.edu/macroplax6.jpg")</f>
        <v>https://nematode.unl.edu/macroplax6.jpg</v>
      </c>
      <c r="D5646" t="s">
        <v>16</v>
      </c>
      <c r="G5646" t="s">
        <v>34</v>
      </c>
      <c r="H5646" t="s">
        <v>18</v>
      </c>
      <c r="I5646" t="s">
        <v>41</v>
      </c>
      <c r="M5646" t="s">
        <v>8559</v>
      </c>
      <c r="N5646" t="s">
        <v>8559</v>
      </c>
      <c r="O5646" t="s">
        <v>23</v>
      </c>
      <c r="P5646" t="s">
        <v>24</v>
      </c>
      <c r="Q5646" t="s">
        <v>642</v>
      </c>
      <c r="R5646" t="s">
        <v>1214</v>
      </c>
    </row>
    <row r="5647" spans="1:18" x14ac:dyDescent="0.25">
      <c r="A5647" t="s">
        <v>15372</v>
      </c>
      <c r="B5647" t="s">
        <v>8586</v>
      </c>
      <c r="C5647" t="str">
        <f>HYPERLINK("https://nematode.unl.edu/macroplax7.jpg")</f>
        <v>https://nematode.unl.edu/macroplax7.jpg</v>
      </c>
      <c r="D5647" t="s">
        <v>16</v>
      </c>
      <c r="G5647" t="s">
        <v>28</v>
      </c>
      <c r="M5647" t="s">
        <v>8559</v>
      </c>
      <c r="N5647" t="s">
        <v>8559</v>
      </c>
      <c r="O5647" t="s">
        <v>23</v>
      </c>
      <c r="P5647" t="s">
        <v>24</v>
      </c>
      <c r="Q5647" t="s">
        <v>642</v>
      </c>
      <c r="R5647" t="s">
        <v>1214</v>
      </c>
    </row>
    <row r="5648" spans="1:18" x14ac:dyDescent="0.25">
      <c r="A5648" t="s">
        <v>15217</v>
      </c>
      <c r="B5648" t="s">
        <v>8587</v>
      </c>
      <c r="C5648" t="str">
        <f>HYPERLINK("https://nematode.unl.edu/macroplax8.jpg")</f>
        <v>https://nematode.unl.edu/macroplax8.jpg</v>
      </c>
      <c r="D5648" t="s">
        <v>16</v>
      </c>
      <c r="G5648" t="s">
        <v>34</v>
      </c>
      <c r="H5648" t="s">
        <v>18</v>
      </c>
      <c r="I5648" t="s">
        <v>41</v>
      </c>
      <c r="M5648" t="s">
        <v>8559</v>
      </c>
      <c r="N5648" t="s">
        <v>8559</v>
      </c>
      <c r="O5648" t="s">
        <v>23</v>
      </c>
      <c r="P5648" t="s">
        <v>24</v>
      </c>
      <c r="Q5648" t="s">
        <v>642</v>
      </c>
      <c r="R5648" t="s">
        <v>1214</v>
      </c>
    </row>
    <row r="5649" spans="1:18" x14ac:dyDescent="0.25">
      <c r="A5649" t="s">
        <v>15283</v>
      </c>
      <c r="B5649" t="s">
        <v>8588</v>
      </c>
      <c r="C5649" t="str">
        <f>HYPERLINK("https://nematode.unl.edu/macroplax9.jpg")</f>
        <v>https://nematode.unl.edu/macroplax9.jpg</v>
      </c>
      <c r="D5649" t="s">
        <v>16</v>
      </c>
      <c r="G5649" t="s">
        <v>44</v>
      </c>
      <c r="I5649" t="s">
        <v>19</v>
      </c>
      <c r="J5649" t="s">
        <v>7031</v>
      </c>
      <c r="M5649" t="s">
        <v>8559</v>
      </c>
      <c r="N5649" t="s">
        <v>8559</v>
      </c>
      <c r="O5649" t="s">
        <v>23</v>
      </c>
      <c r="P5649" t="s">
        <v>24</v>
      </c>
      <c r="Q5649" t="s">
        <v>642</v>
      </c>
      <c r="R5649" t="s">
        <v>1214</v>
      </c>
    </row>
    <row r="5650" spans="1:18" x14ac:dyDescent="0.25">
      <c r="A5650" t="s">
        <v>14039</v>
      </c>
      <c r="B5650" t="s">
        <v>1211</v>
      </c>
      <c r="C5650" t="str">
        <f>HYPERLINK("https://nematode.unl.edu/macrosh1.jpg")</f>
        <v>https://nematode.unl.edu/macrosh1.jpg</v>
      </c>
      <c r="D5650" t="s">
        <v>43</v>
      </c>
      <c r="G5650" t="s">
        <v>34</v>
      </c>
      <c r="H5650" t="s">
        <v>18</v>
      </c>
      <c r="I5650" t="s">
        <v>529</v>
      </c>
      <c r="J5650" t="s">
        <v>446</v>
      </c>
      <c r="L5650" t="s">
        <v>1212</v>
      </c>
      <c r="M5650" t="s">
        <v>1213</v>
      </c>
      <c r="N5650" t="s">
        <v>1214</v>
      </c>
      <c r="O5650" t="s">
        <v>23</v>
      </c>
      <c r="P5650" t="s">
        <v>24</v>
      </c>
      <c r="Q5650" t="s">
        <v>642</v>
      </c>
      <c r="R5650" t="s">
        <v>1214</v>
      </c>
    </row>
    <row r="5651" spans="1:18" x14ac:dyDescent="0.25">
      <c r="A5651" t="s">
        <v>14040</v>
      </c>
      <c r="B5651" t="s">
        <v>1215</v>
      </c>
      <c r="C5651" t="str">
        <f>HYPERLINK("https://nematode.unl.edu/macrosh10.jpg")</f>
        <v>https://nematode.unl.edu/macrosh10.jpg</v>
      </c>
      <c r="D5651" t="s">
        <v>16</v>
      </c>
      <c r="G5651" t="s">
        <v>34</v>
      </c>
      <c r="H5651" t="s">
        <v>18</v>
      </c>
      <c r="J5651" t="s">
        <v>446</v>
      </c>
      <c r="L5651" t="s">
        <v>1212</v>
      </c>
      <c r="M5651" t="s">
        <v>1213</v>
      </c>
      <c r="N5651" t="s">
        <v>1214</v>
      </c>
      <c r="O5651" t="s">
        <v>23</v>
      </c>
      <c r="P5651" t="s">
        <v>24</v>
      </c>
      <c r="Q5651" t="s">
        <v>642</v>
      </c>
      <c r="R5651" t="s">
        <v>1214</v>
      </c>
    </row>
    <row r="5652" spans="1:18" x14ac:dyDescent="0.25">
      <c r="A5652" t="s">
        <v>14045</v>
      </c>
      <c r="B5652" t="s">
        <v>1216</v>
      </c>
      <c r="C5652" t="str">
        <f>HYPERLINK("https://nematode.unl.edu/macrosh11.jpg")</f>
        <v>https://nematode.unl.edu/macrosh11.jpg</v>
      </c>
      <c r="D5652" t="s">
        <v>16</v>
      </c>
      <c r="G5652" t="s">
        <v>28</v>
      </c>
      <c r="J5652" t="s">
        <v>446</v>
      </c>
      <c r="M5652" t="s">
        <v>1213</v>
      </c>
      <c r="N5652" t="s">
        <v>1214</v>
      </c>
      <c r="O5652" t="s">
        <v>23</v>
      </c>
      <c r="P5652" t="s">
        <v>24</v>
      </c>
      <c r="Q5652" t="s">
        <v>642</v>
      </c>
      <c r="R5652" t="s">
        <v>1214</v>
      </c>
    </row>
    <row r="5653" spans="1:18" x14ac:dyDescent="0.25">
      <c r="A5653" t="s">
        <v>14044</v>
      </c>
      <c r="B5653" t="s">
        <v>1217</v>
      </c>
      <c r="C5653" t="str">
        <f>HYPERLINK("https://nematode.unl.edu/macrosh12.jpg")</f>
        <v>https://nematode.unl.edu/macrosh12.jpg</v>
      </c>
      <c r="D5653" t="s">
        <v>16</v>
      </c>
      <c r="G5653" t="s">
        <v>1218</v>
      </c>
      <c r="I5653" t="s">
        <v>41</v>
      </c>
      <c r="J5653" t="s">
        <v>446</v>
      </c>
      <c r="L5653" t="s">
        <v>1212</v>
      </c>
      <c r="M5653" t="s">
        <v>1213</v>
      </c>
      <c r="N5653" t="s">
        <v>1214</v>
      </c>
      <c r="O5653" t="s">
        <v>23</v>
      </c>
      <c r="P5653" t="s">
        <v>24</v>
      </c>
      <c r="Q5653" t="s">
        <v>642</v>
      </c>
      <c r="R5653" t="s">
        <v>1214</v>
      </c>
    </row>
    <row r="5654" spans="1:18" x14ac:dyDescent="0.25">
      <c r="A5654" t="s">
        <v>14046</v>
      </c>
      <c r="B5654" t="s">
        <v>1219</v>
      </c>
      <c r="C5654" t="str">
        <f>HYPERLINK("https://nematode.unl.edu/macrosh13.jpg")</f>
        <v>https://nematode.unl.edu/macrosh13.jpg</v>
      </c>
      <c r="D5654" t="s">
        <v>16</v>
      </c>
      <c r="G5654" t="s">
        <v>28</v>
      </c>
      <c r="I5654" t="s">
        <v>41</v>
      </c>
      <c r="J5654" t="s">
        <v>446</v>
      </c>
      <c r="M5654" t="s">
        <v>1213</v>
      </c>
      <c r="N5654" t="s">
        <v>1214</v>
      </c>
      <c r="O5654" t="s">
        <v>23</v>
      </c>
      <c r="P5654" t="s">
        <v>24</v>
      </c>
      <c r="Q5654" t="s">
        <v>642</v>
      </c>
      <c r="R5654" t="s">
        <v>1214</v>
      </c>
    </row>
    <row r="5655" spans="1:18" x14ac:dyDescent="0.25">
      <c r="A5655" t="s">
        <v>14041</v>
      </c>
      <c r="B5655" t="s">
        <v>1220</v>
      </c>
      <c r="C5655" t="str">
        <f>HYPERLINK("https://nematode.unl.edu/macrosh2.jpg")</f>
        <v>https://nematode.unl.edu/macrosh2.jpg</v>
      </c>
      <c r="D5655" t="s">
        <v>43</v>
      </c>
      <c r="G5655" t="s">
        <v>34</v>
      </c>
      <c r="H5655" t="s">
        <v>18</v>
      </c>
      <c r="I5655" t="s">
        <v>41</v>
      </c>
      <c r="J5655" t="s">
        <v>446</v>
      </c>
      <c r="M5655" t="s">
        <v>1213</v>
      </c>
      <c r="N5655" t="s">
        <v>1214</v>
      </c>
      <c r="O5655" t="s">
        <v>23</v>
      </c>
      <c r="P5655" t="s">
        <v>24</v>
      </c>
      <c r="Q5655" t="s">
        <v>642</v>
      </c>
      <c r="R5655" t="s">
        <v>1214</v>
      </c>
    </row>
    <row r="5656" spans="1:18" x14ac:dyDescent="0.25">
      <c r="A5656" t="s">
        <v>14047</v>
      </c>
      <c r="B5656" t="s">
        <v>1221</v>
      </c>
      <c r="C5656" t="str">
        <f>HYPERLINK("https://nematode.unl.edu/macrosh3.jpg")</f>
        <v>https://nematode.unl.edu/macrosh3.jpg</v>
      </c>
      <c r="D5656" t="s">
        <v>43</v>
      </c>
      <c r="G5656" t="s">
        <v>28</v>
      </c>
      <c r="J5656" t="s">
        <v>446</v>
      </c>
      <c r="M5656" t="s">
        <v>1213</v>
      </c>
      <c r="N5656" t="s">
        <v>1214</v>
      </c>
      <c r="O5656" t="s">
        <v>23</v>
      </c>
      <c r="P5656" t="s">
        <v>24</v>
      </c>
      <c r="Q5656" t="s">
        <v>642</v>
      </c>
      <c r="R5656" t="s">
        <v>1214</v>
      </c>
    </row>
    <row r="5657" spans="1:18" x14ac:dyDescent="0.25">
      <c r="A5657" t="s">
        <v>14048</v>
      </c>
      <c r="B5657" t="s">
        <v>1222</v>
      </c>
      <c r="C5657" t="str">
        <f>HYPERLINK("https://nematode.unl.edu/macrosh4.jpg")</f>
        <v>https://nematode.unl.edu/macrosh4.jpg</v>
      </c>
      <c r="D5657" t="s">
        <v>43</v>
      </c>
      <c r="G5657" t="s">
        <v>22868</v>
      </c>
      <c r="J5657" t="s">
        <v>446</v>
      </c>
      <c r="M5657" t="s">
        <v>1213</v>
      </c>
      <c r="N5657" t="s">
        <v>1214</v>
      </c>
      <c r="O5657" t="s">
        <v>23</v>
      </c>
      <c r="P5657" t="s">
        <v>24</v>
      </c>
      <c r="Q5657" t="s">
        <v>642</v>
      </c>
      <c r="R5657" t="s">
        <v>1214</v>
      </c>
    </row>
    <row r="5658" spans="1:18" x14ac:dyDescent="0.25">
      <c r="A5658" t="s">
        <v>14043</v>
      </c>
      <c r="B5658" t="s">
        <v>1223</v>
      </c>
      <c r="C5658" t="str">
        <f>HYPERLINK("https://nematode.unl.edu/macrosh5.jpg")</f>
        <v>https://nematode.unl.edu/macrosh5.jpg</v>
      </c>
      <c r="D5658" t="s">
        <v>43</v>
      </c>
      <c r="G5658" t="s">
        <v>44</v>
      </c>
      <c r="I5658" t="s">
        <v>19</v>
      </c>
      <c r="J5658" t="s">
        <v>446</v>
      </c>
      <c r="L5658" t="s">
        <v>1212</v>
      </c>
      <c r="M5658" t="s">
        <v>1213</v>
      </c>
      <c r="N5658" t="s">
        <v>1214</v>
      </c>
      <c r="O5658" t="s">
        <v>23</v>
      </c>
      <c r="P5658" t="s">
        <v>24</v>
      </c>
      <c r="Q5658" t="s">
        <v>642</v>
      </c>
      <c r="R5658" t="s">
        <v>1214</v>
      </c>
    </row>
    <row r="5659" spans="1:18" x14ac:dyDescent="0.25">
      <c r="A5659" t="s">
        <v>14042</v>
      </c>
      <c r="B5659" t="s">
        <v>1224</v>
      </c>
      <c r="C5659" t="str">
        <f>HYPERLINK("https://nematode.unl.edu/macrosh6.jpg")</f>
        <v>https://nematode.unl.edu/macrosh6.jpg</v>
      </c>
      <c r="D5659" t="s">
        <v>43</v>
      </c>
      <c r="G5659" t="s">
        <v>34</v>
      </c>
      <c r="H5659" t="s">
        <v>18</v>
      </c>
      <c r="I5659" t="s">
        <v>529</v>
      </c>
      <c r="J5659" t="s">
        <v>446</v>
      </c>
      <c r="L5659" t="s">
        <v>1212</v>
      </c>
      <c r="M5659" t="s">
        <v>1213</v>
      </c>
      <c r="N5659" t="s">
        <v>1214</v>
      </c>
      <c r="O5659" t="s">
        <v>23</v>
      </c>
      <c r="P5659" t="s">
        <v>24</v>
      </c>
      <c r="Q5659" t="s">
        <v>642</v>
      </c>
      <c r="R5659" t="s">
        <v>1214</v>
      </c>
    </row>
    <row r="5660" spans="1:18" x14ac:dyDescent="0.25">
      <c r="A5660" t="s">
        <v>14049</v>
      </c>
      <c r="B5660" t="s">
        <v>1225</v>
      </c>
      <c r="C5660" t="str">
        <f>HYPERLINK("https://nematode.unl.edu/macrosh7.jpg")</f>
        <v>https://nematode.unl.edu/macrosh7.jpg</v>
      </c>
      <c r="D5660" t="s">
        <v>43</v>
      </c>
      <c r="G5660" t="s">
        <v>28</v>
      </c>
      <c r="I5660" t="s">
        <v>41</v>
      </c>
      <c r="J5660" t="s">
        <v>446</v>
      </c>
      <c r="L5660" t="s">
        <v>1212</v>
      </c>
      <c r="M5660" t="s">
        <v>1213</v>
      </c>
      <c r="N5660" t="s">
        <v>1214</v>
      </c>
      <c r="O5660" t="s">
        <v>23</v>
      </c>
      <c r="P5660" t="s">
        <v>24</v>
      </c>
      <c r="Q5660" t="s">
        <v>642</v>
      </c>
      <c r="R5660" t="s">
        <v>1214</v>
      </c>
    </row>
    <row r="5661" spans="1:18" x14ac:dyDescent="0.25">
      <c r="A5661" t="s">
        <v>14050</v>
      </c>
      <c r="B5661" t="s">
        <v>1226</v>
      </c>
      <c r="C5661" t="str">
        <f>HYPERLINK("https://nematode.unl.edu/macrosh8.jpg")</f>
        <v>https://nematode.unl.edu/macrosh8.jpg</v>
      </c>
      <c r="D5661" t="s">
        <v>43</v>
      </c>
      <c r="G5661" t="s">
        <v>28</v>
      </c>
      <c r="I5661" t="s">
        <v>529</v>
      </c>
      <c r="J5661" t="s">
        <v>446</v>
      </c>
      <c r="L5661" t="s">
        <v>1212</v>
      </c>
      <c r="M5661" t="s">
        <v>1213</v>
      </c>
      <c r="N5661" t="s">
        <v>1214</v>
      </c>
      <c r="O5661" t="s">
        <v>23</v>
      </c>
      <c r="P5661" t="s">
        <v>24</v>
      </c>
      <c r="Q5661" t="s">
        <v>642</v>
      </c>
      <c r="R5661" t="s">
        <v>1214</v>
      </c>
    </row>
    <row r="5662" spans="1:18" x14ac:dyDescent="0.25">
      <c r="A5662" t="s">
        <v>14051</v>
      </c>
      <c r="B5662" t="s">
        <v>1227</v>
      </c>
      <c r="C5662" t="str">
        <f>HYPERLINK("https://nematode.unl.edu/macrosh9.jpg")</f>
        <v>https://nematode.unl.edu/macrosh9.jpg</v>
      </c>
      <c r="D5662" t="s">
        <v>43</v>
      </c>
      <c r="G5662" t="s">
        <v>28</v>
      </c>
      <c r="I5662" t="s">
        <v>41</v>
      </c>
      <c r="J5662" t="s">
        <v>446</v>
      </c>
      <c r="M5662" t="s">
        <v>1213</v>
      </c>
      <c r="N5662" t="s">
        <v>1214</v>
      </c>
      <c r="O5662" t="s">
        <v>23</v>
      </c>
      <c r="P5662" t="s">
        <v>24</v>
      </c>
      <c r="Q5662" t="s">
        <v>642</v>
      </c>
      <c r="R5662" t="s">
        <v>1214</v>
      </c>
    </row>
    <row r="5663" spans="1:18" x14ac:dyDescent="0.25">
      <c r="A5663" t="s">
        <v>14260</v>
      </c>
      <c r="B5663" t="s">
        <v>7628</v>
      </c>
      <c r="C5663" t="str">
        <f>HYPERLINK("https://nematode.unl.edu/macurk1.jpg")</f>
        <v>https://nematode.unl.edu/macurk1.jpg</v>
      </c>
      <c r="D5663" t="s">
        <v>43</v>
      </c>
      <c r="G5663" t="s">
        <v>34</v>
      </c>
      <c r="H5663" t="s">
        <v>18</v>
      </c>
      <c r="I5663" t="s">
        <v>41</v>
      </c>
      <c r="J5663" t="s">
        <v>4296</v>
      </c>
      <c r="M5663" t="s">
        <v>1233</v>
      </c>
      <c r="N5663" t="s">
        <v>1233</v>
      </c>
      <c r="O5663" t="s">
        <v>23</v>
      </c>
      <c r="P5663" t="s">
        <v>24</v>
      </c>
      <c r="Q5663" t="s">
        <v>642</v>
      </c>
      <c r="R5663" t="s">
        <v>1214</v>
      </c>
    </row>
    <row r="5664" spans="1:18" x14ac:dyDescent="0.25">
      <c r="A5664" t="s">
        <v>14708</v>
      </c>
      <c r="B5664" t="s">
        <v>7629</v>
      </c>
      <c r="C5664" t="str">
        <f>HYPERLINK("https://nematode.unl.edu/macurk10.jpg")</f>
        <v>https://nematode.unl.edu/macurk10.jpg</v>
      </c>
      <c r="D5664" t="s">
        <v>43</v>
      </c>
      <c r="G5664" t="s">
        <v>51</v>
      </c>
      <c r="I5664" t="s">
        <v>41</v>
      </c>
      <c r="J5664" t="s">
        <v>4296</v>
      </c>
      <c r="M5664" t="s">
        <v>1233</v>
      </c>
      <c r="N5664" t="s">
        <v>1233</v>
      </c>
      <c r="O5664" t="s">
        <v>23</v>
      </c>
      <c r="P5664" t="s">
        <v>24</v>
      </c>
      <c r="Q5664" t="s">
        <v>642</v>
      </c>
      <c r="R5664" t="s">
        <v>1214</v>
      </c>
    </row>
    <row r="5665" spans="1:18" x14ac:dyDescent="0.25">
      <c r="A5665" t="s">
        <v>14709</v>
      </c>
      <c r="B5665" t="s">
        <v>7630</v>
      </c>
      <c r="C5665" t="str">
        <f>HYPERLINK("https://nematode.unl.edu/macurk11.jpg")</f>
        <v>https://nematode.unl.edu/macurk11.jpg</v>
      </c>
      <c r="D5665" t="s">
        <v>43</v>
      </c>
      <c r="G5665" t="s">
        <v>51</v>
      </c>
      <c r="J5665" t="s">
        <v>4296</v>
      </c>
      <c r="M5665" t="s">
        <v>1233</v>
      </c>
      <c r="N5665" t="s">
        <v>1233</v>
      </c>
      <c r="O5665" t="s">
        <v>23</v>
      </c>
      <c r="P5665" t="s">
        <v>24</v>
      </c>
      <c r="Q5665" t="s">
        <v>642</v>
      </c>
      <c r="R5665" t="s">
        <v>1214</v>
      </c>
    </row>
    <row r="5666" spans="1:18" x14ac:dyDescent="0.25">
      <c r="A5666" t="s">
        <v>14543</v>
      </c>
      <c r="B5666" t="s">
        <v>7631</v>
      </c>
      <c r="C5666" t="str">
        <f>HYPERLINK("https://nematode.unl.edu/macurk12.jpg")</f>
        <v>https://nematode.unl.edu/macurk12.jpg</v>
      </c>
      <c r="D5666" t="s">
        <v>43</v>
      </c>
      <c r="G5666" t="s">
        <v>3931</v>
      </c>
      <c r="I5666" t="s">
        <v>41</v>
      </c>
      <c r="J5666" t="s">
        <v>4296</v>
      </c>
      <c r="M5666" t="s">
        <v>1233</v>
      </c>
      <c r="N5666" t="s">
        <v>1233</v>
      </c>
      <c r="O5666" t="s">
        <v>23</v>
      </c>
      <c r="P5666" t="s">
        <v>24</v>
      </c>
      <c r="Q5666" t="s">
        <v>642</v>
      </c>
      <c r="R5666" t="s">
        <v>1214</v>
      </c>
    </row>
    <row r="5667" spans="1:18" x14ac:dyDescent="0.25">
      <c r="A5667" t="s">
        <v>14244</v>
      </c>
      <c r="B5667" t="s">
        <v>7632</v>
      </c>
      <c r="C5667" t="str">
        <f>HYPERLINK("https://nematode.unl.edu/macurk13.jpg")</f>
        <v>https://nematode.unl.edu/macurk13.jpg</v>
      </c>
      <c r="D5667" t="s">
        <v>43</v>
      </c>
      <c r="G5667" t="s">
        <v>7633</v>
      </c>
      <c r="H5667" t="s">
        <v>18</v>
      </c>
      <c r="I5667" t="s">
        <v>41</v>
      </c>
      <c r="J5667" t="s">
        <v>4296</v>
      </c>
      <c r="M5667" t="s">
        <v>1233</v>
      </c>
      <c r="N5667" t="s">
        <v>1233</v>
      </c>
      <c r="O5667" t="s">
        <v>23</v>
      </c>
      <c r="P5667" t="s">
        <v>24</v>
      </c>
      <c r="Q5667" t="s">
        <v>642</v>
      </c>
      <c r="R5667" t="s">
        <v>1214</v>
      </c>
    </row>
    <row r="5668" spans="1:18" x14ac:dyDescent="0.25">
      <c r="A5668" t="s">
        <v>14710</v>
      </c>
      <c r="B5668" t="s">
        <v>7634</v>
      </c>
      <c r="C5668" t="str">
        <f>HYPERLINK("https://nematode.unl.edu/macurk14.jpg")</f>
        <v>https://nematode.unl.edu/macurk14.jpg</v>
      </c>
      <c r="D5668" t="s">
        <v>43</v>
      </c>
      <c r="G5668" t="s">
        <v>51</v>
      </c>
      <c r="I5668" t="s">
        <v>41</v>
      </c>
      <c r="J5668" t="s">
        <v>4296</v>
      </c>
      <c r="M5668" t="s">
        <v>1233</v>
      </c>
      <c r="N5668" t="s">
        <v>1233</v>
      </c>
      <c r="O5668" t="s">
        <v>23</v>
      </c>
      <c r="P5668" t="s">
        <v>24</v>
      </c>
      <c r="Q5668" t="s">
        <v>642</v>
      </c>
      <c r="R5668" t="s">
        <v>1214</v>
      </c>
    </row>
    <row r="5669" spans="1:18" x14ac:dyDescent="0.25">
      <c r="A5669" t="s">
        <v>14409</v>
      </c>
      <c r="B5669" t="s">
        <v>7635</v>
      </c>
      <c r="C5669" t="str">
        <f>HYPERLINK("https://nematode.unl.edu/macurk15.jpg")</f>
        <v>https://nematode.unl.edu/macurk15.jpg</v>
      </c>
      <c r="D5669" t="s">
        <v>16</v>
      </c>
      <c r="G5669" t="s">
        <v>44</v>
      </c>
      <c r="I5669" t="s">
        <v>19</v>
      </c>
      <c r="J5669" t="s">
        <v>4296</v>
      </c>
      <c r="M5669" t="s">
        <v>1233</v>
      </c>
      <c r="N5669" t="s">
        <v>1233</v>
      </c>
      <c r="O5669" t="s">
        <v>23</v>
      </c>
      <c r="P5669" t="s">
        <v>24</v>
      </c>
      <c r="Q5669" t="s">
        <v>642</v>
      </c>
      <c r="R5669" t="s">
        <v>1214</v>
      </c>
    </row>
    <row r="5670" spans="1:18" x14ac:dyDescent="0.25">
      <c r="A5670" t="s">
        <v>14261</v>
      </c>
      <c r="B5670" t="s">
        <v>7636</v>
      </c>
      <c r="C5670" t="str">
        <f>HYPERLINK("https://nematode.unl.edu/macurk16.jpg")</f>
        <v>https://nematode.unl.edu/macurk16.jpg</v>
      </c>
      <c r="D5670" t="s">
        <v>16</v>
      </c>
      <c r="G5670" t="s">
        <v>34</v>
      </c>
      <c r="H5670" t="s">
        <v>18</v>
      </c>
      <c r="I5670" t="s">
        <v>41</v>
      </c>
      <c r="J5670" t="s">
        <v>4296</v>
      </c>
      <c r="M5670" t="s">
        <v>1233</v>
      </c>
      <c r="N5670" t="s">
        <v>1233</v>
      </c>
      <c r="O5670" t="s">
        <v>23</v>
      </c>
      <c r="P5670" t="s">
        <v>24</v>
      </c>
      <c r="Q5670" t="s">
        <v>642</v>
      </c>
      <c r="R5670" t="s">
        <v>1214</v>
      </c>
    </row>
    <row r="5671" spans="1:18" x14ac:dyDescent="0.25">
      <c r="A5671" t="s">
        <v>14584</v>
      </c>
      <c r="B5671" t="s">
        <v>7637</v>
      </c>
      <c r="C5671" t="str">
        <f>HYPERLINK("https://nematode.unl.edu/macurk17.jpg")</f>
        <v>https://nematode.unl.edu/macurk17.jpg</v>
      </c>
      <c r="D5671" t="s">
        <v>16</v>
      </c>
      <c r="G5671" t="s">
        <v>28</v>
      </c>
      <c r="I5671" t="s">
        <v>41</v>
      </c>
      <c r="J5671" t="s">
        <v>4296</v>
      </c>
      <c r="M5671" t="s">
        <v>1233</v>
      </c>
      <c r="N5671" t="s">
        <v>1233</v>
      </c>
      <c r="O5671" t="s">
        <v>23</v>
      </c>
      <c r="P5671" t="s">
        <v>24</v>
      </c>
      <c r="Q5671" t="s">
        <v>642</v>
      </c>
      <c r="R5671" t="s">
        <v>1214</v>
      </c>
    </row>
    <row r="5672" spans="1:18" x14ac:dyDescent="0.25">
      <c r="A5672" t="s">
        <v>14561</v>
      </c>
      <c r="B5672" t="s">
        <v>7638</v>
      </c>
      <c r="C5672" t="str">
        <f>HYPERLINK("https://nematode.unl.edu/macurk18.jpg")</f>
        <v>https://nematode.unl.edu/macurk18.jpg</v>
      </c>
      <c r="D5672" t="s">
        <v>16</v>
      </c>
      <c r="G5672" t="s">
        <v>7639</v>
      </c>
      <c r="I5672" t="s">
        <v>529</v>
      </c>
      <c r="J5672" t="s">
        <v>4296</v>
      </c>
      <c r="M5672" t="s">
        <v>1233</v>
      </c>
      <c r="N5672" t="s">
        <v>1233</v>
      </c>
      <c r="O5672" t="s">
        <v>23</v>
      </c>
      <c r="P5672" t="s">
        <v>24</v>
      </c>
      <c r="Q5672" t="s">
        <v>642</v>
      </c>
      <c r="R5672" t="s">
        <v>1214</v>
      </c>
    </row>
    <row r="5673" spans="1:18" x14ac:dyDescent="0.25">
      <c r="A5673" t="s">
        <v>14410</v>
      </c>
      <c r="B5673" t="s">
        <v>7640</v>
      </c>
      <c r="C5673" t="str">
        <f>HYPERLINK("https://nematode.unl.edu/macurk19.jpg")</f>
        <v>https://nematode.unl.edu/macurk19.jpg</v>
      </c>
      <c r="D5673" t="s">
        <v>16</v>
      </c>
      <c r="G5673" t="s">
        <v>44</v>
      </c>
      <c r="I5673" t="s">
        <v>41</v>
      </c>
      <c r="J5673" t="s">
        <v>4296</v>
      </c>
      <c r="M5673" t="s">
        <v>1233</v>
      </c>
      <c r="N5673" t="s">
        <v>1233</v>
      </c>
      <c r="O5673" t="s">
        <v>23</v>
      </c>
      <c r="P5673" t="s">
        <v>24</v>
      </c>
      <c r="Q5673" t="s">
        <v>642</v>
      </c>
      <c r="R5673" t="s">
        <v>1214</v>
      </c>
    </row>
    <row r="5674" spans="1:18" x14ac:dyDescent="0.25">
      <c r="A5674" t="s">
        <v>14585</v>
      </c>
      <c r="B5674" t="s">
        <v>7641</v>
      </c>
      <c r="C5674" t="str">
        <f>HYPERLINK("https://nematode.unl.edu/macurk2.jpg")</f>
        <v>https://nematode.unl.edu/macurk2.jpg</v>
      </c>
      <c r="D5674" t="s">
        <v>43</v>
      </c>
      <c r="G5674" t="s">
        <v>28</v>
      </c>
      <c r="I5674" t="s">
        <v>41</v>
      </c>
      <c r="J5674" t="s">
        <v>4296</v>
      </c>
      <c r="M5674" t="s">
        <v>1233</v>
      </c>
      <c r="N5674" t="s">
        <v>1233</v>
      </c>
      <c r="O5674" t="s">
        <v>23</v>
      </c>
      <c r="P5674" t="s">
        <v>24</v>
      </c>
      <c r="Q5674" t="s">
        <v>642</v>
      </c>
      <c r="R5674" t="s">
        <v>1214</v>
      </c>
    </row>
    <row r="5675" spans="1:18" x14ac:dyDescent="0.25">
      <c r="A5675" t="s">
        <v>14411</v>
      </c>
      <c r="B5675" t="s">
        <v>7642</v>
      </c>
      <c r="C5675" t="str">
        <f>HYPERLINK("https://nematode.unl.edu/macurk20.jpg")</f>
        <v>https://nematode.unl.edu/macurk20.jpg</v>
      </c>
      <c r="D5675" t="s">
        <v>43</v>
      </c>
      <c r="G5675" t="s">
        <v>44</v>
      </c>
      <c r="I5675" t="s">
        <v>19</v>
      </c>
      <c r="J5675" t="s">
        <v>4296</v>
      </c>
      <c r="M5675" t="s">
        <v>1233</v>
      </c>
      <c r="N5675" t="s">
        <v>1233</v>
      </c>
      <c r="O5675" t="s">
        <v>23</v>
      </c>
      <c r="P5675" t="s">
        <v>24</v>
      </c>
      <c r="Q5675" t="s">
        <v>642</v>
      </c>
      <c r="R5675" t="s">
        <v>1214</v>
      </c>
    </row>
    <row r="5676" spans="1:18" x14ac:dyDescent="0.25">
      <c r="A5676" t="s">
        <v>14412</v>
      </c>
      <c r="B5676" t="s">
        <v>7643</v>
      </c>
      <c r="C5676" t="str">
        <f>HYPERLINK("https://nematode.unl.edu/macurk21.jpg")</f>
        <v>https://nematode.unl.edu/macurk21.jpg</v>
      </c>
      <c r="D5676" t="s">
        <v>43</v>
      </c>
      <c r="G5676" t="s">
        <v>44</v>
      </c>
      <c r="I5676" t="s">
        <v>41</v>
      </c>
      <c r="J5676" t="s">
        <v>4296</v>
      </c>
      <c r="M5676" t="s">
        <v>1233</v>
      </c>
      <c r="N5676" t="s">
        <v>1233</v>
      </c>
      <c r="O5676" t="s">
        <v>23</v>
      </c>
      <c r="P5676" t="s">
        <v>24</v>
      </c>
      <c r="Q5676" t="s">
        <v>642</v>
      </c>
      <c r="R5676" t="s">
        <v>1214</v>
      </c>
    </row>
    <row r="5677" spans="1:18" x14ac:dyDescent="0.25">
      <c r="A5677" t="s">
        <v>14586</v>
      </c>
      <c r="B5677" t="s">
        <v>7644</v>
      </c>
      <c r="C5677" t="str">
        <f>HYPERLINK("https://nematode.unl.edu/macurk22.jpg")</f>
        <v>https://nematode.unl.edu/macurk22.jpg</v>
      </c>
      <c r="D5677" t="s">
        <v>43</v>
      </c>
      <c r="G5677" t="s">
        <v>28</v>
      </c>
      <c r="I5677" t="s">
        <v>41</v>
      </c>
      <c r="J5677" t="s">
        <v>4296</v>
      </c>
      <c r="M5677" t="s">
        <v>1233</v>
      </c>
      <c r="N5677" t="s">
        <v>1233</v>
      </c>
      <c r="O5677" t="s">
        <v>23</v>
      </c>
      <c r="P5677" t="s">
        <v>24</v>
      </c>
      <c r="Q5677" t="s">
        <v>642</v>
      </c>
      <c r="R5677" t="s">
        <v>1214</v>
      </c>
    </row>
    <row r="5678" spans="1:18" x14ac:dyDescent="0.25">
      <c r="A5678" t="s">
        <v>14413</v>
      </c>
      <c r="B5678" t="s">
        <v>7645</v>
      </c>
      <c r="C5678" t="str">
        <f>HYPERLINK("https://nematode.unl.edu/macurk23.jpg")</f>
        <v>https://nematode.unl.edu/macurk23.jpg</v>
      </c>
      <c r="D5678" t="s">
        <v>43</v>
      </c>
      <c r="G5678" t="s">
        <v>44</v>
      </c>
      <c r="I5678" t="s">
        <v>41</v>
      </c>
      <c r="J5678" t="s">
        <v>4296</v>
      </c>
      <c r="M5678" t="s">
        <v>1233</v>
      </c>
      <c r="N5678" t="s">
        <v>1233</v>
      </c>
      <c r="O5678" t="s">
        <v>23</v>
      </c>
      <c r="P5678" t="s">
        <v>24</v>
      </c>
      <c r="Q5678" t="s">
        <v>642</v>
      </c>
      <c r="R5678" t="s">
        <v>1214</v>
      </c>
    </row>
    <row r="5679" spans="1:18" x14ac:dyDescent="0.25">
      <c r="A5679" t="s">
        <v>14711</v>
      </c>
      <c r="B5679" t="s">
        <v>7646</v>
      </c>
      <c r="C5679" t="str">
        <f>HYPERLINK("https://nematode.unl.edu/macurk24.jpg")</f>
        <v>https://nematode.unl.edu/macurk24.jpg</v>
      </c>
      <c r="D5679" t="s">
        <v>43</v>
      </c>
      <c r="G5679" t="s">
        <v>51</v>
      </c>
      <c r="I5679" t="s">
        <v>19</v>
      </c>
      <c r="J5679" t="s">
        <v>4296</v>
      </c>
      <c r="M5679" t="s">
        <v>1233</v>
      </c>
      <c r="N5679" t="s">
        <v>1233</v>
      </c>
      <c r="O5679" t="s">
        <v>23</v>
      </c>
      <c r="P5679" t="s">
        <v>24</v>
      </c>
      <c r="Q5679" t="s">
        <v>642</v>
      </c>
      <c r="R5679" t="s">
        <v>1214</v>
      </c>
    </row>
    <row r="5680" spans="1:18" x14ac:dyDescent="0.25">
      <c r="A5680" t="s">
        <v>14545</v>
      </c>
      <c r="B5680" t="s">
        <v>7647</v>
      </c>
      <c r="C5680" t="str">
        <f>HYPERLINK("https://nematode.unl.edu/macurk3.jpg")</f>
        <v>https://nematode.unl.edu/macurk3.jpg</v>
      </c>
      <c r="D5680" t="s">
        <v>43</v>
      </c>
      <c r="G5680" t="s">
        <v>7004</v>
      </c>
      <c r="I5680" t="s">
        <v>529</v>
      </c>
      <c r="J5680" t="s">
        <v>4296</v>
      </c>
      <c r="M5680" t="s">
        <v>1233</v>
      </c>
      <c r="N5680" t="s">
        <v>1233</v>
      </c>
      <c r="O5680" t="s">
        <v>23</v>
      </c>
      <c r="P5680" t="s">
        <v>24</v>
      </c>
      <c r="Q5680" t="s">
        <v>642</v>
      </c>
      <c r="R5680" t="s">
        <v>1214</v>
      </c>
    </row>
    <row r="5681" spans="1:18" x14ac:dyDescent="0.25">
      <c r="A5681" t="s">
        <v>14414</v>
      </c>
      <c r="B5681" t="s">
        <v>7648</v>
      </c>
      <c r="C5681" t="str">
        <f>HYPERLINK("https://nematode.unl.edu/macurk4.jpg")</f>
        <v>https://nematode.unl.edu/macurk4.jpg</v>
      </c>
      <c r="D5681" t="s">
        <v>43</v>
      </c>
      <c r="G5681" t="s">
        <v>44</v>
      </c>
      <c r="I5681" t="s">
        <v>516</v>
      </c>
      <c r="J5681" t="s">
        <v>4296</v>
      </c>
      <c r="M5681" t="s">
        <v>1233</v>
      </c>
      <c r="N5681" t="s">
        <v>1233</v>
      </c>
      <c r="O5681" t="s">
        <v>23</v>
      </c>
      <c r="P5681" t="s">
        <v>24</v>
      </c>
      <c r="Q5681" t="s">
        <v>642</v>
      </c>
      <c r="R5681" t="s">
        <v>1214</v>
      </c>
    </row>
    <row r="5682" spans="1:18" x14ac:dyDescent="0.25">
      <c r="A5682" t="s">
        <v>14262</v>
      </c>
      <c r="B5682" t="s">
        <v>7649</v>
      </c>
      <c r="C5682" t="str">
        <f>HYPERLINK("https://nematode.unl.edu/macurk5.jpg")</f>
        <v>https://nematode.unl.edu/macurk5.jpg</v>
      </c>
      <c r="D5682" t="s">
        <v>43</v>
      </c>
      <c r="G5682" t="s">
        <v>34</v>
      </c>
      <c r="H5682" t="s">
        <v>18</v>
      </c>
      <c r="I5682" t="s">
        <v>41</v>
      </c>
      <c r="J5682" t="s">
        <v>4296</v>
      </c>
      <c r="M5682" t="s">
        <v>1233</v>
      </c>
      <c r="N5682" t="s">
        <v>1233</v>
      </c>
      <c r="O5682" t="s">
        <v>23</v>
      </c>
      <c r="P5682" t="s">
        <v>24</v>
      </c>
      <c r="Q5682" t="s">
        <v>642</v>
      </c>
      <c r="R5682" t="s">
        <v>1214</v>
      </c>
    </row>
    <row r="5683" spans="1:18" x14ac:dyDescent="0.25">
      <c r="A5683" t="s">
        <v>14587</v>
      </c>
      <c r="B5683" t="s">
        <v>7650</v>
      </c>
      <c r="C5683" t="str">
        <f>HYPERLINK("https://nematode.unl.edu/macurk6.jpg")</f>
        <v>https://nematode.unl.edu/macurk6.jpg</v>
      </c>
      <c r="D5683" t="s">
        <v>43</v>
      </c>
      <c r="G5683" t="s">
        <v>28</v>
      </c>
      <c r="I5683" t="s">
        <v>41</v>
      </c>
      <c r="J5683" t="s">
        <v>4296</v>
      </c>
      <c r="M5683" t="s">
        <v>1233</v>
      </c>
      <c r="N5683" t="s">
        <v>1233</v>
      </c>
      <c r="O5683" t="s">
        <v>23</v>
      </c>
      <c r="P5683" t="s">
        <v>24</v>
      </c>
      <c r="Q5683" t="s">
        <v>642</v>
      </c>
      <c r="R5683" t="s">
        <v>1214</v>
      </c>
    </row>
    <row r="5684" spans="1:18" x14ac:dyDescent="0.25">
      <c r="A5684" t="s">
        <v>14534</v>
      </c>
      <c r="B5684" t="s">
        <v>7651</v>
      </c>
      <c r="C5684" t="str">
        <f>HYPERLINK("https://nematode.unl.edu/macurk7.jpg")</f>
        <v>https://nematode.unl.edu/macurk7.jpg</v>
      </c>
      <c r="D5684" t="s">
        <v>43</v>
      </c>
      <c r="G5684" t="s">
        <v>224</v>
      </c>
      <c r="I5684" t="s">
        <v>19</v>
      </c>
      <c r="J5684" t="s">
        <v>4296</v>
      </c>
      <c r="M5684" t="s">
        <v>1233</v>
      </c>
      <c r="N5684" t="s">
        <v>1233</v>
      </c>
      <c r="O5684" t="s">
        <v>23</v>
      </c>
      <c r="P5684" t="s">
        <v>24</v>
      </c>
      <c r="Q5684" t="s">
        <v>642</v>
      </c>
      <c r="R5684" t="s">
        <v>1214</v>
      </c>
    </row>
    <row r="5685" spans="1:18" x14ac:dyDescent="0.25">
      <c r="A5685" t="s">
        <v>14588</v>
      </c>
      <c r="B5685" t="s">
        <v>7652</v>
      </c>
      <c r="C5685" t="str">
        <f>HYPERLINK("https://nematode.unl.edu/macurk8.jpg")</f>
        <v>https://nematode.unl.edu/macurk8.jpg</v>
      </c>
      <c r="D5685" t="s">
        <v>43</v>
      </c>
      <c r="G5685" t="s">
        <v>28</v>
      </c>
      <c r="J5685" t="s">
        <v>4296</v>
      </c>
      <c r="M5685" t="s">
        <v>1233</v>
      </c>
      <c r="N5685" t="s">
        <v>1233</v>
      </c>
      <c r="O5685" t="s">
        <v>23</v>
      </c>
      <c r="P5685" t="s">
        <v>24</v>
      </c>
      <c r="Q5685" t="s">
        <v>642</v>
      </c>
      <c r="R5685" t="s">
        <v>1214</v>
      </c>
    </row>
    <row r="5686" spans="1:18" x14ac:dyDescent="0.25">
      <c r="A5686" t="s">
        <v>14263</v>
      </c>
      <c r="B5686" t="s">
        <v>7653</v>
      </c>
      <c r="C5686" t="str">
        <f>HYPERLINK("https://nematode.unl.edu/macurk9.jpg")</f>
        <v>https://nematode.unl.edu/macurk9.jpg</v>
      </c>
      <c r="D5686" t="s">
        <v>43</v>
      </c>
      <c r="G5686" t="s">
        <v>34</v>
      </c>
      <c r="H5686" t="s">
        <v>18</v>
      </c>
      <c r="I5686" t="s">
        <v>41</v>
      </c>
      <c r="J5686" t="s">
        <v>4296</v>
      </c>
      <c r="M5686" t="s">
        <v>1233</v>
      </c>
      <c r="N5686" t="s">
        <v>1233</v>
      </c>
      <c r="O5686" t="s">
        <v>23</v>
      </c>
      <c r="P5686" t="s">
        <v>24</v>
      </c>
      <c r="Q5686" t="s">
        <v>642</v>
      </c>
      <c r="R5686" t="s">
        <v>1214</v>
      </c>
    </row>
    <row r="5687" spans="1:18" x14ac:dyDescent="0.25">
      <c r="A5687" t="s">
        <v>14847</v>
      </c>
      <c r="B5687" t="s">
        <v>8178</v>
      </c>
      <c r="C5687" t="str">
        <f>HYPERLINK("https://nematode.unl.edu/macurv1.jpg")</f>
        <v>https://nematode.unl.edu/macurv1.jpg</v>
      </c>
      <c r="D5687" t="s">
        <v>43</v>
      </c>
      <c r="G5687" t="s">
        <v>44</v>
      </c>
      <c r="I5687" t="s">
        <v>19</v>
      </c>
      <c r="J5687" t="s">
        <v>46</v>
      </c>
      <c r="L5687" t="s">
        <v>7430</v>
      </c>
      <c r="M5687" t="s">
        <v>8133</v>
      </c>
      <c r="N5687" t="s">
        <v>8133</v>
      </c>
      <c r="O5687" t="s">
        <v>23</v>
      </c>
      <c r="P5687" t="s">
        <v>24</v>
      </c>
      <c r="Q5687" t="s">
        <v>642</v>
      </c>
      <c r="R5687" t="s">
        <v>1214</v>
      </c>
    </row>
    <row r="5688" spans="1:18" x14ac:dyDescent="0.25">
      <c r="A5688" t="s">
        <v>14589</v>
      </c>
      <c r="B5688" t="s">
        <v>7654</v>
      </c>
      <c r="C5688" t="str">
        <f>HYPERLINK("https://nematode.unl.edu/macurv10.jpg")</f>
        <v>https://nematode.unl.edu/macurv10.jpg</v>
      </c>
      <c r="D5688" t="s">
        <v>16</v>
      </c>
      <c r="G5688" t="s">
        <v>28</v>
      </c>
      <c r="I5688" t="s">
        <v>41</v>
      </c>
      <c r="J5688" t="s">
        <v>46</v>
      </c>
      <c r="M5688" t="s">
        <v>1233</v>
      </c>
      <c r="N5688" t="s">
        <v>1233</v>
      </c>
      <c r="O5688" t="s">
        <v>23</v>
      </c>
      <c r="P5688" t="s">
        <v>24</v>
      </c>
      <c r="Q5688" t="s">
        <v>642</v>
      </c>
      <c r="R5688" t="s">
        <v>1214</v>
      </c>
    </row>
    <row r="5689" spans="1:18" x14ac:dyDescent="0.25">
      <c r="A5689" t="s">
        <v>14590</v>
      </c>
      <c r="B5689" t="s">
        <v>7655</v>
      </c>
      <c r="C5689" t="str">
        <f>HYPERLINK("https://nematode.unl.edu/macurv100.jpg")</f>
        <v>https://nematode.unl.edu/macurv100.jpg</v>
      </c>
      <c r="D5689" t="s">
        <v>16</v>
      </c>
      <c r="G5689" t="s">
        <v>28</v>
      </c>
      <c r="I5689" t="s">
        <v>41</v>
      </c>
      <c r="J5689" t="s">
        <v>46</v>
      </c>
      <c r="M5689" t="s">
        <v>1233</v>
      </c>
      <c r="N5689" t="s">
        <v>1233</v>
      </c>
      <c r="O5689" t="s">
        <v>23</v>
      </c>
      <c r="P5689" t="s">
        <v>24</v>
      </c>
      <c r="Q5689" t="s">
        <v>642</v>
      </c>
      <c r="R5689" t="s">
        <v>1214</v>
      </c>
    </row>
    <row r="5690" spans="1:18" x14ac:dyDescent="0.25">
      <c r="A5690" t="s">
        <v>14415</v>
      </c>
      <c r="B5690" t="s">
        <v>7656</v>
      </c>
      <c r="C5690" t="str">
        <f>HYPERLINK("https://nematode.unl.edu/macurv101.jpg")</f>
        <v>https://nematode.unl.edu/macurv101.jpg</v>
      </c>
      <c r="D5690" t="s">
        <v>16</v>
      </c>
      <c r="G5690" t="s">
        <v>44</v>
      </c>
      <c r="I5690" t="s">
        <v>19</v>
      </c>
      <c r="J5690" t="s">
        <v>46</v>
      </c>
      <c r="L5690" t="s">
        <v>727</v>
      </c>
      <c r="M5690" t="s">
        <v>1233</v>
      </c>
      <c r="N5690" t="s">
        <v>1233</v>
      </c>
      <c r="O5690" t="s">
        <v>23</v>
      </c>
      <c r="P5690" t="s">
        <v>24</v>
      </c>
      <c r="Q5690" t="s">
        <v>642</v>
      </c>
      <c r="R5690" t="s">
        <v>1214</v>
      </c>
    </row>
    <row r="5691" spans="1:18" x14ac:dyDescent="0.25">
      <c r="A5691" t="s">
        <v>14264</v>
      </c>
      <c r="B5691" t="s">
        <v>7657</v>
      </c>
      <c r="C5691" t="str">
        <f>HYPERLINK("https://nematode.unl.edu/macurv102.jpg")</f>
        <v>https://nematode.unl.edu/macurv102.jpg</v>
      </c>
      <c r="D5691" t="s">
        <v>16</v>
      </c>
      <c r="G5691" t="s">
        <v>34</v>
      </c>
      <c r="H5691" t="s">
        <v>18</v>
      </c>
      <c r="I5691" t="s">
        <v>41</v>
      </c>
      <c r="J5691" t="s">
        <v>46</v>
      </c>
      <c r="M5691" t="s">
        <v>1233</v>
      </c>
      <c r="N5691" t="s">
        <v>1233</v>
      </c>
      <c r="O5691" t="s">
        <v>23</v>
      </c>
      <c r="P5691" t="s">
        <v>24</v>
      </c>
      <c r="Q5691" t="s">
        <v>642</v>
      </c>
      <c r="R5691" t="s">
        <v>1214</v>
      </c>
    </row>
    <row r="5692" spans="1:18" x14ac:dyDescent="0.25">
      <c r="A5692" t="s">
        <v>14591</v>
      </c>
      <c r="B5692" t="s">
        <v>7658</v>
      </c>
      <c r="C5692" t="str">
        <f>HYPERLINK("https://nematode.unl.edu/macurv103.jpg")</f>
        <v>https://nematode.unl.edu/macurv103.jpg</v>
      </c>
      <c r="D5692" t="s">
        <v>16</v>
      </c>
      <c r="G5692" t="s">
        <v>28</v>
      </c>
      <c r="I5692" t="s">
        <v>41</v>
      </c>
      <c r="J5692" t="s">
        <v>46</v>
      </c>
      <c r="M5692" t="s">
        <v>1233</v>
      </c>
      <c r="N5692" t="s">
        <v>1233</v>
      </c>
      <c r="O5692" t="s">
        <v>23</v>
      </c>
      <c r="P5692" t="s">
        <v>24</v>
      </c>
      <c r="Q5692" t="s">
        <v>642</v>
      </c>
      <c r="R5692" t="s">
        <v>1214</v>
      </c>
    </row>
    <row r="5693" spans="1:18" x14ac:dyDescent="0.25">
      <c r="A5693" t="s">
        <v>14265</v>
      </c>
      <c r="B5693" t="s">
        <v>7659</v>
      </c>
      <c r="C5693" t="str">
        <f>HYPERLINK("https://nematode.unl.edu/macurv11.jpg")</f>
        <v>https://nematode.unl.edu/macurv11.jpg</v>
      </c>
      <c r="D5693" t="s">
        <v>43</v>
      </c>
      <c r="G5693" t="s">
        <v>34</v>
      </c>
      <c r="H5693" t="s">
        <v>18</v>
      </c>
      <c r="I5693" t="s">
        <v>41</v>
      </c>
      <c r="J5693" t="s">
        <v>46</v>
      </c>
      <c r="M5693" t="s">
        <v>1233</v>
      </c>
      <c r="N5693" t="s">
        <v>1233</v>
      </c>
      <c r="O5693" t="s">
        <v>23</v>
      </c>
      <c r="P5693" t="s">
        <v>24</v>
      </c>
      <c r="Q5693" t="s">
        <v>642</v>
      </c>
      <c r="R5693" t="s">
        <v>1214</v>
      </c>
    </row>
    <row r="5694" spans="1:18" x14ac:dyDescent="0.25">
      <c r="A5694" t="s">
        <v>14592</v>
      </c>
      <c r="B5694" t="s">
        <v>7660</v>
      </c>
      <c r="C5694" t="str">
        <f>HYPERLINK("https://nematode.unl.edu/macurv12.jpg")</f>
        <v>https://nematode.unl.edu/macurv12.jpg</v>
      </c>
      <c r="D5694" t="s">
        <v>43</v>
      </c>
      <c r="G5694" t="s">
        <v>28</v>
      </c>
      <c r="I5694" t="s">
        <v>41</v>
      </c>
      <c r="J5694" t="s">
        <v>46</v>
      </c>
      <c r="M5694" t="s">
        <v>1233</v>
      </c>
      <c r="N5694" t="s">
        <v>1233</v>
      </c>
      <c r="O5694" t="s">
        <v>23</v>
      </c>
      <c r="P5694" t="s">
        <v>24</v>
      </c>
      <c r="Q5694" t="s">
        <v>642</v>
      </c>
      <c r="R5694" t="s">
        <v>1214</v>
      </c>
    </row>
    <row r="5695" spans="1:18" x14ac:dyDescent="0.25">
      <c r="A5695" t="s">
        <v>14416</v>
      </c>
      <c r="B5695" t="s">
        <v>7661</v>
      </c>
      <c r="C5695" t="str">
        <f>HYPERLINK("https://nematode.unl.edu/macurv13.jpg")</f>
        <v>https://nematode.unl.edu/macurv13.jpg</v>
      </c>
      <c r="D5695" t="s">
        <v>43</v>
      </c>
      <c r="G5695" t="s">
        <v>44</v>
      </c>
      <c r="I5695" t="s">
        <v>19</v>
      </c>
      <c r="J5695" t="s">
        <v>46</v>
      </c>
      <c r="M5695" t="s">
        <v>1233</v>
      </c>
      <c r="N5695" t="s">
        <v>1233</v>
      </c>
      <c r="O5695" t="s">
        <v>23</v>
      </c>
      <c r="P5695" t="s">
        <v>24</v>
      </c>
      <c r="Q5695" t="s">
        <v>642</v>
      </c>
      <c r="R5695" t="s">
        <v>1214</v>
      </c>
    </row>
    <row r="5696" spans="1:18" x14ac:dyDescent="0.25">
      <c r="A5696" t="s">
        <v>14593</v>
      </c>
      <c r="B5696" t="s">
        <v>7662</v>
      </c>
      <c r="C5696" t="str">
        <f>HYPERLINK("https://nematode.unl.edu/macurv14.jpg")</f>
        <v>https://nematode.unl.edu/macurv14.jpg</v>
      </c>
      <c r="D5696" t="s">
        <v>43</v>
      </c>
      <c r="G5696" t="s">
        <v>28</v>
      </c>
      <c r="I5696" t="s">
        <v>41</v>
      </c>
      <c r="J5696" t="s">
        <v>46</v>
      </c>
      <c r="M5696" t="s">
        <v>1233</v>
      </c>
      <c r="N5696" t="s">
        <v>1233</v>
      </c>
      <c r="O5696" t="s">
        <v>23</v>
      </c>
      <c r="P5696" t="s">
        <v>24</v>
      </c>
      <c r="Q5696" t="s">
        <v>642</v>
      </c>
      <c r="R5696" t="s">
        <v>1214</v>
      </c>
    </row>
    <row r="5697" spans="1:18" x14ac:dyDescent="0.25">
      <c r="A5697" t="s">
        <v>14594</v>
      </c>
      <c r="B5697" t="s">
        <v>7663</v>
      </c>
      <c r="C5697" t="str">
        <f>HYPERLINK("https://nematode.unl.edu/macurv15.jpg")</f>
        <v>https://nematode.unl.edu/macurv15.jpg</v>
      </c>
      <c r="D5697" t="s">
        <v>43</v>
      </c>
      <c r="G5697" t="s">
        <v>28</v>
      </c>
      <c r="J5697" t="s">
        <v>46</v>
      </c>
      <c r="M5697" t="s">
        <v>1233</v>
      </c>
      <c r="N5697" t="s">
        <v>1233</v>
      </c>
      <c r="O5697" t="s">
        <v>23</v>
      </c>
      <c r="P5697" t="s">
        <v>24</v>
      </c>
      <c r="Q5697" t="s">
        <v>642</v>
      </c>
      <c r="R5697" t="s">
        <v>1214</v>
      </c>
    </row>
    <row r="5698" spans="1:18" x14ac:dyDescent="0.25">
      <c r="A5698" t="s">
        <v>14417</v>
      </c>
      <c r="B5698" t="s">
        <v>7664</v>
      </c>
      <c r="C5698" t="str">
        <f>HYPERLINK("https://nematode.unl.edu/macurv16.jpg")</f>
        <v>https://nematode.unl.edu/macurv16.jpg</v>
      </c>
      <c r="D5698" t="s">
        <v>43</v>
      </c>
      <c r="G5698" t="s">
        <v>44</v>
      </c>
      <c r="I5698" t="s">
        <v>41</v>
      </c>
      <c r="J5698" t="s">
        <v>46</v>
      </c>
      <c r="M5698" t="s">
        <v>1233</v>
      </c>
      <c r="N5698" t="s">
        <v>1233</v>
      </c>
      <c r="O5698" t="s">
        <v>23</v>
      </c>
      <c r="P5698" t="s">
        <v>24</v>
      </c>
      <c r="Q5698" t="s">
        <v>642</v>
      </c>
      <c r="R5698" t="s">
        <v>1214</v>
      </c>
    </row>
    <row r="5699" spans="1:18" x14ac:dyDescent="0.25">
      <c r="A5699" t="s">
        <v>14418</v>
      </c>
      <c r="B5699" t="s">
        <v>7665</v>
      </c>
      <c r="C5699" t="str">
        <f>HYPERLINK("https://nematode.unl.edu/macurv17.jpg")</f>
        <v>https://nematode.unl.edu/macurv17.jpg</v>
      </c>
      <c r="D5699" t="s">
        <v>43</v>
      </c>
      <c r="G5699" t="s">
        <v>44</v>
      </c>
      <c r="I5699" t="s">
        <v>19</v>
      </c>
      <c r="J5699" t="s">
        <v>46</v>
      </c>
      <c r="M5699" t="s">
        <v>1233</v>
      </c>
      <c r="N5699" t="s">
        <v>1233</v>
      </c>
      <c r="O5699" t="s">
        <v>23</v>
      </c>
      <c r="P5699" t="s">
        <v>24</v>
      </c>
      <c r="Q5699" t="s">
        <v>642</v>
      </c>
      <c r="R5699" t="s">
        <v>1214</v>
      </c>
    </row>
    <row r="5700" spans="1:18" x14ac:dyDescent="0.25">
      <c r="A5700" t="s">
        <v>14266</v>
      </c>
      <c r="B5700" t="s">
        <v>7666</v>
      </c>
      <c r="C5700" t="str">
        <f>HYPERLINK("https://nematode.unl.edu/macurv18.jpg")</f>
        <v>https://nematode.unl.edu/macurv18.jpg</v>
      </c>
      <c r="D5700" t="s">
        <v>43</v>
      </c>
      <c r="G5700" t="s">
        <v>34</v>
      </c>
      <c r="H5700" t="s">
        <v>18</v>
      </c>
      <c r="I5700" t="s">
        <v>41</v>
      </c>
      <c r="J5700" t="s">
        <v>46</v>
      </c>
      <c r="M5700" t="s">
        <v>1233</v>
      </c>
      <c r="N5700" t="s">
        <v>1233</v>
      </c>
      <c r="O5700" t="s">
        <v>23</v>
      </c>
      <c r="P5700" t="s">
        <v>24</v>
      </c>
      <c r="Q5700" t="s">
        <v>642</v>
      </c>
      <c r="R5700" t="s">
        <v>1214</v>
      </c>
    </row>
    <row r="5701" spans="1:18" x14ac:dyDescent="0.25">
      <c r="A5701" t="s">
        <v>14595</v>
      </c>
      <c r="B5701" t="s">
        <v>7667</v>
      </c>
      <c r="C5701" t="str">
        <f>HYPERLINK("https://nematode.unl.edu/macurv19.jpg")</f>
        <v>https://nematode.unl.edu/macurv19.jpg</v>
      </c>
      <c r="D5701" t="s">
        <v>43</v>
      </c>
      <c r="G5701" t="s">
        <v>28</v>
      </c>
      <c r="I5701" t="s">
        <v>41</v>
      </c>
      <c r="J5701" t="s">
        <v>46</v>
      </c>
      <c r="M5701" t="s">
        <v>1233</v>
      </c>
      <c r="N5701" t="s">
        <v>1233</v>
      </c>
      <c r="O5701" t="s">
        <v>23</v>
      </c>
      <c r="P5701" t="s">
        <v>24</v>
      </c>
      <c r="Q5701" t="s">
        <v>642</v>
      </c>
      <c r="R5701" t="s">
        <v>1214</v>
      </c>
    </row>
    <row r="5702" spans="1:18" x14ac:dyDescent="0.25">
      <c r="A5702" t="s">
        <v>14803</v>
      </c>
      <c r="B5702" t="s">
        <v>8179</v>
      </c>
      <c r="C5702" t="str">
        <f>HYPERLINK("https://nematode.unl.edu/macurv2.jpg")</f>
        <v>https://nematode.unl.edu/macurv2.jpg</v>
      </c>
      <c r="D5702" t="s">
        <v>43</v>
      </c>
      <c r="G5702" t="s">
        <v>34</v>
      </c>
      <c r="H5702" t="s">
        <v>18</v>
      </c>
      <c r="I5702" t="s">
        <v>41</v>
      </c>
      <c r="M5702" t="s">
        <v>8133</v>
      </c>
      <c r="N5702" t="s">
        <v>8133</v>
      </c>
      <c r="O5702" t="s">
        <v>23</v>
      </c>
      <c r="P5702" t="s">
        <v>24</v>
      </c>
      <c r="Q5702" t="s">
        <v>642</v>
      </c>
      <c r="R5702" t="s">
        <v>1214</v>
      </c>
    </row>
    <row r="5703" spans="1:18" x14ac:dyDescent="0.25">
      <c r="A5703" t="s">
        <v>14267</v>
      </c>
      <c r="B5703" t="s">
        <v>7668</v>
      </c>
      <c r="C5703" t="str">
        <f>HYPERLINK("https://nematode.unl.edu/macurv20.jpg")</f>
        <v>https://nematode.unl.edu/macurv20.jpg</v>
      </c>
      <c r="D5703" t="s">
        <v>43</v>
      </c>
      <c r="G5703" t="s">
        <v>34</v>
      </c>
      <c r="H5703" t="s">
        <v>18</v>
      </c>
      <c r="I5703" t="s">
        <v>41</v>
      </c>
      <c r="J5703" t="s">
        <v>46</v>
      </c>
      <c r="M5703" t="s">
        <v>1233</v>
      </c>
      <c r="N5703" t="s">
        <v>1233</v>
      </c>
      <c r="O5703" t="s">
        <v>23</v>
      </c>
      <c r="P5703" t="s">
        <v>24</v>
      </c>
      <c r="Q5703" t="s">
        <v>642</v>
      </c>
      <c r="R5703" t="s">
        <v>1214</v>
      </c>
    </row>
    <row r="5704" spans="1:18" x14ac:dyDescent="0.25">
      <c r="A5704" t="s">
        <v>14596</v>
      </c>
      <c r="B5704" t="s">
        <v>7669</v>
      </c>
      <c r="C5704" t="str">
        <f>HYPERLINK("https://nematode.unl.edu/macurv21.jpg")</f>
        <v>https://nematode.unl.edu/macurv21.jpg</v>
      </c>
      <c r="D5704" t="s">
        <v>43</v>
      </c>
      <c r="G5704" t="s">
        <v>28</v>
      </c>
      <c r="I5704" t="s">
        <v>41</v>
      </c>
      <c r="J5704" t="s">
        <v>46</v>
      </c>
      <c r="M5704" t="s">
        <v>1233</v>
      </c>
      <c r="N5704" t="s">
        <v>1233</v>
      </c>
      <c r="O5704" t="s">
        <v>23</v>
      </c>
      <c r="P5704" t="s">
        <v>24</v>
      </c>
      <c r="Q5704" t="s">
        <v>642</v>
      </c>
      <c r="R5704" t="s">
        <v>1214</v>
      </c>
    </row>
    <row r="5705" spans="1:18" x14ac:dyDescent="0.25">
      <c r="A5705" t="s">
        <v>14419</v>
      </c>
      <c r="B5705" t="s">
        <v>7670</v>
      </c>
      <c r="C5705" t="str">
        <f>HYPERLINK("https://nematode.unl.edu/macurv22.jpg")</f>
        <v>https://nematode.unl.edu/macurv22.jpg</v>
      </c>
      <c r="D5705" t="s">
        <v>43</v>
      </c>
      <c r="G5705" t="s">
        <v>44</v>
      </c>
      <c r="I5705" t="s">
        <v>19</v>
      </c>
      <c r="J5705" t="s">
        <v>46</v>
      </c>
      <c r="M5705" t="s">
        <v>1233</v>
      </c>
      <c r="N5705" t="s">
        <v>1233</v>
      </c>
      <c r="O5705" t="s">
        <v>23</v>
      </c>
      <c r="P5705" t="s">
        <v>24</v>
      </c>
      <c r="Q5705" t="s">
        <v>642</v>
      </c>
      <c r="R5705" t="s">
        <v>1214</v>
      </c>
    </row>
    <row r="5706" spans="1:18" x14ac:dyDescent="0.25">
      <c r="A5706" t="s">
        <v>14268</v>
      </c>
      <c r="B5706" t="s">
        <v>7671</v>
      </c>
      <c r="C5706" t="str">
        <f>HYPERLINK("https://nematode.unl.edu/macurv23.jpg")</f>
        <v>https://nematode.unl.edu/macurv23.jpg</v>
      </c>
      <c r="D5706" t="s">
        <v>43</v>
      </c>
      <c r="G5706" t="s">
        <v>34</v>
      </c>
      <c r="H5706" t="s">
        <v>18</v>
      </c>
      <c r="I5706" t="s">
        <v>41</v>
      </c>
      <c r="M5706" t="s">
        <v>1233</v>
      </c>
      <c r="N5706" t="s">
        <v>1233</v>
      </c>
      <c r="O5706" t="s">
        <v>23</v>
      </c>
      <c r="P5706" t="s">
        <v>24</v>
      </c>
      <c r="Q5706" t="s">
        <v>642</v>
      </c>
      <c r="R5706" t="s">
        <v>1214</v>
      </c>
    </row>
    <row r="5707" spans="1:18" x14ac:dyDescent="0.25">
      <c r="A5707" t="s">
        <v>14597</v>
      </c>
      <c r="B5707" t="s">
        <v>7672</v>
      </c>
      <c r="C5707" t="str">
        <f>HYPERLINK("https://nematode.unl.edu/macurv24.jpg")</f>
        <v>https://nematode.unl.edu/macurv24.jpg</v>
      </c>
      <c r="D5707" t="s">
        <v>43</v>
      </c>
      <c r="G5707" t="s">
        <v>28</v>
      </c>
      <c r="I5707" t="s">
        <v>41</v>
      </c>
      <c r="M5707" t="s">
        <v>1233</v>
      </c>
      <c r="N5707" t="s">
        <v>1233</v>
      </c>
      <c r="O5707" t="s">
        <v>23</v>
      </c>
      <c r="P5707" t="s">
        <v>24</v>
      </c>
      <c r="Q5707" t="s">
        <v>642</v>
      </c>
      <c r="R5707" t="s">
        <v>1214</v>
      </c>
    </row>
    <row r="5708" spans="1:18" x14ac:dyDescent="0.25">
      <c r="A5708" t="s">
        <v>14420</v>
      </c>
      <c r="B5708" t="s">
        <v>7673</v>
      </c>
      <c r="C5708" t="str">
        <f>HYPERLINK("https://nematode.unl.edu/macurv25.jpg")</f>
        <v>https://nematode.unl.edu/macurv25.jpg</v>
      </c>
      <c r="D5708" t="s">
        <v>43</v>
      </c>
      <c r="G5708" t="s">
        <v>44</v>
      </c>
      <c r="I5708" t="s">
        <v>19</v>
      </c>
      <c r="J5708" t="s">
        <v>46</v>
      </c>
      <c r="M5708" t="s">
        <v>1233</v>
      </c>
      <c r="N5708" t="s">
        <v>1233</v>
      </c>
      <c r="O5708" t="s">
        <v>23</v>
      </c>
      <c r="P5708" t="s">
        <v>24</v>
      </c>
      <c r="Q5708" t="s">
        <v>642</v>
      </c>
      <c r="R5708" t="s">
        <v>1214</v>
      </c>
    </row>
    <row r="5709" spans="1:18" x14ac:dyDescent="0.25">
      <c r="A5709" t="s">
        <v>14269</v>
      </c>
      <c r="B5709" t="s">
        <v>7674</v>
      </c>
      <c r="C5709" t="str">
        <f>HYPERLINK("https://nematode.unl.edu/macurv26.jpg")</f>
        <v>https://nematode.unl.edu/macurv26.jpg</v>
      </c>
      <c r="D5709" t="s">
        <v>43</v>
      </c>
      <c r="G5709" t="s">
        <v>34</v>
      </c>
      <c r="H5709" t="s">
        <v>18</v>
      </c>
      <c r="I5709" t="s">
        <v>41</v>
      </c>
      <c r="M5709" t="s">
        <v>1233</v>
      </c>
      <c r="N5709" t="s">
        <v>1233</v>
      </c>
      <c r="O5709" t="s">
        <v>23</v>
      </c>
      <c r="P5709" t="s">
        <v>24</v>
      </c>
      <c r="Q5709" t="s">
        <v>642</v>
      </c>
      <c r="R5709" t="s">
        <v>1214</v>
      </c>
    </row>
    <row r="5710" spans="1:18" x14ac:dyDescent="0.25">
      <c r="A5710" t="s">
        <v>14598</v>
      </c>
      <c r="B5710" t="s">
        <v>7675</v>
      </c>
      <c r="C5710" t="str">
        <f>HYPERLINK("https://nematode.unl.edu/macurv27.jpg")</f>
        <v>https://nematode.unl.edu/macurv27.jpg</v>
      </c>
      <c r="D5710" t="s">
        <v>43</v>
      </c>
      <c r="G5710" t="s">
        <v>28</v>
      </c>
      <c r="M5710" t="s">
        <v>1233</v>
      </c>
      <c r="N5710" t="s">
        <v>1233</v>
      </c>
      <c r="O5710" t="s">
        <v>23</v>
      </c>
      <c r="P5710" t="s">
        <v>24</v>
      </c>
      <c r="Q5710" t="s">
        <v>642</v>
      </c>
      <c r="R5710" t="s">
        <v>1214</v>
      </c>
    </row>
    <row r="5711" spans="1:18" x14ac:dyDescent="0.25">
      <c r="A5711" t="s">
        <v>14421</v>
      </c>
      <c r="B5711" t="s">
        <v>7676</v>
      </c>
      <c r="C5711" t="str">
        <f>HYPERLINK("https://nematode.unl.edu/macurv28.jpg")</f>
        <v>https://nematode.unl.edu/macurv28.jpg</v>
      </c>
      <c r="D5711" t="s">
        <v>43</v>
      </c>
      <c r="G5711" t="s">
        <v>44</v>
      </c>
      <c r="I5711" t="s">
        <v>516</v>
      </c>
      <c r="J5711" t="s">
        <v>46</v>
      </c>
      <c r="M5711" t="s">
        <v>1233</v>
      </c>
      <c r="N5711" t="s">
        <v>1233</v>
      </c>
      <c r="O5711" t="s">
        <v>23</v>
      </c>
      <c r="P5711" t="s">
        <v>24</v>
      </c>
      <c r="Q5711" t="s">
        <v>642</v>
      </c>
      <c r="R5711" t="s">
        <v>1214</v>
      </c>
    </row>
    <row r="5712" spans="1:18" x14ac:dyDescent="0.25">
      <c r="A5712" t="s">
        <v>14270</v>
      </c>
      <c r="B5712" t="s">
        <v>7677</v>
      </c>
      <c r="C5712" t="str">
        <f>HYPERLINK("https://nematode.unl.edu/macurv29.jpg")</f>
        <v>https://nematode.unl.edu/macurv29.jpg</v>
      </c>
      <c r="D5712" t="s">
        <v>43</v>
      </c>
      <c r="G5712" t="s">
        <v>34</v>
      </c>
      <c r="H5712" t="s">
        <v>18</v>
      </c>
      <c r="I5712" t="s">
        <v>41</v>
      </c>
      <c r="M5712" t="s">
        <v>1233</v>
      </c>
      <c r="N5712" t="s">
        <v>1233</v>
      </c>
      <c r="O5712" t="s">
        <v>23</v>
      </c>
      <c r="P5712" t="s">
        <v>24</v>
      </c>
      <c r="Q5712" t="s">
        <v>642</v>
      </c>
      <c r="R5712" t="s">
        <v>1214</v>
      </c>
    </row>
    <row r="5713" spans="1:18" x14ac:dyDescent="0.25">
      <c r="A5713" t="s">
        <v>14894</v>
      </c>
      <c r="B5713" t="s">
        <v>8180</v>
      </c>
      <c r="C5713" t="str">
        <f>HYPERLINK("https://nematode.unl.edu/macurv3.jpg")</f>
        <v>https://nematode.unl.edu/macurv3.jpg</v>
      </c>
      <c r="D5713" t="s">
        <v>43</v>
      </c>
      <c r="G5713" t="s">
        <v>28</v>
      </c>
      <c r="I5713" t="s">
        <v>41</v>
      </c>
      <c r="M5713" t="s">
        <v>8133</v>
      </c>
      <c r="N5713" t="s">
        <v>8133</v>
      </c>
      <c r="O5713" t="s">
        <v>23</v>
      </c>
      <c r="P5713" t="s">
        <v>24</v>
      </c>
      <c r="Q5713" t="s">
        <v>642</v>
      </c>
      <c r="R5713" t="s">
        <v>1214</v>
      </c>
    </row>
    <row r="5714" spans="1:18" x14ac:dyDescent="0.25">
      <c r="A5714" t="s">
        <v>14599</v>
      </c>
      <c r="B5714" t="s">
        <v>7678</v>
      </c>
      <c r="C5714" t="str">
        <f>HYPERLINK("https://nematode.unl.edu/macurv30.jpg")</f>
        <v>https://nematode.unl.edu/macurv30.jpg</v>
      </c>
      <c r="D5714" t="s">
        <v>43</v>
      </c>
      <c r="G5714" t="s">
        <v>28</v>
      </c>
      <c r="I5714" t="s">
        <v>41</v>
      </c>
      <c r="J5714" t="s">
        <v>46</v>
      </c>
      <c r="M5714" t="s">
        <v>1233</v>
      </c>
      <c r="N5714" t="s">
        <v>1233</v>
      </c>
      <c r="O5714" t="s">
        <v>23</v>
      </c>
      <c r="P5714" t="s">
        <v>24</v>
      </c>
      <c r="Q5714" t="s">
        <v>642</v>
      </c>
      <c r="R5714" t="s">
        <v>1214</v>
      </c>
    </row>
    <row r="5715" spans="1:18" x14ac:dyDescent="0.25">
      <c r="A5715" t="s">
        <v>14542</v>
      </c>
      <c r="B5715" t="s">
        <v>7679</v>
      </c>
      <c r="C5715" t="str">
        <f>HYPERLINK("https://nematode.unl.edu/macurv31.jpg")</f>
        <v>https://nematode.unl.edu/macurv31.jpg</v>
      </c>
      <c r="D5715" t="s">
        <v>43</v>
      </c>
      <c r="G5715" t="s">
        <v>4041</v>
      </c>
      <c r="I5715" t="s">
        <v>41</v>
      </c>
      <c r="J5715" t="s">
        <v>46</v>
      </c>
      <c r="M5715" t="s">
        <v>1233</v>
      </c>
      <c r="N5715" t="s">
        <v>1233</v>
      </c>
      <c r="O5715" t="s">
        <v>23</v>
      </c>
      <c r="P5715" t="s">
        <v>24</v>
      </c>
      <c r="Q5715" t="s">
        <v>642</v>
      </c>
      <c r="R5715" t="s">
        <v>1214</v>
      </c>
    </row>
    <row r="5716" spans="1:18" x14ac:dyDescent="0.25">
      <c r="A5716" t="s">
        <v>14422</v>
      </c>
      <c r="B5716" t="s">
        <v>7680</v>
      </c>
      <c r="C5716" t="str">
        <f>HYPERLINK("https://nematode.unl.edu/macurv32.jpg")</f>
        <v>https://nematode.unl.edu/macurv32.jpg</v>
      </c>
      <c r="D5716" t="s">
        <v>43</v>
      </c>
      <c r="G5716" t="s">
        <v>44</v>
      </c>
      <c r="I5716" t="s">
        <v>41</v>
      </c>
      <c r="M5716" t="s">
        <v>1233</v>
      </c>
      <c r="N5716" t="s">
        <v>1233</v>
      </c>
      <c r="O5716" t="s">
        <v>23</v>
      </c>
      <c r="P5716" t="s">
        <v>24</v>
      </c>
      <c r="Q5716" t="s">
        <v>642</v>
      </c>
      <c r="R5716" t="s">
        <v>1214</v>
      </c>
    </row>
    <row r="5717" spans="1:18" x14ac:dyDescent="0.25">
      <c r="A5717" t="s">
        <v>14423</v>
      </c>
      <c r="B5717" t="s">
        <v>7681</v>
      </c>
      <c r="C5717" t="str">
        <f>HYPERLINK("https://nematode.unl.edu/macurv33.jpg")</f>
        <v>https://nematode.unl.edu/macurv33.jpg</v>
      </c>
      <c r="D5717" t="s">
        <v>43</v>
      </c>
      <c r="G5717" t="s">
        <v>44</v>
      </c>
      <c r="I5717" t="s">
        <v>19</v>
      </c>
      <c r="J5717" t="s">
        <v>46</v>
      </c>
      <c r="M5717" t="s">
        <v>1233</v>
      </c>
      <c r="N5717" t="s">
        <v>1233</v>
      </c>
      <c r="O5717" t="s">
        <v>23</v>
      </c>
      <c r="P5717" t="s">
        <v>24</v>
      </c>
      <c r="Q5717" t="s">
        <v>642</v>
      </c>
      <c r="R5717" t="s">
        <v>1214</v>
      </c>
    </row>
    <row r="5718" spans="1:18" x14ac:dyDescent="0.25">
      <c r="A5718" t="s">
        <v>14271</v>
      </c>
      <c r="B5718" t="s">
        <v>7682</v>
      </c>
      <c r="C5718" t="str">
        <f>HYPERLINK("https://nematode.unl.edu/macurv34.jpg")</f>
        <v>https://nematode.unl.edu/macurv34.jpg</v>
      </c>
      <c r="D5718" t="s">
        <v>43</v>
      </c>
      <c r="G5718" t="s">
        <v>34</v>
      </c>
      <c r="H5718" t="s">
        <v>18</v>
      </c>
      <c r="I5718" t="s">
        <v>41</v>
      </c>
      <c r="M5718" t="s">
        <v>1233</v>
      </c>
      <c r="N5718" t="s">
        <v>1233</v>
      </c>
      <c r="O5718" t="s">
        <v>23</v>
      </c>
      <c r="P5718" t="s">
        <v>24</v>
      </c>
      <c r="Q5718" t="s">
        <v>642</v>
      </c>
      <c r="R5718" t="s">
        <v>1214</v>
      </c>
    </row>
    <row r="5719" spans="1:18" x14ac:dyDescent="0.25">
      <c r="A5719" t="s">
        <v>14600</v>
      </c>
      <c r="B5719" t="s">
        <v>7683</v>
      </c>
      <c r="C5719" t="str">
        <f>HYPERLINK("https://nematode.unl.edu/macurv35.jpg")</f>
        <v>https://nematode.unl.edu/macurv35.jpg</v>
      </c>
      <c r="D5719" t="s">
        <v>43</v>
      </c>
      <c r="G5719" t="s">
        <v>28</v>
      </c>
      <c r="I5719" t="s">
        <v>41</v>
      </c>
      <c r="M5719" t="s">
        <v>1233</v>
      </c>
      <c r="N5719" t="s">
        <v>1233</v>
      </c>
      <c r="O5719" t="s">
        <v>23</v>
      </c>
      <c r="P5719" t="s">
        <v>24</v>
      </c>
      <c r="Q5719" t="s">
        <v>642</v>
      </c>
      <c r="R5719" t="s">
        <v>1214</v>
      </c>
    </row>
    <row r="5720" spans="1:18" x14ac:dyDescent="0.25">
      <c r="A5720" t="s">
        <v>14424</v>
      </c>
      <c r="B5720" t="s">
        <v>7684</v>
      </c>
      <c r="C5720" t="str">
        <f>HYPERLINK("https://nematode.unl.edu/macurv36.jpg")</f>
        <v>https://nematode.unl.edu/macurv36.jpg</v>
      </c>
      <c r="D5720" t="s">
        <v>43</v>
      </c>
      <c r="G5720" t="s">
        <v>44</v>
      </c>
      <c r="I5720" t="s">
        <v>41</v>
      </c>
      <c r="M5720" t="s">
        <v>1233</v>
      </c>
      <c r="N5720" t="s">
        <v>1233</v>
      </c>
      <c r="O5720" t="s">
        <v>23</v>
      </c>
      <c r="P5720" t="s">
        <v>24</v>
      </c>
      <c r="Q5720" t="s">
        <v>642</v>
      </c>
      <c r="R5720" t="s">
        <v>1214</v>
      </c>
    </row>
    <row r="5721" spans="1:18" x14ac:dyDescent="0.25">
      <c r="A5721" t="s">
        <v>14425</v>
      </c>
      <c r="B5721" t="s">
        <v>7685</v>
      </c>
      <c r="C5721" t="str">
        <f>HYPERLINK("https://nematode.unl.edu/macurv37.jpg")</f>
        <v>https://nematode.unl.edu/macurv37.jpg</v>
      </c>
      <c r="D5721" t="s">
        <v>43</v>
      </c>
      <c r="G5721" t="s">
        <v>44</v>
      </c>
      <c r="I5721" t="s">
        <v>19</v>
      </c>
      <c r="J5721" t="s">
        <v>46</v>
      </c>
      <c r="L5721" t="s">
        <v>105</v>
      </c>
      <c r="M5721" t="s">
        <v>1233</v>
      </c>
      <c r="N5721" t="s">
        <v>1233</v>
      </c>
      <c r="O5721" t="s">
        <v>23</v>
      </c>
      <c r="P5721" t="s">
        <v>24</v>
      </c>
      <c r="Q5721" t="s">
        <v>642</v>
      </c>
      <c r="R5721" t="s">
        <v>1214</v>
      </c>
    </row>
    <row r="5722" spans="1:18" x14ac:dyDescent="0.25">
      <c r="A5722" t="s">
        <v>14272</v>
      </c>
      <c r="B5722" t="s">
        <v>7686</v>
      </c>
      <c r="C5722" t="str">
        <f>HYPERLINK("https://nematode.unl.edu/macurv38.jpg")</f>
        <v>https://nematode.unl.edu/macurv38.jpg</v>
      </c>
      <c r="D5722" t="s">
        <v>43</v>
      </c>
      <c r="G5722" t="s">
        <v>34</v>
      </c>
      <c r="H5722" t="s">
        <v>18</v>
      </c>
      <c r="I5722" t="s">
        <v>41</v>
      </c>
      <c r="M5722" t="s">
        <v>1233</v>
      </c>
      <c r="N5722" t="s">
        <v>1233</v>
      </c>
      <c r="O5722" t="s">
        <v>23</v>
      </c>
      <c r="P5722" t="s">
        <v>24</v>
      </c>
      <c r="Q5722" t="s">
        <v>642</v>
      </c>
      <c r="R5722" t="s">
        <v>1214</v>
      </c>
    </row>
    <row r="5723" spans="1:18" x14ac:dyDescent="0.25">
      <c r="A5723" t="s">
        <v>14601</v>
      </c>
      <c r="B5723" t="s">
        <v>7687</v>
      </c>
      <c r="C5723" t="str">
        <f>HYPERLINK("https://nematode.unl.edu/macurv39.jpg")</f>
        <v>https://nematode.unl.edu/macurv39.jpg</v>
      </c>
      <c r="D5723" t="s">
        <v>43</v>
      </c>
      <c r="G5723" t="s">
        <v>28</v>
      </c>
      <c r="I5723" t="s">
        <v>41</v>
      </c>
      <c r="M5723" t="s">
        <v>1233</v>
      </c>
      <c r="N5723" t="s">
        <v>1233</v>
      </c>
      <c r="O5723" t="s">
        <v>23</v>
      </c>
      <c r="P5723" t="s">
        <v>24</v>
      </c>
      <c r="Q5723" t="s">
        <v>642</v>
      </c>
      <c r="R5723" t="s">
        <v>1214</v>
      </c>
    </row>
    <row r="5724" spans="1:18" x14ac:dyDescent="0.25">
      <c r="A5724" t="s">
        <v>14804</v>
      </c>
      <c r="B5724" t="s">
        <v>8181</v>
      </c>
      <c r="C5724" t="str">
        <f>HYPERLINK("https://nematode.unl.edu/macurv4.jpg")</f>
        <v>https://nematode.unl.edu/macurv4.jpg</v>
      </c>
      <c r="D5724" t="s">
        <v>43</v>
      </c>
      <c r="G5724" t="s">
        <v>34</v>
      </c>
      <c r="H5724" t="s">
        <v>18</v>
      </c>
      <c r="I5724" t="s">
        <v>41</v>
      </c>
      <c r="J5724" t="s">
        <v>46</v>
      </c>
      <c r="M5724" t="s">
        <v>8133</v>
      </c>
      <c r="N5724" t="s">
        <v>8133</v>
      </c>
      <c r="O5724" t="s">
        <v>23</v>
      </c>
      <c r="P5724" t="s">
        <v>24</v>
      </c>
      <c r="Q5724" t="s">
        <v>642</v>
      </c>
      <c r="R5724" t="s">
        <v>1214</v>
      </c>
    </row>
    <row r="5725" spans="1:18" x14ac:dyDescent="0.25">
      <c r="A5725" t="s">
        <v>14602</v>
      </c>
      <c r="B5725" t="s">
        <v>7688</v>
      </c>
      <c r="C5725" t="str">
        <f>HYPERLINK("https://nematode.unl.edu/macurv40.jpg")</f>
        <v>https://nematode.unl.edu/macurv40.jpg</v>
      </c>
      <c r="D5725" t="s">
        <v>43</v>
      </c>
      <c r="G5725" t="s">
        <v>28</v>
      </c>
      <c r="I5725" t="s">
        <v>41</v>
      </c>
      <c r="M5725" t="s">
        <v>1233</v>
      </c>
      <c r="N5725" t="s">
        <v>1233</v>
      </c>
      <c r="O5725" t="s">
        <v>23</v>
      </c>
      <c r="P5725" t="s">
        <v>24</v>
      </c>
      <c r="Q5725" t="s">
        <v>642</v>
      </c>
      <c r="R5725" t="s">
        <v>1214</v>
      </c>
    </row>
    <row r="5726" spans="1:18" x14ac:dyDescent="0.25">
      <c r="A5726" t="s">
        <v>14712</v>
      </c>
      <c r="B5726" t="s">
        <v>7689</v>
      </c>
      <c r="C5726" t="str">
        <f>HYPERLINK("https://nematode.unl.edu/macurv41.jpg")</f>
        <v>https://nematode.unl.edu/macurv41.jpg</v>
      </c>
      <c r="D5726" t="s">
        <v>43</v>
      </c>
      <c r="G5726" t="s">
        <v>51</v>
      </c>
      <c r="M5726" t="s">
        <v>1233</v>
      </c>
      <c r="N5726" t="s">
        <v>1233</v>
      </c>
      <c r="O5726" t="s">
        <v>23</v>
      </c>
      <c r="P5726" t="s">
        <v>24</v>
      </c>
      <c r="Q5726" t="s">
        <v>642</v>
      </c>
      <c r="R5726" t="s">
        <v>1214</v>
      </c>
    </row>
    <row r="5727" spans="1:18" x14ac:dyDescent="0.25">
      <c r="A5727" t="s">
        <v>14273</v>
      </c>
      <c r="B5727" t="s">
        <v>7690</v>
      </c>
      <c r="C5727" t="str">
        <f>HYPERLINK("https://nematode.unl.edu/macurv42.jpg")</f>
        <v>https://nematode.unl.edu/macurv42.jpg</v>
      </c>
      <c r="D5727" t="s">
        <v>16</v>
      </c>
      <c r="G5727" t="s">
        <v>34</v>
      </c>
      <c r="H5727" t="s">
        <v>18</v>
      </c>
      <c r="I5727" t="s">
        <v>19</v>
      </c>
      <c r="M5727" t="s">
        <v>1233</v>
      </c>
      <c r="N5727" t="s">
        <v>1233</v>
      </c>
      <c r="O5727" t="s">
        <v>23</v>
      </c>
      <c r="P5727" t="s">
        <v>24</v>
      </c>
      <c r="Q5727" t="s">
        <v>642</v>
      </c>
      <c r="R5727" t="s">
        <v>1214</v>
      </c>
    </row>
    <row r="5728" spans="1:18" x14ac:dyDescent="0.25">
      <c r="A5728" t="s">
        <v>14603</v>
      </c>
      <c r="B5728" t="s">
        <v>7691</v>
      </c>
      <c r="C5728" t="str">
        <f>HYPERLINK("https://nematode.unl.edu/macurv43.jpg")</f>
        <v>https://nematode.unl.edu/macurv43.jpg</v>
      </c>
      <c r="D5728" t="s">
        <v>16</v>
      </c>
      <c r="G5728" t="s">
        <v>28</v>
      </c>
      <c r="M5728" t="s">
        <v>1233</v>
      </c>
      <c r="N5728" t="s">
        <v>1233</v>
      </c>
      <c r="O5728" t="s">
        <v>23</v>
      </c>
      <c r="P5728" t="s">
        <v>24</v>
      </c>
      <c r="Q5728" t="s">
        <v>642</v>
      </c>
      <c r="R5728" t="s">
        <v>1214</v>
      </c>
    </row>
    <row r="5729" spans="1:18" x14ac:dyDescent="0.25">
      <c r="A5729" t="s">
        <v>14535</v>
      </c>
      <c r="B5729" t="s">
        <v>7692</v>
      </c>
      <c r="C5729" t="str">
        <f>HYPERLINK("https://nematode.unl.edu/macurv44.jpg")</f>
        <v>https://nematode.unl.edu/macurv44.jpg</v>
      </c>
      <c r="D5729" t="s">
        <v>16</v>
      </c>
      <c r="G5729" t="s">
        <v>224</v>
      </c>
      <c r="I5729" t="s">
        <v>19</v>
      </c>
      <c r="M5729" t="s">
        <v>1233</v>
      </c>
      <c r="N5729" t="s">
        <v>1233</v>
      </c>
      <c r="O5729" t="s">
        <v>23</v>
      </c>
      <c r="P5729" t="s">
        <v>24</v>
      </c>
      <c r="Q5729" t="s">
        <v>642</v>
      </c>
      <c r="R5729" t="s">
        <v>1214</v>
      </c>
    </row>
    <row r="5730" spans="1:18" x14ac:dyDescent="0.25">
      <c r="A5730" t="s">
        <v>14274</v>
      </c>
      <c r="B5730" t="s">
        <v>7693</v>
      </c>
      <c r="C5730" t="str">
        <f>HYPERLINK("https://nematode.unl.edu/macurv45.jpg")</f>
        <v>https://nematode.unl.edu/macurv45.jpg</v>
      </c>
      <c r="D5730" t="s">
        <v>43</v>
      </c>
      <c r="G5730" t="s">
        <v>34</v>
      </c>
      <c r="H5730" t="s">
        <v>18</v>
      </c>
      <c r="I5730" t="s">
        <v>41</v>
      </c>
      <c r="M5730" t="s">
        <v>1233</v>
      </c>
      <c r="N5730" t="s">
        <v>1233</v>
      </c>
      <c r="O5730" t="s">
        <v>23</v>
      </c>
      <c r="P5730" t="s">
        <v>24</v>
      </c>
      <c r="Q5730" t="s">
        <v>642</v>
      </c>
      <c r="R5730" t="s">
        <v>1214</v>
      </c>
    </row>
    <row r="5731" spans="1:18" x14ac:dyDescent="0.25">
      <c r="A5731" t="s">
        <v>14604</v>
      </c>
      <c r="B5731" t="s">
        <v>7694</v>
      </c>
      <c r="C5731" t="str">
        <f>HYPERLINK("https://nematode.unl.edu/macurv46.jpg")</f>
        <v>https://nematode.unl.edu/macurv46.jpg</v>
      </c>
      <c r="D5731" t="s">
        <v>43</v>
      </c>
      <c r="G5731" t="s">
        <v>28</v>
      </c>
      <c r="I5731" t="s">
        <v>41</v>
      </c>
      <c r="M5731" t="s">
        <v>1233</v>
      </c>
      <c r="N5731" t="s">
        <v>1233</v>
      </c>
      <c r="O5731" t="s">
        <v>23</v>
      </c>
      <c r="P5731" t="s">
        <v>24</v>
      </c>
      <c r="Q5731" t="s">
        <v>642</v>
      </c>
      <c r="R5731" t="s">
        <v>1214</v>
      </c>
    </row>
    <row r="5732" spans="1:18" x14ac:dyDescent="0.25">
      <c r="A5732" t="s">
        <v>14713</v>
      </c>
      <c r="B5732" t="s">
        <v>7695</v>
      </c>
      <c r="C5732" t="str">
        <f>HYPERLINK("https://nematode.unl.edu/macurv47.jpg")</f>
        <v>https://nematode.unl.edu/macurv47.jpg</v>
      </c>
      <c r="D5732" t="s">
        <v>43</v>
      </c>
      <c r="G5732" t="s">
        <v>51</v>
      </c>
      <c r="I5732" t="s">
        <v>41</v>
      </c>
      <c r="M5732" t="s">
        <v>1233</v>
      </c>
      <c r="N5732" t="s">
        <v>1233</v>
      </c>
      <c r="O5732" t="s">
        <v>23</v>
      </c>
      <c r="P5732" t="s">
        <v>24</v>
      </c>
      <c r="Q5732" t="s">
        <v>642</v>
      </c>
      <c r="R5732" t="s">
        <v>1214</v>
      </c>
    </row>
    <row r="5733" spans="1:18" x14ac:dyDescent="0.25">
      <c r="A5733" t="s">
        <v>14426</v>
      </c>
      <c r="B5733" t="s">
        <v>7696</v>
      </c>
      <c r="C5733" t="str">
        <f>HYPERLINK("https://nematode.unl.edu/macurv48.jpg")</f>
        <v>https://nematode.unl.edu/macurv48.jpg</v>
      </c>
      <c r="D5733" t="s">
        <v>16</v>
      </c>
      <c r="G5733" t="s">
        <v>44</v>
      </c>
      <c r="I5733" t="s">
        <v>19</v>
      </c>
      <c r="J5733" t="s">
        <v>46</v>
      </c>
      <c r="M5733" t="s">
        <v>1233</v>
      </c>
      <c r="N5733" t="s">
        <v>1233</v>
      </c>
      <c r="O5733" t="s">
        <v>23</v>
      </c>
      <c r="P5733" t="s">
        <v>24</v>
      </c>
      <c r="Q5733" t="s">
        <v>642</v>
      </c>
      <c r="R5733" t="s">
        <v>1214</v>
      </c>
    </row>
    <row r="5734" spans="1:18" x14ac:dyDescent="0.25">
      <c r="A5734" t="s">
        <v>14275</v>
      </c>
      <c r="B5734" t="s">
        <v>7697</v>
      </c>
      <c r="C5734" t="str">
        <f>HYPERLINK("https://nematode.unl.edu/macurv49.jpg")</f>
        <v>https://nematode.unl.edu/macurv49.jpg</v>
      </c>
      <c r="D5734" t="s">
        <v>16</v>
      </c>
      <c r="G5734" t="s">
        <v>34</v>
      </c>
      <c r="H5734" t="s">
        <v>18</v>
      </c>
      <c r="I5734" t="s">
        <v>41</v>
      </c>
      <c r="M5734" t="s">
        <v>1233</v>
      </c>
      <c r="N5734" t="s">
        <v>1233</v>
      </c>
      <c r="O5734" t="s">
        <v>23</v>
      </c>
      <c r="P5734" t="s">
        <v>24</v>
      </c>
      <c r="Q5734" t="s">
        <v>642</v>
      </c>
      <c r="R5734" t="s">
        <v>1214</v>
      </c>
    </row>
    <row r="5735" spans="1:18" x14ac:dyDescent="0.25">
      <c r="A5735" t="s">
        <v>14895</v>
      </c>
      <c r="B5735" t="s">
        <v>8182</v>
      </c>
      <c r="C5735" t="str">
        <f>HYPERLINK("https://nematode.unl.edu/macurv5.jpg")</f>
        <v>https://nematode.unl.edu/macurv5.jpg</v>
      </c>
      <c r="D5735" t="s">
        <v>43</v>
      </c>
      <c r="G5735" t="s">
        <v>28</v>
      </c>
      <c r="I5735" t="s">
        <v>41</v>
      </c>
      <c r="J5735" t="s">
        <v>46</v>
      </c>
      <c r="M5735" t="s">
        <v>8133</v>
      </c>
      <c r="N5735" t="s">
        <v>8133</v>
      </c>
      <c r="O5735" t="s">
        <v>23</v>
      </c>
      <c r="P5735" t="s">
        <v>24</v>
      </c>
      <c r="Q5735" t="s">
        <v>642</v>
      </c>
      <c r="R5735" t="s">
        <v>1214</v>
      </c>
    </row>
    <row r="5736" spans="1:18" x14ac:dyDescent="0.25">
      <c r="A5736" t="s">
        <v>14605</v>
      </c>
      <c r="B5736" t="s">
        <v>7698</v>
      </c>
      <c r="C5736" t="str">
        <f>HYPERLINK("https://nematode.unl.edu/macurv50.jpg")</f>
        <v>https://nematode.unl.edu/macurv50.jpg</v>
      </c>
      <c r="D5736" t="s">
        <v>16</v>
      </c>
      <c r="G5736" t="s">
        <v>28</v>
      </c>
      <c r="I5736" t="s">
        <v>41</v>
      </c>
      <c r="M5736" t="s">
        <v>1233</v>
      </c>
      <c r="N5736" t="s">
        <v>1233</v>
      </c>
      <c r="O5736" t="s">
        <v>23</v>
      </c>
      <c r="P5736" t="s">
        <v>24</v>
      </c>
      <c r="Q5736" t="s">
        <v>642</v>
      </c>
      <c r="R5736" t="s">
        <v>1214</v>
      </c>
    </row>
    <row r="5737" spans="1:18" x14ac:dyDescent="0.25">
      <c r="A5737" t="s">
        <v>14427</v>
      </c>
      <c r="B5737" t="s">
        <v>7699</v>
      </c>
      <c r="C5737" t="str">
        <f>HYPERLINK("https://nematode.unl.edu/macurv51.jpg")</f>
        <v>https://nematode.unl.edu/macurv51.jpg</v>
      </c>
      <c r="D5737" t="s">
        <v>16</v>
      </c>
      <c r="G5737" t="s">
        <v>44</v>
      </c>
      <c r="I5737" t="s">
        <v>41</v>
      </c>
      <c r="M5737" t="s">
        <v>1233</v>
      </c>
      <c r="N5737" t="s">
        <v>1233</v>
      </c>
      <c r="O5737" t="s">
        <v>23</v>
      </c>
      <c r="P5737" t="s">
        <v>24</v>
      </c>
      <c r="Q5737" t="s">
        <v>642</v>
      </c>
      <c r="R5737" t="s">
        <v>1214</v>
      </c>
    </row>
    <row r="5738" spans="1:18" x14ac:dyDescent="0.25">
      <c r="A5738" t="s">
        <v>14428</v>
      </c>
      <c r="B5738" t="s">
        <v>7700</v>
      </c>
      <c r="C5738" t="str">
        <f>HYPERLINK("https://nematode.unl.edu/macurv52.jpg")</f>
        <v>https://nematode.unl.edu/macurv52.jpg</v>
      </c>
      <c r="D5738" t="s">
        <v>16</v>
      </c>
      <c r="G5738" t="s">
        <v>44</v>
      </c>
      <c r="I5738" t="s">
        <v>19</v>
      </c>
      <c r="J5738" t="s">
        <v>46</v>
      </c>
      <c r="M5738" t="s">
        <v>1233</v>
      </c>
      <c r="N5738" t="s">
        <v>1233</v>
      </c>
      <c r="O5738" t="s">
        <v>23</v>
      </c>
      <c r="P5738" t="s">
        <v>24</v>
      </c>
      <c r="Q5738" t="s">
        <v>642</v>
      </c>
      <c r="R5738" t="s">
        <v>1214</v>
      </c>
    </row>
    <row r="5739" spans="1:18" x14ac:dyDescent="0.25">
      <c r="A5739" t="s">
        <v>14276</v>
      </c>
      <c r="B5739" t="s">
        <v>7701</v>
      </c>
      <c r="C5739" t="str">
        <f>HYPERLINK("https://nematode.unl.edu/macurv53.jpg")</f>
        <v>https://nematode.unl.edu/macurv53.jpg</v>
      </c>
      <c r="D5739" t="s">
        <v>16</v>
      </c>
      <c r="G5739" t="s">
        <v>34</v>
      </c>
      <c r="H5739" t="s">
        <v>18</v>
      </c>
      <c r="I5739" t="s">
        <v>529</v>
      </c>
      <c r="J5739" t="s">
        <v>46</v>
      </c>
      <c r="M5739" t="s">
        <v>1233</v>
      </c>
      <c r="N5739" t="s">
        <v>1233</v>
      </c>
      <c r="O5739" t="s">
        <v>23</v>
      </c>
      <c r="P5739" t="s">
        <v>24</v>
      </c>
      <c r="Q5739" t="s">
        <v>642</v>
      </c>
      <c r="R5739" t="s">
        <v>1214</v>
      </c>
    </row>
    <row r="5740" spans="1:18" x14ac:dyDescent="0.25">
      <c r="A5740" t="s">
        <v>14606</v>
      </c>
      <c r="B5740" t="s">
        <v>7702</v>
      </c>
      <c r="C5740" t="str">
        <f>HYPERLINK("https://nematode.unl.edu/macurv54.jpg")</f>
        <v>https://nematode.unl.edu/macurv54.jpg</v>
      </c>
      <c r="D5740" t="s">
        <v>16</v>
      </c>
      <c r="G5740" t="s">
        <v>28</v>
      </c>
      <c r="I5740" t="s">
        <v>41</v>
      </c>
      <c r="M5740" t="s">
        <v>1233</v>
      </c>
      <c r="N5740" t="s">
        <v>1233</v>
      </c>
      <c r="O5740" t="s">
        <v>23</v>
      </c>
      <c r="P5740" t="s">
        <v>24</v>
      </c>
      <c r="Q5740" t="s">
        <v>642</v>
      </c>
      <c r="R5740" t="s">
        <v>1214</v>
      </c>
    </row>
    <row r="5741" spans="1:18" x14ac:dyDescent="0.25">
      <c r="A5741" t="s">
        <v>14429</v>
      </c>
      <c r="B5741" t="s">
        <v>7703</v>
      </c>
      <c r="C5741" t="str">
        <f>HYPERLINK("https://nematode.unl.edu/macurv55.jpg")</f>
        <v>https://nematode.unl.edu/macurv55.jpg</v>
      </c>
      <c r="D5741" t="s">
        <v>43</v>
      </c>
      <c r="G5741" t="s">
        <v>44</v>
      </c>
      <c r="I5741" t="s">
        <v>19</v>
      </c>
      <c r="J5741" t="s">
        <v>46</v>
      </c>
      <c r="M5741" t="s">
        <v>1233</v>
      </c>
      <c r="N5741" t="s">
        <v>1233</v>
      </c>
      <c r="O5741" t="s">
        <v>23</v>
      </c>
      <c r="P5741" t="s">
        <v>24</v>
      </c>
      <c r="Q5741" t="s">
        <v>642</v>
      </c>
      <c r="R5741" t="s">
        <v>1214</v>
      </c>
    </row>
    <row r="5742" spans="1:18" x14ac:dyDescent="0.25">
      <c r="A5742" t="s">
        <v>14277</v>
      </c>
      <c r="B5742" t="s">
        <v>7704</v>
      </c>
      <c r="C5742" t="str">
        <f>HYPERLINK("https://nematode.unl.edu/macurv56.jpg")</f>
        <v>https://nematode.unl.edu/macurv56.jpg</v>
      </c>
      <c r="D5742" t="s">
        <v>43</v>
      </c>
      <c r="G5742" t="s">
        <v>34</v>
      </c>
      <c r="H5742" t="s">
        <v>18</v>
      </c>
      <c r="M5742" t="s">
        <v>1233</v>
      </c>
      <c r="N5742" t="s">
        <v>1233</v>
      </c>
      <c r="O5742" t="s">
        <v>23</v>
      </c>
      <c r="P5742" t="s">
        <v>24</v>
      </c>
      <c r="Q5742" t="s">
        <v>642</v>
      </c>
      <c r="R5742" t="s">
        <v>1214</v>
      </c>
    </row>
    <row r="5743" spans="1:18" x14ac:dyDescent="0.25">
      <c r="A5743" t="s">
        <v>14714</v>
      </c>
      <c r="B5743" t="s">
        <v>7705</v>
      </c>
      <c r="C5743" t="str">
        <f>HYPERLINK("https://nematode.unl.edu/macurv57.jpg")</f>
        <v>https://nematode.unl.edu/macurv57.jpg</v>
      </c>
      <c r="D5743" t="s">
        <v>43</v>
      </c>
      <c r="G5743" t="s">
        <v>51</v>
      </c>
      <c r="M5743" t="s">
        <v>1233</v>
      </c>
      <c r="N5743" t="s">
        <v>1233</v>
      </c>
      <c r="O5743" t="s">
        <v>23</v>
      </c>
      <c r="P5743" t="s">
        <v>24</v>
      </c>
      <c r="Q5743" t="s">
        <v>642</v>
      </c>
      <c r="R5743" t="s">
        <v>1214</v>
      </c>
    </row>
    <row r="5744" spans="1:18" x14ac:dyDescent="0.25">
      <c r="A5744" t="s">
        <v>14430</v>
      </c>
      <c r="B5744" t="s">
        <v>7706</v>
      </c>
      <c r="C5744" t="str">
        <f>HYPERLINK("https://nematode.unl.edu/macurv58.jpg")</f>
        <v>https://nematode.unl.edu/macurv58.jpg</v>
      </c>
      <c r="D5744" t="s">
        <v>43</v>
      </c>
      <c r="G5744" t="s">
        <v>44</v>
      </c>
      <c r="I5744" t="s">
        <v>19</v>
      </c>
      <c r="J5744" t="s">
        <v>46</v>
      </c>
      <c r="M5744" t="s">
        <v>1233</v>
      </c>
      <c r="N5744" t="s">
        <v>1233</v>
      </c>
      <c r="O5744" t="s">
        <v>23</v>
      </c>
      <c r="P5744" t="s">
        <v>24</v>
      </c>
      <c r="Q5744" t="s">
        <v>642</v>
      </c>
      <c r="R5744" t="s">
        <v>1214</v>
      </c>
    </row>
    <row r="5745" spans="1:18" x14ac:dyDescent="0.25">
      <c r="A5745" t="s">
        <v>14278</v>
      </c>
      <c r="B5745" t="s">
        <v>7707</v>
      </c>
      <c r="C5745" t="str">
        <f>HYPERLINK("https://nematode.unl.edu/macurv59.jpg")</f>
        <v>https://nematode.unl.edu/macurv59.jpg</v>
      </c>
      <c r="D5745" t="s">
        <v>43</v>
      </c>
      <c r="G5745" t="s">
        <v>34</v>
      </c>
      <c r="H5745" t="s">
        <v>18</v>
      </c>
      <c r="M5745" t="s">
        <v>1233</v>
      </c>
      <c r="N5745" t="s">
        <v>1233</v>
      </c>
      <c r="O5745" t="s">
        <v>23</v>
      </c>
      <c r="P5745" t="s">
        <v>24</v>
      </c>
      <c r="Q5745" t="s">
        <v>642</v>
      </c>
      <c r="R5745" t="s">
        <v>1214</v>
      </c>
    </row>
    <row r="5746" spans="1:18" x14ac:dyDescent="0.25">
      <c r="A5746" t="s">
        <v>14848</v>
      </c>
      <c r="B5746" t="s">
        <v>8183</v>
      </c>
      <c r="C5746" t="str">
        <f>HYPERLINK("https://nematode.unl.edu/macurv6.jpg")</f>
        <v>https://nematode.unl.edu/macurv6.jpg</v>
      </c>
      <c r="D5746" t="s">
        <v>16</v>
      </c>
      <c r="G5746" t="s">
        <v>44</v>
      </c>
      <c r="I5746" t="s">
        <v>19</v>
      </c>
      <c r="J5746" t="s">
        <v>46</v>
      </c>
      <c r="L5746" t="s">
        <v>7430</v>
      </c>
      <c r="M5746" t="s">
        <v>8133</v>
      </c>
      <c r="N5746" t="s">
        <v>8133</v>
      </c>
      <c r="O5746" t="s">
        <v>23</v>
      </c>
      <c r="P5746" t="s">
        <v>24</v>
      </c>
      <c r="Q5746" t="s">
        <v>642</v>
      </c>
      <c r="R5746" t="s">
        <v>1214</v>
      </c>
    </row>
    <row r="5747" spans="1:18" x14ac:dyDescent="0.25">
      <c r="A5747" t="s">
        <v>14607</v>
      </c>
      <c r="B5747" t="s">
        <v>7708</v>
      </c>
      <c r="C5747" t="str">
        <f>HYPERLINK("https://nematode.unl.edu/macurv60.jpg")</f>
        <v>https://nematode.unl.edu/macurv60.jpg</v>
      </c>
      <c r="D5747" t="s">
        <v>43</v>
      </c>
      <c r="G5747" t="s">
        <v>28</v>
      </c>
      <c r="M5747" t="s">
        <v>1233</v>
      </c>
      <c r="N5747" t="s">
        <v>1233</v>
      </c>
      <c r="O5747" t="s">
        <v>23</v>
      </c>
      <c r="P5747" t="s">
        <v>24</v>
      </c>
      <c r="Q5747" t="s">
        <v>642</v>
      </c>
      <c r="R5747" t="s">
        <v>1214</v>
      </c>
    </row>
    <row r="5748" spans="1:18" x14ac:dyDescent="0.25">
      <c r="A5748" t="s">
        <v>14431</v>
      </c>
      <c r="B5748" t="s">
        <v>7709</v>
      </c>
      <c r="C5748" t="str">
        <f>HYPERLINK("https://nematode.unl.edu/macurv61.jpg")</f>
        <v>https://nematode.unl.edu/macurv61.jpg</v>
      </c>
      <c r="D5748" t="s">
        <v>43</v>
      </c>
      <c r="G5748" t="s">
        <v>44</v>
      </c>
      <c r="I5748" t="s">
        <v>19</v>
      </c>
      <c r="J5748" t="s">
        <v>46</v>
      </c>
      <c r="M5748" t="s">
        <v>1233</v>
      </c>
      <c r="N5748" t="s">
        <v>1233</v>
      </c>
      <c r="O5748" t="s">
        <v>23</v>
      </c>
      <c r="P5748" t="s">
        <v>24</v>
      </c>
      <c r="Q5748" t="s">
        <v>642</v>
      </c>
      <c r="R5748" t="s">
        <v>1214</v>
      </c>
    </row>
    <row r="5749" spans="1:18" x14ac:dyDescent="0.25">
      <c r="A5749" t="s">
        <v>14279</v>
      </c>
      <c r="B5749" t="s">
        <v>7710</v>
      </c>
      <c r="C5749" t="str">
        <f>HYPERLINK("https://nematode.unl.edu/macurv62.jpg")</f>
        <v>https://nematode.unl.edu/macurv62.jpg</v>
      </c>
      <c r="D5749" t="s">
        <v>43</v>
      </c>
      <c r="G5749" t="s">
        <v>34</v>
      </c>
      <c r="H5749" t="s">
        <v>18</v>
      </c>
      <c r="I5749" t="s">
        <v>41</v>
      </c>
      <c r="M5749" t="s">
        <v>1233</v>
      </c>
      <c r="N5749" t="s">
        <v>1233</v>
      </c>
      <c r="O5749" t="s">
        <v>23</v>
      </c>
      <c r="P5749" t="s">
        <v>24</v>
      </c>
      <c r="Q5749" t="s">
        <v>642</v>
      </c>
      <c r="R5749" t="s">
        <v>1214</v>
      </c>
    </row>
    <row r="5750" spans="1:18" x14ac:dyDescent="0.25">
      <c r="A5750" t="s">
        <v>14608</v>
      </c>
      <c r="B5750" t="s">
        <v>7711</v>
      </c>
      <c r="C5750" t="str">
        <f>HYPERLINK("https://nematode.unl.edu/macurv63.jpg")</f>
        <v>https://nematode.unl.edu/macurv63.jpg</v>
      </c>
      <c r="D5750" t="s">
        <v>43</v>
      </c>
      <c r="G5750" t="s">
        <v>28</v>
      </c>
      <c r="I5750" t="s">
        <v>41</v>
      </c>
      <c r="M5750" t="s">
        <v>1233</v>
      </c>
      <c r="N5750" t="s">
        <v>1233</v>
      </c>
      <c r="O5750" t="s">
        <v>23</v>
      </c>
      <c r="P5750" t="s">
        <v>24</v>
      </c>
      <c r="Q5750" t="s">
        <v>642</v>
      </c>
      <c r="R5750" t="s">
        <v>1214</v>
      </c>
    </row>
    <row r="5751" spans="1:18" x14ac:dyDescent="0.25">
      <c r="A5751" t="s">
        <v>14432</v>
      </c>
      <c r="B5751" t="s">
        <v>7712</v>
      </c>
      <c r="C5751" t="str">
        <f>HYPERLINK("https://nematode.unl.edu/macurv64.jpg")</f>
        <v>https://nematode.unl.edu/macurv64.jpg</v>
      </c>
      <c r="D5751" t="s">
        <v>43</v>
      </c>
      <c r="G5751" t="s">
        <v>44</v>
      </c>
      <c r="I5751" t="s">
        <v>19</v>
      </c>
      <c r="J5751" t="s">
        <v>46</v>
      </c>
      <c r="M5751" t="s">
        <v>1233</v>
      </c>
      <c r="N5751" t="s">
        <v>1233</v>
      </c>
      <c r="O5751" t="s">
        <v>23</v>
      </c>
      <c r="P5751" t="s">
        <v>24</v>
      </c>
      <c r="Q5751" t="s">
        <v>642</v>
      </c>
      <c r="R5751" t="s">
        <v>1214</v>
      </c>
    </row>
    <row r="5752" spans="1:18" x14ac:dyDescent="0.25">
      <c r="A5752" t="s">
        <v>14280</v>
      </c>
      <c r="B5752" t="s">
        <v>7713</v>
      </c>
      <c r="C5752" t="str">
        <f>HYPERLINK("https://nematode.unl.edu/macurv65.jpg")</f>
        <v>https://nematode.unl.edu/macurv65.jpg</v>
      </c>
      <c r="D5752" t="s">
        <v>43</v>
      </c>
      <c r="G5752" t="s">
        <v>34</v>
      </c>
      <c r="H5752" t="s">
        <v>18</v>
      </c>
      <c r="J5752" t="s">
        <v>46</v>
      </c>
      <c r="M5752" t="s">
        <v>1233</v>
      </c>
      <c r="N5752" t="s">
        <v>1233</v>
      </c>
      <c r="O5752" t="s">
        <v>23</v>
      </c>
      <c r="P5752" t="s">
        <v>24</v>
      </c>
      <c r="Q5752" t="s">
        <v>642</v>
      </c>
      <c r="R5752" t="s">
        <v>1214</v>
      </c>
    </row>
    <row r="5753" spans="1:18" x14ac:dyDescent="0.25">
      <c r="A5753" t="s">
        <v>14549</v>
      </c>
      <c r="B5753" t="s">
        <v>7714</v>
      </c>
      <c r="C5753" t="str">
        <f>HYPERLINK("https://nematode.unl.edu/macurv66.jpg")</f>
        <v>https://nematode.unl.edu/macurv66.jpg</v>
      </c>
      <c r="D5753" t="s">
        <v>43</v>
      </c>
      <c r="G5753" t="s">
        <v>181</v>
      </c>
      <c r="I5753" t="s">
        <v>19</v>
      </c>
      <c r="J5753" t="s">
        <v>46</v>
      </c>
      <c r="M5753" t="s">
        <v>1233</v>
      </c>
      <c r="N5753" t="s">
        <v>1233</v>
      </c>
      <c r="O5753" t="s">
        <v>23</v>
      </c>
      <c r="P5753" t="s">
        <v>24</v>
      </c>
      <c r="Q5753" t="s">
        <v>642</v>
      </c>
      <c r="R5753" t="s">
        <v>1214</v>
      </c>
    </row>
    <row r="5754" spans="1:18" x14ac:dyDescent="0.25">
      <c r="A5754" t="s">
        <v>14609</v>
      </c>
      <c r="B5754" t="s">
        <v>7715</v>
      </c>
      <c r="C5754" t="str">
        <f>HYPERLINK("https://nematode.unl.edu/macurv67.jpg")</f>
        <v>https://nematode.unl.edu/macurv67.jpg</v>
      </c>
      <c r="D5754" t="s">
        <v>43</v>
      </c>
      <c r="G5754" t="s">
        <v>28</v>
      </c>
      <c r="I5754" t="s">
        <v>41</v>
      </c>
      <c r="M5754" t="s">
        <v>1233</v>
      </c>
      <c r="N5754" t="s">
        <v>1233</v>
      </c>
      <c r="O5754" t="s">
        <v>23</v>
      </c>
      <c r="P5754" t="s">
        <v>24</v>
      </c>
      <c r="Q5754" t="s">
        <v>642</v>
      </c>
      <c r="R5754" t="s">
        <v>1214</v>
      </c>
    </row>
    <row r="5755" spans="1:18" x14ac:dyDescent="0.25">
      <c r="A5755" t="s">
        <v>14610</v>
      </c>
      <c r="B5755" t="s">
        <v>7716</v>
      </c>
      <c r="C5755" t="str">
        <f>HYPERLINK("https://nematode.unl.edu/macurv68.jpg")</f>
        <v>https://nematode.unl.edu/macurv68.jpg</v>
      </c>
      <c r="D5755" t="s">
        <v>43</v>
      </c>
      <c r="G5755" t="s">
        <v>28</v>
      </c>
      <c r="J5755" t="s">
        <v>46</v>
      </c>
      <c r="M5755" t="s">
        <v>1233</v>
      </c>
      <c r="N5755" t="s">
        <v>1233</v>
      </c>
      <c r="O5755" t="s">
        <v>23</v>
      </c>
      <c r="P5755" t="s">
        <v>24</v>
      </c>
      <c r="Q5755" t="s">
        <v>642</v>
      </c>
      <c r="R5755" t="s">
        <v>1214</v>
      </c>
    </row>
    <row r="5756" spans="1:18" x14ac:dyDescent="0.25">
      <c r="A5756" t="s">
        <v>14715</v>
      </c>
      <c r="B5756" t="s">
        <v>7717</v>
      </c>
      <c r="C5756" t="str">
        <f>HYPERLINK("https://nematode.unl.edu/macurv69.jpg")</f>
        <v>https://nematode.unl.edu/macurv69.jpg</v>
      </c>
      <c r="D5756" t="s">
        <v>43</v>
      </c>
      <c r="G5756" t="s">
        <v>51</v>
      </c>
      <c r="J5756" t="s">
        <v>46</v>
      </c>
      <c r="M5756" t="s">
        <v>1233</v>
      </c>
      <c r="N5756" t="s">
        <v>1233</v>
      </c>
      <c r="O5756" t="s">
        <v>23</v>
      </c>
      <c r="P5756" t="s">
        <v>24</v>
      </c>
      <c r="Q5756" t="s">
        <v>642</v>
      </c>
      <c r="R5756" t="s">
        <v>1214</v>
      </c>
    </row>
    <row r="5757" spans="1:18" x14ac:dyDescent="0.25">
      <c r="A5757" t="s">
        <v>14805</v>
      </c>
      <c r="B5757" t="s">
        <v>8184</v>
      </c>
      <c r="C5757" t="str">
        <f>HYPERLINK("https://nematode.unl.edu/macurv7.jpg")</f>
        <v>https://nematode.unl.edu/macurv7.jpg</v>
      </c>
      <c r="D5757" t="s">
        <v>16</v>
      </c>
      <c r="G5757" t="s">
        <v>34</v>
      </c>
      <c r="H5757" t="s">
        <v>18</v>
      </c>
      <c r="I5757" t="s">
        <v>41</v>
      </c>
      <c r="J5757" t="s">
        <v>46</v>
      </c>
      <c r="M5757" t="s">
        <v>8133</v>
      </c>
      <c r="N5757" t="s">
        <v>8133</v>
      </c>
      <c r="O5757" t="s">
        <v>23</v>
      </c>
      <c r="P5757" t="s">
        <v>24</v>
      </c>
      <c r="Q5757" t="s">
        <v>642</v>
      </c>
      <c r="R5757" t="s">
        <v>1214</v>
      </c>
    </row>
    <row r="5758" spans="1:18" x14ac:dyDescent="0.25">
      <c r="A5758" t="s">
        <v>14433</v>
      </c>
      <c r="B5758" t="s">
        <v>7718</v>
      </c>
      <c r="C5758" t="str">
        <f>HYPERLINK("https://nematode.unl.edu/macurv70.jpg")</f>
        <v>https://nematode.unl.edu/macurv70.jpg</v>
      </c>
      <c r="D5758" t="s">
        <v>43</v>
      </c>
      <c r="G5758" t="s">
        <v>44</v>
      </c>
      <c r="I5758" t="s">
        <v>516</v>
      </c>
      <c r="J5758" t="s">
        <v>46</v>
      </c>
      <c r="M5758" t="s">
        <v>1233</v>
      </c>
      <c r="N5758" t="s">
        <v>1233</v>
      </c>
      <c r="O5758" t="s">
        <v>23</v>
      </c>
      <c r="P5758" t="s">
        <v>24</v>
      </c>
      <c r="Q5758" t="s">
        <v>642</v>
      </c>
      <c r="R5758" t="s">
        <v>1214</v>
      </c>
    </row>
    <row r="5759" spans="1:18" x14ac:dyDescent="0.25">
      <c r="A5759" t="s">
        <v>14281</v>
      </c>
      <c r="B5759" t="s">
        <v>7719</v>
      </c>
      <c r="C5759" t="str">
        <f>HYPERLINK("https://nematode.unl.edu/macurv71.jpg")</f>
        <v>https://nematode.unl.edu/macurv71.jpg</v>
      </c>
      <c r="D5759" t="s">
        <v>43</v>
      </c>
      <c r="G5759" t="s">
        <v>34</v>
      </c>
      <c r="H5759" t="s">
        <v>18</v>
      </c>
      <c r="I5759" t="s">
        <v>41</v>
      </c>
      <c r="M5759" t="s">
        <v>1233</v>
      </c>
      <c r="N5759" t="s">
        <v>1233</v>
      </c>
      <c r="O5759" t="s">
        <v>23</v>
      </c>
      <c r="P5759" t="s">
        <v>24</v>
      </c>
      <c r="Q5759" t="s">
        <v>642</v>
      </c>
      <c r="R5759" t="s">
        <v>1214</v>
      </c>
    </row>
    <row r="5760" spans="1:18" x14ac:dyDescent="0.25">
      <c r="A5760" t="s">
        <v>14611</v>
      </c>
      <c r="B5760" t="s">
        <v>7720</v>
      </c>
      <c r="C5760" t="str">
        <f>HYPERLINK("https://nematode.unl.edu/macurv72.jpg")</f>
        <v>https://nematode.unl.edu/macurv72.jpg</v>
      </c>
      <c r="D5760" t="s">
        <v>43</v>
      </c>
      <c r="G5760" t="s">
        <v>28</v>
      </c>
      <c r="I5760" t="s">
        <v>41</v>
      </c>
      <c r="M5760" t="s">
        <v>1233</v>
      </c>
      <c r="N5760" t="s">
        <v>1233</v>
      </c>
      <c r="O5760" t="s">
        <v>23</v>
      </c>
      <c r="P5760" t="s">
        <v>24</v>
      </c>
      <c r="Q5760" t="s">
        <v>642</v>
      </c>
      <c r="R5760" t="s">
        <v>1214</v>
      </c>
    </row>
    <row r="5761" spans="1:18" x14ac:dyDescent="0.25">
      <c r="A5761" t="s">
        <v>14434</v>
      </c>
      <c r="B5761" t="s">
        <v>7721</v>
      </c>
      <c r="C5761" t="str">
        <f>HYPERLINK("https://nematode.unl.edu/macurv73.jpg")</f>
        <v>https://nematode.unl.edu/macurv73.jpg</v>
      </c>
      <c r="D5761" t="s">
        <v>43</v>
      </c>
      <c r="G5761" t="s">
        <v>44</v>
      </c>
      <c r="I5761" t="s">
        <v>19</v>
      </c>
      <c r="J5761" t="s">
        <v>46</v>
      </c>
      <c r="L5761" t="s">
        <v>105</v>
      </c>
      <c r="M5761" t="s">
        <v>1233</v>
      </c>
      <c r="N5761" t="s">
        <v>1233</v>
      </c>
      <c r="O5761" t="s">
        <v>23</v>
      </c>
      <c r="P5761" t="s">
        <v>24</v>
      </c>
      <c r="Q5761" t="s">
        <v>642</v>
      </c>
      <c r="R5761" t="s">
        <v>1214</v>
      </c>
    </row>
    <row r="5762" spans="1:18" x14ac:dyDescent="0.25">
      <c r="A5762" t="s">
        <v>14282</v>
      </c>
      <c r="B5762" t="s">
        <v>7722</v>
      </c>
      <c r="C5762" t="str">
        <f>HYPERLINK("https://nematode.unl.edu/macurv74.jpg")</f>
        <v>https://nematode.unl.edu/macurv74.jpg</v>
      </c>
      <c r="D5762" t="s">
        <v>43</v>
      </c>
      <c r="G5762" t="s">
        <v>34</v>
      </c>
      <c r="H5762" t="s">
        <v>18</v>
      </c>
      <c r="I5762" t="s">
        <v>41</v>
      </c>
      <c r="M5762" t="s">
        <v>1233</v>
      </c>
      <c r="N5762" t="s">
        <v>1233</v>
      </c>
      <c r="O5762" t="s">
        <v>23</v>
      </c>
      <c r="P5762" t="s">
        <v>24</v>
      </c>
      <c r="Q5762" t="s">
        <v>642</v>
      </c>
      <c r="R5762" t="s">
        <v>1214</v>
      </c>
    </row>
    <row r="5763" spans="1:18" x14ac:dyDescent="0.25">
      <c r="A5763" t="s">
        <v>14612</v>
      </c>
      <c r="B5763" t="s">
        <v>7723</v>
      </c>
      <c r="C5763" t="str">
        <f>HYPERLINK("https://nematode.unl.edu/macurv75.jpg")</f>
        <v>https://nematode.unl.edu/macurv75.jpg</v>
      </c>
      <c r="D5763" t="s">
        <v>43</v>
      </c>
      <c r="G5763" t="s">
        <v>28</v>
      </c>
      <c r="I5763" t="s">
        <v>41</v>
      </c>
      <c r="M5763" t="s">
        <v>1233</v>
      </c>
      <c r="N5763" t="s">
        <v>1233</v>
      </c>
      <c r="O5763" t="s">
        <v>23</v>
      </c>
      <c r="P5763" t="s">
        <v>24</v>
      </c>
      <c r="Q5763" t="s">
        <v>642</v>
      </c>
      <c r="R5763" t="s">
        <v>1214</v>
      </c>
    </row>
    <row r="5764" spans="1:18" x14ac:dyDescent="0.25">
      <c r="A5764" t="s">
        <v>14283</v>
      </c>
      <c r="B5764" t="s">
        <v>7724</v>
      </c>
      <c r="C5764" t="str">
        <f>HYPERLINK("https://nematode.unl.edu/macurv76.jpg")</f>
        <v>https://nematode.unl.edu/macurv76.jpg</v>
      </c>
      <c r="D5764" t="s">
        <v>43</v>
      </c>
      <c r="G5764" t="s">
        <v>34</v>
      </c>
      <c r="H5764" t="s">
        <v>18</v>
      </c>
      <c r="M5764" t="s">
        <v>1233</v>
      </c>
      <c r="N5764" t="s">
        <v>1233</v>
      </c>
      <c r="O5764" t="s">
        <v>23</v>
      </c>
      <c r="P5764" t="s">
        <v>24</v>
      </c>
      <c r="Q5764" t="s">
        <v>642</v>
      </c>
      <c r="R5764" t="s">
        <v>1214</v>
      </c>
    </row>
    <row r="5765" spans="1:18" x14ac:dyDescent="0.25">
      <c r="A5765" t="s">
        <v>14233</v>
      </c>
      <c r="B5765" t="s">
        <v>7725</v>
      </c>
      <c r="C5765" t="str">
        <f>HYPERLINK("https://nematode.unl.edu/macurv77.jpg")</f>
        <v>https://nematode.unl.edu/macurv77.jpg</v>
      </c>
      <c r="D5765" t="s">
        <v>43</v>
      </c>
      <c r="G5765" t="s">
        <v>96</v>
      </c>
      <c r="H5765" t="s">
        <v>18</v>
      </c>
      <c r="I5765" t="s">
        <v>19</v>
      </c>
      <c r="M5765" t="s">
        <v>1233</v>
      </c>
      <c r="N5765" t="s">
        <v>1233</v>
      </c>
      <c r="O5765" t="s">
        <v>23</v>
      </c>
      <c r="P5765" t="s">
        <v>24</v>
      </c>
      <c r="Q5765" t="s">
        <v>642</v>
      </c>
      <c r="R5765" t="s">
        <v>1214</v>
      </c>
    </row>
    <row r="5766" spans="1:18" x14ac:dyDescent="0.25">
      <c r="A5766" t="s">
        <v>14550</v>
      </c>
      <c r="B5766" t="s">
        <v>7726</v>
      </c>
      <c r="C5766" t="str">
        <f>HYPERLINK("https://nematode.unl.edu/macurv78.jpg")</f>
        <v>https://nematode.unl.edu/macurv78.jpg</v>
      </c>
      <c r="D5766" t="s">
        <v>43</v>
      </c>
      <c r="G5766" t="s">
        <v>181</v>
      </c>
      <c r="M5766" t="s">
        <v>1233</v>
      </c>
      <c r="N5766" t="s">
        <v>1233</v>
      </c>
      <c r="O5766" t="s">
        <v>23</v>
      </c>
      <c r="P5766" t="s">
        <v>24</v>
      </c>
      <c r="Q5766" t="s">
        <v>642</v>
      </c>
      <c r="R5766" t="s">
        <v>1214</v>
      </c>
    </row>
    <row r="5767" spans="1:18" x14ac:dyDescent="0.25">
      <c r="A5767" t="s">
        <v>14613</v>
      </c>
      <c r="B5767" t="s">
        <v>7727</v>
      </c>
      <c r="C5767" t="str">
        <f>HYPERLINK("https://nematode.unl.edu/macurv79.jpg")</f>
        <v>https://nematode.unl.edu/macurv79.jpg</v>
      </c>
      <c r="D5767" t="s">
        <v>43</v>
      </c>
      <c r="G5767" t="s">
        <v>28</v>
      </c>
      <c r="I5767" t="s">
        <v>41</v>
      </c>
      <c r="M5767" t="s">
        <v>1233</v>
      </c>
      <c r="N5767" t="s">
        <v>1233</v>
      </c>
      <c r="O5767" t="s">
        <v>23</v>
      </c>
      <c r="P5767" t="s">
        <v>24</v>
      </c>
      <c r="Q5767" t="s">
        <v>642</v>
      </c>
      <c r="R5767" t="s">
        <v>1214</v>
      </c>
    </row>
    <row r="5768" spans="1:18" x14ac:dyDescent="0.25">
      <c r="A5768" t="s">
        <v>14896</v>
      </c>
      <c r="B5768" t="s">
        <v>8185</v>
      </c>
      <c r="C5768" t="str">
        <f>HYPERLINK("https://nematode.unl.edu/macurv8.jpg")</f>
        <v>https://nematode.unl.edu/macurv8.jpg</v>
      </c>
      <c r="D5768" t="s">
        <v>16</v>
      </c>
      <c r="G5768" t="s">
        <v>28</v>
      </c>
      <c r="J5768" t="s">
        <v>46</v>
      </c>
      <c r="M5768" t="s">
        <v>8133</v>
      </c>
      <c r="N5768" t="s">
        <v>8133</v>
      </c>
      <c r="O5768" t="s">
        <v>23</v>
      </c>
      <c r="P5768" t="s">
        <v>24</v>
      </c>
      <c r="Q5768" t="s">
        <v>642</v>
      </c>
      <c r="R5768" t="s">
        <v>1214</v>
      </c>
    </row>
    <row r="5769" spans="1:18" x14ac:dyDescent="0.25">
      <c r="A5769" t="s">
        <v>14435</v>
      </c>
      <c r="B5769" t="s">
        <v>7728</v>
      </c>
      <c r="C5769" t="str">
        <f>HYPERLINK("https://nematode.unl.edu/macurv80.jpg")</f>
        <v>https://nematode.unl.edu/macurv80.jpg</v>
      </c>
      <c r="D5769" t="s">
        <v>43</v>
      </c>
      <c r="G5769" t="s">
        <v>44</v>
      </c>
      <c r="I5769" t="s">
        <v>41</v>
      </c>
      <c r="M5769" t="s">
        <v>1233</v>
      </c>
      <c r="N5769" t="s">
        <v>1233</v>
      </c>
      <c r="O5769" t="s">
        <v>23</v>
      </c>
      <c r="P5769" t="s">
        <v>24</v>
      </c>
      <c r="Q5769" t="s">
        <v>642</v>
      </c>
      <c r="R5769" t="s">
        <v>1214</v>
      </c>
    </row>
    <row r="5770" spans="1:18" x14ac:dyDescent="0.25">
      <c r="A5770" t="s">
        <v>14436</v>
      </c>
      <c r="B5770" t="s">
        <v>7729</v>
      </c>
      <c r="C5770" t="str">
        <f>HYPERLINK("https://nematode.unl.edu/macurv81.jpg")</f>
        <v>https://nematode.unl.edu/macurv81.jpg</v>
      </c>
      <c r="D5770" t="s">
        <v>43</v>
      </c>
      <c r="G5770" t="s">
        <v>44</v>
      </c>
      <c r="I5770" t="s">
        <v>19</v>
      </c>
      <c r="J5770" t="s">
        <v>46</v>
      </c>
      <c r="L5770" t="s">
        <v>105</v>
      </c>
      <c r="M5770" t="s">
        <v>1233</v>
      </c>
      <c r="N5770" t="s">
        <v>1233</v>
      </c>
      <c r="O5770" t="s">
        <v>23</v>
      </c>
      <c r="P5770" t="s">
        <v>24</v>
      </c>
      <c r="Q5770" t="s">
        <v>642</v>
      </c>
      <c r="R5770" t="s">
        <v>1214</v>
      </c>
    </row>
    <row r="5771" spans="1:18" x14ac:dyDescent="0.25">
      <c r="A5771" t="s">
        <v>14284</v>
      </c>
      <c r="B5771" t="s">
        <v>7730</v>
      </c>
      <c r="C5771" t="str">
        <f>HYPERLINK("https://nematode.unl.edu/macurv82.jpg")</f>
        <v>https://nematode.unl.edu/macurv82.jpg</v>
      </c>
      <c r="D5771" t="s">
        <v>43</v>
      </c>
      <c r="G5771" t="s">
        <v>34</v>
      </c>
      <c r="H5771" t="s">
        <v>18</v>
      </c>
      <c r="I5771" t="s">
        <v>41</v>
      </c>
      <c r="J5771" t="s">
        <v>46</v>
      </c>
      <c r="M5771" t="s">
        <v>1233</v>
      </c>
      <c r="N5771" t="s">
        <v>1233</v>
      </c>
      <c r="O5771" t="s">
        <v>23</v>
      </c>
      <c r="P5771" t="s">
        <v>24</v>
      </c>
      <c r="Q5771" t="s">
        <v>642</v>
      </c>
      <c r="R5771" t="s">
        <v>1214</v>
      </c>
    </row>
    <row r="5772" spans="1:18" x14ac:dyDescent="0.25">
      <c r="A5772" t="s">
        <v>14614</v>
      </c>
      <c r="B5772" t="s">
        <v>7731</v>
      </c>
      <c r="C5772" t="str">
        <f>HYPERLINK("https://nematode.unl.edu/macurv83.jpg")</f>
        <v>https://nematode.unl.edu/macurv83.jpg</v>
      </c>
      <c r="D5772" t="s">
        <v>43</v>
      </c>
      <c r="G5772" t="s">
        <v>28</v>
      </c>
      <c r="I5772" t="s">
        <v>41</v>
      </c>
      <c r="J5772" t="s">
        <v>46</v>
      </c>
      <c r="M5772" t="s">
        <v>1233</v>
      </c>
      <c r="N5772" t="s">
        <v>1233</v>
      </c>
      <c r="O5772" t="s">
        <v>23</v>
      </c>
      <c r="P5772" t="s">
        <v>24</v>
      </c>
      <c r="Q5772" t="s">
        <v>642</v>
      </c>
      <c r="R5772" t="s">
        <v>1214</v>
      </c>
    </row>
    <row r="5773" spans="1:18" x14ac:dyDescent="0.25">
      <c r="A5773" t="s">
        <v>14615</v>
      </c>
      <c r="B5773" t="s">
        <v>7732</v>
      </c>
      <c r="C5773" t="str">
        <f>HYPERLINK("https://nematode.unl.edu/macurv84.jpg")</f>
        <v>https://nematode.unl.edu/macurv84.jpg</v>
      </c>
      <c r="D5773" t="s">
        <v>43</v>
      </c>
      <c r="G5773" t="s">
        <v>28</v>
      </c>
      <c r="I5773" t="s">
        <v>41</v>
      </c>
      <c r="J5773" t="s">
        <v>46</v>
      </c>
      <c r="M5773" t="s">
        <v>1233</v>
      </c>
      <c r="N5773" t="s">
        <v>1233</v>
      </c>
      <c r="O5773" t="s">
        <v>23</v>
      </c>
      <c r="P5773" t="s">
        <v>24</v>
      </c>
      <c r="Q5773" t="s">
        <v>642</v>
      </c>
      <c r="R5773" t="s">
        <v>1214</v>
      </c>
    </row>
    <row r="5774" spans="1:18" x14ac:dyDescent="0.25">
      <c r="A5774" t="s">
        <v>14437</v>
      </c>
      <c r="B5774" t="s">
        <v>7733</v>
      </c>
      <c r="C5774" t="str">
        <f>HYPERLINK("https://nematode.unl.edu/macurv85.jpg")</f>
        <v>https://nematode.unl.edu/macurv85.jpg</v>
      </c>
      <c r="D5774" t="s">
        <v>43</v>
      </c>
      <c r="G5774" t="s">
        <v>44</v>
      </c>
      <c r="I5774" t="s">
        <v>19</v>
      </c>
      <c r="J5774" t="s">
        <v>46</v>
      </c>
      <c r="L5774" t="s">
        <v>105</v>
      </c>
      <c r="M5774" t="s">
        <v>1233</v>
      </c>
      <c r="N5774" t="s">
        <v>1233</v>
      </c>
      <c r="O5774" t="s">
        <v>23</v>
      </c>
      <c r="P5774" t="s">
        <v>24</v>
      </c>
      <c r="Q5774" t="s">
        <v>642</v>
      </c>
      <c r="R5774" t="s">
        <v>1214</v>
      </c>
    </row>
    <row r="5775" spans="1:18" x14ac:dyDescent="0.25">
      <c r="A5775" t="s">
        <v>14285</v>
      </c>
      <c r="B5775" t="s">
        <v>7734</v>
      </c>
      <c r="C5775" t="str">
        <f>HYPERLINK("https://nematode.unl.edu/macurv86.jpg")</f>
        <v>https://nematode.unl.edu/macurv86.jpg</v>
      </c>
      <c r="D5775" t="s">
        <v>43</v>
      </c>
      <c r="G5775" t="s">
        <v>34</v>
      </c>
      <c r="H5775" t="s">
        <v>18</v>
      </c>
      <c r="I5775" t="s">
        <v>41</v>
      </c>
      <c r="J5775" t="s">
        <v>46</v>
      </c>
      <c r="M5775" t="s">
        <v>1233</v>
      </c>
      <c r="N5775" t="s">
        <v>1233</v>
      </c>
      <c r="O5775" t="s">
        <v>23</v>
      </c>
      <c r="P5775" t="s">
        <v>24</v>
      </c>
      <c r="Q5775" t="s">
        <v>642</v>
      </c>
      <c r="R5775" t="s">
        <v>1214</v>
      </c>
    </row>
    <row r="5776" spans="1:18" x14ac:dyDescent="0.25">
      <c r="A5776" t="s">
        <v>14616</v>
      </c>
      <c r="B5776" t="s">
        <v>7735</v>
      </c>
      <c r="C5776" t="str">
        <f>HYPERLINK("https://nematode.unl.edu/macurv87.jpg")</f>
        <v>https://nematode.unl.edu/macurv87.jpg</v>
      </c>
      <c r="D5776" t="s">
        <v>43</v>
      </c>
      <c r="G5776" t="s">
        <v>28</v>
      </c>
      <c r="I5776" t="s">
        <v>41</v>
      </c>
      <c r="J5776" t="s">
        <v>46</v>
      </c>
      <c r="M5776" t="s">
        <v>1233</v>
      </c>
      <c r="N5776" t="s">
        <v>1233</v>
      </c>
      <c r="O5776" t="s">
        <v>23</v>
      </c>
      <c r="P5776" t="s">
        <v>24</v>
      </c>
      <c r="Q5776" t="s">
        <v>642</v>
      </c>
      <c r="R5776" t="s">
        <v>1214</v>
      </c>
    </row>
    <row r="5777" spans="1:18" x14ac:dyDescent="0.25">
      <c r="A5777" t="s">
        <v>14617</v>
      </c>
      <c r="B5777" t="s">
        <v>7736</v>
      </c>
      <c r="C5777" t="str">
        <f>HYPERLINK("https://nematode.unl.edu/macurv88.jpg")</f>
        <v>https://nematode.unl.edu/macurv88.jpg</v>
      </c>
      <c r="D5777" t="s">
        <v>43</v>
      </c>
      <c r="G5777" t="s">
        <v>28</v>
      </c>
      <c r="I5777" t="s">
        <v>41</v>
      </c>
      <c r="J5777" t="s">
        <v>46</v>
      </c>
      <c r="M5777" t="s">
        <v>1233</v>
      </c>
      <c r="N5777" t="s">
        <v>1233</v>
      </c>
      <c r="O5777" t="s">
        <v>23</v>
      </c>
      <c r="P5777" t="s">
        <v>24</v>
      </c>
      <c r="Q5777" t="s">
        <v>642</v>
      </c>
      <c r="R5777" t="s">
        <v>1214</v>
      </c>
    </row>
    <row r="5778" spans="1:18" x14ac:dyDescent="0.25">
      <c r="A5778" t="s">
        <v>14438</v>
      </c>
      <c r="B5778" t="s">
        <v>7737</v>
      </c>
      <c r="C5778" t="str">
        <f>HYPERLINK("https://nematode.unl.edu/macurv89.jpg")</f>
        <v>https://nematode.unl.edu/macurv89.jpg</v>
      </c>
      <c r="D5778" t="s">
        <v>43</v>
      </c>
      <c r="G5778" t="s">
        <v>44</v>
      </c>
      <c r="I5778" t="s">
        <v>19</v>
      </c>
      <c r="J5778" t="s">
        <v>46</v>
      </c>
      <c r="L5778" t="s">
        <v>727</v>
      </c>
      <c r="M5778" t="s">
        <v>1233</v>
      </c>
      <c r="N5778" t="s">
        <v>1233</v>
      </c>
      <c r="O5778" t="s">
        <v>23</v>
      </c>
      <c r="P5778" t="s">
        <v>24</v>
      </c>
      <c r="Q5778" t="s">
        <v>642</v>
      </c>
      <c r="R5778" t="s">
        <v>1214</v>
      </c>
    </row>
    <row r="5779" spans="1:18" x14ac:dyDescent="0.25">
      <c r="A5779" t="s">
        <v>14849</v>
      </c>
      <c r="B5779" t="s">
        <v>8186</v>
      </c>
      <c r="C5779" t="str">
        <f>HYPERLINK("https://nematode.unl.edu/macurv9.jpg")</f>
        <v>https://nematode.unl.edu/macurv9.jpg</v>
      </c>
      <c r="D5779" t="s">
        <v>16</v>
      </c>
      <c r="G5779" t="s">
        <v>44</v>
      </c>
      <c r="I5779" t="s">
        <v>41</v>
      </c>
      <c r="J5779" t="s">
        <v>46</v>
      </c>
      <c r="M5779" t="s">
        <v>8133</v>
      </c>
      <c r="N5779" t="s">
        <v>8133</v>
      </c>
      <c r="O5779" t="s">
        <v>23</v>
      </c>
      <c r="P5779" t="s">
        <v>24</v>
      </c>
      <c r="Q5779" t="s">
        <v>642</v>
      </c>
      <c r="R5779" t="s">
        <v>1214</v>
      </c>
    </row>
    <row r="5780" spans="1:18" x14ac:dyDescent="0.25">
      <c r="A5780" t="s">
        <v>14286</v>
      </c>
      <c r="B5780" t="s">
        <v>7738</v>
      </c>
      <c r="C5780" t="str">
        <f>HYPERLINK("https://nematode.unl.edu/macurv90.jpg")</f>
        <v>https://nematode.unl.edu/macurv90.jpg</v>
      </c>
      <c r="D5780" t="s">
        <v>43</v>
      </c>
      <c r="G5780" t="s">
        <v>34</v>
      </c>
      <c r="H5780" t="s">
        <v>18</v>
      </c>
      <c r="I5780" t="s">
        <v>41</v>
      </c>
      <c r="M5780" t="s">
        <v>1233</v>
      </c>
      <c r="N5780" t="s">
        <v>1233</v>
      </c>
      <c r="O5780" t="s">
        <v>23</v>
      </c>
      <c r="P5780" t="s">
        <v>24</v>
      </c>
      <c r="Q5780" t="s">
        <v>642</v>
      </c>
      <c r="R5780" t="s">
        <v>1214</v>
      </c>
    </row>
    <row r="5781" spans="1:18" x14ac:dyDescent="0.25">
      <c r="A5781" t="s">
        <v>14618</v>
      </c>
      <c r="B5781" t="s">
        <v>7739</v>
      </c>
      <c r="C5781" t="str">
        <f>HYPERLINK("https://nematode.unl.edu/macurv91.jpg")</f>
        <v>https://nematode.unl.edu/macurv91.jpg</v>
      </c>
      <c r="D5781" t="s">
        <v>43</v>
      </c>
      <c r="G5781" t="s">
        <v>28</v>
      </c>
      <c r="I5781" t="s">
        <v>41</v>
      </c>
      <c r="M5781" t="s">
        <v>1233</v>
      </c>
      <c r="N5781" t="s">
        <v>1233</v>
      </c>
      <c r="O5781" t="s">
        <v>23</v>
      </c>
      <c r="P5781" t="s">
        <v>24</v>
      </c>
      <c r="Q5781" t="s">
        <v>642</v>
      </c>
      <c r="R5781" t="s">
        <v>1214</v>
      </c>
    </row>
    <row r="5782" spans="1:18" x14ac:dyDescent="0.25">
      <c r="A5782" t="s">
        <v>14439</v>
      </c>
      <c r="B5782" t="s">
        <v>7740</v>
      </c>
      <c r="C5782" t="str">
        <f>HYPERLINK("https://nematode.unl.edu/macurv92.jpg")</f>
        <v>https://nematode.unl.edu/macurv92.jpg</v>
      </c>
      <c r="D5782" t="s">
        <v>43</v>
      </c>
      <c r="G5782" t="s">
        <v>44</v>
      </c>
      <c r="I5782" t="s">
        <v>516</v>
      </c>
      <c r="J5782" t="s">
        <v>46</v>
      </c>
      <c r="L5782" t="s">
        <v>727</v>
      </c>
      <c r="M5782" t="s">
        <v>1233</v>
      </c>
      <c r="N5782" t="s">
        <v>1233</v>
      </c>
      <c r="O5782" t="s">
        <v>23</v>
      </c>
      <c r="P5782" t="s">
        <v>24</v>
      </c>
      <c r="Q5782" t="s">
        <v>642</v>
      </c>
      <c r="R5782" t="s">
        <v>1214</v>
      </c>
    </row>
    <row r="5783" spans="1:18" x14ac:dyDescent="0.25">
      <c r="A5783" t="s">
        <v>14287</v>
      </c>
      <c r="B5783" t="s">
        <v>7741</v>
      </c>
      <c r="C5783" t="str">
        <f>HYPERLINK("https://nematode.unl.edu/macurv93.jpg")</f>
        <v>https://nematode.unl.edu/macurv93.jpg</v>
      </c>
      <c r="D5783" t="s">
        <v>43</v>
      </c>
      <c r="G5783" t="s">
        <v>34</v>
      </c>
      <c r="H5783" t="s">
        <v>18</v>
      </c>
      <c r="I5783" t="s">
        <v>41</v>
      </c>
      <c r="M5783" t="s">
        <v>1233</v>
      </c>
      <c r="N5783" t="s">
        <v>1233</v>
      </c>
      <c r="O5783" t="s">
        <v>23</v>
      </c>
      <c r="P5783" t="s">
        <v>24</v>
      </c>
      <c r="Q5783" t="s">
        <v>642</v>
      </c>
      <c r="R5783" t="s">
        <v>1214</v>
      </c>
    </row>
    <row r="5784" spans="1:18" x14ac:dyDescent="0.25">
      <c r="A5784" t="s">
        <v>14551</v>
      </c>
      <c r="B5784" t="s">
        <v>7742</v>
      </c>
      <c r="C5784" t="str">
        <f>HYPERLINK("https://nematode.unl.edu/macurv94.jpg")</f>
        <v>https://nematode.unl.edu/macurv94.jpg</v>
      </c>
      <c r="D5784" t="s">
        <v>43</v>
      </c>
      <c r="G5784" t="s">
        <v>181</v>
      </c>
      <c r="I5784" t="s">
        <v>41</v>
      </c>
      <c r="M5784" t="s">
        <v>1233</v>
      </c>
      <c r="N5784" t="s">
        <v>1233</v>
      </c>
      <c r="O5784" t="s">
        <v>23</v>
      </c>
      <c r="P5784" t="s">
        <v>24</v>
      </c>
      <c r="Q5784" t="s">
        <v>642</v>
      </c>
      <c r="R5784" t="s">
        <v>1214</v>
      </c>
    </row>
    <row r="5785" spans="1:18" x14ac:dyDescent="0.25">
      <c r="A5785" t="s">
        <v>14440</v>
      </c>
      <c r="B5785" t="s">
        <v>7743</v>
      </c>
      <c r="C5785" t="str">
        <f>HYPERLINK("https://nematode.unl.edu/macurv95.jpg")</f>
        <v>https://nematode.unl.edu/macurv95.jpg</v>
      </c>
      <c r="D5785" t="s">
        <v>43</v>
      </c>
      <c r="G5785" t="s">
        <v>44</v>
      </c>
      <c r="I5785" t="s">
        <v>19</v>
      </c>
      <c r="J5785" t="s">
        <v>46</v>
      </c>
      <c r="L5785" t="s">
        <v>727</v>
      </c>
      <c r="M5785" t="s">
        <v>1233</v>
      </c>
      <c r="N5785" t="s">
        <v>1233</v>
      </c>
      <c r="O5785" t="s">
        <v>23</v>
      </c>
      <c r="P5785" t="s">
        <v>24</v>
      </c>
      <c r="Q5785" t="s">
        <v>642</v>
      </c>
      <c r="R5785" t="s">
        <v>1214</v>
      </c>
    </row>
    <row r="5786" spans="1:18" x14ac:dyDescent="0.25">
      <c r="A5786" t="s">
        <v>14288</v>
      </c>
      <c r="B5786" t="s">
        <v>7744</v>
      </c>
      <c r="C5786" t="str">
        <f>HYPERLINK("https://nematode.unl.edu/macurv96.jpg")</f>
        <v>https://nematode.unl.edu/macurv96.jpg</v>
      </c>
      <c r="D5786" t="s">
        <v>43</v>
      </c>
      <c r="G5786" t="s">
        <v>34</v>
      </c>
      <c r="H5786" t="s">
        <v>18</v>
      </c>
      <c r="I5786" t="s">
        <v>41</v>
      </c>
      <c r="M5786" t="s">
        <v>1233</v>
      </c>
      <c r="N5786" t="s">
        <v>1233</v>
      </c>
      <c r="O5786" t="s">
        <v>23</v>
      </c>
      <c r="P5786" t="s">
        <v>24</v>
      </c>
      <c r="Q5786" t="s">
        <v>642</v>
      </c>
      <c r="R5786" t="s">
        <v>1214</v>
      </c>
    </row>
    <row r="5787" spans="1:18" x14ac:dyDescent="0.25">
      <c r="A5787" t="s">
        <v>14619</v>
      </c>
      <c r="B5787" t="s">
        <v>7745</v>
      </c>
      <c r="C5787" t="str">
        <f>HYPERLINK("https://nematode.unl.edu/macurv97.jpg")</f>
        <v>https://nematode.unl.edu/macurv97.jpg</v>
      </c>
      <c r="D5787" t="s">
        <v>43</v>
      </c>
      <c r="G5787" t="s">
        <v>28</v>
      </c>
      <c r="M5787" t="s">
        <v>1233</v>
      </c>
      <c r="N5787" t="s">
        <v>1233</v>
      </c>
      <c r="O5787" t="s">
        <v>23</v>
      </c>
      <c r="P5787" t="s">
        <v>24</v>
      </c>
      <c r="Q5787" t="s">
        <v>642</v>
      </c>
      <c r="R5787" t="s">
        <v>1214</v>
      </c>
    </row>
    <row r="5788" spans="1:18" x14ac:dyDescent="0.25">
      <c r="A5788" t="s">
        <v>14441</v>
      </c>
      <c r="B5788" t="s">
        <v>7746</v>
      </c>
      <c r="C5788" t="str">
        <f>HYPERLINK("https://nematode.unl.edu/macurv98.jpg")</f>
        <v>https://nematode.unl.edu/macurv98.jpg</v>
      </c>
      <c r="D5788" t="s">
        <v>16</v>
      </c>
      <c r="G5788" t="s">
        <v>44</v>
      </c>
      <c r="I5788" t="s">
        <v>19</v>
      </c>
      <c r="J5788" t="s">
        <v>46</v>
      </c>
      <c r="L5788" t="s">
        <v>727</v>
      </c>
      <c r="M5788" t="s">
        <v>1233</v>
      </c>
      <c r="N5788" t="s">
        <v>1233</v>
      </c>
      <c r="O5788" t="s">
        <v>23</v>
      </c>
      <c r="P5788" t="s">
        <v>24</v>
      </c>
      <c r="Q5788" t="s">
        <v>642</v>
      </c>
      <c r="R5788" t="s">
        <v>1214</v>
      </c>
    </row>
    <row r="5789" spans="1:18" x14ac:dyDescent="0.25">
      <c r="A5789" t="s">
        <v>14289</v>
      </c>
      <c r="B5789" t="s">
        <v>7747</v>
      </c>
      <c r="C5789" t="str">
        <f>HYPERLINK("https://nematode.unl.edu/macurv99.jpg")</f>
        <v>https://nematode.unl.edu/macurv99.jpg</v>
      </c>
      <c r="D5789" t="s">
        <v>16</v>
      </c>
      <c r="G5789" t="s">
        <v>34</v>
      </c>
      <c r="H5789" t="s">
        <v>18</v>
      </c>
      <c r="I5789" t="s">
        <v>41</v>
      </c>
      <c r="J5789" t="s">
        <v>46</v>
      </c>
      <c r="M5789" t="s">
        <v>1233</v>
      </c>
      <c r="N5789" t="s">
        <v>1233</v>
      </c>
      <c r="O5789" t="s">
        <v>23</v>
      </c>
      <c r="P5789" t="s">
        <v>24</v>
      </c>
      <c r="Q5789" t="s">
        <v>642</v>
      </c>
      <c r="R5789" t="s">
        <v>1214</v>
      </c>
    </row>
    <row r="5790" spans="1:18" x14ac:dyDescent="0.25">
      <c r="A5790" t="s">
        <v>14442</v>
      </c>
      <c r="B5790" t="s">
        <v>7748</v>
      </c>
      <c r="C5790" t="str">
        <f>HYPERLINK("https://nematode.unl.edu/macwil1.jpg")</f>
        <v>https://nematode.unl.edu/macwil1.jpg</v>
      </c>
      <c r="D5790" t="s">
        <v>43</v>
      </c>
      <c r="G5790" t="s">
        <v>44</v>
      </c>
      <c r="I5790" t="s">
        <v>137</v>
      </c>
      <c r="J5790" t="s">
        <v>1229</v>
      </c>
      <c r="L5790" t="s">
        <v>6189</v>
      </c>
      <c r="M5790" t="s">
        <v>1233</v>
      </c>
      <c r="N5790" t="s">
        <v>1233</v>
      </c>
      <c r="O5790" t="s">
        <v>23</v>
      </c>
      <c r="P5790" t="s">
        <v>24</v>
      </c>
      <c r="Q5790" t="s">
        <v>642</v>
      </c>
      <c r="R5790" t="s">
        <v>1214</v>
      </c>
    </row>
    <row r="5791" spans="1:18" x14ac:dyDescent="0.25">
      <c r="A5791" t="s">
        <v>14443</v>
      </c>
      <c r="B5791" t="s">
        <v>7749</v>
      </c>
      <c r="C5791" t="str">
        <f>HYPERLINK("https://nematode.unl.edu/macwil2.jpg")</f>
        <v>https://nematode.unl.edu/macwil2.jpg</v>
      </c>
      <c r="D5791" t="s">
        <v>43</v>
      </c>
      <c r="G5791" t="s">
        <v>44</v>
      </c>
      <c r="I5791" t="s">
        <v>19</v>
      </c>
      <c r="J5791" t="s">
        <v>1229</v>
      </c>
      <c r="L5791" t="s">
        <v>6189</v>
      </c>
      <c r="M5791" t="s">
        <v>1233</v>
      </c>
      <c r="N5791" t="s">
        <v>1233</v>
      </c>
      <c r="O5791" t="s">
        <v>23</v>
      </c>
      <c r="P5791" t="s">
        <v>24</v>
      </c>
      <c r="Q5791" t="s">
        <v>642</v>
      </c>
      <c r="R5791" t="s">
        <v>1214</v>
      </c>
    </row>
    <row r="5792" spans="1:18" x14ac:dyDescent="0.25">
      <c r="A5792" t="s">
        <v>14290</v>
      </c>
      <c r="B5792" t="s">
        <v>7750</v>
      </c>
      <c r="C5792" t="str">
        <f>HYPERLINK("https://nematode.unl.edu/macwil3.jpg")</f>
        <v>https://nematode.unl.edu/macwil3.jpg</v>
      </c>
      <c r="D5792" t="s">
        <v>43</v>
      </c>
      <c r="G5792" t="s">
        <v>34</v>
      </c>
      <c r="H5792" t="s">
        <v>18</v>
      </c>
      <c r="I5792" t="s">
        <v>41</v>
      </c>
      <c r="J5792" t="s">
        <v>1229</v>
      </c>
      <c r="M5792" t="s">
        <v>1233</v>
      </c>
      <c r="N5792" t="s">
        <v>1233</v>
      </c>
      <c r="O5792" t="s">
        <v>23</v>
      </c>
      <c r="P5792" t="s">
        <v>24</v>
      </c>
      <c r="Q5792" t="s">
        <v>642</v>
      </c>
      <c r="R5792" t="s">
        <v>1214</v>
      </c>
    </row>
    <row r="5793" spans="1:18" x14ac:dyDescent="0.25">
      <c r="A5793" t="s">
        <v>14118</v>
      </c>
      <c r="B5793" t="s">
        <v>7397</v>
      </c>
      <c r="C5793" t="str">
        <f>HYPERLINK("https://nematode.unl.edu/macwilliam1.jpg")</f>
        <v>https://nematode.unl.edu/macwilliam1.jpg</v>
      </c>
      <c r="D5793" t="s">
        <v>43</v>
      </c>
      <c r="G5793" t="s">
        <v>44</v>
      </c>
      <c r="I5793" t="s">
        <v>137</v>
      </c>
      <c r="J5793" t="s">
        <v>1229</v>
      </c>
      <c r="L5793" t="s">
        <v>6949</v>
      </c>
      <c r="M5793" t="s">
        <v>1214</v>
      </c>
      <c r="N5793" t="s">
        <v>1214</v>
      </c>
      <c r="O5793" t="s">
        <v>23</v>
      </c>
      <c r="P5793" t="s">
        <v>24</v>
      </c>
      <c r="Q5793" t="s">
        <v>642</v>
      </c>
      <c r="R5793" t="s">
        <v>1214</v>
      </c>
    </row>
    <row r="5794" spans="1:18" x14ac:dyDescent="0.25">
      <c r="A5794" t="s">
        <v>14119</v>
      </c>
      <c r="B5794" t="s">
        <v>7398</v>
      </c>
      <c r="C5794" t="str">
        <f>HYPERLINK("https://nematode.unl.edu/macwilliam2.jpg")</f>
        <v>https://nematode.unl.edu/macwilliam2.jpg</v>
      </c>
      <c r="D5794" t="s">
        <v>43</v>
      </c>
      <c r="G5794" t="s">
        <v>44</v>
      </c>
      <c r="I5794" t="s">
        <v>516</v>
      </c>
      <c r="J5794" t="s">
        <v>1229</v>
      </c>
      <c r="L5794" t="s">
        <v>6949</v>
      </c>
      <c r="M5794" t="s">
        <v>1214</v>
      </c>
      <c r="N5794" t="s">
        <v>1214</v>
      </c>
      <c r="O5794" t="s">
        <v>23</v>
      </c>
      <c r="P5794" t="s">
        <v>24</v>
      </c>
      <c r="Q5794" t="s">
        <v>642</v>
      </c>
      <c r="R5794" t="s">
        <v>1214</v>
      </c>
    </row>
    <row r="5795" spans="1:18" x14ac:dyDescent="0.25">
      <c r="A5795" t="s">
        <v>14067</v>
      </c>
      <c r="B5795" t="s">
        <v>7399</v>
      </c>
      <c r="C5795" t="str">
        <f>HYPERLINK("https://nematode.unl.edu/macwilliam3.jpg")</f>
        <v>https://nematode.unl.edu/macwilliam3.jpg</v>
      </c>
      <c r="D5795" t="s">
        <v>43</v>
      </c>
      <c r="G5795" t="s">
        <v>34</v>
      </c>
      <c r="H5795" t="s">
        <v>18</v>
      </c>
      <c r="J5795" t="s">
        <v>1229</v>
      </c>
      <c r="M5795" t="s">
        <v>1214</v>
      </c>
      <c r="N5795" t="s">
        <v>1214</v>
      </c>
      <c r="O5795" t="s">
        <v>23</v>
      </c>
      <c r="P5795" t="s">
        <v>24</v>
      </c>
      <c r="Q5795" t="s">
        <v>642</v>
      </c>
      <c r="R5795" t="s">
        <v>1214</v>
      </c>
    </row>
    <row r="5796" spans="1:18" x14ac:dyDescent="0.25">
      <c r="A5796" t="s">
        <v>14175</v>
      </c>
      <c r="B5796" t="s">
        <v>7400</v>
      </c>
      <c r="C5796" t="str">
        <f>HYPERLINK("https://nematode.unl.edu/macwilliam4.jpg")</f>
        <v>https://nematode.unl.edu/macwilliam4.jpg</v>
      </c>
      <c r="D5796" t="s">
        <v>43</v>
      </c>
      <c r="G5796" t="s">
        <v>7401</v>
      </c>
      <c r="I5796" t="s">
        <v>41</v>
      </c>
      <c r="J5796" t="s">
        <v>1229</v>
      </c>
      <c r="L5796" t="s">
        <v>6949</v>
      </c>
      <c r="M5796" t="s">
        <v>1214</v>
      </c>
      <c r="N5796" t="s">
        <v>1214</v>
      </c>
      <c r="O5796" t="s">
        <v>23</v>
      </c>
      <c r="P5796" t="s">
        <v>24</v>
      </c>
      <c r="Q5796" t="s">
        <v>642</v>
      </c>
      <c r="R5796" t="s">
        <v>1214</v>
      </c>
    </row>
    <row r="5797" spans="1:18" x14ac:dyDescent="0.25">
      <c r="A5797" t="s">
        <v>15171</v>
      </c>
      <c r="B5797" t="s">
        <v>1228</v>
      </c>
      <c r="C5797" t="str">
        <f>HYPERLINK("https://nematode.unl.edu/macwilliam5.jpg")</f>
        <v>https://nematode.unl.edu/macwilliam5.jpg</v>
      </c>
      <c r="G5797" t="s">
        <v>28</v>
      </c>
      <c r="I5797" t="s">
        <v>41</v>
      </c>
      <c r="J5797" t="s">
        <v>1229</v>
      </c>
      <c r="M5797" t="s">
        <v>1230</v>
      </c>
      <c r="N5797" t="s">
        <v>1214</v>
      </c>
      <c r="O5797" t="s">
        <v>23</v>
      </c>
      <c r="P5797" t="s">
        <v>24</v>
      </c>
      <c r="Q5797" t="s">
        <v>642</v>
      </c>
      <c r="R5797" t="s">
        <v>1214</v>
      </c>
    </row>
    <row r="5798" spans="1:18" x14ac:dyDescent="0.25">
      <c r="A5798" t="s">
        <v>14220</v>
      </c>
      <c r="B5798" t="s">
        <v>7402</v>
      </c>
      <c r="C5798" t="str">
        <f>HYPERLINK("https://nematode.unl.edu/macwilliam6.jpg")</f>
        <v>https://nematode.unl.edu/macwilliam6.jpg</v>
      </c>
      <c r="D5798" t="s">
        <v>43</v>
      </c>
      <c r="G5798" t="s">
        <v>51</v>
      </c>
      <c r="J5798" t="s">
        <v>1229</v>
      </c>
      <c r="M5798" t="s">
        <v>1214</v>
      </c>
      <c r="N5798" t="s">
        <v>1214</v>
      </c>
      <c r="O5798" t="s">
        <v>23</v>
      </c>
      <c r="P5798" t="s">
        <v>24</v>
      </c>
      <c r="Q5798" t="s">
        <v>642</v>
      </c>
      <c r="R5798" t="s">
        <v>1214</v>
      </c>
    </row>
    <row r="5799" spans="1:18" x14ac:dyDescent="0.25">
      <c r="A5799" t="s">
        <v>15889</v>
      </c>
      <c r="B5799" t="s">
        <v>1364</v>
      </c>
      <c r="C5799" t="str">
        <f>HYPERLINK("https://nematode.unl.edu/maffin1.jpg")</f>
        <v>https://nematode.unl.edu/maffin1.jpg</v>
      </c>
      <c r="D5799" t="s">
        <v>77</v>
      </c>
      <c r="G5799" t="s">
        <v>112</v>
      </c>
      <c r="M5799" t="s">
        <v>1365</v>
      </c>
      <c r="N5799" t="s">
        <v>1366</v>
      </c>
      <c r="O5799" t="s">
        <v>23</v>
      </c>
      <c r="P5799" t="s">
        <v>24</v>
      </c>
      <c r="Q5799" t="s">
        <v>1071</v>
      </c>
      <c r="R5799" t="s">
        <v>1367</v>
      </c>
    </row>
    <row r="5800" spans="1:18" x14ac:dyDescent="0.25">
      <c r="A5800" t="s">
        <v>15887</v>
      </c>
      <c r="B5800" t="s">
        <v>1368</v>
      </c>
      <c r="C5800" t="str">
        <f>HYPERLINK("https://nematode.unl.edu/maffin2.jpg")</f>
        <v>https://nematode.unl.edu/maffin2.jpg</v>
      </c>
      <c r="D5800" t="s">
        <v>77</v>
      </c>
      <c r="G5800" t="s">
        <v>1369</v>
      </c>
      <c r="M5800" t="s">
        <v>1365</v>
      </c>
      <c r="N5800" t="s">
        <v>1366</v>
      </c>
      <c r="O5800" t="s">
        <v>23</v>
      </c>
      <c r="P5800" t="s">
        <v>24</v>
      </c>
      <c r="Q5800" t="s">
        <v>1071</v>
      </c>
      <c r="R5800" t="s">
        <v>1367</v>
      </c>
    </row>
    <row r="5801" spans="1:18" x14ac:dyDescent="0.25">
      <c r="A5801" t="s">
        <v>15881</v>
      </c>
      <c r="B5801" t="s">
        <v>1370</v>
      </c>
      <c r="C5801" t="str">
        <f>HYPERLINK("https://nematode.unl.edu/maffin3.jpg")</f>
        <v>https://nematode.unl.edu/maffin3.jpg</v>
      </c>
      <c r="G5801" t="s">
        <v>34</v>
      </c>
      <c r="H5801" t="s">
        <v>18</v>
      </c>
      <c r="M5801" t="s">
        <v>1365</v>
      </c>
      <c r="N5801" t="s">
        <v>1366</v>
      </c>
      <c r="O5801" t="s">
        <v>23</v>
      </c>
      <c r="P5801" t="s">
        <v>24</v>
      </c>
      <c r="Q5801" t="s">
        <v>1071</v>
      </c>
      <c r="R5801" t="s">
        <v>1367</v>
      </c>
    </row>
    <row r="5802" spans="1:18" x14ac:dyDescent="0.25">
      <c r="A5802" t="s">
        <v>15884</v>
      </c>
      <c r="B5802" t="s">
        <v>1371</v>
      </c>
      <c r="C5802" t="str">
        <f>HYPERLINK("https://nematode.unl.edu/maffin4.jpg")</f>
        <v>https://nematode.unl.edu/maffin4.jpg</v>
      </c>
      <c r="D5802" t="s">
        <v>77</v>
      </c>
      <c r="G5802" t="s">
        <v>1372</v>
      </c>
      <c r="H5802" t="s">
        <v>18</v>
      </c>
      <c r="M5802" t="s">
        <v>1365</v>
      </c>
      <c r="N5802" t="s">
        <v>1366</v>
      </c>
      <c r="O5802" t="s">
        <v>23</v>
      </c>
      <c r="P5802" t="s">
        <v>24</v>
      </c>
      <c r="Q5802" t="s">
        <v>1071</v>
      </c>
      <c r="R5802" t="s">
        <v>1367</v>
      </c>
    </row>
    <row r="5803" spans="1:18" x14ac:dyDescent="0.25">
      <c r="A5803" t="s">
        <v>18458</v>
      </c>
      <c r="B5803" t="s">
        <v>1175</v>
      </c>
      <c r="C5803" t="str">
        <f>HYPERLINK("https://nematode.unl.edu/mafus1.jpg")</f>
        <v>https://nematode.unl.edu/mafus1.jpg</v>
      </c>
      <c r="D5803" t="s">
        <v>43</v>
      </c>
      <c r="G5803" t="s">
        <v>44</v>
      </c>
      <c r="I5803" t="s">
        <v>137</v>
      </c>
      <c r="J5803" t="s">
        <v>46</v>
      </c>
      <c r="L5803" t="s">
        <v>105</v>
      </c>
      <c r="M5803" t="s">
        <v>1176</v>
      </c>
      <c r="N5803" t="s">
        <v>1177</v>
      </c>
      <c r="O5803" t="s">
        <v>23</v>
      </c>
      <c r="P5803" t="s">
        <v>24</v>
      </c>
      <c r="Q5803" t="s">
        <v>69</v>
      </c>
      <c r="R5803" t="s">
        <v>1178</v>
      </c>
    </row>
    <row r="5804" spans="1:18" x14ac:dyDescent="0.25">
      <c r="A5804" t="s">
        <v>18449</v>
      </c>
      <c r="B5804" t="s">
        <v>1179</v>
      </c>
      <c r="C5804" t="str">
        <f>HYPERLINK("https://nematode.unl.edu/mafus2.jpg")</f>
        <v>https://nematode.unl.edu/mafus2.jpg</v>
      </c>
      <c r="D5804" t="s">
        <v>43</v>
      </c>
      <c r="G5804" t="s">
        <v>34</v>
      </c>
      <c r="H5804" t="s">
        <v>18</v>
      </c>
      <c r="J5804" t="s">
        <v>46</v>
      </c>
      <c r="L5804" t="s">
        <v>105</v>
      </c>
      <c r="M5804" t="s">
        <v>1176</v>
      </c>
      <c r="N5804" t="s">
        <v>1177</v>
      </c>
      <c r="O5804" t="s">
        <v>23</v>
      </c>
      <c r="P5804" t="s">
        <v>24</v>
      </c>
      <c r="Q5804" t="s">
        <v>69</v>
      </c>
      <c r="R5804" t="s">
        <v>1178</v>
      </c>
    </row>
    <row r="5805" spans="1:18" x14ac:dyDescent="0.25">
      <c r="A5805" t="s">
        <v>18462</v>
      </c>
      <c r="B5805" t="s">
        <v>1180</v>
      </c>
      <c r="C5805" t="str">
        <f>HYPERLINK("https://nematode.unl.edu/mafus3.jpg")</f>
        <v>https://nematode.unl.edu/mafus3.jpg</v>
      </c>
      <c r="D5805" t="s">
        <v>43</v>
      </c>
      <c r="G5805" t="s">
        <v>53</v>
      </c>
      <c r="I5805" t="s">
        <v>41</v>
      </c>
      <c r="J5805" t="s">
        <v>46</v>
      </c>
      <c r="L5805" t="s">
        <v>105</v>
      </c>
      <c r="M5805" t="s">
        <v>1176</v>
      </c>
      <c r="N5805" t="s">
        <v>1177</v>
      </c>
      <c r="O5805" t="s">
        <v>23</v>
      </c>
      <c r="P5805" t="s">
        <v>24</v>
      </c>
      <c r="Q5805" t="s">
        <v>69</v>
      </c>
      <c r="R5805" t="s">
        <v>1178</v>
      </c>
    </row>
    <row r="5806" spans="1:18" x14ac:dyDescent="0.25">
      <c r="A5806" t="s">
        <v>18450</v>
      </c>
      <c r="B5806" t="s">
        <v>1181</v>
      </c>
      <c r="C5806" t="str">
        <f>HYPERLINK("https://nematode.unl.edu/mafus4.jpg")</f>
        <v>https://nematode.unl.edu/mafus4.jpg</v>
      </c>
      <c r="D5806" t="s">
        <v>43</v>
      </c>
      <c r="G5806" t="s">
        <v>34</v>
      </c>
      <c r="H5806" t="s">
        <v>18</v>
      </c>
      <c r="I5806" t="s">
        <v>41</v>
      </c>
      <c r="J5806" t="s">
        <v>46</v>
      </c>
      <c r="L5806" t="s">
        <v>105</v>
      </c>
      <c r="M5806" t="s">
        <v>1176</v>
      </c>
      <c r="N5806" t="s">
        <v>1177</v>
      </c>
      <c r="O5806" t="s">
        <v>23</v>
      </c>
      <c r="P5806" t="s">
        <v>24</v>
      </c>
      <c r="Q5806" t="s">
        <v>69</v>
      </c>
      <c r="R5806" t="s">
        <v>1178</v>
      </c>
    </row>
    <row r="5807" spans="1:18" x14ac:dyDescent="0.25">
      <c r="A5807" t="s">
        <v>18468</v>
      </c>
      <c r="B5807" t="s">
        <v>1182</v>
      </c>
      <c r="C5807" t="str">
        <f>HYPERLINK("https://nematode.unl.edu/mafus5.jpg")</f>
        <v>https://nematode.unl.edu/mafus5.jpg</v>
      </c>
      <c r="D5807" t="s">
        <v>43</v>
      </c>
      <c r="G5807" t="s">
        <v>51</v>
      </c>
      <c r="I5807" t="s">
        <v>19</v>
      </c>
      <c r="J5807" t="s">
        <v>46</v>
      </c>
      <c r="L5807" t="s">
        <v>105</v>
      </c>
      <c r="M5807" t="s">
        <v>1176</v>
      </c>
      <c r="N5807" t="s">
        <v>1177</v>
      </c>
      <c r="O5807" t="s">
        <v>23</v>
      </c>
      <c r="P5807" t="s">
        <v>24</v>
      </c>
      <c r="Q5807" t="s">
        <v>69</v>
      </c>
      <c r="R5807" t="s">
        <v>1178</v>
      </c>
    </row>
    <row r="5808" spans="1:18" x14ac:dyDescent="0.25">
      <c r="A5808" t="s">
        <v>18467</v>
      </c>
      <c r="B5808" t="s">
        <v>1183</v>
      </c>
      <c r="C5808" t="str">
        <f>HYPERLINK("https://nematode.unl.edu/mafus6.jpg")</f>
        <v>https://nematode.unl.edu/mafus6.jpg</v>
      </c>
      <c r="D5808" t="s">
        <v>43</v>
      </c>
      <c r="G5808" t="s">
        <v>422</v>
      </c>
      <c r="I5808" t="s">
        <v>516</v>
      </c>
      <c r="J5808" t="s">
        <v>46</v>
      </c>
      <c r="L5808" t="s">
        <v>105</v>
      </c>
      <c r="M5808" t="s">
        <v>1176</v>
      </c>
      <c r="N5808" t="s">
        <v>1177</v>
      </c>
      <c r="O5808" t="s">
        <v>23</v>
      </c>
      <c r="P5808" t="s">
        <v>24</v>
      </c>
      <c r="Q5808" t="s">
        <v>69</v>
      </c>
      <c r="R5808" t="s">
        <v>1178</v>
      </c>
    </row>
    <row r="5809" spans="1:18" x14ac:dyDescent="0.25">
      <c r="A5809" t="s">
        <v>18461</v>
      </c>
      <c r="B5809" t="s">
        <v>1184</v>
      </c>
      <c r="C5809" t="str">
        <f>HYPERLINK("https://nematode.unl.edu/mafuscmp.jpg")</f>
        <v>https://nematode.unl.edu/mafuscmp.jpg</v>
      </c>
      <c r="G5809" t="s">
        <v>108</v>
      </c>
      <c r="M5809" t="s">
        <v>1176</v>
      </c>
      <c r="N5809" t="s">
        <v>1177</v>
      </c>
      <c r="O5809" t="s">
        <v>23</v>
      </c>
      <c r="P5809" t="s">
        <v>24</v>
      </c>
      <c r="Q5809" t="s">
        <v>69</v>
      </c>
      <c r="R5809" t="s">
        <v>1178</v>
      </c>
    </row>
    <row r="5810" spans="1:18" x14ac:dyDescent="0.25">
      <c r="A5810" t="s">
        <v>18472</v>
      </c>
      <c r="B5810" t="s">
        <v>1201</v>
      </c>
      <c r="C5810" t="str">
        <f>HYPERLINK("https://nematode.unl.edu/malent1.jpg")</f>
        <v>https://nematode.unl.edu/malent1.jpg</v>
      </c>
      <c r="D5810" t="s">
        <v>43</v>
      </c>
      <c r="G5810" t="s">
        <v>44</v>
      </c>
      <c r="I5810" t="s">
        <v>45</v>
      </c>
      <c r="J5810" t="s">
        <v>1202</v>
      </c>
      <c r="L5810" t="s">
        <v>1203</v>
      </c>
      <c r="M5810" t="s">
        <v>1204</v>
      </c>
      <c r="N5810" t="s">
        <v>1205</v>
      </c>
      <c r="O5810" t="s">
        <v>23</v>
      </c>
      <c r="P5810" t="s">
        <v>24</v>
      </c>
      <c r="Q5810" t="s">
        <v>69</v>
      </c>
      <c r="R5810" t="s">
        <v>1178</v>
      </c>
    </row>
    <row r="5811" spans="1:18" x14ac:dyDescent="0.25">
      <c r="A5811" t="s">
        <v>18471</v>
      </c>
      <c r="B5811" t="s">
        <v>1206</v>
      </c>
      <c r="C5811" t="str">
        <f>HYPERLINK("https://nematode.unl.edu/malent2.jpg")</f>
        <v>https://nematode.unl.edu/malent2.jpg</v>
      </c>
      <c r="D5811" t="s">
        <v>43</v>
      </c>
      <c r="G5811" t="s">
        <v>34</v>
      </c>
      <c r="H5811" t="s">
        <v>18</v>
      </c>
      <c r="I5811" t="s">
        <v>19</v>
      </c>
      <c r="M5811" t="s">
        <v>1204</v>
      </c>
      <c r="N5811" t="s">
        <v>1205</v>
      </c>
      <c r="O5811" t="s">
        <v>23</v>
      </c>
      <c r="P5811" t="s">
        <v>24</v>
      </c>
      <c r="Q5811" t="s">
        <v>69</v>
      </c>
      <c r="R5811" t="s">
        <v>1178</v>
      </c>
    </row>
    <row r="5812" spans="1:18" x14ac:dyDescent="0.25">
      <c r="A5812" t="s">
        <v>18475</v>
      </c>
      <c r="B5812" t="s">
        <v>1207</v>
      </c>
      <c r="C5812" t="str">
        <f>HYPERLINK("https://nematode.unl.edu/malent3.jpg")</f>
        <v>https://nematode.unl.edu/malent3.jpg</v>
      </c>
      <c r="D5812" t="s">
        <v>43</v>
      </c>
      <c r="G5812" t="s">
        <v>28</v>
      </c>
      <c r="I5812" t="s">
        <v>19</v>
      </c>
      <c r="M5812" t="s">
        <v>1204</v>
      </c>
      <c r="N5812" t="s">
        <v>1205</v>
      </c>
      <c r="O5812" t="s">
        <v>23</v>
      </c>
      <c r="P5812" t="s">
        <v>24</v>
      </c>
      <c r="Q5812" t="s">
        <v>69</v>
      </c>
      <c r="R5812" t="s">
        <v>1178</v>
      </c>
    </row>
    <row r="5813" spans="1:18" x14ac:dyDescent="0.25">
      <c r="A5813" t="s">
        <v>18473</v>
      </c>
      <c r="B5813" t="s">
        <v>1208</v>
      </c>
      <c r="C5813" t="str">
        <f>HYPERLINK("https://nematode.unl.edu/malent4.jpg")</f>
        <v>https://nematode.unl.edu/malent4.jpg</v>
      </c>
      <c r="D5813" t="s">
        <v>43</v>
      </c>
      <c r="G5813" t="s">
        <v>44</v>
      </c>
      <c r="I5813" t="s">
        <v>45</v>
      </c>
      <c r="J5813" t="s">
        <v>1202</v>
      </c>
      <c r="L5813" t="s">
        <v>1203</v>
      </c>
      <c r="M5813" t="s">
        <v>1204</v>
      </c>
      <c r="N5813" t="s">
        <v>1205</v>
      </c>
      <c r="O5813" t="s">
        <v>23</v>
      </c>
      <c r="P5813" t="s">
        <v>24</v>
      </c>
      <c r="Q5813" t="s">
        <v>69</v>
      </c>
      <c r="R5813" t="s">
        <v>1178</v>
      </c>
    </row>
    <row r="5814" spans="1:18" x14ac:dyDescent="0.25">
      <c r="A5814" t="s">
        <v>18476</v>
      </c>
      <c r="B5814" t="s">
        <v>1209</v>
      </c>
      <c r="C5814" t="str">
        <f>HYPERLINK("https://nematode.unl.edu/malent5.jpg")</f>
        <v>https://nematode.unl.edu/malent5.jpg</v>
      </c>
      <c r="D5814" t="s">
        <v>43</v>
      </c>
      <c r="G5814" t="s">
        <v>28</v>
      </c>
      <c r="I5814" t="s">
        <v>19</v>
      </c>
      <c r="M5814" t="s">
        <v>1204</v>
      </c>
      <c r="N5814" t="s">
        <v>1205</v>
      </c>
      <c r="O5814" t="s">
        <v>23</v>
      </c>
      <c r="P5814" t="s">
        <v>24</v>
      </c>
      <c r="Q5814" t="s">
        <v>69</v>
      </c>
      <c r="R5814" t="s">
        <v>1178</v>
      </c>
    </row>
    <row r="5815" spans="1:18" x14ac:dyDescent="0.25">
      <c r="A5815" t="s">
        <v>18474</v>
      </c>
      <c r="B5815" t="s">
        <v>1210</v>
      </c>
      <c r="C5815" t="str">
        <f>HYPERLINK("https://nematode.unl.edu/malentdrw.jpg")</f>
        <v>https://nematode.unl.edu/malentdrw.jpg</v>
      </c>
      <c r="G5815" t="s">
        <v>108</v>
      </c>
      <c r="M5815" t="s">
        <v>1204</v>
      </c>
      <c r="N5815" t="s">
        <v>1205</v>
      </c>
      <c r="O5815" t="s">
        <v>23</v>
      </c>
      <c r="P5815" t="s">
        <v>24</v>
      </c>
      <c r="Q5815" t="s">
        <v>69</v>
      </c>
      <c r="R5815" t="s">
        <v>1178</v>
      </c>
    </row>
    <row r="5816" spans="1:18" x14ac:dyDescent="0.25">
      <c r="A5816" t="s">
        <v>15894</v>
      </c>
      <c r="B5816" t="s">
        <v>1383</v>
      </c>
      <c r="C5816" t="str">
        <f>HYPERLINK("https://nematode.unl.edu/malpin1.jpg")</f>
        <v>https://nematode.unl.edu/malpin1.jpg</v>
      </c>
      <c r="D5816" t="s">
        <v>77</v>
      </c>
      <c r="G5816" t="s">
        <v>1068</v>
      </c>
      <c r="M5816" t="s">
        <v>1384</v>
      </c>
      <c r="N5816" t="s">
        <v>1385</v>
      </c>
      <c r="O5816" t="s">
        <v>23</v>
      </c>
      <c r="P5816" t="s">
        <v>24</v>
      </c>
      <c r="Q5816" t="s">
        <v>1071</v>
      </c>
      <c r="R5816" t="s">
        <v>1367</v>
      </c>
    </row>
    <row r="5817" spans="1:18" x14ac:dyDescent="0.25">
      <c r="A5817" t="s">
        <v>14444</v>
      </c>
      <c r="B5817" t="s">
        <v>7751</v>
      </c>
      <c r="C5817" t="str">
        <f>HYPERLINK("https://nematode.unl.edu/mecauro1.jpg")</f>
        <v>https://nematode.unl.edu/mecauro1.jpg</v>
      </c>
      <c r="D5817" t="s">
        <v>43</v>
      </c>
      <c r="G5817" t="s">
        <v>44</v>
      </c>
      <c r="I5817" t="s">
        <v>19</v>
      </c>
      <c r="J5817" t="s">
        <v>7752</v>
      </c>
      <c r="K5817" t="s">
        <v>22853</v>
      </c>
      <c r="L5817" t="s">
        <v>7753</v>
      </c>
      <c r="M5817" t="s">
        <v>1233</v>
      </c>
      <c r="N5817" t="s">
        <v>1233</v>
      </c>
      <c r="O5817" t="s">
        <v>23</v>
      </c>
      <c r="P5817" t="s">
        <v>24</v>
      </c>
      <c r="Q5817" t="s">
        <v>642</v>
      </c>
      <c r="R5817" t="s">
        <v>1214</v>
      </c>
    </row>
    <row r="5818" spans="1:18" x14ac:dyDescent="0.25">
      <c r="A5818" t="s">
        <v>14291</v>
      </c>
      <c r="B5818" t="s">
        <v>7754</v>
      </c>
      <c r="C5818" t="str">
        <f>HYPERLINK("https://nematode.unl.edu/mecauro2.jpg")</f>
        <v>https://nematode.unl.edu/mecauro2.jpg</v>
      </c>
      <c r="D5818" t="s">
        <v>43</v>
      </c>
      <c r="G5818" t="s">
        <v>34</v>
      </c>
      <c r="H5818" t="s">
        <v>18</v>
      </c>
      <c r="M5818" t="s">
        <v>1233</v>
      </c>
      <c r="N5818" t="s">
        <v>1233</v>
      </c>
      <c r="O5818" t="s">
        <v>23</v>
      </c>
      <c r="P5818" t="s">
        <v>24</v>
      </c>
      <c r="Q5818" t="s">
        <v>642</v>
      </c>
      <c r="R5818" t="s">
        <v>1214</v>
      </c>
    </row>
    <row r="5819" spans="1:18" x14ac:dyDescent="0.25">
      <c r="A5819" t="s">
        <v>14620</v>
      </c>
      <c r="B5819" t="s">
        <v>7755</v>
      </c>
      <c r="C5819" t="str">
        <f>HYPERLINK("https://nematode.unl.edu/mecauro3.jpg")</f>
        <v>https://nematode.unl.edu/mecauro3.jpg</v>
      </c>
      <c r="D5819" t="s">
        <v>43</v>
      </c>
      <c r="G5819" t="s">
        <v>28</v>
      </c>
      <c r="I5819" t="s">
        <v>41</v>
      </c>
      <c r="M5819" t="s">
        <v>1233</v>
      </c>
      <c r="N5819" t="s">
        <v>1233</v>
      </c>
      <c r="O5819" t="s">
        <v>23</v>
      </c>
      <c r="P5819" t="s">
        <v>24</v>
      </c>
      <c r="Q5819" t="s">
        <v>642</v>
      </c>
      <c r="R5819" t="s">
        <v>1214</v>
      </c>
    </row>
    <row r="5820" spans="1:18" x14ac:dyDescent="0.25">
      <c r="A5820" t="s">
        <v>14445</v>
      </c>
      <c r="B5820" t="s">
        <v>7756</v>
      </c>
      <c r="C5820" t="str">
        <f>HYPERLINK("https://nematode.unl.edu/mecauro4.jpg")</f>
        <v>https://nematode.unl.edu/mecauro4.jpg</v>
      </c>
      <c r="D5820" t="s">
        <v>16</v>
      </c>
      <c r="G5820" t="s">
        <v>44</v>
      </c>
      <c r="I5820" t="s">
        <v>19</v>
      </c>
      <c r="J5820" t="s">
        <v>7752</v>
      </c>
      <c r="K5820" t="s">
        <v>22853</v>
      </c>
      <c r="L5820" t="s">
        <v>7753</v>
      </c>
      <c r="M5820" t="s">
        <v>1233</v>
      </c>
      <c r="N5820" t="s">
        <v>1233</v>
      </c>
      <c r="O5820" t="s">
        <v>23</v>
      </c>
      <c r="P5820" t="s">
        <v>24</v>
      </c>
      <c r="Q5820" t="s">
        <v>642</v>
      </c>
      <c r="R5820" t="s">
        <v>1214</v>
      </c>
    </row>
    <row r="5821" spans="1:18" x14ac:dyDescent="0.25">
      <c r="A5821" t="s">
        <v>14446</v>
      </c>
      <c r="B5821" t="s">
        <v>7757</v>
      </c>
      <c r="C5821" t="str">
        <f>HYPERLINK("https://nematode.unl.edu/mecauro5.jpg")</f>
        <v>https://nematode.unl.edu/mecauro5.jpg</v>
      </c>
      <c r="D5821" t="s">
        <v>16</v>
      </c>
      <c r="G5821" t="s">
        <v>44</v>
      </c>
      <c r="I5821" t="s">
        <v>19</v>
      </c>
      <c r="J5821" t="s">
        <v>7752</v>
      </c>
      <c r="K5821" t="s">
        <v>22853</v>
      </c>
      <c r="L5821" t="s">
        <v>7753</v>
      </c>
      <c r="M5821" t="s">
        <v>1233</v>
      </c>
      <c r="N5821" t="s">
        <v>1233</v>
      </c>
      <c r="O5821" t="s">
        <v>23</v>
      </c>
      <c r="P5821" t="s">
        <v>24</v>
      </c>
      <c r="Q5821" t="s">
        <v>642</v>
      </c>
      <c r="R5821" t="s">
        <v>1214</v>
      </c>
    </row>
    <row r="5822" spans="1:18" x14ac:dyDescent="0.25">
      <c r="A5822" t="s">
        <v>14292</v>
      </c>
      <c r="B5822" t="s">
        <v>7758</v>
      </c>
      <c r="C5822" t="str">
        <f>HYPERLINK("https://nematode.unl.edu/mecauro6.jpg")</f>
        <v>https://nematode.unl.edu/mecauro6.jpg</v>
      </c>
      <c r="D5822" t="s">
        <v>16</v>
      </c>
      <c r="G5822" t="s">
        <v>34</v>
      </c>
      <c r="H5822" t="s">
        <v>18</v>
      </c>
      <c r="I5822" t="s">
        <v>41</v>
      </c>
      <c r="M5822" t="s">
        <v>1233</v>
      </c>
      <c r="N5822" t="s">
        <v>1233</v>
      </c>
      <c r="O5822" t="s">
        <v>23</v>
      </c>
      <c r="P5822" t="s">
        <v>24</v>
      </c>
      <c r="Q5822" t="s">
        <v>642</v>
      </c>
      <c r="R5822" t="s">
        <v>1214</v>
      </c>
    </row>
    <row r="5823" spans="1:18" x14ac:dyDescent="0.25">
      <c r="A5823" t="s">
        <v>14380</v>
      </c>
      <c r="B5823" t="s">
        <v>7759</v>
      </c>
      <c r="C5823" t="str">
        <f>HYPERLINK("https://nematode.unl.edu/mecauro7.jpg")</f>
        <v>https://nematode.unl.edu/mecauro7.jpg</v>
      </c>
      <c r="D5823" t="s">
        <v>16</v>
      </c>
      <c r="G5823" t="s">
        <v>4059</v>
      </c>
      <c r="H5823" t="s">
        <v>18</v>
      </c>
      <c r="I5823" t="s">
        <v>41</v>
      </c>
      <c r="J5823" t="s">
        <v>7752</v>
      </c>
      <c r="K5823" t="s">
        <v>22853</v>
      </c>
      <c r="L5823" t="s">
        <v>7753</v>
      </c>
      <c r="M5823" t="s">
        <v>1233</v>
      </c>
      <c r="N5823" t="s">
        <v>1233</v>
      </c>
      <c r="O5823" t="s">
        <v>23</v>
      </c>
      <c r="P5823" t="s">
        <v>24</v>
      </c>
      <c r="Q5823" t="s">
        <v>642</v>
      </c>
      <c r="R5823" t="s">
        <v>1214</v>
      </c>
    </row>
    <row r="5824" spans="1:18" x14ac:dyDescent="0.25">
      <c r="A5824" t="s">
        <v>14621</v>
      </c>
      <c r="B5824" t="s">
        <v>7760</v>
      </c>
      <c r="C5824" t="str">
        <f>HYPERLINK("https://nematode.unl.edu/mecauro8.jpg")</f>
        <v>https://nematode.unl.edu/mecauro8.jpg</v>
      </c>
      <c r="D5824" t="s">
        <v>16</v>
      </c>
      <c r="G5824" t="s">
        <v>28</v>
      </c>
      <c r="I5824" t="s">
        <v>41</v>
      </c>
      <c r="M5824" t="s">
        <v>1233</v>
      </c>
      <c r="N5824" t="s">
        <v>1233</v>
      </c>
      <c r="O5824" t="s">
        <v>23</v>
      </c>
      <c r="P5824" t="s">
        <v>24</v>
      </c>
      <c r="Q5824" t="s">
        <v>642</v>
      </c>
      <c r="R5824" t="s">
        <v>1214</v>
      </c>
    </row>
    <row r="5825" spans="1:18" x14ac:dyDescent="0.25">
      <c r="A5825" t="s">
        <v>14622</v>
      </c>
      <c r="B5825" t="s">
        <v>7761</v>
      </c>
      <c r="C5825" t="str">
        <f>HYPERLINK("https://nematode.unl.edu/mecauro9.jpg")</f>
        <v>https://nematode.unl.edu/mecauro9.jpg</v>
      </c>
      <c r="D5825" t="s">
        <v>16</v>
      </c>
      <c r="G5825" t="s">
        <v>28</v>
      </c>
      <c r="I5825" t="s">
        <v>41</v>
      </c>
      <c r="M5825" t="s">
        <v>1233</v>
      </c>
      <c r="N5825" t="s">
        <v>1233</v>
      </c>
      <c r="O5825" t="s">
        <v>23</v>
      </c>
      <c r="P5825" t="s">
        <v>24</v>
      </c>
      <c r="Q5825" t="s">
        <v>642</v>
      </c>
      <c r="R5825" t="s">
        <v>1214</v>
      </c>
    </row>
    <row r="5826" spans="1:18" x14ac:dyDescent="0.25">
      <c r="A5826" t="s">
        <v>14120</v>
      </c>
      <c r="B5826" t="s">
        <v>7403</v>
      </c>
      <c r="C5826" t="str">
        <f>HYPERLINK("https://nematode.unl.edu/mecki1.jpg")</f>
        <v>https://nematode.unl.edu/mecki1.jpg</v>
      </c>
      <c r="D5826" t="s">
        <v>43</v>
      </c>
      <c r="G5826" t="s">
        <v>44</v>
      </c>
      <c r="I5826" t="s">
        <v>45</v>
      </c>
      <c r="J5826" t="s">
        <v>20</v>
      </c>
      <c r="L5826" t="s">
        <v>85</v>
      </c>
      <c r="M5826" t="s">
        <v>1214</v>
      </c>
      <c r="N5826" t="s">
        <v>1214</v>
      </c>
      <c r="O5826" t="s">
        <v>23</v>
      </c>
      <c r="P5826" t="s">
        <v>24</v>
      </c>
      <c r="Q5826" t="s">
        <v>642</v>
      </c>
      <c r="R5826" t="s">
        <v>1214</v>
      </c>
    </row>
    <row r="5827" spans="1:18" x14ac:dyDescent="0.25">
      <c r="A5827" t="s">
        <v>14121</v>
      </c>
      <c r="B5827" t="s">
        <v>7404</v>
      </c>
      <c r="C5827" t="str">
        <f>HYPERLINK("https://nematode.unl.edu/mecki10.jpg")</f>
        <v>https://nematode.unl.edu/mecki10.jpg</v>
      </c>
      <c r="D5827" t="s">
        <v>43</v>
      </c>
      <c r="G5827" t="s">
        <v>44</v>
      </c>
      <c r="I5827" t="s">
        <v>19</v>
      </c>
      <c r="J5827" t="s">
        <v>46</v>
      </c>
      <c r="M5827" t="s">
        <v>1214</v>
      </c>
      <c r="N5827" t="s">
        <v>1214</v>
      </c>
      <c r="O5827" t="s">
        <v>23</v>
      </c>
      <c r="P5827" t="s">
        <v>24</v>
      </c>
      <c r="Q5827" t="s">
        <v>642</v>
      </c>
      <c r="R5827" t="s">
        <v>1214</v>
      </c>
    </row>
    <row r="5828" spans="1:18" x14ac:dyDescent="0.25">
      <c r="A5828" t="s">
        <v>14068</v>
      </c>
      <c r="B5828" t="s">
        <v>7405</v>
      </c>
      <c r="C5828" t="str">
        <f>HYPERLINK("https://nematode.unl.edu/mecki11.jpg")</f>
        <v>https://nematode.unl.edu/mecki11.jpg</v>
      </c>
      <c r="D5828" t="s">
        <v>43</v>
      </c>
      <c r="G5828" t="s">
        <v>34</v>
      </c>
      <c r="H5828" t="s">
        <v>18</v>
      </c>
      <c r="J5828" t="s">
        <v>46</v>
      </c>
      <c r="M5828" t="s">
        <v>1214</v>
      </c>
      <c r="N5828" t="s">
        <v>1214</v>
      </c>
      <c r="O5828" t="s">
        <v>23</v>
      </c>
      <c r="P5828" t="s">
        <v>24</v>
      </c>
      <c r="Q5828" t="s">
        <v>642</v>
      </c>
      <c r="R5828" t="s">
        <v>1214</v>
      </c>
    </row>
    <row r="5829" spans="1:18" x14ac:dyDescent="0.25">
      <c r="A5829" t="s">
        <v>14188</v>
      </c>
      <c r="B5829" t="s">
        <v>7406</v>
      </c>
      <c r="C5829" t="str">
        <f>HYPERLINK("https://nematode.unl.edu/mecki12.jpg")</f>
        <v>https://nematode.unl.edu/mecki12.jpg</v>
      </c>
      <c r="D5829" t="s">
        <v>43</v>
      </c>
      <c r="G5829" t="s">
        <v>28</v>
      </c>
      <c r="J5829" t="s">
        <v>46</v>
      </c>
      <c r="M5829" t="s">
        <v>1214</v>
      </c>
      <c r="N5829" t="s">
        <v>1214</v>
      </c>
      <c r="O5829" t="s">
        <v>23</v>
      </c>
      <c r="P5829" t="s">
        <v>24</v>
      </c>
      <c r="Q5829" t="s">
        <v>642</v>
      </c>
      <c r="R5829" t="s">
        <v>1214</v>
      </c>
    </row>
    <row r="5830" spans="1:18" x14ac:dyDescent="0.25">
      <c r="A5830" t="s">
        <v>14122</v>
      </c>
      <c r="B5830" t="s">
        <v>7407</v>
      </c>
      <c r="C5830" t="str">
        <f>HYPERLINK("https://nematode.unl.edu/mecki13.jpg")</f>
        <v>https://nematode.unl.edu/mecki13.jpg</v>
      </c>
      <c r="D5830" t="s">
        <v>43</v>
      </c>
      <c r="G5830" t="s">
        <v>44</v>
      </c>
      <c r="I5830" t="s">
        <v>41</v>
      </c>
      <c r="J5830" t="s">
        <v>46</v>
      </c>
      <c r="M5830" t="s">
        <v>1214</v>
      </c>
      <c r="N5830" t="s">
        <v>1214</v>
      </c>
      <c r="O5830" t="s">
        <v>23</v>
      </c>
      <c r="P5830" t="s">
        <v>24</v>
      </c>
      <c r="Q5830" t="s">
        <v>642</v>
      </c>
      <c r="R5830" t="s">
        <v>1214</v>
      </c>
    </row>
    <row r="5831" spans="1:18" x14ac:dyDescent="0.25">
      <c r="A5831" t="s">
        <v>14123</v>
      </c>
      <c r="B5831" t="s">
        <v>7408</v>
      </c>
      <c r="C5831" t="str">
        <f>HYPERLINK("https://nematode.unl.edu/mecki14.jpg")</f>
        <v>https://nematode.unl.edu/mecki14.jpg</v>
      </c>
      <c r="D5831" t="s">
        <v>43</v>
      </c>
      <c r="G5831" t="s">
        <v>44</v>
      </c>
      <c r="I5831" t="s">
        <v>19</v>
      </c>
      <c r="J5831" t="s">
        <v>46</v>
      </c>
      <c r="M5831" t="s">
        <v>1214</v>
      </c>
      <c r="N5831" t="s">
        <v>1214</v>
      </c>
      <c r="O5831" t="s">
        <v>23</v>
      </c>
      <c r="P5831" t="s">
        <v>24</v>
      </c>
      <c r="Q5831" t="s">
        <v>642</v>
      </c>
      <c r="R5831" t="s">
        <v>1214</v>
      </c>
    </row>
    <row r="5832" spans="1:18" x14ac:dyDescent="0.25">
      <c r="A5832" t="s">
        <v>14069</v>
      </c>
      <c r="B5832" t="s">
        <v>7409</v>
      </c>
      <c r="C5832" t="str">
        <f>HYPERLINK("https://nematode.unl.edu/mecki15.jpg")</f>
        <v>https://nematode.unl.edu/mecki15.jpg</v>
      </c>
      <c r="D5832" t="s">
        <v>16</v>
      </c>
      <c r="G5832" t="s">
        <v>34</v>
      </c>
      <c r="H5832" t="s">
        <v>18</v>
      </c>
      <c r="I5832" t="s">
        <v>41</v>
      </c>
      <c r="J5832" t="s">
        <v>46</v>
      </c>
      <c r="M5832" t="s">
        <v>1214</v>
      </c>
      <c r="N5832" t="s">
        <v>1214</v>
      </c>
      <c r="O5832" t="s">
        <v>23</v>
      </c>
      <c r="P5832" t="s">
        <v>24</v>
      </c>
      <c r="Q5832" t="s">
        <v>642</v>
      </c>
      <c r="R5832" t="s">
        <v>1214</v>
      </c>
    </row>
    <row r="5833" spans="1:18" x14ac:dyDescent="0.25">
      <c r="A5833" t="s">
        <v>14189</v>
      </c>
      <c r="B5833" t="s">
        <v>7410</v>
      </c>
      <c r="C5833" t="str">
        <f>HYPERLINK("https://nematode.unl.edu/mecki16.jpg")</f>
        <v>https://nematode.unl.edu/mecki16.jpg</v>
      </c>
      <c r="D5833" t="s">
        <v>16</v>
      </c>
      <c r="G5833" t="s">
        <v>28</v>
      </c>
      <c r="I5833" t="s">
        <v>41</v>
      </c>
      <c r="J5833" t="s">
        <v>46</v>
      </c>
      <c r="M5833" t="s">
        <v>1214</v>
      </c>
      <c r="N5833" t="s">
        <v>1214</v>
      </c>
      <c r="O5833" t="s">
        <v>23</v>
      </c>
      <c r="P5833" t="s">
        <v>24</v>
      </c>
      <c r="Q5833" t="s">
        <v>642</v>
      </c>
      <c r="R5833" t="s">
        <v>1214</v>
      </c>
    </row>
    <row r="5834" spans="1:18" x14ac:dyDescent="0.25">
      <c r="A5834" t="s">
        <v>14124</v>
      </c>
      <c r="B5834" t="s">
        <v>7411</v>
      </c>
      <c r="C5834" t="str">
        <f>HYPERLINK("https://nematode.unl.edu/mecki17.jpg")</f>
        <v>https://nematode.unl.edu/mecki17.jpg</v>
      </c>
      <c r="D5834" t="s">
        <v>16</v>
      </c>
      <c r="G5834" t="s">
        <v>44</v>
      </c>
      <c r="I5834" t="s">
        <v>41</v>
      </c>
      <c r="J5834" t="s">
        <v>46</v>
      </c>
      <c r="M5834" t="s">
        <v>1214</v>
      </c>
      <c r="N5834" t="s">
        <v>1214</v>
      </c>
      <c r="O5834" t="s">
        <v>23</v>
      </c>
      <c r="P5834" t="s">
        <v>24</v>
      </c>
      <c r="Q5834" t="s">
        <v>642</v>
      </c>
      <c r="R5834" t="s">
        <v>1214</v>
      </c>
    </row>
    <row r="5835" spans="1:18" x14ac:dyDescent="0.25">
      <c r="A5835" t="s">
        <v>14293</v>
      </c>
      <c r="B5835" t="s">
        <v>7762</v>
      </c>
      <c r="C5835" t="str">
        <f>HYPERLINK("https://nematode.unl.edu/mecki18.jpg")</f>
        <v>https://nematode.unl.edu/mecki18.jpg</v>
      </c>
      <c r="D5835" t="s">
        <v>43</v>
      </c>
      <c r="G5835" t="s">
        <v>34</v>
      </c>
      <c r="H5835" t="s">
        <v>18</v>
      </c>
      <c r="I5835" t="s">
        <v>41</v>
      </c>
      <c r="J5835" t="s">
        <v>46</v>
      </c>
      <c r="M5835" t="s">
        <v>1233</v>
      </c>
      <c r="N5835" t="s">
        <v>1233</v>
      </c>
      <c r="O5835" t="s">
        <v>23</v>
      </c>
      <c r="P5835" t="s">
        <v>24</v>
      </c>
      <c r="Q5835" t="s">
        <v>642</v>
      </c>
      <c r="R5835" t="s">
        <v>1214</v>
      </c>
    </row>
    <row r="5836" spans="1:18" x14ac:dyDescent="0.25">
      <c r="A5836" t="s">
        <v>14623</v>
      </c>
      <c r="B5836" t="s">
        <v>7763</v>
      </c>
      <c r="C5836" t="str">
        <f>HYPERLINK("https://nematode.unl.edu/mecki19.jpg")</f>
        <v>https://nematode.unl.edu/mecki19.jpg</v>
      </c>
      <c r="D5836" t="s">
        <v>43</v>
      </c>
      <c r="G5836" t="s">
        <v>28</v>
      </c>
      <c r="I5836" t="s">
        <v>41</v>
      </c>
      <c r="J5836" t="s">
        <v>46</v>
      </c>
      <c r="M5836" t="s">
        <v>1233</v>
      </c>
      <c r="N5836" t="s">
        <v>1233</v>
      </c>
      <c r="O5836" t="s">
        <v>23</v>
      </c>
      <c r="P5836" t="s">
        <v>24</v>
      </c>
      <c r="Q5836" t="s">
        <v>642</v>
      </c>
      <c r="R5836" t="s">
        <v>1214</v>
      </c>
    </row>
    <row r="5837" spans="1:18" x14ac:dyDescent="0.25">
      <c r="A5837" t="s">
        <v>14070</v>
      </c>
      <c r="B5837" t="s">
        <v>7412</v>
      </c>
      <c r="C5837" t="str">
        <f>HYPERLINK("https://nematode.unl.edu/mecki2.jpg")</f>
        <v>https://nematode.unl.edu/mecki2.jpg</v>
      </c>
      <c r="D5837" t="s">
        <v>43</v>
      </c>
      <c r="G5837" t="s">
        <v>34</v>
      </c>
      <c r="H5837" t="s">
        <v>18</v>
      </c>
      <c r="I5837" t="s">
        <v>19</v>
      </c>
      <c r="J5837" t="s">
        <v>20</v>
      </c>
      <c r="M5837" t="s">
        <v>1214</v>
      </c>
      <c r="N5837" t="s">
        <v>1214</v>
      </c>
      <c r="O5837" t="s">
        <v>23</v>
      </c>
      <c r="P5837" t="s">
        <v>24</v>
      </c>
      <c r="Q5837" t="s">
        <v>642</v>
      </c>
      <c r="R5837" t="s">
        <v>1214</v>
      </c>
    </row>
    <row r="5838" spans="1:18" x14ac:dyDescent="0.25">
      <c r="A5838" t="s">
        <v>14447</v>
      </c>
      <c r="B5838" t="s">
        <v>7764</v>
      </c>
      <c r="C5838" t="str">
        <f>HYPERLINK("https://nematode.unl.edu/mecki20.jpg")</f>
        <v>https://nematode.unl.edu/mecki20.jpg</v>
      </c>
      <c r="D5838" t="s">
        <v>43</v>
      </c>
      <c r="G5838" t="s">
        <v>44</v>
      </c>
      <c r="I5838" t="s">
        <v>19</v>
      </c>
      <c r="J5838" t="s">
        <v>46</v>
      </c>
      <c r="M5838" t="s">
        <v>1233</v>
      </c>
      <c r="N5838" t="s">
        <v>1233</v>
      </c>
      <c r="O5838" t="s">
        <v>23</v>
      </c>
      <c r="P5838" t="s">
        <v>24</v>
      </c>
      <c r="Q5838" t="s">
        <v>642</v>
      </c>
      <c r="R5838" t="s">
        <v>1214</v>
      </c>
    </row>
    <row r="5839" spans="1:18" x14ac:dyDescent="0.25">
      <c r="A5839" t="s">
        <v>14624</v>
      </c>
      <c r="B5839" t="s">
        <v>7765</v>
      </c>
      <c r="C5839" t="str">
        <f>HYPERLINK("https://nematode.unl.edu/mecki21.jpg")</f>
        <v>https://nematode.unl.edu/mecki21.jpg</v>
      </c>
      <c r="D5839" t="s">
        <v>43</v>
      </c>
      <c r="G5839" t="s">
        <v>28</v>
      </c>
      <c r="I5839" t="s">
        <v>41</v>
      </c>
      <c r="J5839" t="s">
        <v>46</v>
      </c>
      <c r="M5839" t="s">
        <v>1233</v>
      </c>
      <c r="N5839" t="s">
        <v>1233</v>
      </c>
      <c r="O5839" t="s">
        <v>23</v>
      </c>
      <c r="P5839" t="s">
        <v>24</v>
      </c>
      <c r="Q5839" t="s">
        <v>642</v>
      </c>
      <c r="R5839" t="s">
        <v>1214</v>
      </c>
    </row>
    <row r="5840" spans="1:18" x14ac:dyDescent="0.25">
      <c r="A5840" t="s">
        <v>14625</v>
      </c>
      <c r="B5840" t="s">
        <v>7766</v>
      </c>
      <c r="C5840" t="str">
        <f>HYPERLINK("https://nematode.unl.edu/mecki22.jpg")</f>
        <v>https://nematode.unl.edu/mecki22.jpg</v>
      </c>
      <c r="D5840" t="s">
        <v>43</v>
      </c>
      <c r="G5840" t="s">
        <v>28</v>
      </c>
      <c r="J5840" t="s">
        <v>46</v>
      </c>
      <c r="M5840" t="s">
        <v>1233</v>
      </c>
      <c r="N5840" t="s">
        <v>1233</v>
      </c>
      <c r="O5840" t="s">
        <v>23</v>
      </c>
      <c r="P5840" t="s">
        <v>24</v>
      </c>
      <c r="Q5840" t="s">
        <v>642</v>
      </c>
      <c r="R5840" t="s">
        <v>1214</v>
      </c>
    </row>
    <row r="5841" spans="1:18" x14ac:dyDescent="0.25">
      <c r="A5841" t="s">
        <v>14448</v>
      </c>
      <c r="B5841" t="s">
        <v>7767</v>
      </c>
      <c r="C5841" t="str">
        <f>HYPERLINK("https://nematode.unl.edu/mecki23.jpg")</f>
        <v>https://nematode.unl.edu/mecki23.jpg</v>
      </c>
      <c r="D5841" t="s">
        <v>43</v>
      </c>
      <c r="G5841" t="s">
        <v>44</v>
      </c>
      <c r="I5841" t="s">
        <v>41</v>
      </c>
      <c r="J5841" t="s">
        <v>46</v>
      </c>
      <c r="M5841" t="s">
        <v>1233</v>
      </c>
      <c r="N5841" t="s">
        <v>1233</v>
      </c>
      <c r="O5841" t="s">
        <v>23</v>
      </c>
      <c r="P5841" t="s">
        <v>24</v>
      </c>
      <c r="Q5841" t="s">
        <v>642</v>
      </c>
      <c r="R5841" t="s">
        <v>1214</v>
      </c>
    </row>
    <row r="5842" spans="1:18" x14ac:dyDescent="0.25">
      <c r="A5842" t="s">
        <v>14449</v>
      </c>
      <c r="B5842" t="s">
        <v>7768</v>
      </c>
      <c r="C5842" t="str">
        <f>HYPERLINK("https://nematode.unl.edu/mecki24.jpg")</f>
        <v>https://nematode.unl.edu/mecki24.jpg</v>
      </c>
      <c r="D5842" t="s">
        <v>43</v>
      </c>
      <c r="G5842" t="s">
        <v>44</v>
      </c>
      <c r="I5842" t="s">
        <v>19</v>
      </c>
      <c r="J5842" t="s">
        <v>46</v>
      </c>
      <c r="M5842" t="s">
        <v>1233</v>
      </c>
      <c r="N5842" t="s">
        <v>1233</v>
      </c>
      <c r="O5842" t="s">
        <v>23</v>
      </c>
      <c r="P5842" t="s">
        <v>24</v>
      </c>
      <c r="Q5842" t="s">
        <v>642</v>
      </c>
      <c r="R5842" t="s">
        <v>1214</v>
      </c>
    </row>
    <row r="5843" spans="1:18" x14ac:dyDescent="0.25">
      <c r="A5843" t="s">
        <v>14294</v>
      </c>
      <c r="B5843" t="s">
        <v>7769</v>
      </c>
      <c r="C5843" t="str">
        <f>HYPERLINK("https://nematode.unl.edu/mecki25.jpg")</f>
        <v>https://nematode.unl.edu/mecki25.jpg</v>
      </c>
      <c r="D5843" t="s">
        <v>43</v>
      </c>
      <c r="G5843" t="s">
        <v>34</v>
      </c>
      <c r="H5843" t="s">
        <v>18</v>
      </c>
      <c r="I5843" t="s">
        <v>41</v>
      </c>
      <c r="J5843" t="s">
        <v>46</v>
      </c>
      <c r="M5843" t="s">
        <v>1233</v>
      </c>
      <c r="N5843" t="s">
        <v>1233</v>
      </c>
      <c r="O5843" t="s">
        <v>23</v>
      </c>
      <c r="P5843" t="s">
        <v>24</v>
      </c>
      <c r="Q5843" t="s">
        <v>642</v>
      </c>
      <c r="R5843" t="s">
        <v>1214</v>
      </c>
    </row>
    <row r="5844" spans="1:18" x14ac:dyDescent="0.25">
      <c r="A5844" t="s">
        <v>14626</v>
      </c>
      <c r="B5844" t="s">
        <v>7770</v>
      </c>
      <c r="C5844" t="str">
        <f>HYPERLINK("https://nematode.unl.edu/mecki26.jpg")</f>
        <v>https://nematode.unl.edu/mecki26.jpg</v>
      </c>
      <c r="D5844" t="s">
        <v>43</v>
      </c>
      <c r="G5844" t="s">
        <v>28</v>
      </c>
      <c r="I5844" t="s">
        <v>41</v>
      </c>
      <c r="J5844" t="s">
        <v>46</v>
      </c>
      <c r="M5844" t="s">
        <v>1233</v>
      </c>
      <c r="N5844" t="s">
        <v>1233</v>
      </c>
      <c r="O5844" t="s">
        <v>23</v>
      </c>
      <c r="P5844" t="s">
        <v>24</v>
      </c>
      <c r="Q5844" t="s">
        <v>642</v>
      </c>
      <c r="R5844" t="s">
        <v>1214</v>
      </c>
    </row>
    <row r="5845" spans="1:18" x14ac:dyDescent="0.25">
      <c r="A5845" t="s">
        <v>14295</v>
      </c>
      <c r="B5845" t="s">
        <v>7771</v>
      </c>
      <c r="C5845" t="str">
        <f>HYPERLINK("https://nematode.unl.edu/mecki27.jpg")</f>
        <v>https://nematode.unl.edu/mecki27.jpg</v>
      </c>
      <c r="D5845" t="s">
        <v>43</v>
      </c>
      <c r="G5845" t="s">
        <v>34</v>
      </c>
      <c r="H5845" t="s">
        <v>18</v>
      </c>
      <c r="I5845" t="s">
        <v>41</v>
      </c>
      <c r="J5845" t="s">
        <v>46</v>
      </c>
      <c r="M5845" t="s">
        <v>1233</v>
      </c>
      <c r="N5845" t="s">
        <v>1233</v>
      </c>
      <c r="O5845" t="s">
        <v>23</v>
      </c>
      <c r="P5845" t="s">
        <v>24</v>
      </c>
      <c r="Q5845" t="s">
        <v>642</v>
      </c>
      <c r="R5845" t="s">
        <v>1214</v>
      </c>
    </row>
    <row r="5846" spans="1:18" x14ac:dyDescent="0.25">
      <c r="A5846" t="s">
        <v>14627</v>
      </c>
      <c r="B5846" t="s">
        <v>7772</v>
      </c>
      <c r="C5846" t="str">
        <f>HYPERLINK("https://nematode.unl.edu/mecki28.jpg")</f>
        <v>https://nematode.unl.edu/mecki28.jpg</v>
      </c>
      <c r="D5846" t="s">
        <v>43</v>
      </c>
      <c r="G5846" t="s">
        <v>28</v>
      </c>
      <c r="I5846" t="s">
        <v>41</v>
      </c>
      <c r="J5846" t="s">
        <v>46</v>
      </c>
      <c r="M5846" t="s">
        <v>1233</v>
      </c>
      <c r="N5846" t="s">
        <v>1233</v>
      </c>
      <c r="O5846" t="s">
        <v>23</v>
      </c>
      <c r="P5846" t="s">
        <v>24</v>
      </c>
      <c r="Q5846" t="s">
        <v>642</v>
      </c>
      <c r="R5846" t="s">
        <v>1214</v>
      </c>
    </row>
    <row r="5847" spans="1:18" x14ac:dyDescent="0.25">
      <c r="A5847" t="s">
        <v>14190</v>
      </c>
      <c r="B5847" t="s">
        <v>7413</v>
      </c>
      <c r="C5847" t="str">
        <f>HYPERLINK("https://nematode.unl.edu/mecki3.jpg")</f>
        <v>https://nematode.unl.edu/mecki3.jpg</v>
      </c>
      <c r="D5847" t="s">
        <v>43</v>
      </c>
      <c r="G5847" t="s">
        <v>28</v>
      </c>
      <c r="J5847" t="s">
        <v>20</v>
      </c>
      <c r="L5847" t="s">
        <v>85</v>
      </c>
      <c r="M5847" t="s">
        <v>1214</v>
      </c>
      <c r="N5847" t="s">
        <v>1214</v>
      </c>
      <c r="O5847" t="s">
        <v>23</v>
      </c>
      <c r="P5847" t="s">
        <v>24</v>
      </c>
      <c r="Q5847" t="s">
        <v>642</v>
      </c>
      <c r="R5847" t="s">
        <v>1214</v>
      </c>
    </row>
    <row r="5848" spans="1:18" x14ac:dyDescent="0.25">
      <c r="A5848" t="s">
        <v>14099</v>
      </c>
      <c r="B5848" t="s">
        <v>7414</v>
      </c>
      <c r="C5848" t="str">
        <f>HYPERLINK("https://nematode.unl.edu/mecki4.jpg")</f>
        <v>https://nematode.unl.edu/mecki4.jpg</v>
      </c>
      <c r="D5848" t="s">
        <v>43</v>
      </c>
      <c r="G5848" t="s">
        <v>257</v>
      </c>
      <c r="H5848" t="s">
        <v>18</v>
      </c>
      <c r="I5848" t="s">
        <v>41</v>
      </c>
      <c r="J5848" t="s">
        <v>20</v>
      </c>
      <c r="L5848" t="s">
        <v>85</v>
      </c>
      <c r="M5848" t="s">
        <v>1214</v>
      </c>
      <c r="N5848" t="s">
        <v>1214</v>
      </c>
      <c r="O5848" t="s">
        <v>23</v>
      </c>
      <c r="P5848" t="s">
        <v>24</v>
      </c>
      <c r="Q5848" t="s">
        <v>642</v>
      </c>
      <c r="R5848" t="s">
        <v>1214</v>
      </c>
    </row>
    <row r="5849" spans="1:18" x14ac:dyDescent="0.25">
      <c r="A5849" t="s">
        <v>14100</v>
      </c>
      <c r="B5849" t="s">
        <v>7415</v>
      </c>
      <c r="C5849" t="str">
        <f>HYPERLINK("https://nematode.unl.edu/mecki5.jpg")</f>
        <v>https://nematode.unl.edu/mecki5.jpg</v>
      </c>
      <c r="D5849" t="s">
        <v>43</v>
      </c>
      <c r="G5849" t="s">
        <v>259</v>
      </c>
      <c r="H5849" t="s">
        <v>18</v>
      </c>
      <c r="I5849" t="s">
        <v>41</v>
      </c>
      <c r="M5849" t="s">
        <v>1214</v>
      </c>
      <c r="N5849" t="s">
        <v>1214</v>
      </c>
      <c r="O5849" t="s">
        <v>23</v>
      </c>
      <c r="P5849" t="s">
        <v>24</v>
      </c>
      <c r="Q5849" t="s">
        <v>642</v>
      </c>
      <c r="R5849" t="s">
        <v>1214</v>
      </c>
    </row>
    <row r="5850" spans="1:18" x14ac:dyDescent="0.25">
      <c r="A5850" t="s">
        <v>14071</v>
      </c>
      <c r="B5850" t="s">
        <v>7416</v>
      </c>
      <c r="C5850" t="str">
        <f>HYPERLINK("https://nematode.unl.edu/mecki6.jpg")</f>
        <v>https://nematode.unl.edu/mecki6.jpg</v>
      </c>
      <c r="D5850" t="s">
        <v>43</v>
      </c>
      <c r="G5850" t="s">
        <v>34</v>
      </c>
      <c r="H5850" t="s">
        <v>18</v>
      </c>
      <c r="I5850" t="s">
        <v>41</v>
      </c>
      <c r="J5850" t="s">
        <v>20</v>
      </c>
      <c r="M5850" t="s">
        <v>1214</v>
      </c>
      <c r="N5850" t="s">
        <v>1214</v>
      </c>
      <c r="O5850" t="s">
        <v>23</v>
      </c>
      <c r="P5850" t="s">
        <v>24</v>
      </c>
      <c r="Q5850" t="s">
        <v>642</v>
      </c>
      <c r="R5850" t="s">
        <v>1214</v>
      </c>
    </row>
    <row r="5851" spans="1:18" x14ac:dyDescent="0.25">
      <c r="A5851" t="s">
        <v>14221</v>
      </c>
      <c r="B5851" t="s">
        <v>7417</v>
      </c>
      <c r="C5851" t="str">
        <f>HYPERLINK("https://nematode.unl.edu/mecki7.jpg")</f>
        <v>https://nematode.unl.edu/mecki7.jpg</v>
      </c>
      <c r="D5851" t="s">
        <v>43</v>
      </c>
      <c r="G5851" t="s">
        <v>51</v>
      </c>
      <c r="I5851" t="s">
        <v>41</v>
      </c>
      <c r="M5851" t="s">
        <v>1214</v>
      </c>
      <c r="N5851" t="s">
        <v>1214</v>
      </c>
      <c r="O5851" t="s">
        <v>23</v>
      </c>
      <c r="P5851" t="s">
        <v>24</v>
      </c>
      <c r="Q5851" t="s">
        <v>642</v>
      </c>
      <c r="R5851" t="s">
        <v>1214</v>
      </c>
    </row>
    <row r="5852" spans="1:18" x14ac:dyDescent="0.25">
      <c r="A5852" t="s">
        <v>14104</v>
      </c>
      <c r="B5852" t="s">
        <v>7418</v>
      </c>
      <c r="C5852" t="str">
        <f>HYPERLINK("https://nematode.unl.edu/mecki8.jpg")</f>
        <v>https://nematode.unl.edu/mecki8.jpg</v>
      </c>
      <c r="D5852" t="s">
        <v>43</v>
      </c>
      <c r="G5852" t="s">
        <v>3942</v>
      </c>
      <c r="I5852" t="s">
        <v>529</v>
      </c>
      <c r="J5852" t="s">
        <v>20</v>
      </c>
      <c r="L5852" t="s">
        <v>85</v>
      </c>
      <c r="M5852" t="s">
        <v>1214</v>
      </c>
      <c r="N5852" t="s">
        <v>1214</v>
      </c>
      <c r="O5852" t="s">
        <v>23</v>
      </c>
      <c r="P5852" t="s">
        <v>24</v>
      </c>
      <c r="Q5852" t="s">
        <v>642</v>
      </c>
      <c r="R5852" t="s">
        <v>1214</v>
      </c>
    </row>
    <row r="5853" spans="1:18" x14ac:dyDescent="0.25">
      <c r="A5853" t="s">
        <v>14191</v>
      </c>
      <c r="B5853" t="s">
        <v>7419</v>
      </c>
      <c r="C5853" t="str">
        <f>HYPERLINK("https://nematode.unl.edu/mecki9.jpg")</f>
        <v>https://nematode.unl.edu/mecki9.jpg</v>
      </c>
      <c r="D5853" t="s">
        <v>43</v>
      </c>
      <c r="G5853" t="s">
        <v>28</v>
      </c>
      <c r="I5853" t="s">
        <v>41</v>
      </c>
      <c r="M5853" t="s">
        <v>1214</v>
      </c>
      <c r="N5853" t="s">
        <v>1214</v>
      </c>
      <c r="O5853" t="s">
        <v>23</v>
      </c>
      <c r="P5853" t="s">
        <v>24</v>
      </c>
      <c r="Q5853" t="s">
        <v>642</v>
      </c>
      <c r="R5853" t="s">
        <v>1214</v>
      </c>
    </row>
    <row r="5854" spans="1:18" x14ac:dyDescent="0.25">
      <c r="A5854" t="s">
        <v>14943</v>
      </c>
      <c r="B5854" t="s">
        <v>8278</v>
      </c>
      <c r="C5854" t="str">
        <f>HYPERLINK("https://nematode.unl.edu/meckroth1.jpg")</f>
        <v>https://nematode.unl.edu/meckroth1.jpg</v>
      </c>
      <c r="D5854" t="s">
        <v>16</v>
      </c>
      <c r="G5854" t="s">
        <v>44</v>
      </c>
      <c r="I5854" t="s">
        <v>516</v>
      </c>
      <c r="J5854" t="s">
        <v>1249</v>
      </c>
      <c r="L5854" t="s">
        <v>8279</v>
      </c>
      <c r="M5854" t="s">
        <v>1247</v>
      </c>
      <c r="N5854" t="s">
        <v>1247</v>
      </c>
      <c r="O5854" t="s">
        <v>23</v>
      </c>
      <c r="P5854" t="s">
        <v>24</v>
      </c>
      <c r="Q5854" t="s">
        <v>642</v>
      </c>
      <c r="R5854" t="s">
        <v>1214</v>
      </c>
    </row>
    <row r="5855" spans="1:18" x14ac:dyDescent="0.25">
      <c r="A5855" t="s">
        <v>14944</v>
      </c>
      <c r="B5855" t="s">
        <v>8280</v>
      </c>
      <c r="C5855" t="str">
        <f>HYPERLINK("https://nematode.unl.edu/meckroth10.jpg")</f>
        <v>https://nematode.unl.edu/meckroth10.jpg</v>
      </c>
      <c r="D5855" t="s">
        <v>43</v>
      </c>
      <c r="G5855" t="s">
        <v>44</v>
      </c>
      <c r="I5855" t="s">
        <v>516</v>
      </c>
      <c r="J5855" t="s">
        <v>1249</v>
      </c>
      <c r="L5855" t="s">
        <v>1250</v>
      </c>
      <c r="M5855" t="s">
        <v>1247</v>
      </c>
      <c r="N5855" t="s">
        <v>1247</v>
      </c>
      <c r="O5855" t="s">
        <v>23</v>
      </c>
      <c r="P5855" t="s">
        <v>24</v>
      </c>
      <c r="Q5855" t="s">
        <v>642</v>
      </c>
      <c r="R5855" t="s">
        <v>1214</v>
      </c>
    </row>
    <row r="5856" spans="1:18" x14ac:dyDescent="0.25">
      <c r="A5856" t="s">
        <v>14936</v>
      </c>
      <c r="B5856" t="s">
        <v>8281</v>
      </c>
      <c r="C5856" t="str">
        <f>HYPERLINK("https://nematode.unl.edu/meckroth11.jpg")</f>
        <v>https://nematode.unl.edu/meckroth11.jpg</v>
      </c>
      <c r="D5856" t="s">
        <v>43</v>
      </c>
      <c r="G5856" t="s">
        <v>34</v>
      </c>
      <c r="H5856" t="s">
        <v>18</v>
      </c>
      <c r="I5856" t="s">
        <v>41</v>
      </c>
      <c r="M5856" t="s">
        <v>1247</v>
      </c>
      <c r="N5856" t="s">
        <v>1247</v>
      </c>
      <c r="O5856" t="s">
        <v>23</v>
      </c>
      <c r="P5856" t="s">
        <v>24</v>
      </c>
      <c r="Q5856" t="s">
        <v>642</v>
      </c>
      <c r="R5856" t="s">
        <v>1214</v>
      </c>
    </row>
    <row r="5857" spans="1:18" x14ac:dyDescent="0.25">
      <c r="A5857" t="s">
        <v>14953</v>
      </c>
      <c r="B5857" t="s">
        <v>8282</v>
      </c>
      <c r="C5857" t="str">
        <f>HYPERLINK("https://nematode.unl.edu/meckroth12.jpg")</f>
        <v>https://nematode.unl.edu/meckroth12.jpg</v>
      </c>
      <c r="D5857" t="s">
        <v>43</v>
      </c>
      <c r="G5857" t="s">
        <v>28</v>
      </c>
      <c r="M5857" t="s">
        <v>1247</v>
      </c>
      <c r="N5857" t="s">
        <v>1247</v>
      </c>
      <c r="O5857" t="s">
        <v>23</v>
      </c>
      <c r="P5857" t="s">
        <v>24</v>
      </c>
      <c r="Q5857" t="s">
        <v>642</v>
      </c>
      <c r="R5857" t="s">
        <v>1214</v>
      </c>
    </row>
    <row r="5858" spans="1:18" x14ac:dyDescent="0.25">
      <c r="A5858" t="s">
        <v>14935</v>
      </c>
      <c r="B5858" t="s">
        <v>1251</v>
      </c>
      <c r="C5858" t="str">
        <f>HYPERLINK("https://nematode.unl.edu/meckroth13.jpg")</f>
        <v>https://nematode.unl.edu/meckroth13.jpg</v>
      </c>
      <c r="D5858" t="s">
        <v>43</v>
      </c>
      <c r="G5858" t="s">
        <v>51</v>
      </c>
      <c r="M5858" t="s">
        <v>1252</v>
      </c>
      <c r="N5858" t="s">
        <v>1247</v>
      </c>
      <c r="O5858" t="s">
        <v>23</v>
      </c>
      <c r="P5858" t="s">
        <v>24</v>
      </c>
      <c r="Q5858" t="s">
        <v>642</v>
      </c>
      <c r="R5858" t="s">
        <v>1214</v>
      </c>
    </row>
    <row r="5859" spans="1:18" x14ac:dyDescent="0.25">
      <c r="A5859" t="s">
        <v>14934</v>
      </c>
      <c r="B5859" t="s">
        <v>1245</v>
      </c>
      <c r="C5859" t="str">
        <f>HYPERLINK("https://nematode.unl.edu/meckroth14.jpg")</f>
        <v>https://nematode.unl.edu/meckroth14.jpg</v>
      </c>
      <c r="D5859" t="s">
        <v>43</v>
      </c>
      <c r="G5859" t="s">
        <v>51</v>
      </c>
      <c r="M5859" t="s">
        <v>1246</v>
      </c>
      <c r="N5859" t="s">
        <v>1247</v>
      </c>
      <c r="O5859" t="s">
        <v>23</v>
      </c>
      <c r="P5859" t="s">
        <v>24</v>
      </c>
      <c r="Q5859" t="s">
        <v>642</v>
      </c>
      <c r="R5859" t="s">
        <v>1214</v>
      </c>
    </row>
    <row r="5860" spans="1:18" x14ac:dyDescent="0.25">
      <c r="A5860" t="s">
        <v>14945</v>
      </c>
      <c r="B5860" t="s">
        <v>8283</v>
      </c>
      <c r="C5860" t="str">
        <f>HYPERLINK("https://nematode.unl.edu/meckroth15.jpg")</f>
        <v>https://nematode.unl.edu/meckroth15.jpg</v>
      </c>
      <c r="D5860" t="s">
        <v>43</v>
      </c>
      <c r="G5860" t="s">
        <v>44</v>
      </c>
      <c r="I5860" t="s">
        <v>516</v>
      </c>
      <c r="J5860" t="s">
        <v>1249</v>
      </c>
      <c r="L5860" t="s">
        <v>1250</v>
      </c>
      <c r="M5860" t="s">
        <v>1247</v>
      </c>
      <c r="N5860" t="s">
        <v>1247</v>
      </c>
      <c r="O5860" t="s">
        <v>23</v>
      </c>
      <c r="P5860" t="s">
        <v>24</v>
      </c>
      <c r="Q5860" t="s">
        <v>642</v>
      </c>
      <c r="R5860" t="s">
        <v>1214</v>
      </c>
    </row>
    <row r="5861" spans="1:18" x14ac:dyDescent="0.25">
      <c r="A5861" t="s">
        <v>14937</v>
      </c>
      <c r="B5861" t="s">
        <v>8284</v>
      </c>
      <c r="C5861" t="str">
        <f>HYPERLINK("https://nematode.unl.edu/meckroth16.jpg")</f>
        <v>https://nematode.unl.edu/meckroth16.jpg</v>
      </c>
      <c r="D5861" t="s">
        <v>43</v>
      </c>
      <c r="G5861" t="s">
        <v>34</v>
      </c>
      <c r="H5861" t="s">
        <v>18</v>
      </c>
      <c r="M5861" t="s">
        <v>1247</v>
      </c>
      <c r="N5861" t="s">
        <v>1247</v>
      </c>
      <c r="O5861" t="s">
        <v>23</v>
      </c>
      <c r="P5861" t="s">
        <v>24</v>
      </c>
      <c r="Q5861" t="s">
        <v>642</v>
      </c>
      <c r="R5861" t="s">
        <v>1214</v>
      </c>
    </row>
    <row r="5862" spans="1:18" x14ac:dyDescent="0.25">
      <c r="A5862" t="s">
        <v>14954</v>
      </c>
      <c r="B5862" t="s">
        <v>8285</v>
      </c>
      <c r="C5862" t="str">
        <f>HYPERLINK("https://nematode.unl.edu/meckroth17.jpg")</f>
        <v>https://nematode.unl.edu/meckroth17.jpg</v>
      </c>
      <c r="D5862" t="s">
        <v>43</v>
      </c>
      <c r="G5862" t="s">
        <v>28</v>
      </c>
      <c r="M5862" t="s">
        <v>1247</v>
      </c>
      <c r="N5862" t="s">
        <v>1247</v>
      </c>
      <c r="O5862" t="s">
        <v>23</v>
      </c>
      <c r="P5862" t="s">
        <v>24</v>
      </c>
      <c r="Q5862" t="s">
        <v>642</v>
      </c>
      <c r="R5862" t="s">
        <v>1214</v>
      </c>
    </row>
    <row r="5863" spans="1:18" x14ac:dyDescent="0.25">
      <c r="A5863" t="s">
        <v>14942</v>
      </c>
      <c r="B5863" t="s">
        <v>8286</v>
      </c>
      <c r="C5863" t="str">
        <f>HYPERLINK("https://nematode.unl.edu/meckroth18.jpg")</f>
        <v>https://nematode.unl.edu/meckroth18.jpg</v>
      </c>
      <c r="D5863" t="s">
        <v>43</v>
      </c>
      <c r="G5863" t="s">
        <v>3120</v>
      </c>
      <c r="I5863" t="s">
        <v>529</v>
      </c>
      <c r="J5863" t="s">
        <v>1249</v>
      </c>
      <c r="L5863" t="s">
        <v>1250</v>
      </c>
      <c r="M5863" t="s">
        <v>1247</v>
      </c>
      <c r="N5863" t="s">
        <v>1247</v>
      </c>
      <c r="O5863" t="s">
        <v>23</v>
      </c>
      <c r="P5863" t="s">
        <v>24</v>
      </c>
      <c r="Q5863" t="s">
        <v>642</v>
      </c>
      <c r="R5863" t="s">
        <v>1214</v>
      </c>
    </row>
    <row r="5864" spans="1:18" x14ac:dyDescent="0.25">
      <c r="A5864" t="s">
        <v>14933</v>
      </c>
      <c r="B5864" t="s">
        <v>1248</v>
      </c>
      <c r="C5864" t="str">
        <f>HYPERLINK("https://nematode.unl.edu/meckroth19.jpg")</f>
        <v>https://nematode.unl.edu/meckroth19.jpg</v>
      </c>
      <c r="D5864" t="s">
        <v>16</v>
      </c>
      <c r="G5864" t="s">
        <v>44</v>
      </c>
      <c r="I5864" t="s">
        <v>516</v>
      </c>
      <c r="J5864" t="s">
        <v>1249</v>
      </c>
      <c r="L5864" t="s">
        <v>1250</v>
      </c>
      <c r="M5864" t="s">
        <v>1246</v>
      </c>
      <c r="N5864" t="s">
        <v>1247</v>
      </c>
      <c r="O5864" t="s">
        <v>23</v>
      </c>
      <c r="P5864" t="s">
        <v>24</v>
      </c>
      <c r="Q5864" t="s">
        <v>642</v>
      </c>
      <c r="R5864" t="s">
        <v>1214</v>
      </c>
    </row>
    <row r="5865" spans="1:18" x14ac:dyDescent="0.25">
      <c r="A5865" t="s">
        <v>14938</v>
      </c>
      <c r="B5865" t="s">
        <v>8287</v>
      </c>
      <c r="C5865" t="str">
        <f>HYPERLINK("https://nematode.unl.edu/meckroth2.jpg")</f>
        <v>https://nematode.unl.edu/meckroth2.jpg</v>
      </c>
      <c r="D5865" t="s">
        <v>16</v>
      </c>
      <c r="G5865" t="s">
        <v>34</v>
      </c>
      <c r="H5865" t="s">
        <v>18</v>
      </c>
      <c r="I5865" t="s">
        <v>41</v>
      </c>
      <c r="M5865" t="s">
        <v>1247</v>
      </c>
      <c r="N5865" t="s">
        <v>1247</v>
      </c>
      <c r="O5865" t="s">
        <v>23</v>
      </c>
      <c r="P5865" t="s">
        <v>24</v>
      </c>
      <c r="Q5865" t="s">
        <v>642</v>
      </c>
      <c r="R5865" t="s">
        <v>1214</v>
      </c>
    </row>
    <row r="5866" spans="1:18" x14ac:dyDescent="0.25">
      <c r="A5866" t="s">
        <v>14939</v>
      </c>
      <c r="B5866" t="s">
        <v>8288</v>
      </c>
      <c r="C5866" t="str">
        <f>HYPERLINK("https://nematode.unl.edu/meckroth20.jpg")</f>
        <v>https://nematode.unl.edu/meckroth20.jpg</v>
      </c>
      <c r="D5866" t="s">
        <v>16</v>
      </c>
      <c r="G5866" t="s">
        <v>34</v>
      </c>
      <c r="H5866" t="s">
        <v>18</v>
      </c>
      <c r="I5866" t="s">
        <v>41</v>
      </c>
      <c r="M5866" t="s">
        <v>1247</v>
      </c>
      <c r="N5866" t="s">
        <v>1247</v>
      </c>
      <c r="O5866" t="s">
        <v>23</v>
      </c>
      <c r="P5866" t="s">
        <v>24</v>
      </c>
      <c r="Q5866" t="s">
        <v>642</v>
      </c>
      <c r="R5866" t="s">
        <v>1214</v>
      </c>
    </row>
    <row r="5867" spans="1:18" x14ac:dyDescent="0.25">
      <c r="A5867" t="s">
        <v>14946</v>
      </c>
      <c r="B5867" t="s">
        <v>8289</v>
      </c>
      <c r="C5867" t="str">
        <f>HYPERLINK("https://nematode.unl.edu/meckroth21.jpg")</f>
        <v>https://nematode.unl.edu/meckroth21.jpg</v>
      </c>
      <c r="D5867" t="s">
        <v>16</v>
      </c>
      <c r="G5867" t="s">
        <v>44</v>
      </c>
      <c r="I5867" t="s">
        <v>41</v>
      </c>
      <c r="M5867" t="s">
        <v>1247</v>
      </c>
      <c r="N5867" t="s">
        <v>1247</v>
      </c>
      <c r="O5867" t="s">
        <v>23</v>
      </c>
      <c r="P5867" t="s">
        <v>24</v>
      </c>
      <c r="Q5867" t="s">
        <v>642</v>
      </c>
      <c r="R5867" t="s">
        <v>1214</v>
      </c>
    </row>
    <row r="5868" spans="1:18" x14ac:dyDescent="0.25">
      <c r="A5868" t="s">
        <v>14955</v>
      </c>
      <c r="B5868" t="s">
        <v>8290</v>
      </c>
      <c r="C5868" t="str">
        <f>HYPERLINK("https://nematode.unl.edu/meckroth22.jpg")</f>
        <v>https://nematode.unl.edu/meckroth22.jpg</v>
      </c>
      <c r="D5868" t="s">
        <v>16</v>
      </c>
      <c r="G5868" t="s">
        <v>28</v>
      </c>
      <c r="M5868" t="s">
        <v>1247</v>
      </c>
      <c r="N5868" t="s">
        <v>1247</v>
      </c>
      <c r="O5868" t="s">
        <v>23</v>
      </c>
      <c r="P5868" t="s">
        <v>24</v>
      </c>
      <c r="Q5868" t="s">
        <v>642</v>
      </c>
      <c r="R5868" t="s">
        <v>1214</v>
      </c>
    </row>
    <row r="5869" spans="1:18" x14ac:dyDescent="0.25">
      <c r="A5869" t="s">
        <v>14951</v>
      </c>
      <c r="B5869" t="s">
        <v>8291</v>
      </c>
      <c r="C5869" t="str">
        <f>HYPERLINK("https://nematode.unl.edu/meckroth23.jpg")</f>
        <v>https://nematode.unl.edu/meckroth23.jpg</v>
      </c>
      <c r="D5869" t="s">
        <v>16</v>
      </c>
      <c r="G5869" t="s">
        <v>224</v>
      </c>
      <c r="I5869" t="s">
        <v>41</v>
      </c>
      <c r="M5869" t="s">
        <v>1247</v>
      </c>
      <c r="N5869" t="s">
        <v>1247</v>
      </c>
      <c r="O5869" t="s">
        <v>23</v>
      </c>
      <c r="P5869" t="s">
        <v>24</v>
      </c>
      <c r="Q5869" t="s">
        <v>642</v>
      </c>
      <c r="R5869" t="s">
        <v>1214</v>
      </c>
    </row>
    <row r="5870" spans="1:18" x14ac:dyDescent="0.25">
      <c r="A5870" t="s">
        <v>14947</v>
      </c>
      <c r="B5870" t="s">
        <v>8292</v>
      </c>
      <c r="C5870" t="str">
        <f>HYPERLINK("https://nematode.unl.edu/meckroth24.jpg")</f>
        <v>https://nematode.unl.edu/meckroth24.jpg</v>
      </c>
      <c r="D5870" t="s">
        <v>16</v>
      </c>
      <c r="G5870" t="s">
        <v>44</v>
      </c>
      <c r="I5870" t="s">
        <v>516</v>
      </c>
      <c r="J5870" t="s">
        <v>1249</v>
      </c>
      <c r="L5870" t="s">
        <v>1250</v>
      </c>
      <c r="M5870" t="s">
        <v>1247</v>
      </c>
      <c r="N5870" t="s">
        <v>1247</v>
      </c>
      <c r="O5870" t="s">
        <v>23</v>
      </c>
      <c r="P5870" t="s">
        <v>24</v>
      </c>
      <c r="Q5870" t="s">
        <v>642</v>
      </c>
      <c r="R5870" t="s">
        <v>1214</v>
      </c>
    </row>
    <row r="5871" spans="1:18" x14ac:dyDescent="0.25">
      <c r="A5871" t="s">
        <v>14940</v>
      </c>
      <c r="B5871" t="s">
        <v>8293</v>
      </c>
      <c r="C5871" t="str">
        <f>HYPERLINK("https://nematode.unl.edu/meckroth25.jpg")</f>
        <v>https://nematode.unl.edu/meckroth25.jpg</v>
      </c>
      <c r="D5871" t="s">
        <v>16</v>
      </c>
      <c r="G5871" t="s">
        <v>34</v>
      </c>
      <c r="H5871" t="s">
        <v>18</v>
      </c>
      <c r="M5871" t="s">
        <v>1247</v>
      </c>
      <c r="N5871" t="s">
        <v>1247</v>
      </c>
      <c r="O5871" t="s">
        <v>23</v>
      </c>
      <c r="P5871" t="s">
        <v>24</v>
      </c>
      <c r="Q5871" t="s">
        <v>642</v>
      </c>
      <c r="R5871" t="s">
        <v>1214</v>
      </c>
    </row>
    <row r="5872" spans="1:18" x14ac:dyDescent="0.25">
      <c r="A5872" t="s">
        <v>14956</v>
      </c>
      <c r="B5872" t="s">
        <v>8294</v>
      </c>
      <c r="C5872" t="str">
        <f>HYPERLINK("https://nematode.unl.edu/meckroth26.jpg")</f>
        <v>https://nematode.unl.edu/meckroth26.jpg</v>
      </c>
      <c r="D5872" t="s">
        <v>16</v>
      </c>
      <c r="G5872" t="s">
        <v>28</v>
      </c>
      <c r="I5872" t="s">
        <v>41</v>
      </c>
      <c r="M5872" t="s">
        <v>1247</v>
      </c>
      <c r="N5872" t="s">
        <v>1247</v>
      </c>
      <c r="O5872" t="s">
        <v>23</v>
      </c>
      <c r="P5872" t="s">
        <v>24</v>
      </c>
      <c r="Q5872" t="s">
        <v>642</v>
      </c>
      <c r="R5872" t="s">
        <v>1214</v>
      </c>
    </row>
    <row r="5873" spans="1:18" x14ac:dyDescent="0.25">
      <c r="A5873" t="s">
        <v>14948</v>
      </c>
      <c r="B5873" t="s">
        <v>8295</v>
      </c>
      <c r="C5873" t="str">
        <f>HYPERLINK("https://nematode.unl.edu/meckroth27.jpg")</f>
        <v>https://nematode.unl.edu/meckroth27.jpg</v>
      </c>
      <c r="D5873" t="s">
        <v>16</v>
      </c>
      <c r="G5873" t="s">
        <v>44</v>
      </c>
      <c r="I5873" t="s">
        <v>41</v>
      </c>
      <c r="M5873" t="s">
        <v>1247</v>
      </c>
      <c r="N5873" t="s">
        <v>1247</v>
      </c>
      <c r="O5873" t="s">
        <v>23</v>
      </c>
      <c r="P5873" t="s">
        <v>24</v>
      </c>
      <c r="Q5873" t="s">
        <v>642</v>
      </c>
      <c r="R5873" t="s">
        <v>1214</v>
      </c>
    </row>
    <row r="5874" spans="1:18" x14ac:dyDescent="0.25">
      <c r="A5874" t="s">
        <v>14949</v>
      </c>
      <c r="B5874" t="s">
        <v>8296</v>
      </c>
      <c r="C5874" t="str">
        <f>HYPERLINK("https://nematode.unl.edu/meckroth3.jpg")</f>
        <v>https://nematode.unl.edu/meckroth3.jpg</v>
      </c>
      <c r="D5874" t="s">
        <v>16</v>
      </c>
      <c r="G5874" t="s">
        <v>44</v>
      </c>
      <c r="I5874" t="s">
        <v>41</v>
      </c>
      <c r="M5874" t="s">
        <v>1247</v>
      </c>
      <c r="N5874" t="s">
        <v>1247</v>
      </c>
      <c r="O5874" t="s">
        <v>23</v>
      </c>
      <c r="P5874" t="s">
        <v>24</v>
      </c>
      <c r="Q5874" t="s">
        <v>642</v>
      </c>
      <c r="R5874" t="s">
        <v>1214</v>
      </c>
    </row>
    <row r="5875" spans="1:18" x14ac:dyDescent="0.25">
      <c r="A5875" t="s">
        <v>14957</v>
      </c>
      <c r="B5875" t="s">
        <v>8297</v>
      </c>
      <c r="C5875" t="str">
        <f>HYPERLINK("https://nematode.unl.edu/meckroth4.jpg")</f>
        <v>https://nematode.unl.edu/meckroth4.jpg</v>
      </c>
      <c r="D5875" t="s">
        <v>16</v>
      </c>
      <c r="G5875" t="s">
        <v>28</v>
      </c>
      <c r="I5875" t="s">
        <v>41</v>
      </c>
      <c r="M5875" t="s">
        <v>1247</v>
      </c>
      <c r="N5875" t="s">
        <v>1247</v>
      </c>
      <c r="O5875" t="s">
        <v>23</v>
      </c>
      <c r="P5875" t="s">
        <v>24</v>
      </c>
      <c r="Q5875" t="s">
        <v>642</v>
      </c>
      <c r="R5875" t="s">
        <v>1214</v>
      </c>
    </row>
    <row r="5876" spans="1:18" x14ac:dyDescent="0.25">
      <c r="A5876" t="s">
        <v>14952</v>
      </c>
      <c r="B5876" t="s">
        <v>8298</v>
      </c>
      <c r="C5876" t="str">
        <f>HYPERLINK("https://nematode.unl.edu/meckroth5.jpg")</f>
        <v>https://nematode.unl.edu/meckroth5.jpg</v>
      </c>
      <c r="D5876" t="s">
        <v>16</v>
      </c>
      <c r="G5876" t="s">
        <v>224</v>
      </c>
      <c r="I5876" t="s">
        <v>41</v>
      </c>
      <c r="M5876" t="s">
        <v>1247</v>
      </c>
      <c r="N5876" t="s">
        <v>1247</v>
      </c>
      <c r="O5876" t="s">
        <v>23</v>
      </c>
      <c r="P5876" t="s">
        <v>24</v>
      </c>
      <c r="Q5876" t="s">
        <v>642</v>
      </c>
      <c r="R5876" t="s">
        <v>1214</v>
      </c>
    </row>
    <row r="5877" spans="1:18" x14ac:dyDescent="0.25">
      <c r="A5877" t="s">
        <v>14958</v>
      </c>
      <c r="B5877" t="s">
        <v>8299</v>
      </c>
      <c r="C5877" t="str">
        <f>HYPERLINK("https://nematode.unl.edu/meckroth6.jpg")</f>
        <v>https://nematode.unl.edu/meckroth6.jpg</v>
      </c>
      <c r="D5877" t="s">
        <v>43</v>
      </c>
      <c r="G5877" t="s">
        <v>28</v>
      </c>
      <c r="I5877" t="s">
        <v>41</v>
      </c>
      <c r="M5877" t="s">
        <v>1247</v>
      </c>
      <c r="N5877" t="s">
        <v>1247</v>
      </c>
      <c r="O5877" t="s">
        <v>23</v>
      </c>
      <c r="P5877" t="s">
        <v>24</v>
      </c>
      <c r="Q5877" t="s">
        <v>642</v>
      </c>
      <c r="R5877" t="s">
        <v>1214</v>
      </c>
    </row>
    <row r="5878" spans="1:18" x14ac:dyDescent="0.25">
      <c r="A5878" t="s">
        <v>14941</v>
      </c>
      <c r="B5878" t="s">
        <v>8300</v>
      </c>
      <c r="C5878" t="str">
        <f>HYPERLINK("https://nematode.unl.edu/meckroth7.jpg")</f>
        <v>https://nematode.unl.edu/meckroth7.jpg</v>
      </c>
      <c r="D5878" t="s">
        <v>43</v>
      </c>
      <c r="G5878" t="s">
        <v>34</v>
      </c>
      <c r="H5878" t="s">
        <v>18</v>
      </c>
      <c r="M5878" t="s">
        <v>1247</v>
      </c>
      <c r="N5878" t="s">
        <v>1247</v>
      </c>
      <c r="O5878" t="s">
        <v>23</v>
      </c>
      <c r="P5878" t="s">
        <v>24</v>
      </c>
      <c r="Q5878" t="s">
        <v>642</v>
      </c>
      <c r="R5878" t="s">
        <v>1214</v>
      </c>
    </row>
    <row r="5879" spans="1:18" x14ac:dyDescent="0.25">
      <c r="A5879" t="s">
        <v>14959</v>
      </c>
      <c r="B5879" t="s">
        <v>8301</v>
      </c>
      <c r="C5879" t="str">
        <f>HYPERLINK("https://nematode.unl.edu/meckroth8.jpg")</f>
        <v>https://nematode.unl.edu/meckroth8.jpg</v>
      </c>
      <c r="D5879" t="s">
        <v>43</v>
      </c>
      <c r="G5879" t="s">
        <v>28</v>
      </c>
      <c r="M5879" t="s">
        <v>1247</v>
      </c>
      <c r="N5879" t="s">
        <v>1247</v>
      </c>
      <c r="O5879" t="s">
        <v>23</v>
      </c>
      <c r="P5879" t="s">
        <v>24</v>
      </c>
      <c r="Q5879" t="s">
        <v>642</v>
      </c>
      <c r="R5879" t="s">
        <v>1214</v>
      </c>
    </row>
    <row r="5880" spans="1:18" x14ac:dyDescent="0.25">
      <c r="A5880" t="s">
        <v>14950</v>
      </c>
      <c r="B5880" t="s">
        <v>8302</v>
      </c>
      <c r="C5880" t="str">
        <f>HYPERLINK("https://nematode.unl.edu/meckroth9.jpg")</f>
        <v>https://nematode.unl.edu/meckroth9.jpg</v>
      </c>
      <c r="D5880" t="s">
        <v>43</v>
      </c>
      <c r="G5880" t="s">
        <v>44</v>
      </c>
      <c r="M5880" t="s">
        <v>1247</v>
      </c>
      <c r="N5880" t="s">
        <v>1247</v>
      </c>
      <c r="O5880" t="s">
        <v>23</v>
      </c>
      <c r="P5880" t="s">
        <v>24</v>
      </c>
      <c r="Q5880" t="s">
        <v>642</v>
      </c>
      <c r="R5880" t="s">
        <v>1214</v>
      </c>
    </row>
    <row r="5881" spans="1:18" x14ac:dyDescent="0.25">
      <c r="A5881" t="s">
        <v>14296</v>
      </c>
      <c r="B5881" t="s">
        <v>7773</v>
      </c>
      <c r="C5881" t="str">
        <f>HYPERLINK("https://nematode.unl.edu/mecreek1.jpg")</f>
        <v>https://nematode.unl.edu/mecreek1.jpg</v>
      </c>
      <c r="D5881" t="s">
        <v>16</v>
      </c>
      <c r="G5881" t="s">
        <v>34</v>
      </c>
      <c r="H5881" t="s">
        <v>18</v>
      </c>
      <c r="I5881" t="s">
        <v>41</v>
      </c>
      <c r="M5881" t="s">
        <v>1233</v>
      </c>
      <c r="N5881" t="s">
        <v>1233</v>
      </c>
      <c r="O5881" t="s">
        <v>23</v>
      </c>
      <c r="P5881" t="s">
        <v>24</v>
      </c>
      <c r="Q5881" t="s">
        <v>642</v>
      </c>
      <c r="R5881" t="s">
        <v>1214</v>
      </c>
    </row>
    <row r="5882" spans="1:18" x14ac:dyDescent="0.25">
      <c r="A5882" t="s">
        <v>14450</v>
      </c>
      <c r="B5882" t="s">
        <v>7774</v>
      </c>
      <c r="C5882" t="str">
        <f>HYPERLINK("https://nematode.unl.edu/mecreek10.jpg")</f>
        <v>https://nematode.unl.edu/mecreek10.jpg</v>
      </c>
      <c r="D5882" t="s">
        <v>43</v>
      </c>
      <c r="G5882" t="s">
        <v>44</v>
      </c>
      <c r="I5882" t="s">
        <v>19</v>
      </c>
      <c r="J5882" t="s">
        <v>6089</v>
      </c>
      <c r="L5882" t="s">
        <v>6090</v>
      </c>
      <c r="M5882" t="s">
        <v>1233</v>
      </c>
      <c r="N5882" t="s">
        <v>1233</v>
      </c>
      <c r="O5882" t="s">
        <v>23</v>
      </c>
      <c r="P5882" t="s">
        <v>24</v>
      </c>
      <c r="Q5882" t="s">
        <v>642</v>
      </c>
      <c r="R5882" t="s">
        <v>1214</v>
      </c>
    </row>
    <row r="5883" spans="1:18" x14ac:dyDescent="0.25">
      <c r="A5883" t="s">
        <v>14297</v>
      </c>
      <c r="B5883" t="s">
        <v>7775</v>
      </c>
      <c r="C5883" t="str">
        <f>HYPERLINK("https://nematode.unl.edu/mecreek11.jpg")</f>
        <v>https://nematode.unl.edu/mecreek11.jpg</v>
      </c>
      <c r="D5883" t="s">
        <v>43</v>
      </c>
      <c r="G5883" t="s">
        <v>34</v>
      </c>
      <c r="H5883" t="s">
        <v>18</v>
      </c>
      <c r="I5883" t="s">
        <v>41</v>
      </c>
      <c r="M5883" t="s">
        <v>1233</v>
      </c>
      <c r="N5883" t="s">
        <v>1233</v>
      </c>
      <c r="O5883" t="s">
        <v>23</v>
      </c>
      <c r="P5883" t="s">
        <v>24</v>
      </c>
      <c r="Q5883" t="s">
        <v>642</v>
      </c>
      <c r="R5883" t="s">
        <v>1214</v>
      </c>
    </row>
    <row r="5884" spans="1:18" x14ac:dyDescent="0.25">
      <c r="A5884" t="s">
        <v>14451</v>
      </c>
      <c r="B5884" t="s">
        <v>7776</v>
      </c>
      <c r="C5884" t="str">
        <f>HYPERLINK("https://nematode.unl.edu/mecreek116.jpg")</f>
        <v>https://nematode.unl.edu/mecreek116.jpg</v>
      </c>
      <c r="D5884" t="s">
        <v>16</v>
      </c>
      <c r="G5884" t="s">
        <v>44</v>
      </c>
      <c r="I5884" t="s">
        <v>19</v>
      </c>
      <c r="J5884" t="s">
        <v>6089</v>
      </c>
      <c r="M5884" t="s">
        <v>1233</v>
      </c>
      <c r="N5884" t="s">
        <v>1233</v>
      </c>
      <c r="O5884" t="s">
        <v>23</v>
      </c>
      <c r="P5884" t="s">
        <v>24</v>
      </c>
      <c r="Q5884" t="s">
        <v>642</v>
      </c>
      <c r="R5884" t="s">
        <v>1214</v>
      </c>
    </row>
    <row r="5885" spans="1:18" x14ac:dyDescent="0.25">
      <c r="A5885" t="s">
        <v>14234</v>
      </c>
      <c r="B5885" t="s">
        <v>7777</v>
      </c>
      <c r="C5885" t="str">
        <f>HYPERLINK("https://nematode.unl.edu/mecreek117.jpg")</f>
        <v>https://nematode.unl.edu/mecreek117.jpg</v>
      </c>
      <c r="D5885" t="s">
        <v>16</v>
      </c>
      <c r="G5885" t="s">
        <v>96</v>
      </c>
      <c r="H5885" t="s">
        <v>18</v>
      </c>
      <c r="I5885" t="s">
        <v>41</v>
      </c>
      <c r="M5885" t="s">
        <v>1233</v>
      </c>
      <c r="N5885" t="s">
        <v>1233</v>
      </c>
      <c r="O5885" t="s">
        <v>23</v>
      </c>
      <c r="P5885" t="s">
        <v>24</v>
      </c>
      <c r="Q5885" t="s">
        <v>642</v>
      </c>
      <c r="R5885" t="s">
        <v>1214</v>
      </c>
    </row>
    <row r="5886" spans="1:18" x14ac:dyDescent="0.25">
      <c r="A5886" t="s">
        <v>14552</v>
      </c>
      <c r="B5886" t="s">
        <v>7778</v>
      </c>
      <c r="C5886" t="str">
        <f>HYPERLINK("https://nematode.unl.edu/mecreek118.jpg")</f>
        <v>https://nematode.unl.edu/mecreek118.jpg</v>
      </c>
      <c r="D5886" t="s">
        <v>16</v>
      </c>
      <c r="G5886" t="s">
        <v>181</v>
      </c>
      <c r="I5886" t="s">
        <v>41</v>
      </c>
      <c r="M5886" t="s">
        <v>1233</v>
      </c>
      <c r="N5886" t="s">
        <v>1233</v>
      </c>
      <c r="O5886" t="s">
        <v>23</v>
      </c>
      <c r="P5886" t="s">
        <v>24</v>
      </c>
      <c r="Q5886" t="s">
        <v>642</v>
      </c>
      <c r="R5886" t="s">
        <v>1214</v>
      </c>
    </row>
    <row r="5887" spans="1:18" x14ac:dyDescent="0.25">
      <c r="A5887" t="s">
        <v>14298</v>
      </c>
      <c r="B5887" t="s">
        <v>7779</v>
      </c>
      <c r="C5887" t="str">
        <f>HYPERLINK("https://nematode.unl.edu/mecreek12.jpg")</f>
        <v>https://nematode.unl.edu/mecreek12.jpg</v>
      </c>
      <c r="D5887" t="s">
        <v>43</v>
      </c>
      <c r="G5887" t="s">
        <v>34</v>
      </c>
      <c r="H5887" t="s">
        <v>18</v>
      </c>
      <c r="I5887" t="s">
        <v>41</v>
      </c>
      <c r="M5887" t="s">
        <v>1233</v>
      </c>
      <c r="N5887" t="s">
        <v>1233</v>
      </c>
      <c r="O5887" t="s">
        <v>23</v>
      </c>
      <c r="P5887" t="s">
        <v>24</v>
      </c>
      <c r="Q5887" t="s">
        <v>642</v>
      </c>
      <c r="R5887" t="s">
        <v>1214</v>
      </c>
    </row>
    <row r="5888" spans="1:18" x14ac:dyDescent="0.25">
      <c r="A5888" t="s">
        <v>14628</v>
      </c>
      <c r="B5888" t="s">
        <v>7780</v>
      </c>
      <c r="C5888" t="str">
        <f>HYPERLINK("https://nematode.unl.edu/mecreek13.jpg")</f>
        <v>https://nematode.unl.edu/mecreek13.jpg</v>
      </c>
      <c r="D5888" t="s">
        <v>43</v>
      </c>
      <c r="G5888" t="s">
        <v>28</v>
      </c>
      <c r="I5888" t="s">
        <v>41</v>
      </c>
      <c r="M5888" t="s">
        <v>1233</v>
      </c>
      <c r="N5888" t="s">
        <v>1233</v>
      </c>
      <c r="O5888" t="s">
        <v>23</v>
      </c>
      <c r="P5888" t="s">
        <v>24</v>
      </c>
      <c r="Q5888" t="s">
        <v>642</v>
      </c>
      <c r="R5888" t="s">
        <v>1214</v>
      </c>
    </row>
    <row r="5889" spans="1:18" x14ac:dyDescent="0.25">
      <c r="A5889" t="s">
        <v>14452</v>
      </c>
      <c r="B5889" t="s">
        <v>7781</v>
      </c>
      <c r="C5889" t="str">
        <f>HYPERLINK("https://nematode.unl.edu/mecreek130.jpg")</f>
        <v>https://nematode.unl.edu/mecreek130.jpg</v>
      </c>
      <c r="D5889" t="s">
        <v>16</v>
      </c>
      <c r="G5889" t="s">
        <v>44</v>
      </c>
      <c r="I5889" t="s">
        <v>19</v>
      </c>
      <c r="J5889" t="s">
        <v>6089</v>
      </c>
      <c r="M5889" t="s">
        <v>1233</v>
      </c>
      <c r="N5889" t="s">
        <v>1233</v>
      </c>
      <c r="O5889" t="s">
        <v>23</v>
      </c>
      <c r="P5889" t="s">
        <v>24</v>
      </c>
      <c r="Q5889" t="s">
        <v>642</v>
      </c>
      <c r="R5889" t="s">
        <v>1214</v>
      </c>
    </row>
    <row r="5890" spans="1:18" x14ac:dyDescent="0.25">
      <c r="A5890" t="s">
        <v>14299</v>
      </c>
      <c r="B5890" t="s">
        <v>7782</v>
      </c>
      <c r="C5890" t="str">
        <f>HYPERLINK("https://nematode.unl.edu/mecreek131.jpg")</f>
        <v>https://nematode.unl.edu/mecreek131.jpg</v>
      </c>
      <c r="D5890" t="s">
        <v>16</v>
      </c>
      <c r="G5890" t="s">
        <v>34</v>
      </c>
      <c r="H5890" t="s">
        <v>18</v>
      </c>
      <c r="I5890" t="s">
        <v>41</v>
      </c>
      <c r="M5890" t="s">
        <v>1233</v>
      </c>
      <c r="N5890" t="s">
        <v>1233</v>
      </c>
      <c r="O5890" t="s">
        <v>23</v>
      </c>
      <c r="P5890" t="s">
        <v>24</v>
      </c>
      <c r="Q5890" t="s">
        <v>642</v>
      </c>
      <c r="R5890" t="s">
        <v>1214</v>
      </c>
    </row>
    <row r="5891" spans="1:18" x14ac:dyDescent="0.25">
      <c r="A5891" t="s">
        <v>14629</v>
      </c>
      <c r="B5891" t="s">
        <v>7783</v>
      </c>
      <c r="C5891" t="str">
        <f>HYPERLINK("https://nematode.unl.edu/mecreek132.jpg")</f>
        <v>https://nematode.unl.edu/mecreek132.jpg</v>
      </c>
      <c r="D5891" t="s">
        <v>16</v>
      </c>
      <c r="G5891" t="s">
        <v>28</v>
      </c>
      <c r="I5891" t="s">
        <v>41</v>
      </c>
      <c r="M5891" t="s">
        <v>1233</v>
      </c>
      <c r="N5891" t="s">
        <v>1233</v>
      </c>
      <c r="O5891" t="s">
        <v>23</v>
      </c>
      <c r="P5891" t="s">
        <v>24</v>
      </c>
      <c r="Q5891" t="s">
        <v>642</v>
      </c>
      <c r="R5891" t="s">
        <v>1214</v>
      </c>
    </row>
    <row r="5892" spans="1:18" x14ac:dyDescent="0.25">
      <c r="A5892" t="s">
        <v>14453</v>
      </c>
      <c r="B5892" t="s">
        <v>7784</v>
      </c>
      <c r="C5892" t="str">
        <f>HYPERLINK("https://nematode.unl.edu/mecreek133.jpg")</f>
        <v>https://nematode.unl.edu/mecreek133.jpg</v>
      </c>
      <c r="D5892" t="s">
        <v>16</v>
      </c>
      <c r="G5892" t="s">
        <v>44</v>
      </c>
      <c r="I5892" t="s">
        <v>19</v>
      </c>
      <c r="J5892" t="s">
        <v>6089</v>
      </c>
      <c r="M5892" t="s">
        <v>1233</v>
      </c>
      <c r="N5892" t="s">
        <v>1233</v>
      </c>
      <c r="O5892" t="s">
        <v>23</v>
      </c>
      <c r="P5892" t="s">
        <v>24</v>
      </c>
      <c r="Q5892" t="s">
        <v>642</v>
      </c>
      <c r="R5892" t="s">
        <v>1214</v>
      </c>
    </row>
    <row r="5893" spans="1:18" x14ac:dyDescent="0.25">
      <c r="A5893" t="s">
        <v>14300</v>
      </c>
      <c r="B5893" t="s">
        <v>7785</v>
      </c>
      <c r="C5893" t="str">
        <f>HYPERLINK("https://nematode.unl.edu/mecreek134.jpg")</f>
        <v>https://nematode.unl.edu/mecreek134.jpg</v>
      </c>
      <c r="D5893" t="s">
        <v>16</v>
      </c>
      <c r="G5893" t="s">
        <v>34</v>
      </c>
      <c r="H5893" t="s">
        <v>18</v>
      </c>
      <c r="I5893" t="s">
        <v>41</v>
      </c>
      <c r="M5893" t="s">
        <v>1233</v>
      </c>
      <c r="N5893" t="s">
        <v>1233</v>
      </c>
      <c r="O5893" t="s">
        <v>23</v>
      </c>
      <c r="P5893" t="s">
        <v>24</v>
      </c>
      <c r="Q5893" t="s">
        <v>642</v>
      </c>
      <c r="R5893" t="s">
        <v>1214</v>
      </c>
    </row>
    <row r="5894" spans="1:18" x14ac:dyDescent="0.25">
      <c r="A5894" t="s">
        <v>14630</v>
      </c>
      <c r="B5894" t="s">
        <v>7786</v>
      </c>
      <c r="C5894" t="str">
        <f>HYPERLINK("https://nematode.unl.edu/mecreek135.jpg")</f>
        <v>https://nematode.unl.edu/mecreek135.jpg</v>
      </c>
      <c r="D5894" t="s">
        <v>16</v>
      </c>
      <c r="G5894" t="s">
        <v>28</v>
      </c>
      <c r="I5894" t="s">
        <v>41</v>
      </c>
      <c r="M5894" t="s">
        <v>1233</v>
      </c>
      <c r="N5894" t="s">
        <v>1233</v>
      </c>
      <c r="O5894" t="s">
        <v>23</v>
      </c>
      <c r="P5894" t="s">
        <v>24</v>
      </c>
      <c r="Q5894" t="s">
        <v>642</v>
      </c>
      <c r="R5894" t="s">
        <v>1214</v>
      </c>
    </row>
    <row r="5895" spans="1:18" x14ac:dyDescent="0.25">
      <c r="A5895" t="s">
        <v>14454</v>
      </c>
      <c r="B5895" t="s">
        <v>7787</v>
      </c>
      <c r="C5895" t="str">
        <f>HYPERLINK("https://nematode.unl.edu/mecreek136.jpg")</f>
        <v>https://nematode.unl.edu/mecreek136.jpg</v>
      </c>
      <c r="D5895" t="s">
        <v>43</v>
      </c>
      <c r="G5895" t="s">
        <v>44</v>
      </c>
      <c r="I5895" t="s">
        <v>19</v>
      </c>
      <c r="J5895" t="s">
        <v>6089</v>
      </c>
      <c r="M5895" t="s">
        <v>1233</v>
      </c>
      <c r="N5895" t="s">
        <v>1233</v>
      </c>
      <c r="O5895" t="s">
        <v>23</v>
      </c>
      <c r="P5895" t="s">
        <v>24</v>
      </c>
      <c r="Q5895" t="s">
        <v>642</v>
      </c>
      <c r="R5895" t="s">
        <v>1214</v>
      </c>
    </row>
    <row r="5896" spans="1:18" x14ac:dyDescent="0.25">
      <c r="A5896" t="s">
        <v>14301</v>
      </c>
      <c r="B5896" t="s">
        <v>7788</v>
      </c>
      <c r="C5896" t="str">
        <f>HYPERLINK("https://nematode.unl.edu/mecreek137.jpg")</f>
        <v>https://nematode.unl.edu/mecreek137.jpg</v>
      </c>
      <c r="D5896" t="s">
        <v>43</v>
      </c>
      <c r="G5896" t="s">
        <v>34</v>
      </c>
      <c r="H5896" t="s">
        <v>18</v>
      </c>
      <c r="I5896" t="s">
        <v>41</v>
      </c>
      <c r="M5896" t="s">
        <v>1233</v>
      </c>
      <c r="N5896" t="s">
        <v>1233</v>
      </c>
      <c r="O5896" t="s">
        <v>23</v>
      </c>
      <c r="P5896" t="s">
        <v>24</v>
      </c>
      <c r="Q5896" t="s">
        <v>642</v>
      </c>
      <c r="R5896" t="s">
        <v>1214</v>
      </c>
    </row>
    <row r="5897" spans="1:18" x14ac:dyDescent="0.25">
      <c r="A5897" t="s">
        <v>14631</v>
      </c>
      <c r="B5897" t="s">
        <v>7789</v>
      </c>
      <c r="C5897" t="str">
        <f>HYPERLINK("https://nematode.unl.edu/mecreek138.jpg")</f>
        <v>https://nematode.unl.edu/mecreek138.jpg</v>
      </c>
      <c r="D5897" t="s">
        <v>43</v>
      </c>
      <c r="G5897" t="s">
        <v>28</v>
      </c>
      <c r="I5897" t="s">
        <v>41</v>
      </c>
      <c r="M5897" t="s">
        <v>1233</v>
      </c>
      <c r="N5897" t="s">
        <v>1233</v>
      </c>
      <c r="O5897" t="s">
        <v>23</v>
      </c>
      <c r="P5897" t="s">
        <v>24</v>
      </c>
      <c r="Q5897" t="s">
        <v>642</v>
      </c>
      <c r="R5897" t="s">
        <v>1214</v>
      </c>
    </row>
    <row r="5898" spans="1:18" x14ac:dyDescent="0.25">
      <c r="A5898" t="s">
        <v>14455</v>
      </c>
      <c r="B5898" t="s">
        <v>7790</v>
      </c>
      <c r="C5898" t="str">
        <f>HYPERLINK("https://nematode.unl.edu/mecreek139.jpg")</f>
        <v>https://nematode.unl.edu/mecreek139.jpg</v>
      </c>
      <c r="D5898" t="s">
        <v>16</v>
      </c>
      <c r="G5898" t="s">
        <v>44</v>
      </c>
      <c r="I5898" t="s">
        <v>19</v>
      </c>
      <c r="J5898" t="s">
        <v>6089</v>
      </c>
      <c r="M5898" t="s">
        <v>1233</v>
      </c>
      <c r="N5898" t="s">
        <v>1233</v>
      </c>
      <c r="O5898" t="s">
        <v>23</v>
      </c>
      <c r="P5898" t="s">
        <v>24</v>
      </c>
      <c r="Q5898" t="s">
        <v>642</v>
      </c>
      <c r="R5898" t="s">
        <v>1214</v>
      </c>
    </row>
    <row r="5899" spans="1:18" x14ac:dyDescent="0.25">
      <c r="A5899" t="s">
        <v>14456</v>
      </c>
      <c r="B5899" t="s">
        <v>7791</v>
      </c>
      <c r="C5899" t="str">
        <f>HYPERLINK("https://nematode.unl.edu/mecreek14.jpg")</f>
        <v>https://nematode.unl.edu/mecreek14.jpg</v>
      </c>
      <c r="D5899" t="s">
        <v>43</v>
      </c>
      <c r="G5899" t="s">
        <v>44</v>
      </c>
      <c r="I5899" t="s">
        <v>19</v>
      </c>
      <c r="J5899" t="s">
        <v>6089</v>
      </c>
      <c r="L5899" t="s">
        <v>6090</v>
      </c>
      <c r="M5899" t="s">
        <v>1233</v>
      </c>
      <c r="N5899" t="s">
        <v>1233</v>
      </c>
      <c r="O5899" t="s">
        <v>23</v>
      </c>
      <c r="P5899" t="s">
        <v>24</v>
      </c>
      <c r="Q5899" t="s">
        <v>642</v>
      </c>
      <c r="R5899" t="s">
        <v>1214</v>
      </c>
    </row>
    <row r="5900" spans="1:18" x14ac:dyDescent="0.25">
      <c r="A5900" t="s">
        <v>14302</v>
      </c>
      <c r="B5900" t="s">
        <v>7792</v>
      </c>
      <c r="C5900" t="str">
        <f>HYPERLINK("https://nematode.unl.edu/mecreek140.jpg")</f>
        <v>https://nematode.unl.edu/mecreek140.jpg</v>
      </c>
      <c r="D5900" t="s">
        <v>16</v>
      </c>
      <c r="G5900" t="s">
        <v>34</v>
      </c>
      <c r="H5900" t="s">
        <v>18</v>
      </c>
      <c r="I5900" t="s">
        <v>41</v>
      </c>
      <c r="M5900" t="s">
        <v>1233</v>
      </c>
      <c r="N5900" t="s">
        <v>1233</v>
      </c>
      <c r="O5900" t="s">
        <v>23</v>
      </c>
      <c r="P5900" t="s">
        <v>24</v>
      </c>
      <c r="Q5900" t="s">
        <v>642</v>
      </c>
      <c r="R5900" t="s">
        <v>1214</v>
      </c>
    </row>
    <row r="5901" spans="1:18" x14ac:dyDescent="0.25">
      <c r="A5901" t="s">
        <v>14632</v>
      </c>
      <c r="B5901" t="s">
        <v>7793</v>
      </c>
      <c r="C5901" t="str">
        <f>HYPERLINK("https://nematode.unl.edu/mecreek141.jpg")</f>
        <v>https://nematode.unl.edu/mecreek141.jpg</v>
      </c>
      <c r="D5901" t="s">
        <v>16</v>
      </c>
      <c r="G5901" t="s">
        <v>28</v>
      </c>
      <c r="I5901" t="s">
        <v>41</v>
      </c>
      <c r="M5901" t="s">
        <v>1233</v>
      </c>
      <c r="N5901" t="s">
        <v>1233</v>
      </c>
      <c r="O5901" t="s">
        <v>23</v>
      </c>
      <c r="P5901" t="s">
        <v>24</v>
      </c>
      <c r="Q5901" t="s">
        <v>642</v>
      </c>
      <c r="R5901" t="s">
        <v>1214</v>
      </c>
    </row>
    <row r="5902" spans="1:18" x14ac:dyDescent="0.25">
      <c r="A5902" t="s">
        <v>14457</v>
      </c>
      <c r="B5902" t="s">
        <v>7794</v>
      </c>
      <c r="C5902" t="str">
        <f>HYPERLINK("https://nematode.unl.edu/mecreek142.jpg")</f>
        <v>https://nematode.unl.edu/mecreek142.jpg</v>
      </c>
      <c r="D5902" t="s">
        <v>16</v>
      </c>
      <c r="G5902" t="s">
        <v>44</v>
      </c>
      <c r="I5902" t="s">
        <v>19</v>
      </c>
      <c r="J5902" t="s">
        <v>6089</v>
      </c>
      <c r="M5902" t="s">
        <v>1233</v>
      </c>
      <c r="N5902" t="s">
        <v>1233</v>
      </c>
      <c r="O5902" t="s">
        <v>23</v>
      </c>
      <c r="P5902" t="s">
        <v>24</v>
      </c>
      <c r="Q5902" t="s">
        <v>642</v>
      </c>
      <c r="R5902" t="s">
        <v>1214</v>
      </c>
    </row>
    <row r="5903" spans="1:18" x14ac:dyDescent="0.25">
      <c r="A5903" t="s">
        <v>14303</v>
      </c>
      <c r="B5903" t="s">
        <v>7795</v>
      </c>
      <c r="C5903" t="str">
        <f>HYPERLINK("https://nematode.unl.edu/mecreek143.jpg")</f>
        <v>https://nematode.unl.edu/mecreek143.jpg</v>
      </c>
      <c r="D5903" t="s">
        <v>16</v>
      </c>
      <c r="G5903" t="s">
        <v>34</v>
      </c>
      <c r="H5903" t="s">
        <v>18</v>
      </c>
      <c r="I5903" t="s">
        <v>41</v>
      </c>
      <c r="M5903" t="s">
        <v>1233</v>
      </c>
      <c r="N5903" t="s">
        <v>1233</v>
      </c>
      <c r="O5903" t="s">
        <v>23</v>
      </c>
      <c r="P5903" t="s">
        <v>24</v>
      </c>
      <c r="Q5903" t="s">
        <v>642</v>
      </c>
      <c r="R5903" t="s">
        <v>1214</v>
      </c>
    </row>
    <row r="5904" spans="1:18" x14ac:dyDescent="0.25">
      <c r="A5904" t="s">
        <v>14633</v>
      </c>
      <c r="B5904" t="s">
        <v>7796</v>
      </c>
      <c r="C5904" t="str">
        <f>HYPERLINK("https://nematode.unl.edu/mecreek144.jpg")</f>
        <v>https://nematode.unl.edu/mecreek144.jpg</v>
      </c>
      <c r="D5904" t="s">
        <v>16</v>
      </c>
      <c r="G5904" t="s">
        <v>28</v>
      </c>
      <c r="I5904" t="s">
        <v>41</v>
      </c>
      <c r="M5904" t="s">
        <v>1233</v>
      </c>
      <c r="N5904" t="s">
        <v>1233</v>
      </c>
      <c r="O5904" t="s">
        <v>23</v>
      </c>
      <c r="P5904" t="s">
        <v>24</v>
      </c>
      <c r="Q5904" t="s">
        <v>642</v>
      </c>
      <c r="R5904" t="s">
        <v>1214</v>
      </c>
    </row>
    <row r="5905" spans="1:18" x14ac:dyDescent="0.25">
      <c r="A5905" t="s">
        <v>14634</v>
      </c>
      <c r="B5905" t="s">
        <v>7797</v>
      </c>
      <c r="C5905" t="str">
        <f>HYPERLINK("https://nematode.unl.edu/mecreek145.jpg")</f>
        <v>https://nematode.unl.edu/mecreek145.jpg</v>
      </c>
      <c r="D5905" t="s">
        <v>43</v>
      </c>
      <c r="G5905" t="s">
        <v>28</v>
      </c>
      <c r="I5905" t="s">
        <v>19</v>
      </c>
      <c r="J5905" t="s">
        <v>6089</v>
      </c>
      <c r="M5905" t="s">
        <v>1233</v>
      </c>
      <c r="N5905" t="s">
        <v>1233</v>
      </c>
      <c r="O5905" t="s">
        <v>23</v>
      </c>
      <c r="P5905" t="s">
        <v>24</v>
      </c>
      <c r="Q5905" t="s">
        <v>642</v>
      </c>
      <c r="R5905" t="s">
        <v>1214</v>
      </c>
    </row>
    <row r="5906" spans="1:18" x14ac:dyDescent="0.25">
      <c r="A5906" t="s">
        <v>14304</v>
      </c>
      <c r="B5906" t="s">
        <v>7798</v>
      </c>
      <c r="C5906" t="str">
        <f>HYPERLINK("https://nematode.unl.edu/mecreek146.jpg")</f>
        <v>https://nematode.unl.edu/mecreek146.jpg</v>
      </c>
      <c r="D5906" t="s">
        <v>43</v>
      </c>
      <c r="G5906" t="s">
        <v>34</v>
      </c>
      <c r="H5906" t="s">
        <v>18</v>
      </c>
      <c r="I5906" t="s">
        <v>41</v>
      </c>
      <c r="M5906" t="s">
        <v>1233</v>
      </c>
      <c r="N5906" t="s">
        <v>1233</v>
      </c>
      <c r="O5906" t="s">
        <v>23</v>
      </c>
      <c r="P5906" t="s">
        <v>24</v>
      </c>
      <c r="Q5906" t="s">
        <v>642</v>
      </c>
      <c r="R5906" t="s">
        <v>1214</v>
      </c>
    </row>
    <row r="5907" spans="1:18" x14ac:dyDescent="0.25">
      <c r="A5907" t="s">
        <v>14635</v>
      </c>
      <c r="B5907" t="s">
        <v>7799</v>
      </c>
      <c r="C5907" t="str">
        <f>HYPERLINK("https://nematode.unl.edu/mecreek147.jpg")</f>
        <v>https://nematode.unl.edu/mecreek147.jpg</v>
      </c>
      <c r="D5907" t="s">
        <v>43</v>
      </c>
      <c r="G5907" t="s">
        <v>28</v>
      </c>
      <c r="M5907" t="s">
        <v>1233</v>
      </c>
      <c r="N5907" t="s">
        <v>1233</v>
      </c>
      <c r="O5907" t="s">
        <v>23</v>
      </c>
      <c r="P5907" t="s">
        <v>24</v>
      </c>
      <c r="Q5907" t="s">
        <v>642</v>
      </c>
      <c r="R5907" t="s">
        <v>1214</v>
      </c>
    </row>
    <row r="5908" spans="1:18" x14ac:dyDescent="0.25">
      <c r="A5908" t="s">
        <v>14716</v>
      </c>
      <c r="B5908" t="s">
        <v>7800</v>
      </c>
      <c r="C5908" t="str">
        <f>HYPERLINK("https://nematode.unl.edu/mecreek148.jpg")</f>
        <v>https://nematode.unl.edu/mecreek148.jpg</v>
      </c>
      <c r="D5908" t="s">
        <v>43</v>
      </c>
      <c r="G5908" t="s">
        <v>51</v>
      </c>
      <c r="I5908" t="s">
        <v>41</v>
      </c>
      <c r="M5908" t="s">
        <v>1233</v>
      </c>
      <c r="N5908" t="s">
        <v>1233</v>
      </c>
      <c r="O5908" t="s">
        <v>23</v>
      </c>
      <c r="P5908" t="s">
        <v>24</v>
      </c>
      <c r="Q5908" t="s">
        <v>642</v>
      </c>
      <c r="R5908" t="s">
        <v>1214</v>
      </c>
    </row>
    <row r="5909" spans="1:18" x14ac:dyDescent="0.25">
      <c r="A5909" t="s">
        <v>14458</v>
      </c>
      <c r="B5909" t="s">
        <v>7801</v>
      </c>
      <c r="C5909" t="str">
        <f>HYPERLINK("https://nematode.unl.edu/mecreek149.jpg")</f>
        <v>https://nematode.unl.edu/mecreek149.jpg</v>
      </c>
      <c r="D5909" t="s">
        <v>43</v>
      </c>
      <c r="G5909" t="s">
        <v>44</v>
      </c>
      <c r="I5909" t="s">
        <v>516</v>
      </c>
      <c r="J5909" t="s">
        <v>6089</v>
      </c>
      <c r="M5909" t="s">
        <v>1233</v>
      </c>
      <c r="N5909" t="s">
        <v>1233</v>
      </c>
      <c r="O5909" t="s">
        <v>23</v>
      </c>
      <c r="P5909" t="s">
        <v>24</v>
      </c>
      <c r="Q5909" t="s">
        <v>642</v>
      </c>
      <c r="R5909" t="s">
        <v>1214</v>
      </c>
    </row>
    <row r="5910" spans="1:18" x14ac:dyDescent="0.25">
      <c r="A5910" t="s">
        <v>14305</v>
      </c>
      <c r="B5910" t="s">
        <v>7802</v>
      </c>
      <c r="C5910" t="str">
        <f>HYPERLINK("https://nematode.unl.edu/mecreek15.jpg")</f>
        <v>https://nematode.unl.edu/mecreek15.jpg</v>
      </c>
      <c r="D5910" t="s">
        <v>43</v>
      </c>
      <c r="G5910" t="s">
        <v>34</v>
      </c>
      <c r="H5910" t="s">
        <v>18</v>
      </c>
      <c r="I5910" t="s">
        <v>41</v>
      </c>
      <c r="M5910" t="s">
        <v>1233</v>
      </c>
      <c r="N5910" t="s">
        <v>1233</v>
      </c>
      <c r="O5910" t="s">
        <v>23</v>
      </c>
      <c r="P5910" t="s">
        <v>24</v>
      </c>
      <c r="Q5910" t="s">
        <v>642</v>
      </c>
      <c r="R5910" t="s">
        <v>1214</v>
      </c>
    </row>
    <row r="5911" spans="1:18" x14ac:dyDescent="0.25">
      <c r="A5911" t="s">
        <v>14306</v>
      </c>
      <c r="B5911" t="s">
        <v>7803</v>
      </c>
      <c r="C5911" t="str">
        <f>HYPERLINK("https://nematode.unl.edu/mecreek150.jpg")</f>
        <v>https://nematode.unl.edu/mecreek150.jpg</v>
      </c>
      <c r="D5911" t="s">
        <v>43</v>
      </c>
      <c r="G5911" t="s">
        <v>34</v>
      </c>
      <c r="H5911" t="s">
        <v>18</v>
      </c>
      <c r="I5911" t="s">
        <v>41</v>
      </c>
      <c r="M5911" t="s">
        <v>1233</v>
      </c>
      <c r="N5911" t="s">
        <v>1233</v>
      </c>
      <c r="O5911" t="s">
        <v>23</v>
      </c>
      <c r="P5911" t="s">
        <v>24</v>
      </c>
      <c r="Q5911" t="s">
        <v>642</v>
      </c>
      <c r="R5911" t="s">
        <v>1214</v>
      </c>
    </row>
    <row r="5912" spans="1:18" x14ac:dyDescent="0.25">
      <c r="A5912" t="s">
        <v>14636</v>
      </c>
      <c r="B5912" t="s">
        <v>7804</v>
      </c>
      <c r="C5912" t="str">
        <f>HYPERLINK("https://nematode.unl.edu/mecreek151.jpg")</f>
        <v>https://nematode.unl.edu/mecreek151.jpg</v>
      </c>
      <c r="D5912" t="s">
        <v>43</v>
      </c>
      <c r="G5912" t="s">
        <v>28</v>
      </c>
      <c r="I5912" t="s">
        <v>41</v>
      </c>
      <c r="M5912" t="s">
        <v>1233</v>
      </c>
      <c r="N5912" t="s">
        <v>1233</v>
      </c>
      <c r="O5912" t="s">
        <v>23</v>
      </c>
      <c r="P5912" t="s">
        <v>24</v>
      </c>
      <c r="Q5912" t="s">
        <v>642</v>
      </c>
      <c r="R5912" t="s">
        <v>1214</v>
      </c>
    </row>
    <row r="5913" spans="1:18" x14ac:dyDescent="0.25">
      <c r="A5913" t="s">
        <v>14459</v>
      </c>
      <c r="B5913" t="s">
        <v>7805</v>
      </c>
      <c r="C5913" t="str">
        <f>HYPERLINK("https://nematode.unl.edu/mecreek152.jpg")</f>
        <v>https://nematode.unl.edu/mecreek152.jpg</v>
      </c>
      <c r="D5913" t="s">
        <v>43</v>
      </c>
      <c r="G5913" t="s">
        <v>44</v>
      </c>
      <c r="I5913" t="s">
        <v>19</v>
      </c>
      <c r="J5913" t="s">
        <v>6089</v>
      </c>
      <c r="M5913" t="s">
        <v>1233</v>
      </c>
      <c r="N5913" t="s">
        <v>1233</v>
      </c>
      <c r="O5913" t="s">
        <v>23</v>
      </c>
      <c r="P5913" t="s">
        <v>24</v>
      </c>
      <c r="Q5913" t="s">
        <v>642</v>
      </c>
      <c r="R5913" t="s">
        <v>1214</v>
      </c>
    </row>
    <row r="5914" spans="1:18" x14ac:dyDescent="0.25">
      <c r="A5914" t="s">
        <v>14307</v>
      </c>
      <c r="B5914" t="s">
        <v>7806</v>
      </c>
      <c r="C5914" t="str">
        <f>HYPERLINK("https://nematode.unl.edu/mecreek153.jpg")</f>
        <v>https://nematode.unl.edu/mecreek153.jpg</v>
      </c>
      <c r="D5914" t="s">
        <v>43</v>
      </c>
      <c r="G5914" t="s">
        <v>34</v>
      </c>
      <c r="H5914" t="s">
        <v>18</v>
      </c>
      <c r="I5914" t="s">
        <v>41</v>
      </c>
      <c r="M5914" t="s">
        <v>1233</v>
      </c>
      <c r="N5914" t="s">
        <v>1233</v>
      </c>
      <c r="O5914" t="s">
        <v>23</v>
      </c>
      <c r="P5914" t="s">
        <v>24</v>
      </c>
      <c r="Q5914" t="s">
        <v>642</v>
      </c>
      <c r="R5914" t="s">
        <v>1214</v>
      </c>
    </row>
    <row r="5915" spans="1:18" x14ac:dyDescent="0.25">
      <c r="A5915" t="s">
        <v>14460</v>
      </c>
      <c r="B5915" t="s">
        <v>7807</v>
      </c>
      <c r="C5915" t="str">
        <f>HYPERLINK("https://nematode.unl.edu/mecreek16.jpg")</f>
        <v>https://nematode.unl.edu/mecreek16.jpg</v>
      </c>
      <c r="D5915" t="s">
        <v>43</v>
      </c>
      <c r="G5915" t="s">
        <v>44</v>
      </c>
      <c r="M5915" t="s">
        <v>1233</v>
      </c>
      <c r="N5915" t="s">
        <v>1233</v>
      </c>
      <c r="O5915" t="s">
        <v>23</v>
      </c>
      <c r="P5915" t="s">
        <v>24</v>
      </c>
      <c r="Q5915" t="s">
        <v>642</v>
      </c>
      <c r="R5915" t="s">
        <v>1214</v>
      </c>
    </row>
    <row r="5916" spans="1:18" x14ac:dyDescent="0.25">
      <c r="A5916" t="s">
        <v>14637</v>
      </c>
      <c r="B5916" t="s">
        <v>7808</v>
      </c>
      <c r="C5916" t="str">
        <f>HYPERLINK("https://nematode.unl.edu/mecreek17.jpg")</f>
        <v>https://nematode.unl.edu/mecreek17.jpg</v>
      </c>
      <c r="D5916" t="s">
        <v>43</v>
      </c>
      <c r="G5916" t="s">
        <v>28</v>
      </c>
      <c r="I5916" t="s">
        <v>41</v>
      </c>
      <c r="M5916" t="s">
        <v>1233</v>
      </c>
      <c r="N5916" t="s">
        <v>1233</v>
      </c>
      <c r="O5916" t="s">
        <v>23</v>
      </c>
      <c r="P5916" t="s">
        <v>24</v>
      </c>
      <c r="Q5916" t="s">
        <v>642</v>
      </c>
      <c r="R5916" t="s">
        <v>1214</v>
      </c>
    </row>
    <row r="5917" spans="1:18" x14ac:dyDescent="0.25">
      <c r="A5917" t="s">
        <v>14553</v>
      </c>
      <c r="B5917" t="s">
        <v>7809</v>
      </c>
      <c r="C5917" t="str">
        <f>HYPERLINK("https://nematode.unl.edu/mecreek18.jpg")</f>
        <v>https://nematode.unl.edu/mecreek18.jpg</v>
      </c>
      <c r="D5917" t="s">
        <v>43</v>
      </c>
      <c r="G5917" t="s">
        <v>181</v>
      </c>
      <c r="I5917" t="s">
        <v>19</v>
      </c>
      <c r="M5917" t="s">
        <v>1233</v>
      </c>
      <c r="N5917" t="s">
        <v>1233</v>
      </c>
      <c r="O5917" t="s">
        <v>23</v>
      </c>
      <c r="P5917" t="s">
        <v>24</v>
      </c>
      <c r="Q5917" t="s">
        <v>642</v>
      </c>
      <c r="R5917" t="s">
        <v>1214</v>
      </c>
    </row>
    <row r="5918" spans="1:18" x14ac:dyDescent="0.25">
      <c r="A5918" t="s">
        <v>14461</v>
      </c>
      <c r="B5918" t="s">
        <v>7810</v>
      </c>
      <c r="C5918" t="str">
        <f>HYPERLINK("https://nematode.unl.edu/mecreek19.jpg")</f>
        <v>https://nematode.unl.edu/mecreek19.jpg</v>
      </c>
      <c r="D5918" t="s">
        <v>43</v>
      </c>
      <c r="G5918" t="s">
        <v>44</v>
      </c>
      <c r="I5918" t="s">
        <v>19</v>
      </c>
      <c r="J5918" t="s">
        <v>6089</v>
      </c>
      <c r="L5918" t="s">
        <v>6090</v>
      </c>
      <c r="M5918" t="s">
        <v>1233</v>
      </c>
      <c r="N5918" t="s">
        <v>1233</v>
      </c>
      <c r="O5918" t="s">
        <v>23</v>
      </c>
      <c r="P5918" t="s">
        <v>24</v>
      </c>
      <c r="Q5918" t="s">
        <v>642</v>
      </c>
      <c r="R5918" t="s">
        <v>1214</v>
      </c>
    </row>
    <row r="5919" spans="1:18" x14ac:dyDescent="0.25">
      <c r="A5919" t="s">
        <v>14638</v>
      </c>
      <c r="B5919" t="s">
        <v>7811</v>
      </c>
      <c r="C5919" t="str">
        <f>HYPERLINK("https://nematode.unl.edu/mecreek2.jpg")</f>
        <v>https://nematode.unl.edu/mecreek2.jpg</v>
      </c>
      <c r="D5919" t="s">
        <v>16</v>
      </c>
      <c r="G5919" t="s">
        <v>28</v>
      </c>
      <c r="I5919" t="s">
        <v>41</v>
      </c>
      <c r="M5919" t="s">
        <v>1233</v>
      </c>
      <c r="N5919" t="s">
        <v>1233</v>
      </c>
      <c r="O5919" t="s">
        <v>23</v>
      </c>
      <c r="P5919" t="s">
        <v>24</v>
      </c>
      <c r="Q5919" t="s">
        <v>642</v>
      </c>
      <c r="R5919" t="s">
        <v>1214</v>
      </c>
    </row>
    <row r="5920" spans="1:18" x14ac:dyDescent="0.25">
      <c r="A5920" t="s">
        <v>14308</v>
      </c>
      <c r="B5920" t="s">
        <v>7812</v>
      </c>
      <c r="C5920" t="str">
        <f>HYPERLINK("https://nematode.unl.edu/mecreek20.jpg")</f>
        <v>https://nematode.unl.edu/mecreek20.jpg</v>
      </c>
      <c r="D5920" t="s">
        <v>43</v>
      </c>
      <c r="G5920" t="s">
        <v>34</v>
      </c>
      <c r="H5920" t="s">
        <v>18</v>
      </c>
      <c r="I5920" t="s">
        <v>41</v>
      </c>
      <c r="M5920" t="s">
        <v>1233</v>
      </c>
      <c r="N5920" t="s">
        <v>1233</v>
      </c>
      <c r="O5920" t="s">
        <v>23</v>
      </c>
      <c r="P5920" t="s">
        <v>24</v>
      </c>
      <c r="Q5920" t="s">
        <v>642</v>
      </c>
      <c r="R5920" t="s">
        <v>1214</v>
      </c>
    </row>
    <row r="5921" spans="1:18" x14ac:dyDescent="0.25">
      <c r="A5921" t="s">
        <v>14309</v>
      </c>
      <c r="B5921" t="s">
        <v>7813</v>
      </c>
      <c r="C5921" t="str">
        <f>HYPERLINK("https://nematode.unl.edu/mecreek21.jpg")</f>
        <v>https://nematode.unl.edu/mecreek21.jpg</v>
      </c>
      <c r="D5921" t="s">
        <v>43</v>
      </c>
      <c r="G5921" t="s">
        <v>34</v>
      </c>
      <c r="H5921" t="s">
        <v>18</v>
      </c>
      <c r="M5921" t="s">
        <v>1233</v>
      </c>
      <c r="N5921" t="s">
        <v>1233</v>
      </c>
      <c r="O5921" t="s">
        <v>23</v>
      </c>
      <c r="P5921" t="s">
        <v>24</v>
      </c>
      <c r="Q5921" t="s">
        <v>642</v>
      </c>
      <c r="R5921" t="s">
        <v>1214</v>
      </c>
    </row>
    <row r="5922" spans="1:18" x14ac:dyDescent="0.25">
      <c r="A5922" t="s">
        <v>14462</v>
      </c>
      <c r="B5922" t="s">
        <v>7814</v>
      </c>
      <c r="C5922" t="str">
        <f>HYPERLINK("https://nematode.unl.edu/mecreek22.jpg")</f>
        <v>https://nematode.unl.edu/mecreek22.jpg</v>
      </c>
      <c r="D5922" t="s">
        <v>43</v>
      </c>
      <c r="G5922" t="s">
        <v>44</v>
      </c>
      <c r="I5922" t="s">
        <v>41</v>
      </c>
      <c r="M5922" t="s">
        <v>1233</v>
      </c>
      <c r="N5922" t="s">
        <v>1233</v>
      </c>
      <c r="O5922" t="s">
        <v>23</v>
      </c>
      <c r="P5922" t="s">
        <v>24</v>
      </c>
      <c r="Q5922" t="s">
        <v>642</v>
      </c>
      <c r="R5922" t="s">
        <v>1214</v>
      </c>
    </row>
    <row r="5923" spans="1:18" x14ac:dyDescent="0.25">
      <c r="A5923" t="s">
        <v>14639</v>
      </c>
      <c r="B5923" t="s">
        <v>7815</v>
      </c>
      <c r="C5923" t="str">
        <f>HYPERLINK("https://nematode.unl.edu/mecreek23.jpg")</f>
        <v>https://nematode.unl.edu/mecreek23.jpg</v>
      </c>
      <c r="D5923" t="s">
        <v>43</v>
      </c>
      <c r="G5923" t="s">
        <v>28</v>
      </c>
      <c r="I5923" t="s">
        <v>41</v>
      </c>
      <c r="M5923" t="s">
        <v>1233</v>
      </c>
      <c r="N5923" t="s">
        <v>1233</v>
      </c>
      <c r="O5923" t="s">
        <v>23</v>
      </c>
      <c r="P5923" t="s">
        <v>24</v>
      </c>
      <c r="Q5923" t="s">
        <v>642</v>
      </c>
      <c r="R5923" t="s">
        <v>1214</v>
      </c>
    </row>
    <row r="5924" spans="1:18" x14ac:dyDescent="0.25">
      <c r="A5924" t="s">
        <v>14463</v>
      </c>
      <c r="B5924" t="s">
        <v>7816</v>
      </c>
      <c r="C5924" t="str">
        <f>HYPERLINK("https://nematode.unl.edu/mecreek24.jpg")</f>
        <v>https://nematode.unl.edu/mecreek24.jpg</v>
      </c>
      <c r="D5924" t="s">
        <v>16</v>
      </c>
      <c r="G5924" t="s">
        <v>44</v>
      </c>
      <c r="I5924" t="s">
        <v>19</v>
      </c>
      <c r="J5924" t="s">
        <v>6089</v>
      </c>
      <c r="L5924" t="s">
        <v>6090</v>
      </c>
      <c r="M5924" t="s">
        <v>1233</v>
      </c>
      <c r="N5924" t="s">
        <v>1233</v>
      </c>
      <c r="O5924" t="s">
        <v>23</v>
      </c>
      <c r="P5924" t="s">
        <v>24</v>
      </c>
      <c r="Q5924" t="s">
        <v>642</v>
      </c>
      <c r="R5924" t="s">
        <v>1214</v>
      </c>
    </row>
    <row r="5925" spans="1:18" x14ac:dyDescent="0.25">
      <c r="A5925" t="s">
        <v>14310</v>
      </c>
      <c r="B5925" t="s">
        <v>7817</v>
      </c>
      <c r="C5925" t="str">
        <f>HYPERLINK("https://nematode.unl.edu/mecreek25.jpg")</f>
        <v>https://nematode.unl.edu/mecreek25.jpg</v>
      </c>
      <c r="G5925" t="s">
        <v>34</v>
      </c>
      <c r="H5925" t="s">
        <v>18</v>
      </c>
      <c r="I5925" t="s">
        <v>41</v>
      </c>
      <c r="M5925" t="s">
        <v>1233</v>
      </c>
      <c r="N5925" t="s">
        <v>1233</v>
      </c>
      <c r="O5925" t="s">
        <v>23</v>
      </c>
      <c r="P5925" t="s">
        <v>24</v>
      </c>
      <c r="Q5925" t="s">
        <v>642</v>
      </c>
      <c r="R5925" t="s">
        <v>1214</v>
      </c>
    </row>
    <row r="5926" spans="1:18" x14ac:dyDescent="0.25">
      <c r="A5926" t="s">
        <v>14640</v>
      </c>
      <c r="B5926" t="s">
        <v>7818</v>
      </c>
      <c r="C5926" t="str">
        <f>HYPERLINK("https://nematode.unl.edu/mecreek26.jpg")</f>
        <v>https://nematode.unl.edu/mecreek26.jpg</v>
      </c>
      <c r="D5926" t="s">
        <v>16</v>
      </c>
      <c r="G5926" t="s">
        <v>28</v>
      </c>
      <c r="I5926" t="s">
        <v>41</v>
      </c>
      <c r="M5926" t="s">
        <v>1233</v>
      </c>
      <c r="N5926" t="s">
        <v>1233</v>
      </c>
      <c r="O5926" t="s">
        <v>23</v>
      </c>
      <c r="P5926" t="s">
        <v>24</v>
      </c>
      <c r="Q5926" t="s">
        <v>642</v>
      </c>
      <c r="R5926" t="s">
        <v>1214</v>
      </c>
    </row>
    <row r="5927" spans="1:18" x14ac:dyDescent="0.25">
      <c r="A5927" t="s">
        <v>14464</v>
      </c>
      <c r="B5927" t="s">
        <v>7819</v>
      </c>
      <c r="C5927" t="str">
        <f>HYPERLINK("https://nematode.unl.edu/mecreek27.jpg")</f>
        <v>https://nematode.unl.edu/mecreek27.jpg</v>
      </c>
      <c r="D5927" t="s">
        <v>16</v>
      </c>
      <c r="G5927" t="s">
        <v>44</v>
      </c>
      <c r="I5927" t="s">
        <v>19</v>
      </c>
      <c r="J5927" t="s">
        <v>6089</v>
      </c>
      <c r="L5927" t="s">
        <v>6090</v>
      </c>
      <c r="M5927" t="s">
        <v>1233</v>
      </c>
      <c r="N5927" t="s">
        <v>1233</v>
      </c>
      <c r="O5927" t="s">
        <v>23</v>
      </c>
      <c r="P5927" t="s">
        <v>24</v>
      </c>
      <c r="Q5927" t="s">
        <v>642</v>
      </c>
      <c r="R5927" t="s">
        <v>1214</v>
      </c>
    </row>
    <row r="5928" spans="1:18" x14ac:dyDescent="0.25">
      <c r="A5928" t="s">
        <v>14311</v>
      </c>
      <c r="B5928" t="s">
        <v>7820</v>
      </c>
      <c r="C5928" t="str">
        <f>HYPERLINK("https://nematode.unl.edu/mecreek28.jpg")</f>
        <v>https://nematode.unl.edu/mecreek28.jpg</v>
      </c>
      <c r="D5928" t="s">
        <v>16</v>
      </c>
      <c r="G5928" t="s">
        <v>34</v>
      </c>
      <c r="H5928" t="s">
        <v>18</v>
      </c>
      <c r="I5928" t="s">
        <v>41</v>
      </c>
      <c r="M5928" t="s">
        <v>1233</v>
      </c>
      <c r="N5928" t="s">
        <v>1233</v>
      </c>
      <c r="O5928" t="s">
        <v>23</v>
      </c>
      <c r="P5928" t="s">
        <v>24</v>
      </c>
      <c r="Q5928" t="s">
        <v>642</v>
      </c>
      <c r="R5928" t="s">
        <v>1214</v>
      </c>
    </row>
    <row r="5929" spans="1:18" x14ac:dyDescent="0.25">
      <c r="A5929" t="s">
        <v>14641</v>
      </c>
      <c r="B5929" t="s">
        <v>7821</v>
      </c>
      <c r="C5929" t="str">
        <f>HYPERLINK("https://nematode.unl.edu/mecreek29.jpg")</f>
        <v>https://nematode.unl.edu/mecreek29.jpg</v>
      </c>
      <c r="D5929" t="s">
        <v>16</v>
      </c>
      <c r="G5929" t="s">
        <v>28</v>
      </c>
      <c r="I5929" t="s">
        <v>41</v>
      </c>
      <c r="M5929" t="s">
        <v>1233</v>
      </c>
      <c r="N5929" t="s">
        <v>1233</v>
      </c>
      <c r="O5929" t="s">
        <v>23</v>
      </c>
      <c r="P5929" t="s">
        <v>24</v>
      </c>
      <c r="Q5929" t="s">
        <v>642</v>
      </c>
      <c r="R5929" t="s">
        <v>1214</v>
      </c>
    </row>
    <row r="5930" spans="1:18" x14ac:dyDescent="0.25">
      <c r="A5930" t="s">
        <v>14382</v>
      </c>
      <c r="B5930" t="s">
        <v>7822</v>
      </c>
      <c r="C5930" t="str">
        <f>HYPERLINK("https://nematode.unl.edu/mecreek3.jpg")</f>
        <v>https://nematode.unl.edu/mecreek3.jpg</v>
      </c>
      <c r="D5930" t="s">
        <v>16</v>
      </c>
      <c r="G5930" t="s">
        <v>3942</v>
      </c>
      <c r="I5930" t="s">
        <v>41</v>
      </c>
      <c r="J5930" t="s">
        <v>6089</v>
      </c>
      <c r="L5930" t="s">
        <v>7533</v>
      </c>
      <c r="M5930" t="s">
        <v>1233</v>
      </c>
      <c r="N5930" t="s">
        <v>1233</v>
      </c>
      <c r="O5930" t="s">
        <v>23</v>
      </c>
      <c r="P5930" t="s">
        <v>24</v>
      </c>
      <c r="Q5930" t="s">
        <v>642</v>
      </c>
      <c r="R5930" t="s">
        <v>1214</v>
      </c>
    </row>
    <row r="5931" spans="1:18" x14ac:dyDescent="0.25">
      <c r="A5931" t="s">
        <v>14536</v>
      </c>
      <c r="B5931" t="s">
        <v>7823</v>
      </c>
      <c r="C5931" t="str">
        <f>HYPERLINK("https://nematode.unl.edu/mecreek30.jpg")</f>
        <v>https://nematode.unl.edu/mecreek30.jpg</v>
      </c>
      <c r="D5931" t="s">
        <v>16</v>
      </c>
      <c r="G5931" t="s">
        <v>224</v>
      </c>
      <c r="I5931" t="s">
        <v>41</v>
      </c>
      <c r="M5931" t="s">
        <v>1233</v>
      </c>
      <c r="N5931" t="s">
        <v>1233</v>
      </c>
      <c r="O5931" t="s">
        <v>23</v>
      </c>
      <c r="P5931" t="s">
        <v>24</v>
      </c>
      <c r="Q5931" t="s">
        <v>642</v>
      </c>
      <c r="R5931" t="s">
        <v>1214</v>
      </c>
    </row>
    <row r="5932" spans="1:18" x14ac:dyDescent="0.25">
      <c r="A5932" t="s">
        <v>14465</v>
      </c>
      <c r="B5932" t="s">
        <v>7824</v>
      </c>
      <c r="C5932" t="str">
        <f>HYPERLINK("https://nematode.unl.edu/mecreek31.jpg")</f>
        <v>https://nematode.unl.edu/mecreek31.jpg</v>
      </c>
      <c r="D5932" t="s">
        <v>43</v>
      </c>
      <c r="G5932" t="s">
        <v>44</v>
      </c>
      <c r="I5932" t="s">
        <v>19</v>
      </c>
      <c r="J5932" t="s">
        <v>6089</v>
      </c>
      <c r="L5932" t="s">
        <v>6090</v>
      </c>
      <c r="M5932" t="s">
        <v>1233</v>
      </c>
      <c r="N5932" t="s">
        <v>1233</v>
      </c>
      <c r="O5932" t="s">
        <v>23</v>
      </c>
      <c r="P5932" t="s">
        <v>24</v>
      </c>
      <c r="Q5932" t="s">
        <v>642</v>
      </c>
      <c r="R5932" t="s">
        <v>1214</v>
      </c>
    </row>
    <row r="5933" spans="1:18" x14ac:dyDescent="0.25">
      <c r="A5933" t="s">
        <v>14312</v>
      </c>
      <c r="B5933" t="s">
        <v>7825</v>
      </c>
      <c r="C5933" t="str">
        <f>HYPERLINK("https://nematode.unl.edu/mecreek32.jpg")</f>
        <v>https://nematode.unl.edu/mecreek32.jpg</v>
      </c>
      <c r="D5933" t="s">
        <v>43</v>
      </c>
      <c r="G5933" t="s">
        <v>34</v>
      </c>
      <c r="H5933" t="s">
        <v>18</v>
      </c>
      <c r="M5933" t="s">
        <v>1233</v>
      </c>
      <c r="N5933" t="s">
        <v>1233</v>
      </c>
      <c r="O5933" t="s">
        <v>23</v>
      </c>
      <c r="P5933" t="s">
        <v>24</v>
      </c>
      <c r="Q5933" t="s">
        <v>642</v>
      </c>
      <c r="R5933" t="s">
        <v>1214</v>
      </c>
    </row>
    <row r="5934" spans="1:18" x14ac:dyDescent="0.25">
      <c r="A5934" t="s">
        <v>14554</v>
      </c>
      <c r="B5934" t="s">
        <v>7826</v>
      </c>
      <c r="C5934" t="str">
        <f>HYPERLINK("https://nematode.unl.edu/mecreek33.jpg")</f>
        <v>https://nematode.unl.edu/mecreek33.jpg</v>
      </c>
      <c r="D5934" t="s">
        <v>43</v>
      </c>
      <c r="G5934" t="s">
        <v>181</v>
      </c>
      <c r="M5934" t="s">
        <v>1233</v>
      </c>
      <c r="N5934" t="s">
        <v>1233</v>
      </c>
      <c r="O5934" t="s">
        <v>23</v>
      </c>
      <c r="P5934" t="s">
        <v>24</v>
      </c>
      <c r="Q5934" t="s">
        <v>642</v>
      </c>
      <c r="R5934" t="s">
        <v>1214</v>
      </c>
    </row>
    <row r="5935" spans="1:18" x14ac:dyDescent="0.25">
      <c r="A5935" t="s">
        <v>14466</v>
      </c>
      <c r="B5935" t="s">
        <v>7827</v>
      </c>
      <c r="C5935" t="str">
        <f>HYPERLINK("https://nematode.unl.edu/mecreek34.jpg")</f>
        <v>https://nematode.unl.edu/mecreek34.jpg</v>
      </c>
      <c r="D5935" t="s">
        <v>43</v>
      </c>
      <c r="G5935" t="s">
        <v>44</v>
      </c>
      <c r="I5935" t="s">
        <v>516</v>
      </c>
      <c r="J5935" t="s">
        <v>6089</v>
      </c>
      <c r="L5935" t="s">
        <v>6090</v>
      </c>
      <c r="M5935" t="s">
        <v>1233</v>
      </c>
      <c r="N5935" t="s">
        <v>1233</v>
      </c>
      <c r="O5935" t="s">
        <v>23</v>
      </c>
      <c r="P5935" t="s">
        <v>24</v>
      </c>
      <c r="Q5935" t="s">
        <v>642</v>
      </c>
      <c r="R5935" t="s">
        <v>1214</v>
      </c>
    </row>
    <row r="5936" spans="1:18" x14ac:dyDescent="0.25">
      <c r="A5936" t="s">
        <v>14313</v>
      </c>
      <c r="B5936" t="s">
        <v>7828</v>
      </c>
      <c r="C5936" t="str">
        <f>HYPERLINK("https://nematode.unl.edu/mecreek35.jpg")</f>
        <v>https://nematode.unl.edu/mecreek35.jpg</v>
      </c>
      <c r="D5936" t="s">
        <v>43</v>
      </c>
      <c r="G5936" t="s">
        <v>34</v>
      </c>
      <c r="H5936" t="s">
        <v>18</v>
      </c>
      <c r="I5936" t="s">
        <v>41</v>
      </c>
      <c r="M5936" t="s">
        <v>1233</v>
      </c>
      <c r="N5936" t="s">
        <v>1233</v>
      </c>
      <c r="O5936" t="s">
        <v>23</v>
      </c>
      <c r="P5936" t="s">
        <v>24</v>
      </c>
      <c r="Q5936" t="s">
        <v>642</v>
      </c>
      <c r="R5936" t="s">
        <v>1214</v>
      </c>
    </row>
    <row r="5937" spans="1:18" x14ac:dyDescent="0.25">
      <c r="A5937" t="s">
        <v>14642</v>
      </c>
      <c r="B5937" t="s">
        <v>7829</v>
      </c>
      <c r="C5937" t="str">
        <f>HYPERLINK("https://nematode.unl.edu/mecreek36.jpg")</f>
        <v>https://nematode.unl.edu/mecreek36.jpg</v>
      </c>
      <c r="D5937" t="s">
        <v>43</v>
      </c>
      <c r="G5937" t="s">
        <v>28</v>
      </c>
      <c r="I5937" t="s">
        <v>41</v>
      </c>
      <c r="M5937" t="s">
        <v>1233</v>
      </c>
      <c r="N5937" t="s">
        <v>1233</v>
      </c>
      <c r="O5937" t="s">
        <v>23</v>
      </c>
      <c r="P5937" t="s">
        <v>24</v>
      </c>
      <c r="Q5937" t="s">
        <v>642</v>
      </c>
      <c r="R5937" t="s">
        <v>1214</v>
      </c>
    </row>
    <row r="5938" spans="1:18" x14ac:dyDescent="0.25">
      <c r="A5938" t="s">
        <v>14467</v>
      </c>
      <c r="B5938" t="s">
        <v>7830</v>
      </c>
      <c r="C5938" t="str">
        <f>HYPERLINK("https://nematode.unl.edu/mecreek37.jpg")</f>
        <v>https://nematode.unl.edu/mecreek37.jpg</v>
      </c>
      <c r="D5938" t="s">
        <v>43</v>
      </c>
      <c r="G5938" t="s">
        <v>44</v>
      </c>
      <c r="I5938" t="s">
        <v>19</v>
      </c>
      <c r="J5938" t="s">
        <v>6089</v>
      </c>
      <c r="L5938" t="s">
        <v>6090</v>
      </c>
      <c r="M5938" t="s">
        <v>1233</v>
      </c>
      <c r="N5938" t="s">
        <v>1233</v>
      </c>
      <c r="O5938" t="s">
        <v>23</v>
      </c>
      <c r="P5938" t="s">
        <v>24</v>
      </c>
      <c r="Q5938" t="s">
        <v>642</v>
      </c>
      <c r="R5938" t="s">
        <v>1214</v>
      </c>
    </row>
    <row r="5939" spans="1:18" x14ac:dyDescent="0.25">
      <c r="A5939" t="s">
        <v>14314</v>
      </c>
      <c r="B5939" t="s">
        <v>7831</v>
      </c>
      <c r="C5939" t="str">
        <f>HYPERLINK("https://nematode.unl.edu/mecreek38.jpg")</f>
        <v>https://nematode.unl.edu/mecreek38.jpg</v>
      </c>
      <c r="D5939" t="s">
        <v>43</v>
      </c>
      <c r="G5939" t="s">
        <v>34</v>
      </c>
      <c r="H5939" t="s">
        <v>18</v>
      </c>
      <c r="I5939" t="s">
        <v>41</v>
      </c>
      <c r="M5939" t="s">
        <v>1233</v>
      </c>
      <c r="N5939" t="s">
        <v>1233</v>
      </c>
      <c r="O5939" t="s">
        <v>23</v>
      </c>
      <c r="P5939" t="s">
        <v>24</v>
      </c>
      <c r="Q5939" t="s">
        <v>642</v>
      </c>
      <c r="R5939" t="s">
        <v>1214</v>
      </c>
    </row>
    <row r="5940" spans="1:18" x14ac:dyDescent="0.25">
      <c r="A5940" t="s">
        <v>14468</v>
      </c>
      <c r="B5940" t="s">
        <v>7832</v>
      </c>
      <c r="C5940" t="str">
        <f>HYPERLINK("https://nematode.unl.edu/mecreek39.jpg")</f>
        <v>https://nematode.unl.edu/mecreek39.jpg</v>
      </c>
      <c r="D5940" t="s">
        <v>16</v>
      </c>
      <c r="G5940" t="s">
        <v>44</v>
      </c>
      <c r="I5940" t="s">
        <v>19</v>
      </c>
      <c r="J5940" t="s">
        <v>6089</v>
      </c>
      <c r="L5940" t="s">
        <v>6090</v>
      </c>
      <c r="M5940" t="s">
        <v>1233</v>
      </c>
      <c r="N5940" t="s">
        <v>1233</v>
      </c>
      <c r="O5940" t="s">
        <v>23</v>
      </c>
      <c r="P5940" t="s">
        <v>24</v>
      </c>
      <c r="Q5940" t="s">
        <v>642</v>
      </c>
      <c r="R5940" t="s">
        <v>1214</v>
      </c>
    </row>
    <row r="5941" spans="1:18" x14ac:dyDescent="0.25">
      <c r="A5941" t="s">
        <v>14469</v>
      </c>
      <c r="B5941" t="s">
        <v>7833</v>
      </c>
      <c r="C5941" t="str">
        <f>HYPERLINK("https://nematode.unl.edu/mecreek4.jpg")</f>
        <v>https://nematode.unl.edu/mecreek4.jpg</v>
      </c>
      <c r="D5941" t="s">
        <v>43</v>
      </c>
      <c r="G5941" t="s">
        <v>44</v>
      </c>
      <c r="I5941" t="s">
        <v>19</v>
      </c>
      <c r="J5941" t="s">
        <v>6089</v>
      </c>
      <c r="L5941" t="s">
        <v>7533</v>
      </c>
      <c r="M5941" t="s">
        <v>1233</v>
      </c>
      <c r="N5941" t="s">
        <v>1233</v>
      </c>
      <c r="O5941" t="s">
        <v>23</v>
      </c>
      <c r="P5941" t="s">
        <v>24</v>
      </c>
      <c r="Q5941" t="s">
        <v>642</v>
      </c>
      <c r="R5941" t="s">
        <v>1214</v>
      </c>
    </row>
    <row r="5942" spans="1:18" x14ac:dyDescent="0.25">
      <c r="A5942" t="s">
        <v>14315</v>
      </c>
      <c r="B5942" t="s">
        <v>7834</v>
      </c>
      <c r="C5942" t="str">
        <f>HYPERLINK("https://nematode.unl.edu/mecreek40.jpg")</f>
        <v>https://nematode.unl.edu/mecreek40.jpg</v>
      </c>
      <c r="D5942" t="s">
        <v>16</v>
      </c>
      <c r="G5942" t="s">
        <v>34</v>
      </c>
      <c r="H5942" t="s">
        <v>18</v>
      </c>
      <c r="I5942" t="s">
        <v>41</v>
      </c>
      <c r="M5942" t="s">
        <v>1233</v>
      </c>
      <c r="N5942" t="s">
        <v>1233</v>
      </c>
      <c r="O5942" t="s">
        <v>23</v>
      </c>
      <c r="P5942" t="s">
        <v>24</v>
      </c>
      <c r="Q5942" t="s">
        <v>642</v>
      </c>
      <c r="R5942" t="s">
        <v>1214</v>
      </c>
    </row>
    <row r="5943" spans="1:18" x14ac:dyDescent="0.25">
      <c r="A5943" t="s">
        <v>14643</v>
      </c>
      <c r="B5943" t="s">
        <v>7835</v>
      </c>
      <c r="C5943" t="str">
        <f>HYPERLINK("https://nematode.unl.edu/mecreek41.jpg")</f>
        <v>https://nematode.unl.edu/mecreek41.jpg</v>
      </c>
      <c r="D5943" t="s">
        <v>16</v>
      </c>
      <c r="G5943" t="s">
        <v>28</v>
      </c>
      <c r="I5943" t="s">
        <v>41</v>
      </c>
      <c r="M5943" t="s">
        <v>1233</v>
      </c>
      <c r="N5943" t="s">
        <v>1233</v>
      </c>
      <c r="O5943" t="s">
        <v>23</v>
      </c>
      <c r="P5943" t="s">
        <v>24</v>
      </c>
      <c r="Q5943" t="s">
        <v>642</v>
      </c>
      <c r="R5943" t="s">
        <v>1214</v>
      </c>
    </row>
    <row r="5944" spans="1:18" x14ac:dyDescent="0.25">
      <c r="A5944" t="s">
        <v>14470</v>
      </c>
      <c r="B5944" t="s">
        <v>7836</v>
      </c>
      <c r="C5944" t="str">
        <f>HYPERLINK("https://nematode.unl.edu/mecreek42.jpg")</f>
        <v>https://nematode.unl.edu/mecreek42.jpg</v>
      </c>
      <c r="D5944" t="s">
        <v>43</v>
      </c>
      <c r="G5944" t="s">
        <v>44</v>
      </c>
      <c r="I5944" t="s">
        <v>19</v>
      </c>
      <c r="J5944" t="s">
        <v>6089</v>
      </c>
      <c r="L5944" t="s">
        <v>7533</v>
      </c>
      <c r="M5944" t="s">
        <v>1233</v>
      </c>
      <c r="N5944" t="s">
        <v>1233</v>
      </c>
      <c r="O5944" t="s">
        <v>23</v>
      </c>
      <c r="P5944" t="s">
        <v>24</v>
      </c>
      <c r="Q5944" t="s">
        <v>642</v>
      </c>
      <c r="R5944" t="s">
        <v>1214</v>
      </c>
    </row>
    <row r="5945" spans="1:18" x14ac:dyDescent="0.25">
      <c r="A5945" t="s">
        <v>14316</v>
      </c>
      <c r="B5945" t="s">
        <v>7837</v>
      </c>
      <c r="C5945" t="str">
        <f>HYPERLINK("https://nematode.unl.edu/mecreek43.jpg")</f>
        <v>https://nematode.unl.edu/mecreek43.jpg</v>
      </c>
      <c r="D5945" t="s">
        <v>43</v>
      </c>
      <c r="G5945" t="s">
        <v>34</v>
      </c>
      <c r="H5945" t="s">
        <v>18</v>
      </c>
      <c r="I5945" t="s">
        <v>41</v>
      </c>
      <c r="M5945" t="s">
        <v>1233</v>
      </c>
      <c r="N5945" t="s">
        <v>1233</v>
      </c>
      <c r="O5945" t="s">
        <v>23</v>
      </c>
      <c r="P5945" t="s">
        <v>24</v>
      </c>
      <c r="Q5945" t="s">
        <v>642</v>
      </c>
      <c r="R5945" t="s">
        <v>1214</v>
      </c>
    </row>
    <row r="5946" spans="1:18" x14ac:dyDescent="0.25">
      <c r="A5946" t="s">
        <v>14644</v>
      </c>
      <c r="B5946" t="s">
        <v>7838</v>
      </c>
      <c r="C5946" t="str">
        <f>HYPERLINK("https://nematode.unl.edu/mecreek44.jpg")</f>
        <v>https://nematode.unl.edu/mecreek44.jpg</v>
      </c>
      <c r="D5946" t="s">
        <v>43</v>
      </c>
      <c r="G5946" t="s">
        <v>28</v>
      </c>
      <c r="M5946" t="s">
        <v>1233</v>
      </c>
      <c r="N5946" t="s">
        <v>1233</v>
      </c>
      <c r="O5946" t="s">
        <v>23</v>
      </c>
      <c r="P5946" t="s">
        <v>24</v>
      </c>
      <c r="Q5946" t="s">
        <v>642</v>
      </c>
      <c r="R5946" t="s">
        <v>1214</v>
      </c>
    </row>
    <row r="5947" spans="1:18" x14ac:dyDescent="0.25">
      <c r="A5947" t="s">
        <v>14471</v>
      </c>
      <c r="B5947" t="s">
        <v>7839</v>
      </c>
      <c r="C5947" t="str">
        <f>HYPERLINK("https://nematode.unl.edu/mecreek45.jpg")</f>
        <v>https://nematode.unl.edu/mecreek45.jpg</v>
      </c>
      <c r="D5947" t="s">
        <v>43</v>
      </c>
      <c r="G5947" t="s">
        <v>44</v>
      </c>
      <c r="I5947" t="s">
        <v>516</v>
      </c>
      <c r="J5947" t="s">
        <v>6089</v>
      </c>
      <c r="L5947" t="s">
        <v>7533</v>
      </c>
      <c r="M5947" t="s">
        <v>1233</v>
      </c>
      <c r="N5947" t="s">
        <v>1233</v>
      </c>
      <c r="O5947" t="s">
        <v>23</v>
      </c>
      <c r="P5947" t="s">
        <v>24</v>
      </c>
      <c r="Q5947" t="s">
        <v>642</v>
      </c>
      <c r="R5947" t="s">
        <v>1214</v>
      </c>
    </row>
    <row r="5948" spans="1:18" x14ac:dyDescent="0.25">
      <c r="A5948" t="s">
        <v>14317</v>
      </c>
      <c r="B5948" t="s">
        <v>7840</v>
      </c>
      <c r="C5948" t="str">
        <f>HYPERLINK("https://nematode.unl.edu/mecreek46.jpg")</f>
        <v>https://nematode.unl.edu/mecreek46.jpg</v>
      </c>
      <c r="D5948" t="s">
        <v>43</v>
      </c>
      <c r="G5948" t="s">
        <v>34</v>
      </c>
      <c r="H5948" t="s">
        <v>18</v>
      </c>
      <c r="I5948" t="s">
        <v>41</v>
      </c>
      <c r="M5948" t="s">
        <v>1233</v>
      </c>
      <c r="N5948" t="s">
        <v>1233</v>
      </c>
      <c r="O5948" t="s">
        <v>23</v>
      </c>
      <c r="P5948" t="s">
        <v>24</v>
      </c>
      <c r="Q5948" t="s">
        <v>642</v>
      </c>
      <c r="R5948" t="s">
        <v>1214</v>
      </c>
    </row>
    <row r="5949" spans="1:18" x14ac:dyDescent="0.25">
      <c r="A5949" t="s">
        <v>14645</v>
      </c>
      <c r="B5949" t="s">
        <v>7841</v>
      </c>
      <c r="C5949" t="str">
        <f>HYPERLINK("https://nematode.unl.edu/mecreek47.jpg")</f>
        <v>https://nematode.unl.edu/mecreek47.jpg</v>
      </c>
      <c r="D5949" t="s">
        <v>43</v>
      </c>
      <c r="G5949" t="s">
        <v>28</v>
      </c>
      <c r="I5949" t="s">
        <v>41</v>
      </c>
      <c r="M5949" t="s">
        <v>1233</v>
      </c>
      <c r="N5949" t="s">
        <v>1233</v>
      </c>
      <c r="O5949" t="s">
        <v>23</v>
      </c>
      <c r="P5949" t="s">
        <v>24</v>
      </c>
      <c r="Q5949" t="s">
        <v>642</v>
      </c>
      <c r="R5949" t="s">
        <v>1214</v>
      </c>
    </row>
    <row r="5950" spans="1:18" x14ac:dyDescent="0.25">
      <c r="A5950" t="s">
        <v>14235</v>
      </c>
      <c r="B5950" t="s">
        <v>7842</v>
      </c>
      <c r="C5950" t="str">
        <f>HYPERLINK("https://nematode.unl.edu/mecreek5.jpg")</f>
        <v>https://nematode.unl.edu/mecreek5.jpg</v>
      </c>
      <c r="D5950" t="s">
        <v>43</v>
      </c>
      <c r="G5950" t="s">
        <v>96</v>
      </c>
      <c r="H5950" t="s">
        <v>18</v>
      </c>
      <c r="I5950" t="s">
        <v>41</v>
      </c>
      <c r="M5950" t="s">
        <v>1233</v>
      </c>
      <c r="N5950" t="s">
        <v>1233</v>
      </c>
      <c r="O5950" t="s">
        <v>23</v>
      </c>
      <c r="P5950" t="s">
        <v>24</v>
      </c>
      <c r="Q5950" t="s">
        <v>642</v>
      </c>
      <c r="R5950" t="s">
        <v>1214</v>
      </c>
    </row>
    <row r="5951" spans="1:18" x14ac:dyDescent="0.25">
      <c r="A5951" t="s">
        <v>14472</v>
      </c>
      <c r="B5951" t="s">
        <v>7843</v>
      </c>
      <c r="C5951" t="str">
        <f>HYPERLINK("https://nematode.unl.edu/mecreek52.jpg")</f>
        <v>https://nematode.unl.edu/mecreek52.jpg</v>
      </c>
      <c r="D5951" t="s">
        <v>43</v>
      </c>
      <c r="G5951" t="s">
        <v>44</v>
      </c>
      <c r="I5951" t="s">
        <v>19</v>
      </c>
      <c r="J5951" t="s">
        <v>6089</v>
      </c>
      <c r="L5951" t="s">
        <v>7533</v>
      </c>
      <c r="M5951" t="s">
        <v>1233</v>
      </c>
      <c r="N5951" t="s">
        <v>1233</v>
      </c>
      <c r="O5951" t="s">
        <v>23</v>
      </c>
      <c r="P5951" t="s">
        <v>24</v>
      </c>
      <c r="Q5951" t="s">
        <v>642</v>
      </c>
      <c r="R5951" t="s">
        <v>1214</v>
      </c>
    </row>
    <row r="5952" spans="1:18" x14ac:dyDescent="0.25">
      <c r="A5952" t="s">
        <v>14318</v>
      </c>
      <c r="B5952" t="s">
        <v>7844</v>
      </c>
      <c r="C5952" t="str">
        <f>HYPERLINK("https://nematode.unl.edu/mecreek53.jpg")</f>
        <v>https://nematode.unl.edu/mecreek53.jpg</v>
      </c>
      <c r="D5952" t="s">
        <v>43</v>
      </c>
      <c r="G5952" t="s">
        <v>34</v>
      </c>
      <c r="H5952" t="s">
        <v>18</v>
      </c>
      <c r="I5952" t="s">
        <v>41</v>
      </c>
      <c r="M5952" t="s">
        <v>1233</v>
      </c>
      <c r="N5952" t="s">
        <v>1233</v>
      </c>
      <c r="O5952" t="s">
        <v>23</v>
      </c>
      <c r="P5952" t="s">
        <v>24</v>
      </c>
      <c r="Q5952" t="s">
        <v>642</v>
      </c>
      <c r="R5952" t="s">
        <v>1214</v>
      </c>
    </row>
    <row r="5953" spans="1:18" x14ac:dyDescent="0.25">
      <c r="A5953" t="s">
        <v>14646</v>
      </c>
      <c r="B5953" t="s">
        <v>7845</v>
      </c>
      <c r="C5953" t="str">
        <f>HYPERLINK("https://nematode.unl.edu/mecreek54.jpg")</f>
        <v>https://nematode.unl.edu/mecreek54.jpg</v>
      </c>
      <c r="D5953" t="s">
        <v>43</v>
      </c>
      <c r="G5953" t="s">
        <v>28</v>
      </c>
      <c r="I5953" t="s">
        <v>41</v>
      </c>
      <c r="M5953" t="s">
        <v>1233</v>
      </c>
      <c r="N5953" t="s">
        <v>1233</v>
      </c>
      <c r="O5953" t="s">
        <v>23</v>
      </c>
      <c r="P5953" t="s">
        <v>24</v>
      </c>
      <c r="Q5953" t="s">
        <v>642</v>
      </c>
      <c r="R5953" t="s">
        <v>1214</v>
      </c>
    </row>
    <row r="5954" spans="1:18" x14ac:dyDescent="0.25">
      <c r="A5954" t="s">
        <v>14473</v>
      </c>
      <c r="B5954" t="s">
        <v>7846</v>
      </c>
      <c r="C5954" t="str">
        <f>HYPERLINK("https://nematode.unl.edu/mecreek55.jpg")</f>
        <v>https://nematode.unl.edu/mecreek55.jpg</v>
      </c>
      <c r="D5954" t="s">
        <v>43</v>
      </c>
      <c r="G5954" t="s">
        <v>44</v>
      </c>
      <c r="I5954" t="s">
        <v>516</v>
      </c>
      <c r="J5954" t="s">
        <v>6089</v>
      </c>
      <c r="L5954" t="s">
        <v>7533</v>
      </c>
      <c r="M5954" t="s">
        <v>1233</v>
      </c>
      <c r="N5954" t="s">
        <v>1233</v>
      </c>
      <c r="O5954" t="s">
        <v>23</v>
      </c>
      <c r="P5954" t="s">
        <v>24</v>
      </c>
      <c r="Q5954" t="s">
        <v>642</v>
      </c>
      <c r="R5954" t="s">
        <v>1214</v>
      </c>
    </row>
    <row r="5955" spans="1:18" x14ac:dyDescent="0.25">
      <c r="A5955" t="s">
        <v>14319</v>
      </c>
      <c r="B5955" t="s">
        <v>7847</v>
      </c>
      <c r="C5955" t="str">
        <f>HYPERLINK("https://nematode.unl.edu/mecreek56.jpg")</f>
        <v>https://nematode.unl.edu/mecreek56.jpg</v>
      </c>
      <c r="D5955" t="s">
        <v>43</v>
      </c>
      <c r="G5955" t="s">
        <v>34</v>
      </c>
      <c r="H5955" t="s">
        <v>18</v>
      </c>
      <c r="I5955" t="s">
        <v>41</v>
      </c>
      <c r="M5955" t="s">
        <v>1233</v>
      </c>
      <c r="N5955" t="s">
        <v>1233</v>
      </c>
      <c r="O5955" t="s">
        <v>23</v>
      </c>
      <c r="P5955" t="s">
        <v>24</v>
      </c>
      <c r="Q5955" t="s">
        <v>642</v>
      </c>
      <c r="R5955" t="s">
        <v>1214</v>
      </c>
    </row>
    <row r="5956" spans="1:18" x14ac:dyDescent="0.25">
      <c r="A5956" t="s">
        <v>14647</v>
      </c>
      <c r="B5956" t="s">
        <v>7848</v>
      </c>
      <c r="C5956" t="str">
        <f>HYPERLINK("https://nematode.unl.edu/mecreek57.jpg")</f>
        <v>https://nematode.unl.edu/mecreek57.jpg</v>
      </c>
      <c r="D5956" t="s">
        <v>43</v>
      </c>
      <c r="G5956" t="s">
        <v>28</v>
      </c>
      <c r="I5956" t="s">
        <v>41</v>
      </c>
      <c r="M5956" t="s">
        <v>1233</v>
      </c>
      <c r="N5956" t="s">
        <v>1233</v>
      </c>
      <c r="O5956" t="s">
        <v>23</v>
      </c>
      <c r="P5956" t="s">
        <v>24</v>
      </c>
      <c r="Q5956" t="s">
        <v>642</v>
      </c>
      <c r="R5956" t="s">
        <v>1214</v>
      </c>
    </row>
    <row r="5957" spans="1:18" x14ac:dyDescent="0.25">
      <c r="A5957" t="s">
        <v>14474</v>
      </c>
      <c r="B5957" t="s">
        <v>7849</v>
      </c>
      <c r="C5957" t="str">
        <f>HYPERLINK("https://nematode.unl.edu/mecreek58.jpg")</f>
        <v>https://nematode.unl.edu/mecreek58.jpg</v>
      </c>
      <c r="D5957" t="s">
        <v>16</v>
      </c>
      <c r="G5957" t="s">
        <v>44</v>
      </c>
      <c r="I5957" t="s">
        <v>516</v>
      </c>
      <c r="J5957" t="s">
        <v>6089</v>
      </c>
      <c r="L5957" t="s">
        <v>7533</v>
      </c>
      <c r="M5957" t="s">
        <v>1233</v>
      </c>
      <c r="N5957" t="s">
        <v>1233</v>
      </c>
      <c r="O5957" t="s">
        <v>23</v>
      </c>
      <c r="P5957" t="s">
        <v>24</v>
      </c>
      <c r="Q5957" t="s">
        <v>642</v>
      </c>
      <c r="R5957" t="s">
        <v>1214</v>
      </c>
    </row>
    <row r="5958" spans="1:18" x14ac:dyDescent="0.25">
      <c r="A5958" t="s">
        <v>14320</v>
      </c>
      <c r="B5958" t="s">
        <v>7850</v>
      </c>
      <c r="C5958" t="str">
        <f>HYPERLINK("https://nematode.unl.edu/mecreek59.jpg")</f>
        <v>https://nematode.unl.edu/mecreek59.jpg</v>
      </c>
      <c r="G5958" t="s">
        <v>34</v>
      </c>
      <c r="H5958" t="s">
        <v>18</v>
      </c>
      <c r="I5958" t="s">
        <v>41</v>
      </c>
      <c r="M5958" t="s">
        <v>1233</v>
      </c>
      <c r="N5958" t="s">
        <v>1233</v>
      </c>
      <c r="O5958" t="s">
        <v>23</v>
      </c>
      <c r="P5958" t="s">
        <v>24</v>
      </c>
      <c r="Q5958" t="s">
        <v>642</v>
      </c>
      <c r="R5958" t="s">
        <v>1214</v>
      </c>
    </row>
    <row r="5959" spans="1:18" x14ac:dyDescent="0.25">
      <c r="A5959" t="s">
        <v>14321</v>
      </c>
      <c r="B5959" t="s">
        <v>7851</v>
      </c>
      <c r="C5959" t="str">
        <f>HYPERLINK("https://nematode.unl.edu/mecreek6.jpg")</f>
        <v>https://nematode.unl.edu/mecreek6.jpg</v>
      </c>
      <c r="D5959" t="s">
        <v>43</v>
      </c>
      <c r="G5959" t="s">
        <v>34</v>
      </c>
      <c r="H5959" t="s">
        <v>18</v>
      </c>
      <c r="I5959" t="s">
        <v>41</v>
      </c>
      <c r="M5959" t="s">
        <v>1233</v>
      </c>
      <c r="N5959" t="s">
        <v>1233</v>
      </c>
      <c r="O5959" t="s">
        <v>23</v>
      </c>
      <c r="P5959" t="s">
        <v>24</v>
      </c>
      <c r="Q5959" t="s">
        <v>642</v>
      </c>
      <c r="R5959" t="s">
        <v>1214</v>
      </c>
    </row>
    <row r="5960" spans="1:18" x14ac:dyDescent="0.25">
      <c r="A5960" t="s">
        <v>14648</v>
      </c>
      <c r="B5960" t="s">
        <v>7852</v>
      </c>
      <c r="C5960" t="str">
        <f>HYPERLINK("https://nematode.unl.edu/mecreek60.jpg")</f>
        <v>https://nematode.unl.edu/mecreek60.jpg</v>
      </c>
      <c r="D5960" t="s">
        <v>16</v>
      </c>
      <c r="G5960" t="s">
        <v>28</v>
      </c>
      <c r="I5960" t="s">
        <v>41</v>
      </c>
      <c r="M5960" t="s">
        <v>1233</v>
      </c>
      <c r="N5960" t="s">
        <v>1233</v>
      </c>
      <c r="O5960" t="s">
        <v>23</v>
      </c>
      <c r="P5960" t="s">
        <v>24</v>
      </c>
      <c r="Q5960" t="s">
        <v>642</v>
      </c>
      <c r="R5960" t="s">
        <v>1214</v>
      </c>
    </row>
    <row r="5961" spans="1:18" x14ac:dyDescent="0.25">
      <c r="A5961" t="s">
        <v>14475</v>
      </c>
      <c r="B5961" t="s">
        <v>7853</v>
      </c>
      <c r="C5961" t="str">
        <f>HYPERLINK("https://nematode.unl.edu/mecreek61.jpg")</f>
        <v>https://nematode.unl.edu/mecreek61.jpg</v>
      </c>
      <c r="D5961" t="s">
        <v>16</v>
      </c>
      <c r="G5961" t="s">
        <v>44</v>
      </c>
      <c r="I5961" t="s">
        <v>19</v>
      </c>
      <c r="J5961" t="s">
        <v>6089</v>
      </c>
      <c r="M5961" t="s">
        <v>1233</v>
      </c>
      <c r="N5961" t="s">
        <v>1233</v>
      </c>
      <c r="O5961" t="s">
        <v>23</v>
      </c>
      <c r="P5961" t="s">
        <v>24</v>
      </c>
      <c r="Q5961" t="s">
        <v>642</v>
      </c>
      <c r="R5961" t="s">
        <v>1214</v>
      </c>
    </row>
    <row r="5962" spans="1:18" x14ac:dyDescent="0.25">
      <c r="A5962" t="s">
        <v>14322</v>
      </c>
      <c r="B5962" t="s">
        <v>7854</v>
      </c>
      <c r="C5962" t="str">
        <f>HYPERLINK("https://nematode.unl.edu/mecreek62.jpg")</f>
        <v>https://nematode.unl.edu/mecreek62.jpg</v>
      </c>
      <c r="D5962" t="s">
        <v>16</v>
      </c>
      <c r="G5962" t="s">
        <v>34</v>
      </c>
      <c r="H5962" t="s">
        <v>18</v>
      </c>
      <c r="I5962" t="s">
        <v>41</v>
      </c>
      <c r="M5962" t="s">
        <v>1233</v>
      </c>
      <c r="N5962" t="s">
        <v>1233</v>
      </c>
      <c r="O5962" t="s">
        <v>23</v>
      </c>
      <c r="P5962" t="s">
        <v>24</v>
      </c>
      <c r="Q5962" t="s">
        <v>642</v>
      </c>
      <c r="R5962" t="s">
        <v>1214</v>
      </c>
    </row>
    <row r="5963" spans="1:18" x14ac:dyDescent="0.25">
      <c r="A5963" t="s">
        <v>14323</v>
      </c>
      <c r="B5963" t="s">
        <v>7855</v>
      </c>
      <c r="C5963" t="str">
        <f>HYPERLINK("https://nematode.unl.edu/mecreek63.jpg")</f>
        <v>https://nematode.unl.edu/mecreek63.jpg</v>
      </c>
      <c r="D5963" t="s">
        <v>16</v>
      </c>
      <c r="G5963" t="s">
        <v>34</v>
      </c>
      <c r="H5963" t="s">
        <v>18</v>
      </c>
      <c r="I5963" t="s">
        <v>41</v>
      </c>
      <c r="M5963" t="s">
        <v>1233</v>
      </c>
      <c r="N5963" t="s">
        <v>1233</v>
      </c>
      <c r="O5963" t="s">
        <v>23</v>
      </c>
      <c r="P5963" t="s">
        <v>24</v>
      </c>
      <c r="Q5963" t="s">
        <v>642</v>
      </c>
      <c r="R5963" t="s">
        <v>1214</v>
      </c>
    </row>
    <row r="5964" spans="1:18" x14ac:dyDescent="0.25">
      <c r="A5964" t="s">
        <v>14649</v>
      </c>
      <c r="B5964" t="s">
        <v>7856</v>
      </c>
      <c r="C5964" t="str">
        <f>HYPERLINK("https://nematode.unl.edu/mecreek64.jpg")</f>
        <v>https://nematode.unl.edu/mecreek64.jpg</v>
      </c>
      <c r="D5964" t="s">
        <v>16</v>
      </c>
      <c r="G5964" t="s">
        <v>28</v>
      </c>
      <c r="I5964" t="s">
        <v>41</v>
      </c>
      <c r="M5964" t="s">
        <v>1233</v>
      </c>
      <c r="N5964" t="s">
        <v>1233</v>
      </c>
      <c r="O5964" t="s">
        <v>23</v>
      </c>
      <c r="P5964" t="s">
        <v>24</v>
      </c>
      <c r="Q5964" t="s">
        <v>642</v>
      </c>
      <c r="R5964" t="s">
        <v>1214</v>
      </c>
    </row>
    <row r="5965" spans="1:18" x14ac:dyDescent="0.25">
      <c r="A5965" t="s">
        <v>14476</v>
      </c>
      <c r="B5965" t="s">
        <v>7857</v>
      </c>
      <c r="C5965" t="str">
        <f>HYPERLINK("https://nematode.unl.edu/mecreek65.jpg")</f>
        <v>https://nematode.unl.edu/mecreek65.jpg</v>
      </c>
      <c r="D5965" t="s">
        <v>16</v>
      </c>
      <c r="G5965" t="s">
        <v>44</v>
      </c>
      <c r="I5965" t="s">
        <v>41</v>
      </c>
      <c r="M5965" t="s">
        <v>1233</v>
      </c>
      <c r="N5965" t="s">
        <v>1233</v>
      </c>
      <c r="O5965" t="s">
        <v>23</v>
      </c>
      <c r="P5965" t="s">
        <v>24</v>
      </c>
      <c r="Q5965" t="s">
        <v>642</v>
      </c>
      <c r="R5965" t="s">
        <v>1214</v>
      </c>
    </row>
    <row r="5966" spans="1:18" x14ac:dyDescent="0.25">
      <c r="A5966" t="s">
        <v>14477</v>
      </c>
      <c r="B5966" t="s">
        <v>7858</v>
      </c>
      <c r="C5966" t="str">
        <f>HYPERLINK("https://nematode.unl.edu/mecreek66.jpg")</f>
        <v>https://nematode.unl.edu/mecreek66.jpg</v>
      </c>
      <c r="D5966" t="s">
        <v>43</v>
      </c>
      <c r="G5966" t="s">
        <v>44</v>
      </c>
      <c r="I5966" t="s">
        <v>19</v>
      </c>
      <c r="J5966" t="s">
        <v>6089</v>
      </c>
      <c r="L5966" t="s">
        <v>7859</v>
      </c>
      <c r="M5966" t="s">
        <v>1233</v>
      </c>
      <c r="N5966" t="s">
        <v>1233</v>
      </c>
      <c r="O5966" t="s">
        <v>23</v>
      </c>
      <c r="P5966" t="s">
        <v>24</v>
      </c>
      <c r="Q5966" t="s">
        <v>642</v>
      </c>
      <c r="R5966" t="s">
        <v>1214</v>
      </c>
    </row>
    <row r="5967" spans="1:18" x14ac:dyDescent="0.25">
      <c r="A5967" t="s">
        <v>14379</v>
      </c>
      <c r="B5967" t="s">
        <v>7860</v>
      </c>
      <c r="C5967" t="str">
        <f>HYPERLINK("https://nematode.unl.edu/mecreek67.jpg")</f>
        <v>https://nematode.unl.edu/mecreek67.jpg</v>
      </c>
      <c r="D5967" t="s">
        <v>43</v>
      </c>
      <c r="G5967" t="s">
        <v>259</v>
      </c>
      <c r="H5967" t="s">
        <v>18</v>
      </c>
      <c r="I5967" t="s">
        <v>41</v>
      </c>
      <c r="M5967" t="s">
        <v>1233</v>
      </c>
      <c r="N5967" t="s">
        <v>1233</v>
      </c>
      <c r="O5967" t="s">
        <v>23</v>
      </c>
      <c r="P5967" t="s">
        <v>24</v>
      </c>
      <c r="Q5967" t="s">
        <v>642</v>
      </c>
      <c r="R5967" t="s">
        <v>1214</v>
      </c>
    </row>
    <row r="5968" spans="1:18" x14ac:dyDescent="0.25">
      <c r="A5968" t="s">
        <v>14650</v>
      </c>
      <c r="B5968" t="s">
        <v>7861</v>
      </c>
      <c r="C5968" t="str">
        <f>HYPERLINK("https://nematode.unl.edu/mecreek68.jpg")</f>
        <v>https://nematode.unl.edu/mecreek68.jpg</v>
      </c>
      <c r="D5968" t="s">
        <v>43</v>
      </c>
      <c r="G5968" t="s">
        <v>28</v>
      </c>
      <c r="M5968" t="s">
        <v>1233</v>
      </c>
      <c r="N5968" t="s">
        <v>1233</v>
      </c>
      <c r="O5968" t="s">
        <v>23</v>
      </c>
      <c r="P5968" t="s">
        <v>24</v>
      </c>
      <c r="Q5968" t="s">
        <v>642</v>
      </c>
      <c r="R5968" t="s">
        <v>1214</v>
      </c>
    </row>
    <row r="5969" spans="1:18" x14ac:dyDescent="0.25">
      <c r="A5969" t="s">
        <v>14478</v>
      </c>
      <c r="B5969" t="s">
        <v>7862</v>
      </c>
      <c r="C5969" t="str">
        <f>HYPERLINK("https://nematode.unl.edu/mecreek69.jpg")</f>
        <v>https://nematode.unl.edu/mecreek69.jpg</v>
      </c>
      <c r="D5969" t="s">
        <v>43</v>
      </c>
      <c r="G5969" t="s">
        <v>44</v>
      </c>
      <c r="I5969" t="s">
        <v>516</v>
      </c>
      <c r="J5969" t="s">
        <v>6089</v>
      </c>
      <c r="M5969" t="s">
        <v>1233</v>
      </c>
      <c r="N5969" t="s">
        <v>1233</v>
      </c>
      <c r="O5969" t="s">
        <v>23</v>
      </c>
      <c r="P5969" t="s">
        <v>24</v>
      </c>
      <c r="Q5969" t="s">
        <v>642</v>
      </c>
      <c r="R5969" t="s">
        <v>1214</v>
      </c>
    </row>
    <row r="5970" spans="1:18" x14ac:dyDescent="0.25">
      <c r="A5970" t="s">
        <v>14564</v>
      </c>
      <c r="B5970" t="s">
        <v>7863</v>
      </c>
      <c r="C5970" t="str">
        <f>HYPERLINK("https://nematode.unl.edu/mecreek7.jpg")</f>
        <v>https://nematode.unl.edu/mecreek7.jpg</v>
      </c>
      <c r="G5970" t="s">
        <v>674</v>
      </c>
      <c r="I5970" t="s">
        <v>41</v>
      </c>
      <c r="M5970" t="s">
        <v>1233</v>
      </c>
      <c r="N5970" t="s">
        <v>1233</v>
      </c>
      <c r="O5970" t="s">
        <v>23</v>
      </c>
      <c r="P5970" t="s">
        <v>24</v>
      </c>
      <c r="Q5970" t="s">
        <v>642</v>
      </c>
      <c r="R5970" t="s">
        <v>1214</v>
      </c>
    </row>
    <row r="5971" spans="1:18" x14ac:dyDescent="0.25">
      <c r="A5971" t="s">
        <v>14324</v>
      </c>
      <c r="B5971" t="s">
        <v>7864</v>
      </c>
      <c r="C5971" t="str">
        <f>HYPERLINK("https://nematode.unl.edu/mecreek70.jpg")</f>
        <v>https://nematode.unl.edu/mecreek70.jpg</v>
      </c>
      <c r="D5971" t="s">
        <v>43</v>
      </c>
      <c r="G5971" t="s">
        <v>34</v>
      </c>
      <c r="H5971" t="s">
        <v>18</v>
      </c>
      <c r="M5971" t="s">
        <v>1233</v>
      </c>
      <c r="N5971" t="s">
        <v>1233</v>
      </c>
      <c r="O5971" t="s">
        <v>23</v>
      </c>
      <c r="P5971" t="s">
        <v>24</v>
      </c>
      <c r="Q5971" t="s">
        <v>642</v>
      </c>
      <c r="R5971" t="s">
        <v>1214</v>
      </c>
    </row>
    <row r="5972" spans="1:18" x14ac:dyDescent="0.25">
      <c r="A5972" t="s">
        <v>14651</v>
      </c>
      <c r="B5972" t="s">
        <v>7865</v>
      </c>
      <c r="C5972" t="str">
        <f>HYPERLINK("https://nematode.unl.edu/mecreek71.jpg")</f>
        <v>https://nematode.unl.edu/mecreek71.jpg</v>
      </c>
      <c r="D5972" t="s">
        <v>43</v>
      </c>
      <c r="G5972" t="s">
        <v>28</v>
      </c>
      <c r="I5972" t="s">
        <v>41</v>
      </c>
      <c r="M5972" t="s">
        <v>1233</v>
      </c>
      <c r="N5972" t="s">
        <v>1233</v>
      </c>
      <c r="O5972" t="s">
        <v>23</v>
      </c>
      <c r="P5972" t="s">
        <v>24</v>
      </c>
      <c r="Q5972" t="s">
        <v>642</v>
      </c>
      <c r="R5972" t="s">
        <v>1214</v>
      </c>
    </row>
    <row r="5973" spans="1:18" x14ac:dyDescent="0.25">
      <c r="A5973" t="s">
        <v>14479</v>
      </c>
      <c r="B5973" t="s">
        <v>7866</v>
      </c>
      <c r="C5973" t="str">
        <f>HYPERLINK("https://nematode.unl.edu/mecreek72.jpg")</f>
        <v>https://nematode.unl.edu/mecreek72.jpg</v>
      </c>
      <c r="D5973" t="s">
        <v>16</v>
      </c>
      <c r="G5973" t="s">
        <v>44</v>
      </c>
      <c r="I5973" t="s">
        <v>19</v>
      </c>
      <c r="J5973" t="s">
        <v>6089</v>
      </c>
      <c r="M5973" t="s">
        <v>1233</v>
      </c>
      <c r="N5973" t="s">
        <v>1233</v>
      </c>
      <c r="O5973" t="s">
        <v>23</v>
      </c>
      <c r="P5973" t="s">
        <v>24</v>
      </c>
      <c r="Q5973" t="s">
        <v>642</v>
      </c>
      <c r="R5973" t="s">
        <v>1214</v>
      </c>
    </row>
    <row r="5974" spans="1:18" x14ac:dyDescent="0.25">
      <c r="A5974" t="s">
        <v>14325</v>
      </c>
      <c r="B5974" t="s">
        <v>7867</v>
      </c>
      <c r="C5974" t="str">
        <f>HYPERLINK("https://nematode.unl.edu/mecreek73.jpg")</f>
        <v>https://nematode.unl.edu/mecreek73.jpg</v>
      </c>
      <c r="D5974" t="s">
        <v>16</v>
      </c>
      <c r="G5974" t="s">
        <v>34</v>
      </c>
      <c r="H5974" t="s">
        <v>18</v>
      </c>
      <c r="I5974" t="s">
        <v>529</v>
      </c>
      <c r="J5974" t="s">
        <v>6089</v>
      </c>
      <c r="M5974" t="s">
        <v>1233</v>
      </c>
      <c r="N5974" t="s">
        <v>1233</v>
      </c>
      <c r="O5974" t="s">
        <v>23</v>
      </c>
      <c r="P5974" t="s">
        <v>24</v>
      </c>
      <c r="Q5974" t="s">
        <v>642</v>
      </c>
      <c r="R5974" t="s">
        <v>1214</v>
      </c>
    </row>
    <row r="5975" spans="1:18" x14ac:dyDescent="0.25">
      <c r="A5975" t="s">
        <v>14652</v>
      </c>
      <c r="B5975" t="s">
        <v>7868</v>
      </c>
      <c r="C5975" t="str">
        <f>HYPERLINK("https://nematode.unl.edu/mecreek74.jpg")</f>
        <v>https://nematode.unl.edu/mecreek74.jpg</v>
      </c>
      <c r="D5975" t="s">
        <v>16</v>
      </c>
      <c r="G5975" t="s">
        <v>28</v>
      </c>
      <c r="I5975" t="s">
        <v>41</v>
      </c>
      <c r="M5975" t="s">
        <v>1233</v>
      </c>
      <c r="N5975" t="s">
        <v>1233</v>
      </c>
      <c r="O5975" t="s">
        <v>23</v>
      </c>
      <c r="P5975" t="s">
        <v>24</v>
      </c>
      <c r="Q5975" t="s">
        <v>642</v>
      </c>
      <c r="R5975" t="s">
        <v>1214</v>
      </c>
    </row>
    <row r="5976" spans="1:18" x14ac:dyDescent="0.25">
      <c r="A5976" t="s">
        <v>14480</v>
      </c>
      <c r="B5976" t="s">
        <v>7869</v>
      </c>
      <c r="C5976" t="str">
        <f>HYPERLINK("https://nematode.unl.edu/mecreek77.jpg")</f>
        <v>https://nematode.unl.edu/mecreek77.jpg</v>
      </c>
      <c r="D5976" t="s">
        <v>43</v>
      </c>
      <c r="G5976" t="s">
        <v>44</v>
      </c>
      <c r="I5976" t="s">
        <v>19</v>
      </c>
      <c r="J5976" t="s">
        <v>6089</v>
      </c>
      <c r="L5976" t="s">
        <v>516</v>
      </c>
      <c r="M5976" t="s">
        <v>1233</v>
      </c>
      <c r="N5976" t="s">
        <v>1233</v>
      </c>
      <c r="O5976" t="s">
        <v>23</v>
      </c>
      <c r="P5976" t="s">
        <v>24</v>
      </c>
      <c r="Q5976" t="s">
        <v>642</v>
      </c>
      <c r="R5976" t="s">
        <v>1214</v>
      </c>
    </row>
    <row r="5977" spans="1:18" x14ac:dyDescent="0.25">
      <c r="A5977" t="s">
        <v>14326</v>
      </c>
      <c r="B5977" t="s">
        <v>7870</v>
      </c>
      <c r="C5977" t="str">
        <f>HYPERLINK("https://nematode.unl.edu/mecreek78.jpg")</f>
        <v>https://nematode.unl.edu/mecreek78.jpg</v>
      </c>
      <c r="D5977" t="s">
        <v>43</v>
      </c>
      <c r="G5977" t="s">
        <v>34</v>
      </c>
      <c r="H5977" t="s">
        <v>18</v>
      </c>
      <c r="I5977" t="s">
        <v>41</v>
      </c>
      <c r="M5977" t="s">
        <v>1233</v>
      </c>
      <c r="N5977" t="s">
        <v>1233</v>
      </c>
      <c r="O5977" t="s">
        <v>23</v>
      </c>
      <c r="P5977" t="s">
        <v>24</v>
      </c>
      <c r="Q5977" t="s">
        <v>642</v>
      </c>
      <c r="R5977" t="s">
        <v>1214</v>
      </c>
    </row>
    <row r="5978" spans="1:18" x14ac:dyDescent="0.25">
      <c r="A5978" t="s">
        <v>14653</v>
      </c>
      <c r="B5978" t="s">
        <v>7871</v>
      </c>
      <c r="C5978" t="str">
        <f>HYPERLINK("https://nematode.unl.edu/mecreek79.jpg")</f>
        <v>https://nematode.unl.edu/mecreek79.jpg</v>
      </c>
      <c r="D5978" t="s">
        <v>43</v>
      </c>
      <c r="G5978" t="s">
        <v>28</v>
      </c>
      <c r="I5978" t="s">
        <v>41</v>
      </c>
      <c r="M5978" t="s">
        <v>1233</v>
      </c>
      <c r="N5978" t="s">
        <v>1233</v>
      </c>
      <c r="O5978" t="s">
        <v>23</v>
      </c>
      <c r="P5978" t="s">
        <v>24</v>
      </c>
      <c r="Q5978" t="s">
        <v>642</v>
      </c>
      <c r="R5978" t="s">
        <v>1214</v>
      </c>
    </row>
    <row r="5979" spans="1:18" x14ac:dyDescent="0.25">
      <c r="A5979" t="s">
        <v>14654</v>
      </c>
      <c r="B5979" t="s">
        <v>7872</v>
      </c>
      <c r="C5979" t="str">
        <f>HYPERLINK("https://nematode.unl.edu/mecreek8.jpg")</f>
        <v>https://nematode.unl.edu/mecreek8.jpg</v>
      </c>
      <c r="D5979" t="s">
        <v>43</v>
      </c>
      <c r="G5979" t="s">
        <v>28</v>
      </c>
      <c r="I5979" t="s">
        <v>41</v>
      </c>
      <c r="M5979" t="s">
        <v>1233</v>
      </c>
      <c r="N5979" t="s">
        <v>1233</v>
      </c>
      <c r="O5979" t="s">
        <v>23</v>
      </c>
      <c r="P5979" t="s">
        <v>24</v>
      </c>
      <c r="Q5979" t="s">
        <v>642</v>
      </c>
      <c r="R5979" t="s">
        <v>1214</v>
      </c>
    </row>
    <row r="5980" spans="1:18" x14ac:dyDescent="0.25">
      <c r="A5980" t="s">
        <v>14717</v>
      </c>
      <c r="B5980" t="s">
        <v>7873</v>
      </c>
      <c r="C5980" t="str">
        <f>HYPERLINK("https://nematode.unl.edu/mecreek80.jpg")</f>
        <v>https://nematode.unl.edu/mecreek80.jpg</v>
      </c>
      <c r="D5980" t="s">
        <v>43</v>
      </c>
      <c r="G5980" t="s">
        <v>51</v>
      </c>
      <c r="I5980" t="s">
        <v>41</v>
      </c>
      <c r="M5980" t="s">
        <v>1233</v>
      </c>
      <c r="N5980" t="s">
        <v>1233</v>
      </c>
      <c r="O5980" t="s">
        <v>23</v>
      </c>
      <c r="P5980" t="s">
        <v>24</v>
      </c>
      <c r="Q5980" t="s">
        <v>642</v>
      </c>
      <c r="R5980" t="s">
        <v>1214</v>
      </c>
    </row>
    <row r="5981" spans="1:18" x14ac:dyDescent="0.25">
      <c r="A5981" t="s">
        <v>14481</v>
      </c>
      <c r="B5981" t="s">
        <v>7874</v>
      </c>
      <c r="C5981" t="str">
        <f>HYPERLINK("https://nematode.unl.edu/mecreek81.jpg")</f>
        <v>https://nematode.unl.edu/mecreek81.jpg</v>
      </c>
      <c r="D5981" t="s">
        <v>16</v>
      </c>
      <c r="G5981" t="s">
        <v>44</v>
      </c>
      <c r="I5981" t="s">
        <v>19</v>
      </c>
      <c r="J5981" t="s">
        <v>6089</v>
      </c>
      <c r="L5981" t="s">
        <v>516</v>
      </c>
      <c r="M5981" t="s">
        <v>1233</v>
      </c>
      <c r="N5981" t="s">
        <v>1233</v>
      </c>
      <c r="O5981" t="s">
        <v>23</v>
      </c>
      <c r="P5981" t="s">
        <v>24</v>
      </c>
      <c r="Q5981" t="s">
        <v>642</v>
      </c>
      <c r="R5981" t="s">
        <v>1214</v>
      </c>
    </row>
    <row r="5982" spans="1:18" x14ac:dyDescent="0.25">
      <c r="A5982" t="s">
        <v>14327</v>
      </c>
      <c r="B5982" t="s">
        <v>7875</v>
      </c>
      <c r="C5982" t="str">
        <f>HYPERLINK("https://nematode.unl.edu/mecreek82.jpg")</f>
        <v>https://nematode.unl.edu/mecreek82.jpg</v>
      </c>
      <c r="D5982" t="s">
        <v>16</v>
      </c>
      <c r="G5982" t="s">
        <v>34</v>
      </c>
      <c r="H5982" t="s">
        <v>18</v>
      </c>
      <c r="I5982" t="s">
        <v>41</v>
      </c>
      <c r="M5982" t="s">
        <v>1233</v>
      </c>
      <c r="N5982" t="s">
        <v>1233</v>
      </c>
      <c r="O5982" t="s">
        <v>23</v>
      </c>
      <c r="P5982" t="s">
        <v>24</v>
      </c>
      <c r="Q5982" t="s">
        <v>642</v>
      </c>
      <c r="R5982" t="s">
        <v>1214</v>
      </c>
    </row>
    <row r="5983" spans="1:18" x14ac:dyDescent="0.25">
      <c r="A5983" t="s">
        <v>14655</v>
      </c>
      <c r="B5983" t="s">
        <v>7876</v>
      </c>
      <c r="C5983" t="str">
        <f>HYPERLINK("https://nematode.unl.edu/mecreek83.jpg")</f>
        <v>https://nematode.unl.edu/mecreek83.jpg</v>
      </c>
      <c r="D5983" t="s">
        <v>16</v>
      </c>
      <c r="G5983" t="s">
        <v>28</v>
      </c>
      <c r="I5983" t="s">
        <v>41</v>
      </c>
      <c r="M5983" t="s">
        <v>1233</v>
      </c>
      <c r="N5983" t="s">
        <v>1233</v>
      </c>
      <c r="O5983" t="s">
        <v>23</v>
      </c>
      <c r="P5983" t="s">
        <v>24</v>
      </c>
      <c r="Q5983" t="s">
        <v>642</v>
      </c>
      <c r="R5983" t="s">
        <v>1214</v>
      </c>
    </row>
    <row r="5984" spans="1:18" x14ac:dyDescent="0.25">
      <c r="A5984" t="s">
        <v>14482</v>
      </c>
      <c r="B5984" t="s">
        <v>7877</v>
      </c>
      <c r="C5984" t="str">
        <f>HYPERLINK("https://nematode.unl.edu/mecreek84.jpg")</f>
        <v>https://nematode.unl.edu/mecreek84.jpg</v>
      </c>
      <c r="D5984" t="s">
        <v>16</v>
      </c>
      <c r="G5984" t="s">
        <v>44</v>
      </c>
      <c r="I5984" t="s">
        <v>41</v>
      </c>
      <c r="M5984" t="s">
        <v>1233</v>
      </c>
      <c r="N5984" t="s">
        <v>1233</v>
      </c>
      <c r="O5984" t="s">
        <v>23</v>
      </c>
      <c r="P5984" t="s">
        <v>24</v>
      </c>
      <c r="Q5984" t="s">
        <v>642</v>
      </c>
      <c r="R5984" t="s">
        <v>1214</v>
      </c>
    </row>
    <row r="5985" spans="1:18" x14ac:dyDescent="0.25">
      <c r="A5985" t="s">
        <v>14483</v>
      </c>
      <c r="B5985" t="s">
        <v>7878</v>
      </c>
      <c r="C5985" t="str">
        <f>HYPERLINK("https://nematode.unl.edu/mecreek85.jpg")</f>
        <v>https://nematode.unl.edu/mecreek85.jpg</v>
      </c>
      <c r="D5985" t="s">
        <v>16</v>
      </c>
      <c r="G5985" t="s">
        <v>44</v>
      </c>
      <c r="I5985" t="s">
        <v>19</v>
      </c>
      <c r="J5985" t="s">
        <v>6089</v>
      </c>
      <c r="L5985" t="s">
        <v>19</v>
      </c>
      <c r="M5985" t="s">
        <v>1233</v>
      </c>
      <c r="N5985" t="s">
        <v>1233</v>
      </c>
      <c r="O5985" t="s">
        <v>23</v>
      </c>
      <c r="P5985" t="s">
        <v>24</v>
      </c>
      <c r="Q5985" t="s">
        <v>642</v>
      </c>
      <c r="R5985" t="s">
        <v>1214</v>
      </c>
    </row>
    <row r="5986" spans="1:18" x14ac:dyDescent="0.25">
      <c r="A5986" t="s">
        <v>14328</v>
      </c>
      <c r="B5986" t="s">
        <v>7879</v>
      </c>
      <c r="C5986" t="str">
        <f>HYPERLINK("https://nematode.unl.edu/mecreek86.jpg")</f>
        <v>https://nematode.unl.edu/mecreek86.jpg</v>
      </c>
      <c r="D5986" t="s">
        <v>16</v>
      </c>
      <c r="G5986" t="s">
        <v>34</v>
      </c>
      <c r="H5986" t="s">
        <v>18</v>
      </c>
      <c r="I5986" t="s">
        <v>41</v>
      </c>
      <c r="M5986" t="s">
        <v>1233</v>
      </c>
      <c r="N5986" t="s">
        <v>1233</v>
      </c>
      <c r="O5986" t="s">
        <v>23</v>
      </c>
      <c r="P5986" t="s">
        <v>24</v>
      </c>
      <c r="Q5986" t="s">
        <v>642</v>
      </c>
      <c r="R5986" t="s">
        <v>1214</v>
      </c>
    </row>
    <row r="5987" spans="1:18" x14ac:dyDescent="0.25">
      <c r="A5987" t="s">
        <v>14656</v>
      </c>
      <c r="B5987" t="s">
        <v>7880</v>
      </c>
      <c r="C5987" t="str">
        <f>HYPERLINK("https://nematode.unl.edu/mecreek87.jpg")</f>
        <v>https://nematode.unl.edu/mecreek87.jpg</v>
      </c>
      <c r="D5987" t="s">
        <v>16</v>
      </c>
      <c r="G5987" t="s">
        <v>28</v>
      </c>
      <c r="I5987" t="s">
        <v>41</v>
      </c>
      <c r="M5987" t="s">
        <v>1233</v>
      </c>
      <c r="N5987" t="s">
        <v>1233</v>
      </c>
      <c r="O5987" t="s">
        <v>23</v>
      </c>
      <c r="P5987" t="s">
        <v>24</v>
      </c>
      <c r="Q5987" t="s">
        <v>642</v>
      </c>
      <c r="R5987" t="s">
        <v>1214</v>
      </c>
    </row>
    <row r="5988" spans="1:18" x14ac:dyDescent="0.25">
      <c r="A5988" t="s">
        <v>14657</v>
      </c>
      <c r="B5988" t="s">
        <v>7881</v>
      </c>
      <c r="C5988" t="str">
        <f>HYPERLINK("https://nematode.unl.edu/mecreek88.jpg")</f>
        <v>https://nematode.unl.edu/mecreek88.jpg</v>
      </c>
      <c r="D5988" t="s">
        <v>16</v>
      </c>
      <c r="G5988" t="s">
        <v>28</v>
      </c>
      <c r="I5988" t="s">
        <v>41</v>
      </c>
      <c r="M5988" t="s">
        <v>1233</v>
      </c>
      <c r="N5988" t="s">
        <v>1233</v>
      </c>
      <c r="O5988" t="s">
        <v>23</v>
      </c>
      <c r="P5988" t="s">
        <v>24</v>
      </c>
      <c r="Q5988" t="s">
        <v>642</v>
      </c>
      <c r="R5988" t="s">
        <v>1214</v>
      </c>
    </row>
    <row r="5989" spans="1:18" x14ac:dyDescent="0.25">
      <c r="A5989" t="s">
        <v>14484</v>
      </c>
      <c r="B5989" t="s">
        <v>7882</v>
      </c>
      <c r="C5989" t="str">
        <f>HYPERLINK("https://nematode.unl.edu/mecreek89.jpg")</f>
        <v>https://nematode.unl.edu/mecreek89.jpg</v>
      </c>
      <c r="D5989" t="s">
        <v>43</v>
      </c>
      <c r="G5989" t="s">
        <v>44</v>
      </c>
      <c r="I5989" t="s">
        <v>19</v>
      </c>
      <c r="J5989" t="s">
        <v>6089</v>
      </c>
      <c r="L5989" t="s">
        <v>19</v>
      </c>
      <c r="M5989" t="s">
        <v>1233</v>
      </c>
      <c r="N5989" t="s">
        <v>1233</v>
      </c>
      <c r="O5989" t="s">
        <v>23</v>
      </c>
      <c r="P5989" t="s">
        <v>24</v>
      </c>
      <c r="Q5989" t="s">
        <v>642</v>
      </c>
      <c r="R5989" t="s">
        <v>1214</v>
      </c>
    </row>
    <row r="5990" spans="1:18" x14ac:dyDescent="0.25">
      <c r="A5990" t="s">
        <v>14658</v>
      </c>
      <c r="B5990" t="s">
        <v>7883</v>
      </c>
      <c r="C5990" t="str">
        <f>HYPERLINK("https://nematode.unl.edu/mecreek9.jpg")</f>
        <v>https://nematode.unl.edu/mecreek9.jpg</v>
      </c>
      <c r="D5990" t="s">
        <v>43</v>
      </c>
      <c r="G5990" t="s">
        <v>28</v>
      </c>
      <c r="I5990" t="s">
        <v>41</v>
      </c>
      <c r="M5990" t="s">
        <v>1233</v>
      </c>
      <c r="N5990" t="s">
        <v>1233</v>
      </c>
      <c r="O5990" t="s">
        <v>23</v>
      </c>
      <c r="P5990" t="s">
        <v>24</v>
      </c>
      <c r="Q5990" t="s">
        <v>642</v>
      </c>
      <c r="R5990" t="s">
        <v>1214</v>
      </c>
    </row>
    <row r="5991" spans="1:18" x14ac:dyDescent="0.25">
      <c r="A5991" t="s">
        <v>14329</v>
      </c>
      <c r="B5991" t="s">
        <v>7884</v>
      </c>
      <c r="C5991" t="str">
        <f>HYPERLINK("https://nematode.unl.edu/mecreek90.jpg")</f>
        <v>https://nematode.unl.edu/mecreek90.jpg</v>
      </c>
      <c r="D5991" t="s">
        <v>43</v>
      </c>
      <c r="G5991" t="s">
        <v>34</v>
      </c>
      <c r="H5991" t="s">
        <v>18</v>
      </c>
      <c r="I5991" t="s">
        <v>41</v>
      </c>
      <c r="M5991" t="s">
        <v>1233</v>
      </c>
      <c r="N5991" t="s">
        <v>1233</v>
      </c>
      <c r="O5991" t="s">
        <v>23</v>
      </c>
      <c r="P5991" t="s">
        <v>24</v>
      </c>
      <c r="Q5991" t="s">
        <v>642</v>
      </c>
      <c r="R5991" t="s">
        <v>1214</v>
      </c>
    </row>
    <row r="5992" spans="1:18" x14ac:dyDescent="0.25">
      <c r="A5992" t="s">
        <v>14659</v>
      </c>
      <c r="B5992" t="s">
        <v>7885</v>
      </c>
      <c r="C5992" t="str">
        <f>HYPERLINK("https://nematode.unl.edu/mecreek91.jpg")</f>
        <v>https://nematode.unl.edu/mecreek91.jpg</v>
      </c>
      <c r="D5992" t="s">
        <v>43</v>
      </c>
      <c r="G5992" t="s">
        <v>28</v>
      </c>
      <c r="I5992" t="s">
        <v>41</v>
      </c>
      <c r="M5992" t="s">
        <v>1233</v>
      </c>
      <c r="N5992" t="s">
        <v>1233</v>
      </c>
      <c r="O5992" t="s">
        <v>23</v>
      </c>
      <c r="P5992" t="s">
        <v>24</v>
      </c>
      <c r="Q5992" t="s">
        <v>642</v>
      </c>
      <c r="R5992" t="s">
        <v>1214</v>
      </c>
    </row>
    <row r="5993" spans="1:18" x14ac:dyDescent="0.25">
      <c r="A5993" t="s">
        <v>14485</v>
      </c>
      <c r="B5993" t="s">
        <v>7886</v>
      </c>
      <c r="C5993" t="str">
        <f>HYPERLINK("https://nematode.unl.edu/mecrei1.jpg")</f>
        <v>https://nematode.unl.edu/mecrei1.jpg</v>
      </c>
      <c r="D5993" t="s">
        <v>43</v>
      </c>
      <c r="G5993" t="s">
        <v>44</v>
      </c>
      <c r="I5993" t="s">
        <v>19</v>
      </c>
      <c r="J5993" t="s">
        <v>7887</v>
      </c>
      <c r="M5993" t="s">
        <v>1233</v>
      </c>
      <c r="N5993" t="s">
        <v>1233</v>
      </c>
      <c r="O5993" t="s">
        <v>23</v>
      </c>
      <c r="P5993" t="s">
        <v>24</v>
      </c>
      <c r="Q5993" t="s">
        <v>642</v>
      </c>
      <c r="R5993" t="s">
        <v>1214</v>
      </c>
    </row>
    <row r="5994" spans="1:18" x14ac:dyDescent="0.25">
      <c r="A5994" t="s">
        <v>14330</v>
      </c>
      <c r="B5994" t="s">
        <v>7888</v>
      </c>
      <c r="C5994" t="str">
        <f>HYPERLINK("https://nematode.unl.edu/mecrei2.jpg")</f>
        <v>https://nematode.unl.edu/mecrei2.jpg</v>
      </c>
      <c r="D5994" t="s">
        <v>43</v>
      </c>
      <c r="G5994" t="s">
        <v>34</v>
      </c>
      <c r="H5994" t="s">
        <v>18</v>
      </c>
      <c r="M5994" t="s">
        <v>1233</v>
      </c>
      <c r="N5994" t="s">
        <v>1233</v>
      </c>
      <c r="O5994" t="s">
        <v>23</v>
      </c>
      <c r="P5994" t="s">
        <v>24</v>
      </c>
      <c r="Q5994" t="s">
        <v>642</v>
      </c>
      <c r="R5994" t="s">
        <v>1214</v>
      </c>
    </row>
    <row r="5995" spans="1:18" x14ac:dyDescent="0.25">
      <c r="A5995" t="s">
        <v>14660</v>
      </c>
      <c r="B5995" t="s">
        <v>7889</v>
      </c>
      <c r="C5995" t="str">
        <f>HYPERLINK("https://nematode.unl.edu/mecrei3.jpg")</f>
        <v>https://nematode.unl.edu/mecrei3.jpg</v>
      </c>
      <c r="D5995" t="s">
        <v>43</v>
      </c>
      <c r="G5995" t="s">
        <v>28</v>
      </c>
      <c r="M5995" t="s">
        <v>1233</v>
      </c>
      <c r="N5995" t="s">
        <v>1233</v>
      </c>
      <c r="O5995" t="s">
        <v>23</v>
      </c>
      <c r="P5995" t="s">
        <v>24</v>
      </c>
      <c r="Q5995" t="s">
        <v>642</v>
      </c>
      <c r="R5995" t="s">
        <v>1214</v>
      </c>
    </row>
    <row r="5996" spans="1:18" x14ac:dyDescent="0.25">
      <c r="A5996" t="s">
        <v>14486</v>
      </c>
      <c r="B5996" t="s">
        <v>7890</v>
      </c>
      <c r="C5996" t="str">
        <f>HYPERLINK("https://nematode.unl.edu/mecrei4.jpg")</f>
        <v>https://nematode.unl.edu/mecrei4.jpg</v>
      </c>
      <c r="D5996" t="s">
        <v>43</v>
      </c>
      <c r="G5996" t="s">
        <v>44</v>
      </c>
      <c r="I5996" t="s">
        <v>19</v>
      </c>
      <c r="J5996" t="s">
        <v>7887</v>
      </c>
      <c r="M5996" t="s">
        <v>1233</v>
      </c>
      <c r="N5996" t="s">
        <v>1233</v>
      </c>
      <c r="O5996" t="s">
        <v>23</v>
      </c>
      <c r="P5996" t="s">
        <v>24</v>
      </c>
      <c r="Q5996" t="s">
        <v>642</v>
      </c>
      <c r="R5996" t="s">
        <v>1214</v>
      </c>
    </row>
    <row r="5997" spans="1:18" x14ac:dyDescent="0.25">
      <c r="A5997" t="s">
        <v>14331</v>
      </c>
      <c r="B5997" t="s">
        <v>7891</v>
      </c>
      <c r="C5997" t="str">
        <f>HYPERLINK("https://nematode.unl.edu/mecrei5.jpg")</f>
        <v>https://nematode.unl.edu/mecrei5.jpg</v>
      </c>
      <c r="D5997" t="s">
        <v>43</v>
      </c>
      <c r="G5997" t="s">
        <v>34</v>
      </c>
      <c r="H5997" t="s">
        <v>18</v>
      </c>
      <c r="I5997" t="s">
        <v>41</v>
      </c>
      <c r="M5997" t="s">
        <v>1233</v>
      </c>
      <c r="N5997" t="s">
        <v>1233</v>
      </c>
      <c r="O5997" t="s">
        <v>23</v>
      </c>
      <c r="P5997" t="s">
        <v>24</v>
      </c>
      <c r="Q5997" t="s">
        <v>642</v>
      </c>
      <c r="R5997" t="s">
        <v>1214</v>
      </c>
    </row>
    <row r="5998" spans="1:18" x14ac:dyDescent="0.25">
      <c r="A5998" t="s">
        <v>14565</v>
      </c>
      <c r="B5998" t="s">
        <v>7892</v>
      </c>
      <c r="C5998" t="str">
        <f>HYPERLINK("https://nematode.unl.edu/mecrei6.jpg")</f>
        <v>https://nematode.unl.edu/mecrei6.jpg</v>
      </c>
      <c r="G5998" t="s">
        <v>674</v>
      </c>
      <c r="I5998" t="s">
        <v>41</v>
      </c>
      <c r="M5998" t="s">
        <v>1233</v>
      </c>
      <c r="N5998" t="s">
        <v>1233</v>
      </c>
      <c r="O5998" t="s">
        <v>23</v>
      </c>
      <c r="P5998" t="s">
        <v>24</v>
      </c>
      <c r="Q5998" t="s">
        <v>642</v>
      </c>
      <c r="R5998" t="s">
        <v>1214</v>
      </c>
    </row>
    <row r="5999" spans="1:18" x14ac:dyDescent="0.25">
      <c r="A5999" t="s">
        <v>14718</v>
      </c>
      <c r="B5999" t="s">
        <v>7893</v>
      </c>
      <c r="C5999" t="str">
        <f>HYPERLINK("https://nematode.unl.edu/mecrei7.jpg")</f>
        <v>https://nematode.unl.edu/mecrei7.jpg</v>
      </c>
      <c r="D5999" t="s">
        <v>43</v>
      </c>
      <c r="G5999" t="s">
        <v>51</v>
      </c>
      <c r="I5999" t="s">
        <v>41</v>
      </c>
      <c r="M5999" t="s">
        <v>1233</v>
      </c>
      <c r="N5999" t="s">
        <v>1233</v>
      </c>
      <c r="O5999" t="s">
        <v>23</v>
      </c>
      <c r="P5999" t="s">
        <v>24</v>
      </c>
      <c r="Q5999" t="s">
        <v>642</v>
      </c>
      <c r="R5999" t="s">
        <v>1214</v>
      </c>
    </row>
    <row r="6000" spans="1:18" x14ac:dyDescent="0.25">
      <c r="A6000" t="s">
        <v>14487</v>
      </c>
      <c r="B6000" t="s">
        <v>7894</v>
      </c>
      <c r="C6000" t="str">
        <f>HYPERLINK("https://nematode.unl.edu/mecroth1.jpg")</f>
        <v>https://nematode.unl.edu/mecroth1.jpg</v>
      </c>
      <c r="D6000" t="s">
        <v>43</v>
      </c>
      <c r="G6000" t="s">
        <v>44</v>
      </c>
      <c r="I6000" t="s">
        <v>19</v>
      </c>
      <c r="J6000" t="s">
        <v>1249</v>
      </c>
      <c r="L6000" t="s">
        <v>6949</v>
      </c>
      <c r="M6000" t="s">
        <v>1233</v>
      </c>
      <c r="N6000" t="s">
        <v>1233</v>
      </c>
      <c r="O6000" t="s">
        <v>23</v>
      </c>
      <c r="P6000" t="s">
        <v>24</v>
      </c>
      <c r="Q6000" t="s">
        <v>642</v>
      </c>
      <c r="R6000" t="s">
        <v>1214</v>
      </c>
    </row>
    <row r="6001" spans="1:18" x14ac:dyDescent="0.25">
      <c r="A6001" t="s">
        <v>14546</v>
      </c>
      <c r="B6001" t="s">
        <v>7895</v>
      </c>
      <c r="C6001" t="str">
        <f>HYPERLINK("https://nematode.unl.edu/mecroth10.jpg")</f>
        <v>https://nematode.unl.edu/mecroth10.jpg</v>
      </c>
      <c r="D6001" t="s">
        <v>43</v>
      </c>
      <c r="G6001" t="s">
        <v>7004</v>
      </c>
      <c r="I6001" t="s">
        <v>529</v>
      </c>
      <c r="J6001" t="s">
        <v>1249</v>
      </c>
      <c r="M6001" t="s">
        <v>1233</v>
      </c>
      <c r="N6001" t="s">
        <v>1233</v>
      </c>
      <c r="O6001" t="s">
        <v>23</v>
      </c>
      <c r="P6001" t="s">
        <v>24</v>
      </c>
      <c r="Q6001" t="s">
        <v>642</v>
      </c>
      <c r="R6001" t="s">
        <v>1214</v>
      </c>
    </row>
    <row r="6002" spans="1:18" x14ac:dyDescent="0.25">
      <c r="A6002" t="s">
        <v>14719</v>
      </c>
      <c r="B6002" t="s">
        <v>7896</v>
      </c>
      <c r="C6002" t="str">
        <f>HYPERLINK("https://nematode.unl.edu/mecroth11.jpg")</f>
        <v>https://nematode.unl.edu/mecroth11.jpg</v>
      </c>
      <c r="D6002" t="s">
        <v>43</v>
      </c>
      <c r="G6002" t="s">
        <v>51</v>
      </c>
      <c r="M6002" t="s">
        <v>1233</v>
      </c>
      <c r="N6002" t="s">
        <v>1233</v>
      </c>
      <c r="O6002" t="s">
        <v>23</v>
      </c>
      <c r="P6002" t="s">
        <v>24</v>
      </c>
      <c r="Q6002" t="s">
        <v>642</v>
      </c>
      <c r="R6002" t="s">
        <v>1214</v>
      </c>
    </row>
    <row r="6003" spans="1:18" x14ac:dyDescent="0.25">
      <c r="A6003" t="s">
        <v>14488</v>
      </c>
      <c r="B6003" t="s">
        <v>7897</v>
      </c>
      <c r="C6003" t="str">
        <f>HYPERLINK("https://nematode.unl.edu/mecroth12.jpg")</f>
        <v>https://nematode.unl.edu/mecroth12.jpg</v>
      </c>
      <c r="D6003" t="s">
        <v>43</v>
      </c>
      <c r="G6003" t="s">
        <v>44</v>
      </c>
      <c r="I6003" t="s">
        <v>19</v>
      </c>
      <c r="J6003" t="s">
        <v>1249</v>
      </c>
      <c r="M6003" t="s">
        <v>1233</v>
      </c>
      <c r="N6003" t="s">
        <v>1233</v>
      </c>
      <c r="O6003" t="s">
        <v>23</v>
      </c>
      <c r="P6003" t="s">
        <v>24</v>
      </c>
      <c r="Q6003" t="s">
        <v>642</v>
      </c>
      <c r="R6003" t="s">
        <v>1214</v>
      </c>
    </row>
    <row r="6004" spans="1:18" x14ac:dyDescent="0.25">
      <c r="A6004" t="s">
        <v>14332</v>
      </c>
      <c r="B6004" t="s">
        <v>7898</v>
      </c>
      <c r="C6004" t="str">
        <f>HYPERLINK("https://nematode.unl.edu/mecroth13.jpg")</f>
        <v>https://nematode.unl.edu/mecroth13.jpg</v>
      </c>
      <c r="D6004" t="s">
        <v>43</v>
      </c>
      <c r="G6004" t="s">
        <v>34</v>
      </c>
      <c r="H6004" t="s">
        <v>18</v>
      </c>
      <c r="I6004" t="s">
        <v>41</v>
      </c>
      <c r="M6004" t="s">
        <v>1233</v>
      </c>
      <c r="N6004" t="s">
        <v>1233</v>
      </c>
      <c r="O6004" t="s">
        <v>23</v>
      </c>
      <c r="P6004" t="s">
        <v>24</v>
      </c>
      <c r="Q6004" t="s">
        <v>642</v>
      </c>
      <c r="R6004" t="s">
        <v>1214</v>
      </c>
    </row>
    <row r="6005" spans="1:18" x14ac:dyDescent="0.25">
      <c r="A6005" t="s">
        <v>14661</v>
      </c>
      <c r="B6005" t="s">
        <v>7899</v>
      </c>
      <c r="C6005" t="str">
        <f>HYPERLINK("https://nematode.unl.edu/mecroth14.jpg")</f>
        <v>https://nematode.unl.edu/mecroth14.jpg</v>
      </c>
      <c r="D6005" t="s">
        <v>43</v>
      </c>
      <c r="G6005" t="s">
        <v>28</v>
      </c>
      <c r="I6005" t="s">
        <v>41</v>
      </c>
      <c r="M6005" t="s">
        <v>1233</v>
      </c>
      <c r="N6005" t="s">
        <v>1233</v>
      </c>
      <c r="O6005" t="s">
        <v>23</v>
      </c>
      <c r="P6005" t="s">
        <v>24</v>
      </c>
      <c r="Q6005" t="s">
        <v>642</v>
      </c>
      <c r="R6005" t="s">
        <v>1214</v>
      </c>
    </row>
    <row r="6006" spans="1:18" x14ac:dyDescent="0.25">
      <c r="A6006" t="s">
        <v>14383</v>
      </c>
      <c r="B6006" t="s">
        <v>7900</v>
      </c>
      <c r="C6006" t="str">
        <f>HYPERLINK("https://nematode.unl.edu/mecroth15.jpg")</f>
        <v>https://nematode.unl.edu/mecroth15.jpg</v>
      </c>
      <c r="D6006" t="s">
        <v>43</v>
      </c>
      <c r="G6006" t="s">
        <v>3942</v>
      </c>
      <c r="I6006" t="s">
        <v>41</v>
      </c>
      <c r="J6006" t="s">
        <v>1249</v>
      </c>
      <c r="M6006" t="s">
        <v>1233</v>
      </c>
      <c r="N6006" t="s">
        <v>1233</v>
      </c>
      <c r="O6006" t="s">
        <v>23</v>
      </c>
      <c r="P6006" t="s">
        <v>24</v>
      </c>
      <c r="Q6006" t="s">
        <v>642</v>
      </c>
      <c r="R6006" t="s">
        <v>1214</v>
      </c>
    </row>
    <row r="6007" spans="1:18" x14ac:dyDescent="0.25">
      <c r="A6007" t="s">
        <v>14720</v>
      </c>
      <c r="B6007" t="s">
        <v>7901</v>
      </c>
      <c r="C6007" t="str">
        <f>HYPERLINK("https://nematode.unl.edu/mecroth16.jpg")</f>
        <v>https://nematode.unl.edu/mecroth16.jpg</v>
      </c>
      <c r="D6007" t="s">
        <v>43</v>
      </c>
      <c r="G6007" t="s">
        <v>51</v>
      </c>
      <c r="I6007" t="s">
        <v>41</v>
      </c>
      <c r="M6007" t="s">
        <v>1233</v>
      </c>
      <c r="N6007" t="s">
        <v>1233</v>
      </c>
      <c r="O6007" t="s">
        <v>23</v>
      </c>
      <c r="P6007" t="s">
        <v>24</v>
      </c>
      <c r="Q6007" t="s">
        <v>642</v>
      </c>
      <c r="R6007" t="s">
        <v>1214</v>
      </c>
    </row>
    <row r="6008" spans="1:18" x14ac:dyDescent="0.25">
      <c r="A6008" t="s">
        <v>14333</v>
      </c>
      <c r="B6008" t="s">
        <v>7902</v>
      </c>
      <c r="C6008" t="str">
        <f>HYPERLINK("https://nematode.unl.edu/mecroth17.jpg")</f>
        <v>https://nematode.unl.edu/mecroth17.jpg</v>
      </c>
      <c r="D6008" t="s">
        <v>16</v>
      </c>
      <c r="G6008" t="s">
        <v>34</v>
      </c>
      <c r="H6008" t="s">
        <v>18</v>
      </c>
      <c r="M6008" t="s">
        <v>1233</v>
      </c>
      <c r="N6008" t="s">
        <v>1233</v>
      </c>
      <c r="O6008" t="s">
        <v>23</v>
      </c>
      <c r="P6008" t="s">
        <v>24</v>
      </c>
      <c r="Q6008" t="s">
        <v>642</v>
      </c>
      <c r="R6008" t="s">
        <v>1214</v>
      </c>
    </row>
    <row r="6009" spans="1:18" x14ac:dyDescent="0.25">
      <c r="A6009" t="s">
        <v>14662</v>
      </c>
      <c r="B6009" t="s">
        <v>7903</v>
      </c>
      <c r="C6009" t="str">
        <f>HYPERLINK("https://nematode.unl.edu/mecroth18.jpg")</f>
        <v>https://nematode.unl.edu/mecroth18.jpg</v>
      </c>
      <c r="D6009" t="s">
        <v>16</v>
      </c>
      <c r="G6009" t="s">
        <v>28</v>
      </c>
      <c r="I6009" t="s">
        <v>41</v>
      </c>
      <c r="M6009" t="s">
        <v>1233</v>
      </c>
      <c r="N6009" t="s">
        <v>1233</v>
      </c>
      <c r="O6009" t="s">
        <v>23</v>
      </c>
      <c r="P6009" t="s">
        <v>24</v>
      </c>
      <c r="Q6009" t="s">
        <v>642</v>
      </c>
      <c r="R6009" t="s">
        <v>1214</v>
      </c>
    </row>
    <row r="6010" spans="1:18" x14ac:dyDescent="0.25">
      <c r="A6010" t="s">
        <v>14537</v>
      </c>
      <c r="B6010" t="s">
        <v>7904</v>
      </c>
      <c r="C6010" t="str">
        <f>HYPERLINK("https://nematode.unl.edu/mecroth19.jpg")</f>
        <v>https://nematode.unl.edu/mecroth19.jpg</v>
      </c>
      <c r="D6010" t="s">
        <v>16</v>
      </c>
      <c r="G6010" t="s">
        <v>224</v>
      </c>
      <c r="M6010" t="s">
        <v>1233</v>
      </c>
      <c r="N6010" t="s">
        <v>1233</v>
      </c>
      <c r="O6010" t="s">
        <v>23</v>
      </c>
      <c r="P6010" t="s">
        <v>24</v>
      </c>
      <c r="Q6010" t="s">
        <v>642</v>
      </c>
      <c r="R6010" t="s">
        <v>1214</v>
      </c>
    </row>
    <row r="6011" spans="1:18" x14ac:dyDescent="0.25">
      <c r="A6011" t="s">
        <v>14334</v>
      </c>
      <c r="B6011" t="s">
        <v>7905</v>
      </c>
      <c r="C6011" t="str">
        <f>HYPERLINK("https://nematode.unl.edu/mecroth2.jpg")</f>
        <v>https://nematode.unl.edu/mecroth2.jpg</v>
      </c>
      <c r="D6011" t="s">
        <v>43</v>
      </c>
      <c r="G6011" t="s">
        <v>34</v>
      </c>
      <c r="H6011" t="s">
        <v>18</v>
      </c>
      <c r="I6011" t="s">
        <v>41</v>
      </c>
      <c r="M6011" t="s">
        <v>1233</v>
      </c>
      <c r="N6011" t="s">
        <v>1233</v>
      </c>
      <c r="O6011" t="s">
        <v>23</v>
      </c>
      <c r="P6011" t="s">
        <v>24</v>
      </c>
      <c r="Q6011" t="s">
        <v>642</v>
      </c>
      <c r="R6011" t="s">
        <v>1214</v>
      </c>
    </row>
    <row r="6012" spans="1:18" x14ac:dyDescent="0.25">
      <c r="A6012" t="s">
        <v>14335</v>
      </c>
      <c r="B6012" t="s">
        <v>7906</v>
      </c>
      <c r="C6012" t="str">
        <f>HYPERLINK("https://nematode.unl.edu/mecroth3.jpg")</f>
        <v>https://nematode.unl.edu/mecroth3.jpg</v>
      </c>
      <c r="D6012" t="s">
        <v>43</v>
      </c>
      <c r="G6012" t="s">
        <v>34</v>
      </c>
      <c r="H6012" t="s">
        <v>18</v>
      </c>
      <c r="I6012" t="s">
        <v>41</v>
      </c>
      <c r="M6012" t="s">
        <v>1233</v>
      </c>
      <c r="N6012" t="s">
        <v>1233</v>
      </c>
      <c r="O6012" t="s">
        <v>23</v>
      </c>
      <c r="P6012" t="s">
        <v>24</v>
      </c>
      <c r="Q6012" t="s">
        <v>642</v>
      </c>
      <c r="R6012" t="s">
        <v>1214</v>
      </c>
    </row>
    <row r="6013" spans="1:18" x14ac:dyDescent="0.25">
      <c r="A6013" t="s">
        <v>14489</v>
      </c>
      <c r="B6013" t="s">
        <v>7907</v>
      </c>
      <c r="C6013" t="str">
        <f>HYPERLINK("https://nematode.unl.edu/mecroth4.jpg")</f>
        <v>https://nematode.unl.edu/mecroth4.jpg</v>
      </c>
      <c r="D6013" t="s">
        <v>43</v>
      </c>
      <c r="G6013" t="s">
        <v>44</v>
      </c>
      <c r="I6013" t="s">
        <v>41</v>
      </c>
      <c r="M6013" t="s">
        <v>1233</v>
      </c>
      <c r="N6013" t="s">
        <v>1233</v>
      </c>
      <c r="O6013" t="s">
        <v>23</v>
      </c>
      <c r="P6013" t="s">
        <v>24</v>
      </c>
      <c r="Q6013" t="s">
        <v>642</v>
      </c>
      <c r="R6013" t="s">
        <v>1214</v>
      </c>
    </row>
    <row r="6014" spans="1:18" x14ac:dyDescent="0.25">
      <c r="A6014" t="s">
        <v>14663</v>
      </c>
      <c r="B6014" t="s">
        <v>7908</v>
      </c>
      <c r="C6014" t="str">
        <f>HYPERLINK("https://nematode.unl.edu/mecroth5.jpg")</f>
        <v>https://nematode.unl.edu/mecroth5.jpg</v>
      </c>
      <c r="D6014" t="s">
        <v>43</v>
      </c>
      <c r="G6014" t="s">
        <v>28</v>
      </c>
      <c r="I6014" t="s">
        <v>41</v>
      </c>
      <c r="M6014" t="s">
        <v>1233</v>
      </c>
      <c r="N6014" t="s">
        <v>1233</v>
      </c>
      <c r="O6014" t="s">
        <v>23</v>
      </c>
      <c r="P6014" t="s">
        <v>24</v>
      </c>
      <c r="Q6014" t="s">
        <v>642</v>
      </c>
      <c r="R6014" t="s">
        <v>1214</v>
      </c>
    </row>
    <row r="6015" spans="1:18" x14ac:dyDescent="0.25">
      <c r="A6015" t="s">
        <v>14721</v>
      </c>
      <c r="B6015" t="s">
        <v>7909</v>
      </c>
      <c r="C6015" t="str">
        <f>HYPERLINK("https://nematode.unl.edu/mecroth6.jpg")</f>
        <v>https://nematode.unl.edu/mecroth6.jpg</v>
      </c>
      <c r="D6015" t="s">
        <v>43</v>
      </c>
      <c r="G6015" t="s">
        <v>51</v>
      </c>
      <c r="I6015" t="s">
        <v>41</v>
      </c>
      <c r="M6015" t="s">
        <v>1233</v>
      </c>
      <c r="N6015" t="s">
        <v>1233</v>
      </c>
      <c r="O6015" t="s">
        <v>23</v>
      </c>
      <c r="P6015" t="s">
        <v>24</v>
      </c>
      <c r="Q6015" t="s">
        <v>642</v>
      </c>
      <c r="R6015" t="s">
        <v>1214</v>
      </c>
    </row>
    <row r="6016" spans="1:18" x14ac:dyDescent="0.25">
      <c r="A6016" t="s">
        <v>14490</v>
      </c>
      <c r="B6016" t="s">
        <v>7910</v>
      </c>
      <c r="C6016" t="str">
        <f>HYPERLINK("https://nematode.unl.edu/mecroth7.jpg")</f>
        <v>https://nematode.unl.edu/mecroth7.jpg</v>
      </c>
      <c r="D6016" t="s">
        <v>43</v>
      </c>
      <c r="G6016" t="s">
        <v>44</v>
      </c>
      <c r="I6016" t="s">
        <v>516</v>
      </c>
      <c r="J6016" t="s">
        <v>1249</v>
      </c>
      <c r="M6016" t="s">
        <v>1233</v>
      </c>
      <c r="N6016" t="s">
        <v>1233</v>
      </c>
      <c r="O6016" t="s">
        <v>23</v>
      </c>
      <c r="P6016" t="s">
        <v>24</v>
      </c>
      <c r="Q6016" t="s">
        <v>642</v>
      </c>
      <c r="R6016" t="s">
        <v>1214</v>
      </c>
    </row>
    <row r="6017" spans="1:18" x14ac:dyDescent="0.25">
      <c r="A6017" t="s">
        <v>14336</v>
      </c>
      <c r="B6017" t="s">
        <v>7911</v>
      </c>
      <c r="C6017" t="str">
        <f>HYPERLINK("https://nematode.unl.edu/mecroth8.jpg")</f>
        <v>https://nematode.unl.edu/mecroth8.jpg</v>
      </c>
      <c r="D6017" t="s">
        <v>43</v>
      </c>
      <c r="G6017" t="s">
        <v>34</v>
      </c>
      <c r="H6017" t="s">
        <v>18</v>
      </c>
      <c r="M6017" t="s">
        <v>1233</v>
      </c>
      <c r="N6017" t="s">
        <v>1233</v>
      </c>
      <c r="O6017" t="s">
        <v>23</v>
      </c>
      <c r="P6017" t="s">
        <v>24</v>
      </c>
      <c r="Q6017" t="s">
        <v>642</v>
      </c>
      <c r="R6017" t="s">
        <v>1214</v>
      </c>
    </row>
    <row r="6018" spans="1:18" x14ac:dyDescent="0.25">
      <c r="A6018" t="s">
        <v>14664</v>
      </c>
      <c r="B6018" t="s">
        <v>7912</v>
      </c>
      <c r="C6018" t="str">
        <f>HYPERLINK("https://nematode.unl.edu/mecroth9.jpg")</f>
        <v>https://nematode.unl.edu/mecroth9.jpg</v>
      </c>
      <c r="D6018" t="s">
        <v>43</v>
      </c>
      <c r="G6018" t="s">
        <v>28</v>
      </c>
      <c r="I6018" t="s">
        <v>41</v>
      </c>
      <c r="M6018" t="s">
        <v>1233</v>
      </c>
      <c r="N6018" t="s">
        <v>1233</v>
      </c>
      <c r="O6018" t="s">
        <v>23</v>
      </c>
      <c r="P6018" t="s">
        <v>24</v>
      </c>
      <c r="Q6018" t="s">
        <v>642</v>
      </c>
      <c r="R6018" t="s">
        <v>1214</v>
      </c>
    </row>
    <row r="6019" spans="1:18" x14ac:dyDescent="0.25">
      <c r="A6019" t="s">
        <v>14491</v>
      </c>
      <c r="B6019" t="s">
        <v>7913</v>
      </c>
      <c r="C6019" t="str">
        <f>HYPERLINK("https://nematode.unl.edu/mecudoo1.jpg")</f>
        <v>https://nematode.unl.edu/mecudoo1.jpg</v>
      </c>
      <c r="D6019" t="s">
        <v>43</v>
      </c>
      <c r="G6019" t="s">
        <v>44</v>
      </c>
      <c r="I6019" t="s">
        <v>19</v>
      </c>
      <c r="J6019" t="s">
        <v>6265</v>
      </c>
      <c r="M6019" t="s">
        <v>1233</v>
      </c>
      <c r="N6019" t="s">
        <v>1233</v>
      </c>
      <c r="O6019" t="s">
        <v>23</v>
      </c>
      <c r="P6019" t="s">
        <v>24</v>
      </c>
      <c r="Q6019" t="s">
        <v>642</v>
      </c>
      <c r="R6019" t="s">
        <v>1214</v>
      </c>
    </row>
    <row r="6020" spans="1:18" x14ac:dyDescent="0.25">
      <c r="A6020" t="s">
        <v>14722</v>
      </c>
      <c r="B6020" t="s">
        <v>7914</v>
      </c>
      <c r="C6020" t="str">
        <f>HYPERLINK("https://nematode.unl.edu/mecudoo10.jpg")</f>
        <v>https://nematode.unl.edu/mecudoo10.jpg</v>
      </c>
      <c r="D6020" t="s">
        <v>43</v>
      </c>
      <c r="G6020" t="s">
        <v>51</v>
      </c>
      <c r="I6020" t="s">
        <v>41</v>
      </c>
      <c r="M6020" t="s">
        <v>1233</v>
      </c>
      <c r="N6020" t="s">
        <v>1233</v>
      </c>
      <c r="O6020" t="s">
        <v>23</v>
      </c>
      <c r="P6020" t="s">
        <v>24</v>
      </c>
      <c r="Q6020" t="s">
        <v>642</v>
      </c>
      <c r="R6020" t="s">
        <v>1214</v>
      </c>
    </row>
    <row r="6021" spans="1:18" x14ac:dyDescent="0.25">
      <c r="A6021" t="s">
        <v>14492</v>
      </c>
      <c r="B6021" t="s">
        <v>7915</v>
      </c>
      <c r="C6021" t="str">
        <f>HYPERLINK("https://nematode.unl.edu/mecudoo11.jpg")</f>
        <v>https://nematode.unl.edu/mecudoo11.jpg</v>
      </c>
      <c r="D6021" t="s">
        <v>16</v>
      </c>
      <c r="G6021" t="s">
        <v>44</v>
      </c>
      <c r="I6021" t="s">
        <v>19</v>
      </c>
      <c r="J6021" t="s">
        <v>6265</v>
      </c>
      <c r="M6021" t="s">
        <v>1233</v>
      </c>
      <c r="N6021" t="s">
        <v>1233</v>
      </c>
      <c r="O6021" t="s">
        <v>23</v>
      </c>
      <c r="P6021" t="s">
        <v>24</v>
      </c>
      <c r="Q6021" t="s">
        <v>642</v>
      </c>
      <c r="R6021" t="s">
        <v>1214</v>
      </c>
    </row>
    <row r="6022" spans="1:18" x14ac:dyDescent="0.25">
      <c r="A6022" t="s">
        <v>14337</v>
      </c>
      <c r="B6022" t="s">
        <v>7916</v>
      </c>
      <c r="C6022" t="str">
        <f>HYPERLINK("https://nematode.unl.edu/mecudoo12.jpg")</f>
        <v>https://nematode.unl.edu/mecudoo12.jpg</v>
      </c>
      <c r="D6022" t="s">
        <v>16</v>
      </c>
      <c r="G6022" t="s">
        <v>34</v>
      </c>
      <c r="H6022" t="s">
        <v>18</v>
      </c>
      <c r="M6022" t="s">
        <v>1233</v>
      </c>
      <c r="N6022" t="s">
        <v>1233</v>
      </c>
      <c r="O6022" t="s">
        <v>23</v>
      </c>
      <c r="P6022" t="s">
        <v>24</v>
      </c>
      <c r="Q6022" t="s">
        <v>642</v>
      </c>
      <c r="R6022" t="s">
        <v>1214</v>
      </c>
    </row>
    <row r="6023" spans="1:18" x14ac:dyDescent="0.25">
      <c r="A6023" t="s">
        <v>14665</v>
      </c>
      <c r="B6023" t="s">
        <v>7917</v>
      </c>
      <c r="C6023" t="str">
        <f>HYPERLINK("https://nematode.unl.edu/mecudoo13.jpg")</f>
        <v>https://nematode.unl.edu/mecudoo13.jpg</v>
      </c>
      <c r="D6023" t="s">
        <v>16</v>
      </c>
      <c r="G6023" t="s">
        <v>28</v>
      </c>
      <c r="I6023" t="s">
        <v>41</v>
      </c>
      <c r="M6023" t="s">
        <v>1233</v>
      </c>
      <c r="N6023" t="s">
        <v>1233</v>
      </c>
      <c r="O6023" t="s">
        <v>23</v>
      </c>
      <c r="P6023" t="s">
        <v>24</v>
      </c>
      <c r="Q6023" t="s">
        <v>642</v>
      </c>
      <c r="R6023" t="s">
        <v>1214</v>
      </c>
    </row>
    <row r="6024" spans="1:18" x14ac:dyDescent="0.25">
      <c r="A6024" t="s">
        <v>14666</v>
      </c>
      <c r="B6024" t="s">
        <v>7918</v>
      </c>
      <c r="C6024" t="str">
        <f>HYPERLINK("https://nematode.unl.edu/mecudoo14.jpg")</f>
        <v>https://nematode.unl.edu/mecudoo14.jpg</v>
      </c>
      <c r="D6024" t="s">
        <v>16</v>
      </c>
      <c r="G6024" t="s">
        <v>28</v>
      </c>
      <c r="I6024" t="s">
        <v>41</v>
      </c>
      <c r="M6024" t="s">
        <v>1233</v>
      </c>
      <c r="N6024" t="s">
        <v>1233</v>
      </c>
      <c r="O6024" t="s">
        <v>23</v>
      </c>
      <c r="P6024" t="s">
        <v>24</v>
      </c>
      <c r="Q6024" t="s">
        <v>642</v>
      </c>
      <c r="R6024" t="s">
        <v>1214</v>
      </c>
    </row>
    <row r="6025" spans="1:18" x14ac:dyDescent="0.25">
      <c r="A6025" t="s">
        <v>14493</v>
      </c>
      <c r="B6025" t="s">
        <v>7919</v>
      </c>
      <c r="C6025" t="str">
        <f>HYPERLINK("https://nematode.unl.edu/mecudoo15.jpg")</f>
        <v>https://nematode.unl.edu/mecudoo15.jpg</v>
      </c>
      <c r="D6025" t="s">
        <v>16</v>
      </c>
      <c r="G6025" t="s">
        <v>44</v>
      </c>
      <c r="I6025" t="s">
        <v>41</v>
      </c>
      <c r="M6025" t="s">
        <v>1233</v>
      </c>
      <c r="N6025" t="s">
        <v>1233</v>
      </c>
      <c r="O6025" t="s">
        <v>23</v>
      </c>
      <c r="P6025" t="s">
        <v>24</v>
      </c>
      <c r="Q6025" t="s">
        <v>642</v>
      </c>
      <c r="R6025" t="s">
        <v>1214</v>
      </c>
    </row>
    <row r="6026" spans="1:18" x14ac:dyDescent="0.25">
      <c r="A6026" t="s">
        <v>14494</v>
      </c>
      <c r="B6026" t="s">
        <v>7920</v>
      </c>
      <c r="C6026" t="str">
        <f>HYPERLINK("https://nematode.unl.edu/mecudoo16.jpg")</f>
        <v>https://nematode.unl.edu/mecudoo16.jpg</v>
      </c>
      <c r="D6026" t="s">
        <v>43</v>
      </c>
      <c r="G6026" t="s">
        <v>44</v>
      </c>
      <c r="I6026" t="s">
        <v>19</v>
      </c>
      <c r="J6026" t="s">
        <v>6265</v>
      </c>
      <c r="M6026" t="s">
        <v>1233</v>
      </c>
      <c r="N6026" t="s">
        <v>1233</v>
      </c>
      <c r="O6026" t="s">
        <v>23</v>
      </c>
      <c r="P6026" t="s">
        <v>24</v>
      </c>
      <c r="Q6026" t="s">
        <v>642</v>
      </c>
      <c r="R6026" t="s">
        <v>1214</v>
      </c>
    </row>
    <row r="6027" spans="1:18" x14ac:dyDescent="0.25">
      <c r="A6027" t="s">
        <v>14338</v>
      </c>
      <c r="B6027" t="s">
        <v>7921</v>
      </c>
      <c r="C6027" t="str">
        <f>HYPERLINK("https://nematode.unl.edu/mecudoo17.jpg")</f>
        <v>https://nematode.unl.edu/mecudoo17.jpg</v>
      </c>
      <c r="D6027" t="s">
        <v>43</v>
      </c>
      <c r="G6027" t="s">
        <v>34</v>
      </c>
      <c r="H6027" t="s">
        <v>18</v>
      </c>
      <c r="I6027" t="s">
        <v>41</v>
      </c>
      <c r="M6027" t="s">
        <v>1233</v>
      </c>
      <c r="N6027" t="s">
        <v>1233</v>
      </c>
      <c r="O6027" t="s">
        <v>23</v>
      </c>
      <c r="P6027" t="s">
        <v>24</v>
      </c>
      <c r="Q6027" t="s">
        <v>642</v>
      </c>
      <c r="R6027" t="s">
        <v>1214</v>
      </c>
    </row>
    <row r="6028" spans="1:18" x14ac:dyDescent="0.25">
      <c r="A6028" t="s">
        <v>14667</v>
      </c>
      <c r="B6028" t="s">
        <v>7922</v>
      </c>
      <c r="C6028" t="str">
        <f>HYPERLINK("https://nematode.unl.edu/mecudoo18.jpg")</f>
        <v>https://nematode.unl.edu/mecudoo18.jpg</v>
      </c>
      <c r="D6028" t="s">
        <v>43</v>
      </c>
      <c r="G6028" t="s">
        <v>28</v>
      </c>
      <c r="M6028" t="s">
        <v>1233</v>
      </c>
      <c r="N6028" t="s">
        <v>1233</v>
      </c>
      <c r="O6028" t="s">
        <v>23</v>
      </c>
      <c r="P6028" t="s">
        <v>24</v>
      </c>
      <c r="Q6028" t="s">
        <v>642</v>
      </c>
      <c r="R6028" t="s">
        <v>1214</v>
      </c>
    </row>
    <row r="6029" spans="1:18" x14ac:dyDescent="0.25">
      <c r="A6029" t="s">
        <v>14495</v>
      </c>
      <c r="B6029" t="s">
        <v>7923</v>
      </c>
      <c r="C6029" t="str">
        <f>HYPERLINK("https://nematode.unl.edu/mecudoo19.jpg")</f>
        <v>https://nematode.unl.edu/mecudoo19.jpg</v>
      </c>
      <c r="D6029" t="s">
        <v>43</v>
      </c>
      <c r="G6029" t="s">
        <v>44</v>
      </c>
      <c r="I6029" t="s">
        <v>19</v>
      </c>
      <c r="J6029" t="s">
        <v>6265</v>
      </c>
      <c r="M6029" t="s">
        <v>1233</v>
      </c>
      <c r="N6029" t="s">
        <v>1233</v>
      </c>
      <c r="O6029" t="s">
        <v>23</v>
      </c>
      <c r="P6029" t="s">
        <v>24</v>
      </c>
      <c r="Q6029" t="s">
        <v>642</v>
      </c>
      <c r="R6029" t="s">
        <v>1214</v>
      </c>
    </row>
    <row r="6030" spans="1:18" x14ac:dyDescent="0.25">
      <c r="A6030" t="s">
        <v>14339</v>
      </c>
      <c r="B6030" t="s">
        <v>7924</v>
      </c>
      <c r="C6030" t="str">
        <f>HYPERLINK("https://nematode.unl.edu/mecudoo2.jpg")</f>
        <v>https://nematode.unl.edu/mecudoo2.jpg</v>
      </c>
      <c r="D6030" t="s">
        <v>43</v>
      </c>
      <c r="G6030" t="s">
        <v>34</v>
      </c>
      <c r="H6030" t="s">
        <v>18</v>
      </c>
      <c r="I6030" t="s">
        <v>41</v>
      </c>
      <c r="M6030" t="s">
        <v>1233</v>
      </c>
      <c r="N6030" t="s">
        <v>1233</v>
      </c>
      <c r="O6030" t="s">
        <v>23</v>
      </c>
      <c r="P6030" t="s">
        <v>24</v>
      </c>
      <c r="Q6030" t="s">
        <v>642</v>
      </c>
      <c r="R6030" t="s">
        <v>1214</v>
      </c>
    </row>
    <row r="6031" spans="1:18" x14ac:dyDescent="0.25">
      <c r="A6031" t="s">
        <v>14340</v>
      </c>
      <c r="B6031" t="s">
        <v>7925</v>
      </c>
      <c r="C6031" t="str">
        <f>HYPERLINK("https://nematode.unl.edu/mecudoo20.jpg")</f>
        <v>https://nematode.unl.edu/mecudoo20.jpg</v>
      </c>
      <c r="D6031" t="s">
        <v>43</v>
      </c>
      <c r="G6031" t="s">
        <v>34</v>
      </c>
      <c r="H6031" t="s">
        <v>18</v>
      </c>
      <c r="I6031" t="s">
        <v>41</v>
      </c>
      <c r="M6031" t="s">
        <v>1233</v>
      </c>
      <c r="N6031" t="s">
        <v>1233</v>
      </c>
      <c r="O6031" t="s">
        <v>23</v>
      </c>
      <c r="P6031" t="s">
        <v>24</v>
      </c>
      <c r="Q6031" t="s">
        <v>642</v>
      </c>
      <c r="R6031" t="s">
        <v>1214</v>
      </c>
    </row>
    <row r="6032" spans="1:18" x14ac:dyDescent="0.25">
      <c r="A6032" t="s">
        <v>14668</v>
      </c>
      <c r="B6032" t="s">
        <v>7926</v>
      </c>
      <c r="C6032" t="str">
        <f>HYPERLINK("https://nematode.unl.edu/mecudoo21.jpg")</f>
        <v>https://nematode.unl.edu/mecudoo21.jpg</v>
      </c>
      <c r="D6032" t="s">
        <v>43</v>
      </c>
      <c r="G6032" t="s">
        <v>28</v>
      </c>
      <c r="I6032" t="s">
        <v>41</v>
      </c>
      <c r="M6032" t="s">
        <v>1233</v>
      </c>
      <c r="N6032" t="s">
        <v>1233</v>
      </c>
      <c r="O6032" t="s">
        <v>23</v>
      </c>
      <c r="P6032" t="s">
        <v>24</v>
      </c>
      <c r="Q6032" t="s">
        <v>642</v>
      </c>
      <c r="R6032" t="s">
        <v>1214</v>
      </c>
    </row>
    <row r="6033" spans="1:18" x14ac:dyDescent="0.25">
      <c r="A6033" t="s">
        <v>14496</v>
      </c>
      <c r="B6033" t="s">
        <v>7927</v>
      </c>
      <c r="C6033" t="str">
        <f>HYPERLINK("https://nematode.unl.edu/mecudoo22.jpg")</f>
        <v>https://nematode.unl.edu/mecudoo22.jpg</v>
      </c>
      <c r="D6033" t="s">
        <v>16</v>
      </c>
      <c r="G6033" t="s">
        <v>44</v>
      </c>
      <c r="I6033" t="s">
        <v>19</v>
      </c>
      <c r="J6033" t="s">
        <v>6265</v>
      </c>
      <c r="M6033" t="s">
        <v>1233</v>
      </c>
      <c r="N6033" t="s">
        <v>1233</v>
      </c>
      <c r="O6033" t="s">
        <v>23</v>
      </c>
      <c r="P6033" t="s">
        <v>24</v>
      </c>
      <c r="Q6033" t="s">
        <v>642</v>
      </c>
      <c r="R6033" t="s">
        <v>1214</v>
      </c>
    </row>
    <row r="6034" spans="1:18" x14ac:dyDescent="0.25">
      <c r="A6034" t="s">
        <v>14341</v>
      </c>
      <c r="B6034" t="s">
        <v>7928</v>
      </c>
      <c r="C6034" t="str">
        <f>HYPERLINK("https://nematode.unl.edu/mecudoo23.jpg")</f>
        <v>https://nematode.unl.edu/mecudoo23.jpg</v>
      </c>
      <c r="D6034" t="s">
        <v>16</v>
      </c>
      <c r="G6034" t="s">
        <v>34</v>
      </c>
      <c r="H6034" t="s">
        <v>18</v>
      </c>
      <c r="I6034" t="s">
        <v>41</v>
      </c>
      <c r="M6034" t="s">
        <v>1233</v>
      </c>
      <c r="N6034" t="s">
        <v>1233</v>
      </c>
      <c r="O6034" t="s">
        <v>23</v>
      </c>
      <c r="P6034" t="s">
        <v>24</v>
      </c>
      <c r="Q6034" t="s">
        <v>642</v>
      </c>
      <c r="R6034" t="s">
        <v>1214</v>
      </c>
    </row>
    <row r="6035" spans="1:18" x14ac:dyDescent="0.25">
      <c r="A6035" t="s">
        <v>14669</v>
      </c>
      <c r="B6035" t="s">
        <v>7929</v>
      </c>
      <c r="C6035" t="str">
        <f>HYPERLINK("https://nematode.unl.edu/mecudoo3.jpg")</f>
        <v>https://nematode.unl.edu/mecudoo3.jpg</v>
      </c>
      <c r="D6035" t="s">
        <v>43</v>
      </c>
      <c r="G6035" t="s">
        <v>28</v>
      </c>
      <c r="I6035" t="s">
        <v>41</v>
      </c>
      <c r="M6035" t="s">
        <v>1233</v>
      </c>
      <c r="N6035" t="s">
        <v>1233</v>
      </c>
      <c r="O6035" t="s">
        <v>23</v>
      </c>
      <c r="P6035" t="s">
        <v>24</v>
      </c>
      <c r="Q6035" t="s">
        <v>642</v>
      </c>
      <c r="R6035" t="s">
        <v>1214</v>
      </c>
    </row>
    <row r="6036" spans="1:18" x14ac:dyDescent="0.25">
      <c r="A6036" t="s">
        <v>14538</v>
      </c>
      <c r="B6036" t="s">
        <v>7930</v>
      </c>
      <c r="C6036" t="str">
        <f>HYPERLINK("https://nematode.unl.edu/mecudoo4.jpg")</f>
        <v>https://nematode.unl.edu/mecudoo4.jpg</v>
      </c>
      <c r="D6036" t="s">
        <v>43</v>
      </c>
      <c r="G6036" t="s">
        <v>224</v>
      </c>
      <c r="M6036" t="s">
        <v>1233</v>
      </c>
      <c r="N6036" t="s">
        <v>1233</v>
      </c>
      <c r="O6036" t="s">
        <v>23</v>
      </c>
      <c r="P6036" t="s">
        <v>24</v>
      </c>
      <c r="Q6036" t="s">
        <v>642</v>
      </c>
      <c r="R6036" t="s">
        <v>1214</v>
      </c>
    </row>
    <row r="6037" spans="1:18" x14ac:dyDescent="0.25">
      <c r="A6037" t="s">
        <v>14497</v>
      </c>
      <c r="B6037" t="s">
        <v>7931</v>
      </c>
      <c r="C6037" t="str">
        <f>HYPERLINK("https://nematode.unl.edu/mecudoo5.jpg")</f>
        <v>https://nematode.unl.edu/mecudoo5.jpg</v>
      </c>
      <c r="D6037" t="s">
        <v>43</v>
      </c>
      <c r="G6037" t="s">
        <v>44</v>
      </c>
      <c r="I6037" t="s">
        <v>19</v>
      </c>
      <c r="J6037" t="s">
        <v>6265</v>
      </c>
      <c r="M6037" t="s">
        <v>1233</v>
      </c>
      <c r="N6037" t="s">
        <v>1233</v>
      </c>
      <c r="O6037" t="s">
        <v>23</v>
      </c>
      <c r="P6037" t="s">
        <v>24</v>
      </c>
      <c r="Q6037" t="s">
        <v>642</v>
      </c>
      <c r="R6037" t="s">
        <v>1214</v>
      </c>
    </row>
    <row r="6038" spans="1:18" x14ac:dyDescent="0.25">
      <c r="A6038" t="s">
        <v>14342</v>
      </c>
      <c r="B6038" t="s">
        <v>7932</v>
      </c>
      <c r="C6038" t="str">
        <f>HYPERLINK("https://nematode.unl.edu/mecudoo6.jpg")</f>
        <v>https://nematode.unl.edu/mecudoo6.jpg</v>
      </c>
      <c r="D6038" t="s">
        <v>43</v>
      </c>
      <c r="G6038" t="s">
        <v>34</v>
      </c>
      <c r="H6038" t="s">
        <v>18</v>
      </c>
      <c r="I6038" t="s">
        <v>41</v>
      </c>
      <c r="M6038" t="s">
        <v>1233</v>
      </c>
      <c r="N6038" t="s">
        <v>1233</v>
      </c>
      <c r="O6038" t="s">
        <v>23</v>
      </c>
      <c r="P6038" t="s">
        <v>24</v>
      </c>
      <c r="Q6038" t="s">
        <v>642</v>
      </c>
      <c r="R6038" t="s">
        <v>1214</v>
      </c>
    </row>
    <row r="6039" spans="1:18" x14ac:dyDescent="0.25">
      <c r="A6039" t="s">
        <v>14539</v>
      </c>
      <c r="B6039" t="s">
        <v>7933</v>
      </c>
      <c r="C6039" t="str">
        <f>HYPERLINK("https://nematode.unl.edu/mecudoo7.jpg")</f>
        <v>https://nematode.unl.edu/mecudoo7.jpg</v>
      </c>
      <c r="D6039" t="s">
        <v>43</v>
      </c>
      <c r="G6039" t="s">
        <v>224</v>
      </c>
      <c r="I6039" t="s">
        <v>41</v>
      </c>
      <c r="M6039" t="s">
        <v>1233</v>
      </c>
      <c r="N6039" t="s">
        <v>1233</v>
      </c>
      <c r="O6039" t="s">
        <v>23</v>
      </c>
      <c r="P6039" t="s">
        <v>24</v>
      </c>
      <c r="Q6039" t="s">
        <v>642</v>
      </c>
      <c r="R6039" t="s">
        <v>1214</v>
      </c>
    </row>
    <row r="6040" spans="1:18" x14ac:dyDescent="0.25">
      <c r="A6040" t="s">
        <v>14670</v>
      </c>
      <c r="B6040" t="s">
        <v>7934</v>
      </c>
      <c r="C6040" t="str">
        <f>HYPERLINK("https://nematode.unl.edu/mecudoo8.jpg")</f>
        <v>https://nematode.unl.edu/mecudoo8.jpg</v>
      </c>
      <c r="D6040" t="s">
        <v>43</v>
      </c>
      <c r="G6040" t="s">
        <v>28</v>
      </c>
      <c r="I6040" t="s">
        <v>41</v>
      </c>
      <c r="M6040" t="s">
        <v>1233</v>
      </c>
      <c r="N6040" t="s">
        <v>1233</v>
      </c>
      <c r="O6040" t="s">
        <v>23</v>
      </c>
      <c r="P6040" t="s">
        <v>24</v>
      </c>
      <c r="Q6040" t="s">
        <v>642</v>
      </c>
      <c r="R6040" t="s">
        <v>1214</v>
      </c>
    </row>
    <row r="6041" spans="1:18" x14ac:dyDescent="0.25">
      <c r="A6041" t="s">
        <v>14723</v>
      </c>
      <c r="B6041" t="s">
        <v>7935</v>
      </c>
      <c r="C6041" t="str">
        <f>HYPERLINK("https://nematode.unl.edu/mecudoo9.jpg")</f>
        <v>https://nematode.unl.edu/mecudoo9.jpg</v>
      </c>
      <c r="D6041" t="s">
        <v>43</v>
      </c>
      <c r="G6041" t="s">
        <v>51</v>
      </c>
      <c r="I6041" t="s">
        <v>41</v>
      </c>
      <c r="M6041" t="s">
        <v>1233</v>
      </c>
      <c r="N6041" t="s">
        <v>1233</v>
      </c>
      <c r="O6041" t="s">
        <v>23</v>
      </c>
      <c r="P6041" t="s">
        <v>24</v>
      </c>
      <c r="Q6041" t="s">
        <v>642</v>
      </c>
      <c r="R6041" t="s">
        <v>1214</v>
      </c>
    </row>
    <row r="6042" spans="1:18" x14ac:dyDescent="0.25">
      <c r="A6042" t="s">
        <v>14498</v>
      </c>
      <c r="B6042" t="s">
        <v>7936</v>
      </c>
      <c r="C6042" t="str">
        <f>HYPERLINK("https://nematode.unl.edu/mecurbe1.jpg")</f>
        <v>https://nematode.unl.edu/mecurbe1.jpg</v>
      </c>
      <c r="D6042" t="s">
        <v>16</v>
      </c>
      <c r="G6042" t="s">
        <v>44</v>
      </c>
      <c r="I6042" t="s">
        <v>19</v>
      </c>
      <c r="J6042" t="s">
        <v>7479</v>
      </c>
      <c r="M6042" t="s">
        <v>1233</v>
      </c>
      <c r="N6042" t="s">
        <v>1233</v>
      </c>
      <c r="O6042" t="s">
        <v>23</v>
      </c>
      <c r="P6042" t="s">
        <v>24</v>
      </c>
      <c r="Q6042" t="s">
        <v>642</v>
      </c>
      <c r="R6042" t="s">
        <v>1214</v>
      </c>
    </row>
    <row r="6043" spans="1:18" x14ac:dyDescent="0.25">
      <c r="A6043" t="s">
        <v>14343</v>
      </c>
      <c r="B6043" t="s">
        <v>7937</v>
      </c>
      <c r="C6043" t="str">
        <f>HYPERLINK("https://nematode.unl.edu/mecurbe10.jpg")</f>
        <v>https://nematode.unl.edu/mecurbe10.jpg</v>
      </c>
      <c r="D6043" t="s">
        <v>16</v>
      </c>
      <c r="G6043" t="s">
        <v>34</v>
      </c>
      <c r="H6043" t="s">
        <v>18</v>
      </c>
      <c r="I6043" t="s">
        <v>41</v>
      </c>
      <c r="M6043" t="s">
        <v>1233</v>
      </c>
      <c r="N6043" t="s">
        <v>1233</v>
      </c>
      <c r="O6043" t="s">
        <v>23</v>
      </c>
      <c r="P6043" t="s">
        <v>24</v>
      </c>
      <c r="Q6043" t="s">
        <v>642</v>
      </c>
      <c r="R6043" t="s">
        <v>1214</v>
      </c>
    </row>
    <row r="6044" spans="1:18" x14ac:dyDescent="0.25">
      <c r="A6044" t="s">
        <v>14671</v>
      </c>
      <c r="B6044" t="s">
        <v>7938</v>
      </c>
      <c r="C6044" t="str">
        <f>HYPERLINK("https://nematode.unl.edu/mecurbe11.jpg")</f>
        <v>https://nematode.unl.edu/mecurbe11.jpg</v>
      </c>
      <c r="D6044" t="s">
        <v>16</v>
      </c>
      <c r="G6044" t="s">
        <v>28</v>
      </c>
      <c r="I6044" t="s">
        <v>41</v>
      </c>
      <c r="M6044" t="s">
        <v>1233</v>
      </c>
      <c r="N6044" t="s">
        <v>1233</v>
      </c>
      <c r="O6044" t="s">
        <v>23</v>
      </c>
      <c r="P6044" t="s">
        <v>24</v>
      </c>
      <c r="Q6044" t="s">
        <v>642</v>
      </c>
      <c r="R6044" t="s">
        <v>1214</v>
      </c>
    </row>
    <row r="6045" spans="1:18" x14ac:dyDescent="0.25">
      <c r="A6045" t="s">
        <v>14499</v>
      </c>
      <c r="B6045" t="s">
        <v>7939</v>
      </c>
      <c r="C6045" t="str">
        <f>HYPERLINK("https://nematode.unl.edu/mecurbe12.jpg")</f>
        <v>https://nematode.unl.edu/mecurbe12.jpg</v>
      </c>
      <c r="D6045" t="s">
        <v>43</v>
      </c>
      <c r="G6045" t="s">
        <v>44</v>
      </c>
      <c r="I6045" t="s">
        <v>19</v>
      </c>
      <c r="J6045" t="s">
        <v>7479</v>
      </c>
      <c r="M6045" t="s">
        <v>1233</v>
      </c>
      <c r="N6045" t="s">
        <v>1233</v>
      </c>
      <c r="O6045" t="s">
        <v>23</v>
      </c>
      <c r="P6045" t="s">
        <v>24</v>
      </c>
      <c r="Q6045" t="s">
        <v>642</v>
      </c>
      <c r="R6045" t="s">
        <v>1214</v>
      </c>
    </row>
    <row r="6046" spans="1:18" x14ac:dyDescent="0.25">
      <c r="A6046" t="s">
        <v>14344</v>
      </c>
      <c r="B6046" t="s">
        <v>7940</v>
      </c>
      <c r="C6046" t="str">
        <f>HYPERLINK("https://nematode.unl.edu/mecurbe13.jpg")</f>
        <v>https://nematode.unl.edu/mecurbe13.jpg</v>
      </c>
      <c r="D6046" t="s">
        <v>43</v>
      </c>
      <c r="G6046" t="s">
        <v>34</v>
      </c>
      <c r="H6046" t="s">
        <v>18</v>
      </c>
      <c r="I6046" t="s">
        <v>41</v>
      </c>
      <c r="M6046" t="s">
        <v>1233</v>
      </c>
      <c r="N6046" t="s">
        <v>1233</v>
      </c>
      <c r="O6046" t="s">
        <v>23</v>
      </c>
      <c r="P6046" t="s">
        <v>24</v>
      </c>
      <c r="Q6046" t="s">
        <v>642</v>
      </c>
      <c r="R6046" t="s">
        <v>1214</v>
      </c>
    </row>
    <row r="6047" spans="1:18" x14ac:dyDescent="0.25">
      <c r="A6047" t="s">
        <v>14500</v>
      </c>
      <c r="B6047" t="s">
        <v>7941</v>
      </c>
      <c r="C6047" t="str">
        <f>HYPERLINK("https://nematode.unl.edu/mecurbe14.jpg")</f>
        <v>https://nematode.unl.edu/mecurbe14.jpg</v>
      </c>
      <c r="G6047" t="s">
        <v>44</v>
      </c>
      <c r="I6047" t="s">
        <v>41</v>
      </c>
      <c r="M6047" t="s">
        <v>1233</v>
      </c>
      <c r="N6047" t="s">
        <v>1233</v>
      </c>
      <c r="O6047" t="s">
        <v>23</v>
      </c>
      <c r="P6047" t="s">
        <v>24</v>
      </c>
      <c r="Q6047" t="s">
        <v>642</v>
      </c>
      <c r="R6047" t="s">
        <v>1214</v>
      </c>
    </row>
    <row r="6048" spans="1:18" x14ac:dyDescent="0.25">
      <c r="A6048" t="s">
        <v>14566</v>
      </c>
      <c r="B6048" t="s">
        <v>7942</v>
      </c>
      <c r="C6048" t="str">
        <f>HYPERLINK("https://nematode.unl.edu/mecurbe15.jpg")</f>
        <v>https://nematode.unl.edu/mecurbe15.jpg</v>
      </c>
      <c r="G6048" t="s">
        <v>674</v>
      </c>
      <c r="I6048" t="s">
        <v>41</v>
      </c>
      <c r="M6048" t="s">
        <v>1233</v>
      </c>
      <c r="N6048" t="s">
        <v>1233</v>
      </c>
      <c r="O6048" t="s">
        <v>23</v>
      </c>
      <c r="P6048" t="s">
        <v>24</v>
      </c>
      <c r="Q6048" t="s">
        <v>642</v>
      </c>
      <c r="R6048" t="s">
        <v>1214</v>
      </c>
    </row>
    <row r="6049" spans="1:18" x14ac:dyDescent="0.25">
      <c r="A6049" t="s">
        <v>14672</v>
      </c>
      <c r="B6049" t="s">
        <v>7943</v>
      </c>
      <c r="C6049" t="str">
        <f>HYPERLINK("https://nematode.unl.edu/mecurbe16.jpg")</f>
        <v>https://nematode.unl.edu/mecurbe16.jpg</v>
      </c>
      <c r="D6049" t="s">
        <v>43</v>
      </c>
      <c r="G6049" t="s">
        <v>28</v>
      </c>
      <c r="I6049" t="s">
        <v>41</v>
      </c>
      <c r="M6049" t="s">
        <v>1233</v>
      </c>
      <c r="N6049" t="s">
        <v>1233</v>
      </c>
      <c r="O6049" t="s">
        <v>23</v>
      </c>
      <c r="P6049" t="s">
        <v>24</v>
      </c>
      <c r="Q6049" t="s">
        <v>642</v>
      </c>
      <c r="R6049" t="s">
        <v>1214</v>
      </c>
    </row>
    <row r="6050" spans="1:18" x14ac:dyDescent="0.25">
      <c r="A6050" t="s">
        <v>14724</v>
      </c>
      <c r="B6050" t="s">
        <v>7944</v>
      </c>
      <c r="C6050" t="str">
        <f>HYPERLINK("https://nematode.unl.edu/mecurbe17.jpg")</f>
        <v>https://nematode.unl.edu/mecurbe17.jpg</v>
      </c>
      <c r="D6050" t="s">
        <v>43</v>
      </c>
      <c r="G6050" t="s">
        <v>51</v>
      </c>
      <c r="I6050" t="s">
        <v>41</v>
      </c>
      <c r="M6050" t="s">
        <v>1233</v>
      </c>
      <c r="N6050" t="s">
        <v>1233</v>
      </c>
      <c r="O6050" t="s">
        <v>23</v>
      </c>
      <c r="P6050" t="s">
        <v>24</v>
      </c>
      <c r="Q6050" t="s">
        <v>642</v>
      </c>
      <c r="R6050" t="s">
        <v>1214</v>
      </c>
    </row>
    <row r="6051" spans="1:18" x14ac:dyDescent="0.25">
      <c r="A6051" t="s">
        <v>14501</v>
      </c>
      <c r="B6051" t="s">
        <v>7945</v>
      </c>
      <c r="C6051" t="str">
        <f>HYPERLINK("https://nematode.unl.edu/mecurbe18.jpg")</f>
        <v>https://nematode.unl.edu/mecurbe18.jpg</v>
      </c>
      <c r="D6051" t="s">
        <v>16</v>
      </c>
      <c r="G6051" t="s">
        <v>44</v>
      </c>
      <c r="I6051" t="s">
        <v>19</v>
      </c>
      <c r="J6051" t="s">
        <v>7479</v>
      </c>
      <c r="M6051" t="s">
        <v>1233</v>
      </c>
      <c r="N6051" t="s">
        <v>1233</v>
      </c>
      <c r="O6051" t="s">
        <v>23</v>
      </c>
      <c r="P6051" t="s">
        <v>24</v>
      </c>
      <c r="Q6051" t="s">
        <v>642</v>
      </c>
      <c r="R6051" t="s">
        <v>1214</v>
      </c>
    </row>
    <row r="6052" spans="1:18" x14ac:dyDescent="0.25">
      <c r="A6052" t="s">
        <v>14345</v>
      </c>
      <c r="B6052" t="s">
        <v>7946</v>
      </c>
      <c r="C6052" t="str">
        <f>HYPERLINK("https://nematode.unl.edu/mecurbe19.jpg")</f>
        <v>https://nematode.unl.edu/mecurbe19.jpg</v>
      </c>
      <c r="D6052" t="s">
        <v>16</v>
      </c>
      <c r="G6052" t="s">
        <v>34</v>
      </c>
      <c r="H6052" t="s">
        <v>18</v>
      </c>
      <c r="M6052" t="s">
        <v>1233</v>
      </c>
      <c r="N6052" t="s">
        <v>1233</v>
      </c>
      <c r="O6052" t="s">
        <v>23</v>
      </c>
      <c r="P6052" t="s">
        <v>24</v>
      </c>
      <c r="Q6052" t="s">
        <v>642</v>
      </c>
      <c r="R6052" t="s">
        <v>1214</v>
      </c>
    </row>
    <row r="6053" spans="1:18" x14ac:dyDescent="0.25">
      <c r="A6053" t="s">
        <v>14346</v>
      </c>
      <c r="B6053" t="s">
        <v>7947</v>
      </c>
      <c r="C6053" t="str">
        <f>HYPERLINK("https://nematode.unl.edu/mecurbe2.jpg")</f>
        <v>https://nematode.unl.edu/mecurbe2.jpg</v>
      </c>
      <c r="D6053" t="s">
        <v>16</v>
      </c>
      <c r="G6053" t="s">
        <v>34</v>
      </c>
      <c r="H6053" t="s">
        <v>18</v>
      </c>
      <c r="I6053" t="s">
        <v>41</v>
      </c>
      <c r="M6053" t="s">
        <v>1233</v>
      </c>
      <c r="N6053" t="s">
        <v>1233</v>
      </c>
      <c r="O6053" t="s">
        <v>23</v>
      </c>
      <c r="P6053" t="s">
        <v>24</v>
      </c>
      <c r="Q6053" t="s">
        <v>642</v>
      </c>
      <c r="R6053" t="s">
        <v>1214</v>
      </c>
    </row>
    <row r="6054" spans="1:18" x14ac:dyDescent="0.25">
      <c r="A6054" t="s">
        <v>14347</v>
      </c>
      <c r="B6054" t="s">
        <v>7948</v>
      </c>
      <c r="C6054" t="str">
        <f>HYPERLINK("https://nematode.unl.edu/mecurbe20.jpg")</f>
        <v>https://nematode.unl.edu/mecurbe20.jpg</v>
      </c>
      <c r="D6054" t="s">
        <v>16</v>
      </c>
      <c r="G6054" t="s">
        <v>34</v>
      </c>
      <c r="H6054" t="s">
        <v>18</v>
      </c>
      <c r="I6054" t="s">
        <v>41</v>
      </c>
      <c r="M6054" t="s">
        <v>1233</v>
      </c>
      <c r="N6054" t="s">
        <v>1233</v>
      </c>
      <c r="O6054" t="s">
        <v>23</v>
      </c>
      <c r="P6054" t="s">
        <v>24</v>
      </c>
      <c r="Q6054" t="s">
        <v>642</v>
      </c>
      <c r="R6054" t="s">
        <v>1214</v>
      </c>
    </row>
    <row r="6055" spans="1:18" x14ac:dyDescent="0.25">
      <c r="A6055" t="s">
        <v>14673</v>
      </c>
      <c r="B6055" t="s">
        <v>7949</v>
      </c>
      <c r="C6055" t="str">
        <f>HYPERLINK("https://nematode.unl.edu/mecurbe21.jpg")</f>
        <v>https://nematode.unl.edu/mecurbe21.jpg</v>
      </c>
      <c r="D6055" t="s">
        <v>16</v>
      </c>
      <c r="G6055" t="s">
        <v>28</v>
      </c>
      <c r="I6055" t="s">
        <v>41</v>
      </c>
      <c r="M6055" t="s">
        <v>1233</v>
      </c>
      <c r="N6055" t="s">
        <v>1233</v>
      </c>
      <c r="O6055" t="s">
        <v>23</v>
      </c>
      <c r="P6055" t="s">
        <v>24</v>
      </c>
      <c r="Q6055" t="s">
        <v>642</v>
      </c>
      <c r="R6055" t="s">
        <v>1214</v>
      </c>
    </row>
    <row r="6056" spans="1:18" x14ac:dyDescent="0.25">
      <c r="A6056" t="s">
        <v>14540</v>
      </c>
      <c r="B6056" t="s">
        <v>7950</v>
      </c>
      <c r="C6056" t="str">
        <f>HYPERLINK("https://nematode.unl.edu/mecurbe22.jpg")</f>
        <v>https://nematode.unl.edu/mecurbe22.jpg</v>
      </c>
      <c r="D6056" t="s">
        <v>16</v>
      </c>
      <c r="G6056" t="s">
        <v>224</v>
      </c>
      <c r="I6056" t="s">
        <v>41</v>
      </c>
      <c r="M6056" t="s">
        <v>1233</v>
      </c>
      <c r="N6056" t="s">
        <v>1233</v>
      </c>
      <c r="O6056" t="s">
        <v>23</v>
      </c>
      <c r="P6056" t="s">
        <v>24</v>
      </c>
      <c r="Q6056" t="s">
        <v>642</v>
      </c>
      <c r="R6056" t="s">
        <v>1214</v>
      </c>
    </row>
    <row r="6057" spans="1:18" x14ac:dyDescent="0.25">
      <c r="A6057" t="s">
        <v>14381</v>
      </c>
      <c r="B6057" t="s">
        <v>7951</v>
      </c>
      <c r="C6057" t="str">
        <f>HYPERLINK("https://nematode.unl.edu/mecurbe23.jpg")</f>
        <v>https://nematode.unl.edu/mecurbe23.jpg</v>
      </c>
      <c r="D6057" t="s">
        <v>16</v>
      </c>
      <c r="G6057" t="s">
        <v>4059</v>
      </c>
      <c r="H6057" t="s">
        <v>18</v>
      </c>
      <c r="I6057" t="s">
        <v>41</v>
      </c>
      <c r="J6057" t="s">
        <v>7479</v>
      </c>
      <c r="M6057" t="s">
        <v>1233</v>
      </c>
      <c r="N6057" t="s">
        <v>1233</v>
      </c>
      <c r="O6057" t="s">
        <v>23</v>
      </c>
      <c r="P6057" t="s">
        <v>24</v>
      </c>
      <c r="Q6057" t="s">
        <v>642</v>
      </c>
      <c r="R6057" t="s">
        <v>1214</v>
      </c>
    </row>
    <row r="6058" spans="1:18" x14ac:dyDescent="0.25">
      <c r="A6058" t="s">
        <v>14502</v>
      </c>
      <c r="B6058" t="s">
        <v>7952</v>
      </c>
      <c r="C6058" t="str">
        <f>HYPERLINK("https://nematode.unl.edu/mecurbe24.jpg")</f>
        <v>https://nematode.unl.edu/mecurbe24.jpg</v>
      </c>
      <c r="D6058" t="s">
        <v>43</v>
      </c>
      <c r="G6058" t="s">
        <v>44</v>
      </c>
      <c r="I6058" t="s">
        <v>516</v>
      </c>
      <c r="J6058" t="s">
        <v>7479</v>
      </c>
      <c r="M6058" t="s">
        <v>1233</v>
      </c>
      <c r="N6058" t="s">
        <v>1233</v>
      </c>
      <c r="O6058" t="s">
        <v>23</v>
      </c>
      <c r="P6058" t="s">
        <v>24</v>
      </c>
      <c r="Q6058" t="s">
        <v>642</v>
      </c>
      <c r="R6058" t="s">
        <v>1214</v>
      </c>
    </row>
    <row r="6059" spans="1:18" x14ac:dyDescent="0.25">
      <c r="A6059" t="s">
        <v>14348</v>
      </c>
      <c r="B6059" t="s">
        <v>7953</v>
      </c>
      <c r="C6059" t="str">
        <f>HYPERLINK("https://nematode.unl.edu/mecurbe25.jpg")</f>
        <v>https://nematode.unl.edu/mecurbe25.jpg</v>
      </c>
      <c r="D6059" t="s">
        <v>43</v>
      </c>
      <c r="G6059" t="s">
        <v>34</v>
      </c>
      <c r="H6059" t="s">
        <v>18</v>
      </c>
      <c r="I6059" t="s">
        <v>41</v>
      </c>
      <c r="M6059" t="s">
        <v>1233</v>
      </c>
      <c r="N6059" t="s">
        <v>1233</v>
      </c>
      <c r="O6059" t="s">
        <v>23</v>
      </c>
      <c r="P6059" t="s">
        <v>24</v>
      </c>
      <c r="Q6059" t="s">
        <v>642</v>
      </c>
      <c r="R6059" t="s">
        <v>1214</v>
      </c>
    </row>
    <row r="6060" spans="1:18" x14ac:dyDescent="0.25">
      <c r="A6060" t="s">
        <v>14349</v>
      </c>
      <c r="B6060" t="s">
        <v>7954</v>
      </c>
      <c r="C6060" t="str">
        <f>HYPERLINK("https://nematode.unl.edu/mecurbe26.jpg")</f>
        <v>https://nematode.unl.edu/mecurbe26.jpg</v>
      </c>
      <c r="D6060" t="s">
        <v>43</v>
      </c>
      <c r="G6060" t="s">
        <v>34</v>
      </c>
      <c r="H6060" t="s">
        <v>18</v>
      </c>
      <c r="M6060" t="s">
        <v>1233</v>
      </c>
      <c r="N6060" t="s">
        <v>1233</v>
      </c>
      <c r="O6060" t="s">
        <v>23</v>
      </c>
      <c r="P6060" t="s">
        <v>24</v>
      </c>
      <c r="Q6060" t="s">
        <v>642</v>
      </c>
      <c r="R6060" t="s">
        <v>1214</v>
      </c>
    </row>
    <row r="6061" spans="1:18" x14ac:dyDescent="0.25">
      <c r="A6061" t="s">
        <v>14674</v>
      </c>
      <c r="B6061" t="s">
        <v>7955</v>
      </c>
      <c r="C6061" t="str">
        <f>HYPERLINK("https://nematode.unl.edu/mecurbe27.jpg")</f>
        <v>https://nematode.unl.edu/mecurbe27.jpg</v>
      </c>
      <c r="D6061" t="s">
        <v>43</v>
      </c>
      <c r="G6061" t="s">
        <v>28</v>
      </c>
      <c r="I6061" t="s">
        <v>41</v>
      </c>
      <c r="M6061" t="s">
        <v>1233</v>
      </c>
      <c r="N6061" t="s">
        <v>1233</v>
      </c>
      <c r="O6061" t="s">
        <v>23</v>
      </c>
      <c r="P6061" t="s">
        <v>24</v>
      </c>
      <c r="Q6061" t="s">
        <v>642</v>
      </c>
      <c r="R6061" t="s">
        <v>1214</v>
      </c>
    </row>
    <row r="6062" spans="1:18" x14ac:dyDescent="0.25">
      <c r="A6062" t="s">
        <v>14675</v>
      </c>
      <c r="B6062" t="s">
        <v>7956</v>
      </c>
      <c r="C6062" t="str">
        <f>HYPERLINK("https://nematode.unl.edu/mecurbe28.jpg")</f>
        <v>https://nematode.unl.edu/mecurbe28.jpg</v>
      </c>
      <c r="D6062" t="s">
        <v>43</v>
      </c>
      <c r="G6062" t="s">
        <v>28</v>
      </c>
      <c r="I6062" t="s">
        <v>41</v>
      </c>
      <c r="M6062" t="s">
        <v>1233</v>
      </c>
      <c r="N6062" t="s">
        <v>1233</v>
      </c>
      <c r="O6062" t="s">
        <v>23</v>
      </c>
      <c r="P6062" t="s">
        <v>24</v>
      </c>
      <c r="Q6062" t="s">
        <v>642</v>
      </c>
      <c r="R6062" t="s">
        <v>1214</v>
      </c>
    </row>
    <row r="6063" spans="1:18" x14ac:dyDescent="0.25">
      <c r="A6063" t="s">
        <v>14676</v>
      </c>
      <c r="B6063" t="s">
        <v>7957</v>
      </c>
      <c r="C6063" t="str">
        <f>HYPERLINK("https://nematode.unl.edu/mecurbe29.jpg")</f>
        <v>https://nematode.unl.edu/mecurbe29.jpg</v>
      </c>
      <c r="D6063" t="s">
        <v>43</v>
      </c>
      <c r="G6063" t="s">
        <v>28</v>
      </c>
      <c r="I6063" t="s">
        <v>41</v>
      </c>
      <c r="M6063" t="s">
        <v>1233</v>
      </c>
      <c r="N6063" t="s">
        <v>1233</v>
      </c>
      <c r="O6063" t="s">
        <v>23</v>
      </c>
      <c r="P6063" t="s">
        <v>24</v>
      </c>
      <c r="Q6063" t="s">
        <v>642</v>
      </c>
      <c r="R6063" t="s">
        <v>1214</v>
      </c>
    </row>
    <row r="6064" spans="1:18" x14ac:dyDescent="0.25">
      <c r="A6064" t="s">
        <v>14677</v>
      </c>
      <c r="B6064" t="s">
        <v>7958</v>
      </c>
      <c r="C6064" t="str">
        <f>HYPERLINK("https://nematode.unl.edu/mecurbe3.jpg")</f>
        <v>https://nematode.unl.edu/mecurbe3.jpg</v>
      </c>
      <c r="D6064" t="s">
        <v>16</v>
      </c>
      <c r="G6064" t="s">
        <v>28</v>
      </c>
      <c r="M6064" t="s">
        <v>1233</v>
      </c>
      <c r="N6064" t="s">
        <v>1233</v>
      </c>
      <c r="O6064" t="s">
        <v>23</v>
      </c>
      <c r="P6064" t="s">
        <v>24</v>
      </c>
      <c r="Q6064" t="s">
        <v>642</v>
      </c>
      <c r="R6064" t="s">
        <v>1214</v>
      </c>
    </row>
    <row r="6065" spans="1:18" x14ac:dyDescent="0.25">
      <c r="A6065" t="s">
        <v>14503</v>
      </c>
      <c r="B6065" t="s">
        <v>7959</v>
      </c>
      <c r="C6065" t="str">
        <f>HYPERLINK("https://nematode.unl.edu/mecurbe30.jpg")</f>
        <v>https://nematode.unl.edu/mecurbe30.jpg</v>
      </c>
      <c r="D6065" t="s">
        <v>43</v>
      </c>
      <c r="G6065" t="s">
        <v>44</v>
      </c>
      <c r="I6065" t="s">
        <v>41</v>
      </c>
      <c r="M6065" t="s">
        <v>1233</v>
      </c>
      <c r="N6065" t="s">
        <v>1233</v>
      </c>
      <c r="O6065" t="s">
        <v>23</v>
      </c>
      <c r="P6065" t="s">
        <v>24</v>
      </c>
      <c r="Q6065" t="s">
        <v>642</v>
      </c>
      <c r="R6065" t="s">
        <v>1214</v>
      </c>
    </row>
    <row r="6066" spans="1:18" x14ac:dyDescent="0.25">
      <c r="A6066" t="s">
        <v>14236</v>
      </c>
      <c r="B6066" t="s">
        <v>7960</v>
      </c>
      <c r="C6066" t="str">
        <f>HYPERLINK("https://nematode.unl.edu/mecurbe31.jpg")</f>
        <v>https://nematode.unl.edu/mecurbe31.jpg</v>
      </c>
      <c r="D6066" t="s">
        <v>43</v>
      </c>
      <c r="G6066" t="s">
        <v>96</v>
      </c>
      <c r="H6066" t="s">
        <v>18</v>
      </c>
      <c r="M6066" t="s">
        <v>1233</v>
      </c>
      <c r="N6066" t="s">
        <v>1233</v>
      </c>
      <c r="O6066" t="s">
        <v>23</v>
      </c>
      <c r="P6066" t="s">
        <v>24</v>
      </c>
      <c r="Q6066" t="s">
        <v>642</v>
      </c>
      <c r="R6066" t="s">
        <v>1214</v>
      </c>
    </row>
    <row r="6067" spans="1:18" x14ac:dyDescent="0.25">
      <c r="A6067" t="s">
        <v>14350</v>
      </c>
      <c r="B6067" t="s">
        <v>7961</v>
      </c>
      <c r="C6067" t="str">
        <f>HYPERLINK("https://nematode.unl.edu/mecurbe4.jpg")</f>
        <v>https://nematode.unl.edu/mecurbe4.jpg</v>
      </c>
      <c r="D6067" t="s">
        <v>43</v>
      </c>
      <c r="G6067" t="s">
        <v>34</v>
      </c>
      <c r="H6067" t="s">
        <v>18</v>
      </c>
      <c r="M6067" t="s">
        <v>1233</v>
      </c>
      <c r="N6067" t="s">
        <v>1233</v>
      </c>
      <c r="O6067" t="s">
        <v>23</v>
      </c>
      <c r="P6067" t="s">
        <v>24</v>
      </c>
      <c r="Q6067" t="s">
        <v>642</v>
      </c>
      <c r="R6067" t="s">
        <v>1214</v>
      </c>
    </row>
    <row r="6068" spans="1:18" x14ac:dyDescent="0.25">
      <c r="A6068" t="s">
        <v>14541</v>
      </c>
      <c r="B6068" t="s">
        <v>7962</v>
      </c>
      <c r="C6068" t="str">
        <f>HYPERLINK("https://nematode.unl.edu/mecurbe5.jpg")</f>
        <v>https://nematode.unl.edu/mecurbe5.jpg</v>
      </c>
      <c r="D6068" t="s">
        <v>43</v>
      </c>
      <c r="G6068" t="s">
        <v>224</v>
      </c>
      <c r="M6068" t="s">
        <v>1233</v>
      </c>
      <c r="N6068" t="s">
        <v>1233</v>
      </c>
      <c r="O6068" t="s">
        <v>23</v>
      </c>
      <c r="P6068" t="s">
        <v>24</v>
      </c>
      <c r="Q6068" t="s">
        <v>642</v>
      </c>
      <c r="R6068" t="s">
        <v>1214</v>
      </c>
    </row>
    <row r="6069" spans="1:18" x14ac:dyDescent="0.25">
      <c r="A6069" t="s">
        <v>14678</v>
      </c>
      <c r="B6069" t="s">
        <v>7963</v>
      </c>
      <c r="C6069" t="str">
        <f>HYPERLINK("https://nematode.unl.edu/mecurbe6.jpg")</f>
        <v>https://nematode.unl.edu/mecurbe6.jpg</v>
      </c>
      <c r="D6069" t="s">
        <v>43</v>
      </c>
      <c r="G6069" t="s">
        <v>28</v>
      </c>
      <c r="I6069" t="s">
        <v>41</v>
      </c>
      <c r="M6069" t="s">
        <v>1233</v>
      </c>
      <c r="N6069" t="s">
        <v>1233</v>
      </c>
      <c r="O6069" t="s">
        <v>23</v>
      </c>
      <c r="P6069" t="s">
        <v>24</v>
      </c>
      <c r="Q6069" t="s">
        <v>642</v>
      </c>
      <c r="R6069" t="s">
        <v>1214</v>
      </c>
    </row>
    <row r="6070" spans="1:18" x14ac:dyDescent="0.25">
      <c r="A6070" t="s">
        <v>14725</v>
      </c>
      <c r="B6070" t="s">
        <v>7964</v>
      </c>
      <c r="C6070" t="str">
        <f>HYPERLINK("https://nematode.unl.edu/mecurbe7.jpg")</f>
        <v>https://nematode.unl.edu/mecurbe7.jpg</v>
      </c>
      <c r="D6070" t="s">
        <v>43</v>
      </c>
      <c r="G6070" t="s">
        <v>51</v>
      </c>
      <c r="M6070" t="s">
        <v>1233</v>
      </c>
      <c r="N6070" t="s">
        <v>1233</v>
      </c>
      <c r="O6070" t="s">
        <v>23</v>
      </c>
      <c r="P6070" t="s">
        <v>24</v>
      </c>
      <c r="Q6070" t="s">
        <v>642</v>
      </c>
      <c r="R6070" t="s">
        <v>1214</v>
      </c>
    </row>
    <row r="6071" spans="1:18" x14ac:dyDescent="0.25">
      <c r="A6071" t="s">
        <v>14726</v>
      </c>
      <c r="B6071" t="s">
        <v>7965</v>
      </c>
      <c r="C6071" t="str">
        <f>HYPERLINK("https://nematode.unl.edu/mecurbe8.jpg")</f>
        <v>https://nematode.unl.edu/mecurbe8.jpg</v>
      </c>
      <c r="D6071" t="s">
        <v>43</v>
      </c>
      <c r="G6071" t="s">
        <v>51</v>
      </c>
      <c r="I6071" t="s">
        <v>41</v>
      </c>
      <c r="M6071" t="s">
        <v>1233</v>
      </c>
      <c r="N6071" t="s">
        <v>1233</v>
      </c>
      <c r="O6071" t="s">
        <v>23</v>
      </c>
      <c r="P6071" t="s">
        <v>24</v>
      </c>
      <c r="Q6071" t="s">
        <v>642</v>
      </c>
      <c r="R6071" t="s">
        <v>1214</v>
      </c>
    </row>
    <row r="6072" spans="1:18" x14ac:dyDescent="0.25">
      <c r="A6072" t="s">
        <v>14504</v>
      </c>
      <c r="B6072" t="s">
        <v>7966</v>
      </c>
      <c r="C6072" t="str">
        <f>HYPERLINK("https://nematode.unl.edu/mecurbe9.jpg")</f>
        <v>https://nematode.unl.edu/mecurbe9.jpg</v>
      </c>
      <c r="D6072" t="s">
        <v>16</v>
      </c>
      <c r="G6072" t="s">
        <v>44</v>
      </c>
      <c r="I6072" t="s">
        <v>19</v>
      </c>
      <c r="J6072" t="s">
        <v>7479</v>
      </c>
      <c r="M6072" t="s">
        <v>1233</v>
      </c>
      <c r="N6072" t="s">
        <v>1233</v>
      </c>
      <c r="O6072" t="s">
        <v>23</v>
      </c>
      <c r="P6072" t="s">
        <v>24</v>
      </c>
      <c r="Q6072" t="s">
        <v>642</v>
      </c>
      <c r="R6072" t="s">
        <v>1214</v>
      </c>
    </row>
    <row r="6073" spans="1:18" x14ac:dyDescent="0.25">
      <c r="A6073" t="s">
        <v>14505</v>
      </c>
      <c r="B6073" t="s">
        <v>7967</v>
      </c>
      <c r="C6073" t="str">
        <f>HYPERLINK("https://nematode.unl.edu/mecurvas1.jpg")</f>
        <v>https://nematode.unl.edu/mecurvas1.jpg</v>
      </c>
      <c r="D6073" t="s">
        <v>43</v>
      </c>
      <c r="G6073" t="s">
        <v>44</v>
      </c>
      <c r="I6073" t="s">
        <v>19</v>
      </c>
      <c r="J6073" t="s">
        <v>446</v>
      </c>
      <c r="M6073" t="s">
        <v>1233</v>
      </c>
      <c r="N6073" t="s">
        <v>1233</v>
      </c>
      <c r="O6073" t="s">
        <v>23</v>
      </c>
      <c r="P6073" t="s">
        <v>24</v>
      </c>
      <c r="Q6073" t="s">
        <v>642</v>
      </c>
      <c r="R6073" t="s">
        <v>1214</v>
      </c>
    </row>
    <row r="6074" spans="1:18" x14ac:dyDescent="0.25">
      <c r="A6074" t="s">
        <v>14506</v>
      </c>
      <c r="B6074" t="s">
        <v>7968</v>
      </c>
      <c r="C6074" t="str">
        <f>HYPERLINK("https://nematode.unl.edu/mecurvas10.jpg")</f>
        <v>https://nematode.unl.edu/mecurvas10.jpg</v>
      </c>
      <c r="D6074" t="s">
        <v>16</v>
      </c>
      <c r="G6074" t="s">
        <v>44</v>
      </c>
      <c r="I6074" t="s">
        <v>41</v>
      </c>
      <c r="J6074" t="s">
        <v>446</v>
      </c>
      <c r="M6074" t="s">
        <v>1233</v>
      </c>
      <c r="N6074" t="s">
        <v>1233</v>
      </c>
      <c r="O6074" t="s">
        <v>23</v>
      </c>
      <c r="P6074" t="s">
        <v>24</v>
      </c>
      <c r="Q6074" t="s">
        <v>642</v>
      </c>
      <c r="R6074" t="s">
        <v>1214</v>
      </c>
    </row>
    <row r="6075" spans="1:18" x14ac:dyDescent="0.25">
      <c r="A6075" t="s">
        <v>14679</v>
      </c>
      <c r="B6075" t="s">
        <v>7969</v>
      </c>
      <c r="C6075" t="str">
        <f>HYPERLINK("https://nematode.unl.edu/mecurvas11.jpg")</f>
        <v>https://nematode.unl.edu/mecurvas11.jpg</v>
      </c>
      <c r="D6075" t="s">
        <v>16</v>
      </c>
      <c r="G6075" t="s">
        <v>28</v>
      </c>
      <c r="I6075" t="s">
        <v>41</v>
      </c>
      <c r="J6075" t="s">
        <v>446</v>
      </c>
      <c r="M6075" t="s">
        <v>1233</v>
      </c>
      <c r="N6075" t="s">
        <v>1233</v>
      </c>
      <c r="O6075" t="s">
        <v>23</v>
      </c>
      <c r="P6075" t="s">
        <v>24</v>
      </c>
      <c r="Q6075" t="s">
        <v>642</v>
      </c>
      <c r="R6075" t="s">
        <v>1214</v>
      </c>
    </row>
    <row r="6076" spans="1:18" x14ac:dyDescent="0.25">
      <c r="A6076" t="s">
        <v>14555</v>
      </c>
      <c r="B6076" t="s">
        <v>7970</v>
      </c>
      <c r="C6076" t="str">
        <f>HYPERLINK("https://nematode.unl.edu/mecurvas12.jpg")</f>
        <v>https://nematode.unl.edu/mecurvas12.jpg</v>
      </c>
      <c r="D6076" t="s">
        <v>16</v>
      </c>
      <c r="G6076" t="s">
        <v>181</v>
      </c>
      <c r="I6076" t="s">
        <v>41</v>
      </c>
      <c r="J6076" t="s">
        <v>446</v>
      </c>
      <c r="M6076" t="s">
        <v>1233</v>
      </c>
      <c r="N6076" t="s">
        <v>1233</v>
      </c>
      <c r="O6076" t="s">
        <v>23</v>
      </c>
      <c r="P6076" t="s">
        <v>24</v>
      </c>
      <c r="Q6076" t="s">
        <v>642</v>
      </c>
      <c r="R6076" t="s">
        <v>1214</v>
      </c>
    </row>
    <row r="6077" spans="1:18" x14ac:dyDescent="0.25">
      <c r="A6077" t="s">
        <v>14507</v>
      </c>
      <c r="B6077" t="s">
        <v>7971</v>
      </c>
      <c r="C6077" t="str">
        <f>HYPERLINK("https://nematode.unl.edu/mecurvas13.jpg")</f>
        <v>https://nematode.unl.edu/mecurvas13.jpg</v>
      </c>
      <c r="D6077" t="s">
        <v>43</v>
      </c>
      <c r="G6077" t="s">
        <v>44</v>
      </c>
      <c r="I6077" t="s">
        <v>19</v>
      </c>
      <c r="J6077" t="s">
        <v>446</v>
      </c>
      <c r="M6077" t="s">
        <v>1233</v>
      </c>
      <c r="N6077" t="s">
        <v>1233</v>
      </c>
      <c r="O6077" t="s">
        <v>23</v>
      </c>
      <c r="P6077" t="s">
        <v>24</v>
      </c>
      <c r="Q6077" t="s">
        <v>642</v>
      </c>
      <c r="R6077" t="s">
        <v>1214</v>
      </c>
    </row>
    <row r="6078" spans="1:18" x14ac:dyDescent="0.25">
      <c r="A6078" t="s">
        <v>14351</v>
      </c>
      <c r="B6078" t="s">
        <v>7972</v>
      </c>
      <c r="C6078" t="str">
        <f>HYPERLINK("https://nematode.unl.edu/mecurvas14.jpg")</f>
        <v>https://nematode.unl.edu/mecurvas14.jpg</v>
      </c>
      <c r="D6078" t="s">
        <v>43</v>
      </c>
      <c r="G6078" t="s">
        <v>34</v>
      </c>
      <c r="H6078" t="s">
        <v>18</v>
      </c>
      <c r="I6078" t="s">
        <v>41</v>
      </c>
      <c r="J6078" t="s">
        <v>446</v>
      </c>
      <c r="M6078" t="s">
        <v>1233</v>
      </c>
      <c r="N6078" t="s">
        <v>1233</v>
      </c>
      <c r="O6078" t="s">
        <v>23</v>
      </c>
      <c r="P6078" t="s">
        <v>24</v>
      </c>
      <c r="Q6078" t="s">
        <v>642</v>
      </c>
      <c r="R6078" t="s">
        <v>1214</v>
      </c>
    </row>
    <row r="6079" spans="1:18" x14ac:dyDescent="0.25">
      <c r="A6079" t="s">
        <v>14680</v>
      </c>
      <c r="B6079" t="s">
        <v>7973</v>
      </c>
      <c r="C6079" t="str">
        <f>HYPERLINK("https://nematode.unl.edu/mecurvas15.jpg")</f>
        <v>https://nematode.unl.edu/mecurvas15.jpg</v>
      </c>
      <c r="D6079" t="s">
        <v>43</v>
      </c>
      <c r="G6079" t="s">
        <v>28</v>
      </c>
      <c r="J6079" t="s">
        <v>446</v>
      </c>
      <c r="M6079" t="s">
        <v>1233</v>
      </c>
      <c r="N6079" t="s">
        <v>1233</v>
      </c>
      <c r="O6079" t="s">
        <v>23</v>
      </c>
      <c r="P6079" t="s">
        <v>24</v>
      </c>
      <c r="Q6079" t="s">
        <v>642</v>
      </c>
      <c r="R6079" t="s">
        <v>1214</v>
      </c>
    </row>
    <row r="6080" spans="1:18" x14ac:dyDescent="0.25">
      <c r="A6080" t="s">
        <v>14508</v>
      </c>
      <c r="B6080" t="s">
        <v>7974</v>
      </c>
      <c r="C6080" t="str">
        <f>HYPERLINK("https://nematode.unl.edu/mecurvas16.jpg")</f>
        <v>https://nematode.unl.edu/mecurvas16.jpg</v>
      </c>
      <c r="D6080" t="s">
        <v>43</v>
      </c>
      <c r="G6080" t="s">
        <v>44</v>
      </c>
      <c r="I6080" t="s">
        <v>41</v>
      </c>
      <c r="J6080" t="s">
        <v>446</v>
      </c>
      <c r="M6080" t="s">
        <v>1233</v>
      </c>
      <c r="N6080" t="s">
        <v>1233</v>
      </c>
      <c r="O6080" t="s">
        <v>23</v>
      </c>
      <c r="P6080" t="s">
        <v>24</v>
      </c>
      <c r="Q6080" t="s">
        <v>642</v>
      </c>
      <c r="R6080" t="s">
        <v>1214</v>
      </c>
    </row>
    <row r="6081" spans="1:18" x14ac:dyDescent="0.25">
      <c r="A6081" t="s">
        <v>14509</v>
      </c>
      <c r="B6081" t="s">
        <v>7975</v>
      </c>
      <c r="C6081" t="str">
        <f>HYPERLINK("https://nematode.unl.edu/mecurvas17.jpg")</f>
        <v>https://nematode.unl.edu/mecurvas17.jpg</v>
      </c>
      <c r="D6081" t="s">
        <v>43</v>
      </c>
      <c r="G6081" t="s">
        <v>44</v>
      </c>
      <c r="I6081" t="s">
        <v>19</v>
      </c>
      <c r="J6081" t="s">
        <v>446</v>
      </c>
      <c r="M6081" t="s">
        <v>1233</v>
      </c>
      <c r="N6081" t="s">
        <v>1233</v>
      </c>
      <c r="O6081" t="s">
        <v>23</v>
      </c>
      <c r="P6081" t="s">
        <v>24</v>
      </c>
      <c r="Q6081" t="s">
        <v>642</v>
      </c>
      <c r="R6081" t="s">
        <v>1214</v>
      </c>
    </row>
    <row r="6082" spans="1:18" x14ac:dyDescent="0.25">
      <c r="A6082" t="s">
        <v>14352</v>
      </c>
      <c r="B6082" t="s">
        <v>7976</v>
      </c>
      <c r="C6082" t="str">
        <f>HYPERLINK("https://nematode.unl.edu/mecurvas18.jpg")</f>
        <v>https://nematode.unl.edu/mecurvas18.jpg</v>
      </c>
      <c r="D6082" t="s">
        <v>43</v>
      </c>
      <c r="G6082" t="s">
        <v>34</v>
      </c>
      <c r="H6082" t="s">
        <v>18</v>
      </c>
      <c r="I6082" t="s">
        <v>41</v>
      </c>
      <c r="J6082" t="s">
        <v>446</v>
      </c>
      <c r="M6082" t="s">
        <v>1233</v>
      </c>
      <c r="N6082" t="s">
        <v>1233</v>
      </c>
      <c r="O6082" t="s">
        <v>23</v>
      </c>
      <c r="P6082" t="s">
        <v>24</v>
      </c>
      <c r="Q6082" t="s">
        <v>642</v>
      </c>
      <c r="R6082" t="s">
        <v>1214</v>
      </c>
    </row>
    <row r="6083" spans="1:18" x14ac:dyDescent="0.25">
      <c r="A6083" t="s">
        <v>14681</v>
      </c>
      <c r="B6083" t="s">
        <v>7977</v>
      </c>
      <c r="C6083" t="str">
        <f>HYPERLINK("https://nematode.unl.edu/mecurvas19.jpg")</f>
        <v>https://nematode.unl.edu/mecurvas19.jpg</v>
      </c>
      <c r="D6083" t="s">
        <v>43</v>
      </c>
      <c r="G6083" t="s">
        <v>28</v>
      </c>
      <c r="I6083" t="s">
        <v>41</v>
      </c>
      <c r="J6083" t="s">
        <v>446</v>
      </c>
      <c r="M6083" t="s">
        <v>1233</v>
      </c>
      <c r="N6083" t="s">
        <v>1233</v>
      </c>
      <c r="O6083" t="s">
        <v>23</v>
      </c>
      <c r="P6083" t="s">
        <v>24</v>
      </c>
      <c r="Q6083" t="s">
        <v>642</v>
      </c>
      <c r="R6083" t="s">
        <v>1214</v>
      </c>
    </row>
    <row r="6084" spans="1:18" x14ac:dyDescent="0.25">
      <c r="A6084" t="s">
        <v>14353</v>
      </c>
      <c r="B6084" t="s">
        <v>7978</v>
      </c>
      <c r="C6084" t="str">
        <f>HYPERLINK("https://nematode.unl.edu/mecurvas2.jpg")</f>
        <v>https://nematode.unl.edu/mecurvas2.jpg</v>
      </c>
      <c r="D6084" t="s">
        <v>43</v>
      </c>
      <c r="G6084" t="s">
        <v>34</v>
      </c>
      <c r="H6084" t="s">
        <v>18</v>
      </c>
      <c r="I6084" t="s">
        <v>41</v>
      </c>
      <c r="J6084" t="s">
        <v>446</v>
      </c>
      <c r="M6084" t="s">
        <v>1233</v>
      </c>
      <c r="N6084" t="s">
        <v>1233</v>
      </c>
      <c r="O6084" t="s">
        <v>23</v>
      </c>
      <c r="P6084" t="s">
        <v>24</v>
      </c>
      <c r="Q6084" t="s">
        <v>642</v>
      </c>
      <c r="R6084" t="s">
        <v>1214</v>
      </c>
    </row>
    <row r="6085" spans="1:18" x14ac:dyDescent="0.25">
      <c r="A6085" t="s">
        <v>14682</v>
      </c>
      <c r="B6085" t="s">
        <v>7979</v>
      </c>
      <c r="C6085" t="str">
        <f>HYPERLINK("https://nematode.unl.edu/mecurvas3.jpg")</f>
        <v>https://nematode.unl.edu/mecurvas3.jpg</v>
      </c>
      <c r="D6085" t="s">
        <v>43</v>
      </c>
      <c r="G6085" t="s">
        <v>28</v>
      </c>
      <c r="I6085" t="s">
        <v>41</v>
      </c>
      <c r="J6085" t="s">
        <v>446</v>
      </c>
      <c r="M6085" t="s">
        <v>1233</v>
      </c>
      <c r="N6085" t="s">
        <v>1233</v>
      </c>
      <c r="O6085" t="s">
        <v>23</v>
      </c>
      <c r="P6085" t="s">
        <v>24</v>
      </c>
      <c r="Q6085" t="s">
        <v>642</v>
      </c>
      <c r="R6085" t="s">
        <v>1214</v>
      </c>
    </row>
    <row r="6086" spans="1:18" x14ac:dyDescent="0.25">
      <c r="A6086" t="s">
        <v>14727</v>
      </c>
      <c r="B6086" t="s">
        <v>7980</v>
      </c>
      <c r="C6086" t="str">
        <f>HYPERLINK("https://nematode.unl.edu/mecurvas4.jpg")</f>
        <v>https://nematode.unl.edu/mecurvas4.jpg</v>
      </c>
      <c r="D6086" t="s">
        <v>43</v>
      </c>
      <c r="G6086" t="s">
        <v>51</v>
      </c>
      <c r="J6086" t="s">
        <v>446</v>
      </c>
      <c r="M6086" t="s">
        <v>1233</v>
      </c>
      <c r="N6086" t="s">
        <v>1233</v>
      </c>
      <c r="O6086" t="s">
        <v>23</v>
      </c>
      <c r="P6086" t="s">
        <v>24</v>
      </c>
      <c r="Q6086" t="s">
        <v>642</v>
      </c>
      <c r="R6086" t="s">
        <v>1214</v>
      </c>
    </row>
    <row r="6087" spans="1:18" x14ac:dyDescent="0.25">
      <c r="A6087" t="s">
        <v>14510</v>
      </c>
      <c r="B6087" t="s">
        <v>7981</v>
      </c>
      <c r="C6087" t="str">
        <f>HYPERLINK("https://nematode.unl.edu/mecurvas5.jpg")</f>
        <v>https://nematode.unl.edu/mecurvas5.jpg</v>
      </c>
      <c r="D6087" t="s">
        <v>43</v>
      </c>
      <c r="G6087" t="s">
        <v>44</v>
      </c>
      <c r="I6087" t="s">
        <v>19</v>
      </c>
      <c r="J6087" t="s">
        <v>446</v>
      </c>
      <c r="M6087" t="s">
        <v>1233</v>
      </c>
      <c r="N6087" t="s">
        <v>1233</v>
      </c>
      <c r="O6087" t="s">
        <v>23</v>
      </c>
      <c r="P6087" t="s">
        <v>24</v>
      </c>
      <c r="Q6087" t="s">
        <v>642</v>
      </c>
      <c r="R6087" t="s">
        <v>1214</v>
      </c>
    </row>
    <row r="6088" spans="1:18" x14ac:dyDescent="0.25">
      <c r="A6088" t="s">
        <v>14354</v>
      </c>
      <c r="B6088" t="s">
        <v>7982</v>
      </c>
      <c r="C6088" t="str">
        <f>HYPERLINK("https://nematode.unl.edu/mecurvas6.jpg")</f>
        <v>https://nematode.unl.edu/mecurvas6.jpg</v>
      </c>
      <c r="D6088" t="s">
        <v>43</v>
      </c>
      <c r="G6088" t="s">
        <v>34</v>
      </c>
      <c r="H6088" t="s">
        <v>18</v>
      </c>
      <c r="I6088" t="s">
        <v>41</v>
      </c>
      <c r="J6088" t="s">
        <v>446</v>
      </c>
      <c r="M6088" t="s">
        <v>1233</v>
      </c>
      <c r="N6088" t="s">
        <v>1233</v>
      </c>
      <c r="O6088" t="s">
        <v>23</v>
      </c>
      <c r="P6088" t="s">
        <v>24</v>
      </c>
      <c r="Q6088" t="s">
        <v>642</v>
      </c>
      <c r="R6088" t="s">
        <v>1214</v>
      </c>
    </row>
    <row r="6089" spans="1:18" x14ac:dyDescent="0.25">
      <c r="A6089" t="s">
        <v>14683</v>
      </c>
      <c r="B6089" t="s">
        <v>7983</v>
      </c>
      <c r="C6089" t="str">
        <f>HYPERLINK("https://nematode.unl.edu/mecurvas7.jpg")</f>
        <v>https://nematode.unl.edu/mecurvas7.jpg</v>
      </c>
      <c r="D6089" t="s">
        <v>43</v>
      </c>
      <c r="G6089" t="s">
        <v>28</v>
      </c>
      <c r="I6089" t="s">
        <v>41</v>
      </c>
      <c r="M6089" t="s">
        <v>1233</v>
      </c>
      <c r="N6089" t="s">
        <v>1233</v>
      </c>
      <c r="O6089" t="s">
        <v>23</v>
      </c>
      <c r="P6089" t="s">
        <v>24</v>
      </c>
      <c r="Q6089" t="s">
        <v>642</v>
      </c>
      <c r="R6089" t="s">
        <v>1214</v>
      </c>
    </row>
    <row r="6090" spans="1:18" x14ac:dyDescent="0.25">
      <c r="A6090" t="s">
        <v>14511</v>
      </c>
      <c r="B6090" t="s">
        <v>7984</v>
      </c>
      <c r="C6090" t="str">
        <f>HYPERLINK("https://nematode.unl.edu/mecurvas8.jpg")</f>
        <v>https://nematode.unl.edu/mecurvas8.jpg</v>
      </c>
      <c r="D6090" t="s">
        <v>16</v>
      </c>
      <c r="G6090" t="s">
        <v>44</v>
      </c>
      <c r="I6090" t="s">
        <v>19</v>
      </c>
      <c r="J6090" t="s">
        <v>446</v>
      </c>
      <c r="M6090" t="s">
        <v>1233</v>
      </c>
      <c r="N6090" t="s">
        <v>1233</v>
      </c>
      <c r="O6090" t="s">
        <v>23</v>
      </c>
      <c r="P6090" t="s">
        <v>24</v>
      </c>
      <c r="Q6090" t="s">
        <v>642</v>
      </c>
      <c r="R6090" t="s">
        <v>1214</v>
      </c>
    </row>
    <row r="6091" spans="1:18" x14ac:dyDescent="0.25">
      <c r="A6091" t="s">
        <v>14355</v>
      </c>
      <c r="B6091" t="s">
        <v>7985</v>
      </c>
      <c r="C6091" t="str">
        <f>HYPERLINK("https://nematode.unl.edu/mecurvas9.jpg")</f>
        <v>https://nematode.unl.edu/mecurvas9.jpg</v>
      </c>
      <c r="G6091" t="s">
        <v>34</v>
      </c>
      <c r="H6091" t="s">
        <v>18</v>
      </c>
      <c r="I6091" t="s">
        <v>41</v>
      </c>
      <c r="J6091" t="s">
        <v>446</v>
      </c>
      <c r="M6091" t="s">
        <v>1233</v>
      </c>
      <c r="N6091" t="s">
        <v>1233</v>
      </c>
      <c r="O6091" t="s">
        <v>23</v>
      </c>
      <c r="P6091" t="s">
        <v>24</v>
      </c>
      <c r="Q6091" t="s">
        <v>642</v>
      </c>
      <c r="R6091" t="s">
        <v>1214</v>
      </c>
    </row>
    <row r="6092" spans="1:18" x14ac:dyDescent="0.25">
      <c r="A6092" t="s">
        <v>14764</v>
      </c>
      <c r="B6092" t="s">
        <v>8089</v>
      </c>
      <c r="C6092" t="str">
        <f>HYPERLINK("https://nematode.unl.edu/medisdo1.jpg")</f>
        <v>https://nematode.unl.edu/medisdo1.jpg</v>
      </c>
      <c r="D6092" t="s">
        <v>16</v>
      </c>
      <c r="G6092" t="s">
        <v>44</v>
      </c>
      <c r="I6092" t="s">
        <v>19</v>
      </c>
      <c r="J6092" t="s">
        <v>6265</v>
      </c>
      <c r="M6092" t="s">
        <v>8072</v>
      </c>
      <c r="N6092" t="s">
        <v>8072</v>
      </c>
      <c r="O6092" t="s">
        <v>23</v>
      </c>
      <c r="P6092" t="s">
        <v>24</v>
      </c>
      <c r="Q6092" t="s">
        <v>642</v>
      </c>
      <c r="R6092" t="s">
        <v>1214</v>
      </c>
    </row>
    <row r="6093" spans="1:18" x14ac:dyDescent="0.25">
      <c r="A6093" t="s">
        <v>14749</v>
      </c>
      <c r="B6093" t="s">
        <v>8090</v>
      </c>
      <c r="C6093" t="str">
        <f>HYPERLINK("https://nematode.unl.edu/medisdo2.jpg")</f>
        <v>https://nematode.unl.edu/medisdo2.jpg</v>
      </c>
      <c r="D6093" t="s">
        <v>16</v>
      </c>
      <c r="G6093" t="s">
        <v>34</v>
      </c>
      <c r="H6093" t="s">
        <v>18</v>
      </c>
      <c r="I6093" t="s">
        <v>41</v>
      </c>
      <c r="M6093" t="s">
        <v>8072</v>
      </c>
      <c r="N6093" t="s">
        <v>8072</v>
      </c>
      <c r="O6093" t="s">
        <v>23</v>
      </c>
      <c r="P6093" t="s">
        <v>24</v>
      </c>
      <c r="Q6093" t="s">
        <v>642</v>
      </c>
      <c r="R6093" t="s">
        <v>1214</v>
      </c>
    </row>
    <row r="6094" spans="1:18" x14ac:dyDescent="0.25">
      <c r="A6094" t="s">
        <v>14781</v>
      </c>
      <c r="B6094" t="s">
        <v>8091</v>
      </c>
      <c r="C6094" t="str">
        <f>HYPERLINK("https://nematode.unl.edu/medisdo3.jpg")</f>
        <v>https://nematode.unl.edu/medisdo3.jpg</v>
      </c>
      <c r="D6094" t="s">
        <v>16</v>
      </c>
      <c r="G6094" t="s">
        <v>28</v>
      </c>
      <c r="I6094" t="s">
        <v>41</v>
      </c>
      <c r="M6094" t="s">
        <v>8072</v>
      </c>
      <c r="N6094" t="s">
        <v>8072</v>
      </c>
      <c r="O6094" t="s">
        <v>23</v>
      </c>
      <c r="P6094" t="s">
        <v>24</v>
      </c>
      <c r="Q6094" t="s">
        <v>642</v>
      </c>
      <c r="R6094" t="s">
        <v>1214</v>
      </c>
    </row>
    <row r="6095" spans="1:18" x14ac:dyDescent="0.25">
      <c r="A6095" t="s">
        <v>14771</v>
      </c>
      <c r="B6095" t="s">
        <v>8092</v>
      </c>
      <c r="C6095" t="str">
        <f>HYPERLINK("https://nematode.unl.edu/medisdo4.jpg")</f>
        <v>https://nematode.unl.edu/medisdo4.jpg</v>
      </c>
      <c r="D6095" t="s">
        <v>16</v>
      </c>
      <c r="G6095" t="s">
        <v>224</v>
      </c>
      <c r="I6095" t="s">
        <v>41</v>
      </c>
      <c r="M6095" t="s">
        <v>8072</v>
      </c>
      <c r="N6095" t="s">
        <v>8072</v>
      </c>
      <c r="O6095" t="s">
        <v>23</v>
      </c>
      <c r="P6095" t="s">
        <v>24</v>
      </c>
      <c r="Q6095" t="s">
        <v>642</v>
      </c>
      <c r="R6095" t="s">
        <v>1214</v>
      </c>
    </row>
    <row r="6096" spans="1:18" x14ac:dyDescent="0.25">
      <c r="A6096" t="s">
        <v>14850</v>
      </c>
      <c r="B6096" t="s">
        <v>8187</v>
      </c>
      <c r="C6096" t="str">
        <f>HYPERLINK("https://nematode.unl.edu/meinacreek1.jpg")</f>
        <v>https://nematode.unl.edu/meinacreek1.jpg</v>
      </c>
      <c r="D6096" t="s">
        <v>43</v>
      </c>
      <c r="G6096" t="s">
        <v>44</v>
      </c>
      <c r="I6096" t="s">
        <v>19</v>
      </c>
      <c r="J6096" t="s">
        <v>6089</v>
      </c>
      <c r="M6096" t="s">
        <v>8133</v>
      </c>
      <c r="N6096" t="s">
        <v>8133</v>
      </c>
      <c r="O6096" t="s">
        <v>23</v>
      </c>
      <c r="P6096" t="s">
        <v>24</v>
      </c>
      <c r="Q6096" t="s">
        <v>642</v>
      </c>
      <c r="R6096" t="s">
        <v>1214</v>
      </c>
    </row>
    <row r="6097" spans="1:18" x14ac:dyDescent="0.25">
      <c r="A6097" t="s">
        <v>14897</v>
      </c>
      <c r="B6097" t="s">
        <v>8188</v>
      </c>
      <c r="C6097" t="str">
        <f>HYPERLINK("https://nematode.unl.edu/meinacreek2.jpg")</f>
        <v>https://nematode.unl.edu/meinacreek2.jpg</v>
      </c>
      <c r="D6097" t="s">
        <v>43</v>
      </c>
      <c r="G6097" t="s">
        <v>28</v>
      </c>
      <c r="I6097" t="s">
        <v>41</v>
      </c>
      <c r="M6097" t="s">
        <v>8133</v>
      </c>
      <c r="N6097" t="s">
        <v>8133</v>
      </c>
      <c r="O6097" t="s">
        <v>23</v>
      </c>
      <c r="P6097" t="s">
        <v>24</v>
      </c>
      <c r="Q6097" t="s">
        <v>642</v>
      </c>
      <c r="R6097" t="s">
        <v>1214</v>
      </c>
    </row>
    <row r="6098" spans="1:18" x14ac:dyDescent="0.25">
      <c r="A6098" t="s">
        <v>16674</v>
      </c>
      <c r="B6098" t="s">
        <v>7121</v>
      </c>
      <c r="C6098" t="str">
        <f>HYPERLINK("https://nematode.unl.edu/meldog1.jpg")</f>
        <v>https://nematode.unl.edu/meldog1.jpg</v>
      </c>
      <c r="D6098" t="s">
        <v>16</v>
      </c>
      <c r="G6098" t="s">
        <v>34</v>
      </c>
      <c r="H6098" t="s">
        <v>18</v>
      </c>
      <c r="I6098" t="s">
        <v>516</v>
      </c>
      <c r="J6098" t="s">
        <v>20</v>
      </c>
      <c r="L6098" t="s">
        <v>141</v>
      </c>
      <c r="M6098" t="s">
        <v>7122</v>
      </c>
      <c r="N6098" t="s">
        <v>7122</v>
      </c>
      <c r="O6098" t="s">
        <v>23</v>
      </c>
      <c r="P6098" t="s">
        <v>24</v>
      </c>
      <c r="Q6098" t="s">
        <v>7123</v>
      </c>
      <c r="R6098" t="s">
        <v>7122</v>
      </c>
    </row>
    <row r="6099" spans="1:18" x14ac:dyDescent="0.25">
      <c r="A6099" t="s">
        <v>16684</v>
      </c>
      <c r="B6099" t="s">
        <v>7124</v>
      </c>
      <c r="C6099" t="str">
        <f>HYPERLINK("https://nematode.unl.edu/meldog10.jpg")</f>
        <v>https://nematode.unl.edu/meldog10.jpg</v>
      </c>
      <c r="D6099" t="s">
        <v>16</v>
      </c>
      <c r="G6099" t="s">
        <v>28</v>
      </c>
      <c r="I6099" t="s">
        <v>516</v>
      </c>
      <c r="J6099" t="s">
        <v>20</v>
      </c>
      <c r="L6099" t="s">
        <v>6889</v>
      </c>
      <c r="M6099" t="s">
        <v>7122</v>
      </c>
      <c r="N6099" t="s">
        <v>7122</v>
      </c>
      <c r="O6099" t="s">
        <v>23</v>
      </c>
      <c r="P6099" t="s">
        <v>24</v>
      </c>
      <c r="Q6099" t="s">
        <v>7123</v>
      </c>
      <c r="R6099" t="s">
        <v>7122</v>
      </c>
    </row>
    <row r="6100" spans="1:18" x14ac:dyDescent="0.25">
      <c r="A6100" t="s">
        <v>16675</v>
      </c>
      <c r="B6100" t="s">
        <v>7125</v>
      </c>
      <c r="C6100" t="str">
        <f>HYPERLINK("https://nematode.unl.edu/meldog11.jpg")</f>
        <v>https://nematode.unl.edu/meldog11.jpg</v>
      </c>
      <c r="D6100" t="s">
        <v>16</v>
      </c>
      <c r="G6100" t="s">
        <v>34</v>
      </c>
      <c r="H6100" t="s">
        <v>18</v>
      </c>
      <c r="I6100" t="s">
        <v>41</v>
      </c>
      <c r="J6100" t="s">
        <v>20</v>
      </c>
      <c r="L6100" t="s">
        <v>85</v>
      </c>
      <c r="M6100" t="s">
        <v>7122</v>
      </c>
      <c r="N6100" t="s">
        <v>7122</v>
      </c>
      <c r="O6100" t="s">
        <v>23</v>
      </c>
      <c r="P6100" t="s">
        <v>24</v>
      </c>
      <c r="Q6100" t="s">
        <v>7123</v>
      </c>
      <c r="R6100" t="s">
        <v>7122</v>
      </c>
    </row>
    <row r="6101" spans="1:18" x14ac:dyDescent="0.25">
      <c r="A6101" t="s">
        <v>16685</v>
      </c>
      <c r="B6101" t="s">
        <v>7126</v>
      </c>
      <c r="C6101" t="str">
        <f>HYPERLINK("https://nematode.unl.edu/meldog12.jpg")</f>
        <v>https://nematode.unl.edu/meldog12.jpg</v>
      </c>
      <c r="D6101" t="s">
        <v>16</v>
      </c>
      <c r="G6101" t="s">
        <v>28</v>
      </c>
      <c r="J6101" t="s">
        <v>20</v>
      </c>
      <c r="M6101" t="s">
        <v>7122</v>
      </c>
      <c r="N6101" t="s">
        <v>7122</v>
      </c>
      <c r="O6101" t="s">
        <v>23</v>
      </c>
      <c r="P6101" t="s">
        <v>24</v>
      </c>
      <c r="Q6101" t="s">
        <v>7123</v>
      </c>
      <c r="R6101" t="s">
        <v>7122</v>
      </c>
    </row>
    <row r="6102" spans="1:18" x14ac:dyDescent="0.25">
      <c r="A6102" t="s">
        <v>16680</v>
      </c>
      <c r="B6102" t="s">
        <v>7127</v>
      </c>
      <c r="C6102" t="str">
        <f>HYPERLINK("https://nematode.unl.edu/meldog13.jpg")</f>
        <v>https://nematode.unl.edu/meldog13.jpg</v>
      </c>
      <c r="D6102" t="s">
        <v>16</v>
      </c>
      <c r="G6102" t="s">
        <v>44</v>
      </c>
      <c r="I6102" t="s">
        <v>45</v>
      </c>
      <c r="J6102" t="s">
        <v>20</v>
      </c>
      <c r="L6102" t="s">
        <v>6889</v>
      </c>
      <c r="M6102" t="s">
        <v>7122</v>
      </c>
      <c r="N6102" t="s">
        <v>7122</v>
      </c>
      <c r="O6102" t="s">
        <v>23</v>
      </c>
      <c r="P6102" t="s">
        <v>24</v>
      </c>
      <c r="Q6102" t="s">
        <v>7123</v>
      </c>
      <c r="R6102" t="s">
        <v>7122</v>
      </c>
    </row>
    <row r="6103" spans="1:18" x14ac:dyDescent="0.25">
      <c r="A6103" t="s">
        <v>16676</v>
      </c>
      <c r="B6103" t="s">
        <v>7128</v>
      </c>
      <c r="C6103" t="str">
        <f>HYPERLINK("https://nematode.unl.edu/meldog14.jpg")</f>
        <v>https://nematode.unl.edu/meldog14.jpg</v>
      </c>
      <c r="G6103" t="s">
        <v>34</v>
      </c>
      <c r="H6103" t="s">
        <v>18</v>
      </c>
      <c r="I6103" t="s">
        <v>19</v>
      </c>
      <c r="M6103" t="s">
        <v>7122</v>
      </c>
      <c r="N6103" t="s">
        <v>7122</v>
      </c>
      <c r="O6103" t="s">
        <v>23</v>
      </c>
      <c r="P6103" t="s">
        <v>24</v>
      </c>
      <c r="Q6103" t="s">
        <v>7123</v>
      </c>
      <c r="R6103" t="s">
        <v>7122</v>
      </c>
    </row>
    <row r="6104" spans="1:18" x14ac:dyDescent="0.25">
      <c r="A6104" t="s">
        <v>16686</v>
      </c>
      <c r="B6104" t="s">
        <v>7129</v>
      </c>
      <c r="C6104" t="str">
        <f>HYPERLINK("https://nematode.unl.edu/meldog15.jpg")</f>
        <v>https://nematode.unl.edu/meldog15.jpg</v>
      </c>
      <c r="D6104" t="s">
        <v>16</v>
      </c>
      <c r="G6104" t="s">
        <v>28</v>
      </c>
      <c r="M6104" t="s">
        <v>7122</v>
      </c>
      <c r="N6104" t="s">
        <v>7122</v>
      </c>
      <c r="O6104" t="s">
        <v>23</v>
      </c>
      <c r="P6104" t="s">
        <v>24</v>
      </c>
      <c r="Q6104" t="s">
        <v>7123</v>
      </c>
      <c r="R6104" t="s">
        <v>7122</v>
      </c>
    </row>
    <row r="6105" spans="1:18" x14ac:dyDescent="0.25">
      <c r="A6105" t="s">
        <v>16681</v>
      </c>
      <c r="B6105" t="s">
        <v>7130</v>
      </c>
      <c r="C6105" t="str">
        <f>HYPERLINK("https://nematode.unl.edu/meldog16.jpg")</f>
        <v>https://nematode.unl.edu/meldog16.jpg</v>
      </c>
      <c r="D6105" t="s">
        <v>16</v>
      </c>
      <c r="G6105" t="s">
        <v>44</v>
      </c>
      <c r="I6105" t="s">
        <v>45</v>
      </c>
      <c r="J6105" t="s">
        <v>20</v>
      </c>
      <c r="L6105" t="s">
        <v>6889</v>
      </c>
      <c r="M6105" t="s">
        <v>7122</v>
      </c>
      <c r="N6105" t="s">
        <v>7122</v>
      </c>
      <c r="O6105" t="s">
        <v>23</v>
      </c>
      <c r="P6105" t="s">
        <v>24</v>
      </c>
      <c r="Q6105" t="s">
        <v>7123</v>
      </c>
      <c r="R6105" t="s">
        <v>7122</v>
      </c>
    </row>
    <row r="6106" spans="1:18" x14ac:dyDescent="0.25">
      <c r="A6106" t="s">
        <v>16677</v>
      </c>
      <c r="B6106" t="s">
        <v>7131</v>
      </c>
      <c r="C6106" t="str">
        <f>HYPERLINK("https://nematode.unl.edu/meldog17.jpg")</f>
        <v>https://nematode.unl.edu/meldog17.jpg</v>
      </c>
      <c r="G6106" t="s">
        <v>34</v>
      </c>
      <c r="H6106" t="s">
        <v>18</v>
      </c>
      <c r="J6106" t="s">
        <v>20</v>
      </c>
      <c r="M6106" t="s">
        <v>7122</v>
      </c>
      <c r="N6106" t="s">
        <v>7122</v>
      </c>
      <c r="O6106" t="s">
        <v>23</v>
      </c>
      <c r="P6106" t="s">
        <v>24</v>
      </c>
      <c r="Q6106" t="s">
        <v>7123</v>
      </c>
      <c r="R6106" t="s">
        <v>7122</v>
      </c>
    </row>
    <row r="6107" spans="1:18" x14ac:dyDescent="0.25">
      <c r="A6107" t="s">
        <v>16687</v>
      </c>
      <c r="B6107" t="s">
        <v>7132</v>
      </c>
      <c r="C6107" t="str">
        <f>HYPERLINK("https://nematode.unl.edu/meldog18.jpg")</f>
        <v>https://nematode.unl.edu/meldog18.jpg</v>
      </c>
      <c r="D6107" t="s">
        <v>16</v>
      </c>
      <c r="G6107" t="s">
        <v>28</v>
      </c>
      <c r="J6107" t="s">
        <v>20</v>
      </c>
      <c r="M6107" t="s">
        <v>7122</v>
      </c>
      <c r="N6107" t="s">
        <v>7122</v>
      </c>
      <c r="O6107" t="s">
        <v>23</v>
      </c>
      <c r="P6107" t="s">
        <v>24</v>
      </c>
      <c r="Q6107" t="s">
        <v>7123</v>
      </c>
      <c r="R6107" t="s">
        <v>7122</v>
      </c>
    </row>
    <row r="6108" spans="1:18" x14ac:dyDescent="0.25">
      <c r="A6108" t="s">
        <v>16688</v>
      </c>
      <c r="B6108" t="s">
        <v>7133</v>
      </c>
      <c r="C6108" t="str">
        <f>HYPERLINK("https://nematode.unl.edu/meldog2.jpg")</f>
        <v>https://nematode.unl.edu/meldog2.jpg</v>
      </c>
      <c r="D6108" t="s">
        <v>16</v>
      </c>
      <c r="G6108" t="s">
        <v>28</v>
      </c>
      <c r="J6108" t="s">
        <v>20</v>
      </c>
      <c r="L6108" t="s">
        <v>141</v>
      </c>
      <c r="M6108" t="s">
        <v>7122</v>
      </c>
      <c r="N6108" t="s">
        <v>7122</v>
      </c>
      <c r="O6108" t="s">
        <v>23</v>
      </c>
      <c r="P6108" t="s">
        <v>24</v>
      </c>
      <c r="Q6108" t="s">
        <v>7123</v>
      </c>
      <c r="R6108" t="s">
        <v>7122</v>
      </c>
    </row>
    <row r="6109" spans="1:18" x14ac:dyDescent="0.25">
      <c r="A6109" t="s">
        <v>16678</v>
      </c>
      <c r="B6109" t="s">
        <v>7134</v>
      </c>
      <c r="C6109" t="str">
        <f>HYPERLINK("https://nematode.unl.edu/meldog3.jpg")</f>
        <v>https://nematode.unl.edu/meldog3.jpg</v>
      </c>
      <c r="D6109" t="s">
        <v>16</v>
      </c>
      <c r="G6109" t="s">
        <v>34</v>
      </c>
      <c r="H6109" t="s">
        <v>18</v>
      </c>
      <c r="I6109" t="s">
        <v>41</v>
      </c>
      <c r="J6109" t="s">
        <v>20</v>
      </c>
      <c r="L6109" t="s">
        <v>141</v>
      </c>
      <c r="M6109" t="s">
        <v>7122</v>
      </c>
      <c r="N6109" t="s">
        <v>7122</v>
      </c>
      <c r="O6109" t="s">
        <v>23</v>
      </c>
      <c r="P6109" t="s">
        <v>24</v>
      </c>
      <c r="Q6109" t="s">
        <v>7123</v>
      </c>
      <c r="R6109" t="s">
        <v>7122</v>
      </c>
    </row>
    <row r="6110" spans="1:18" x14ac:dyDescent="0.25">
      <c r="A6110" t="s">
        <v>16689</v>
      </c>
      <c r="B6110" t="s">
        <v>7135</v>
      </c>
      <c r="C6110" t="str">
        <f>HYPERLINK("https://nematode.unl.edu/meldog4.jpg")</f>
        <v>https://nematode.unl.edu/meldog4.jpg</v>
      </c>
      <c r="D6110" t="s">
        <v>16</v>
      </c>
      <c r="G6110" t="s">
        <v>28</v>
      </c>
      <c r="I6110" t="s">
        <v>41</v>
      </c>
      <c r="J6110" t="s">
        <v>20</v>
      </c>
      <c r="L6110" t="s">
        <v>352</v>
      </c>
      <c r="M6110" t="s">
        <v>7122</v>
      </c>
      <c r="N6110" t="s">
        <v>7122</v>
      </c>
      <c r="O6110" t="s">
        <v>23</v>
      </c>
      <c r="P6110" t="s">
        <v>24</v>
      </c>
      <c r="Q6110" t="s">
        <v>7123</v>
      </c>
      <c r="R6110" t="s">
        <v>7122</v>
      </c>
    </row>
    <row r="6111" spans="1:18" x14ac:dyDescent="0.25">
      <c r="A6111" t="s">
        <v>16682</v>
      </c>
      <c r="B6111" t="s">
        <v>7136</v>
      </c>
      <c r="C6111" t="str">
        <f>HYPERLINK("https://nematode.unl.edu/meldog5.jpg")</f>
        <v>https://nematode.unl.edu/meldog5.jpg</v>
      </c>
      <c r="D6111" t="s">
        <v>16</v>
      </c>
      <c r="G6111" t="s">
        <v>44</v>
      </c>
      <c r="I6111" t="s">
        <v>45</v>
      </c>
      <c r="J6111" t="s">
        <v>20</v>
      </c>
      <c r="L6111" t="s">
        <v>64</v>
      </c>
      <c r="M6111" t="s">
        <v>7122</v>
      </c>
      <c r="N6111" t="s">
        <v>7122</v>
      </c>
      <c r="O6111" t="s">
        <v>23</v>
      </c>
      <c r="P6111" t="s">
        <v>24</v>
      </c>
      <c r="Q6111" t="s">
        <v>7123</v>
      </c>
      <c r="R6111" t="s">
        <v>7122</v>
      </c>
    </row>
    <row r="6112" spans="1:18" x14ac:dyDescent="0.25">
      <c r="A6112" t="s">
        <v>16679</v>
      </c>
      <c r="B6112" t="s">
        <v>7137</v>
      </c>
      <c r="C6112" t="str">
        <f>HYPERLINK("https://nematode.unl.edu/meldog6.jpg")</f>
        <v>https://nematode.unl.edu/meldog6.jpg</v>
      </c>
      <c r="D6112" t="s">
        <v>16</v>
      </c>
      <c r="G6112" t="s">
        <v>34</v>
      </c>
      <c r="H6112" t="s">
        <v>18</v>
      </c>
      <c r="J6112" t="s">
        <v>20</v>
      </c>
      <c r="L6112" t="s">
        <v>64</v>
      </c>
      <c r="M6112" t="s">
        <v>7122</v>
      </c>
      <c r="N6112" t="s">
        <v>7122</v>
      </c>
      <c r="O6112" t="s">
        <v>23</v>
      </c>
      <c r="P6112" t="s">
        <v>24</v>
      </c>
      <c r="Q6112" t="s">
        <v>7123</v>
      </c>
      <c r="R6112" t="s">
        <v>7122</v>
      </c>
    </row>
    <row r="6113" spans="1:18" x14ac:dyDescent="0.25">
      <c r="A6113" t="s">
        <v>16690</v>
      </c>
      <c r="B6113" t="s">
        <v>7138</v>
      </c>
      <c r="C6113" t="str">
        <f>HYPERLINK("https://nematode.unl.edu/meldog7.jpg")</f>
        <v>https://nematode.unl.edu/meldog7.jpg</v>
      </c>
      <c r="D6113" t="s">
        <v>16</v>
      </c>
      <c r="G6113" t="s">
        <v>28</v>
      </c>
      <c r="I6113" t="s">
        <v>516</v>
      </c>
      <c r="J6113" t="s">
        <v>20</v>
      </c>
      <c r="L6113" t="s">
        <v>64</v>
      </c>
      <c r="M6113" t="s">
        <v>7122</v>
      </c>
      <c r="N6113" t="s">
        <v>7122</v>
      </c>
      <c r="O6113" t="s">
        <v>23</v>
      </c>
      <c r="P6113" t="s">
        <v>24</v>
      </c>
      <c r="Q6113" t="s">
        <v>7123</v>
      </c>
      <c r="R6113" t="s">
        <v>7122</v>
      </c>
    </row>
    <row r="6114" spans="1:18" x14ac:dyDescent="0.25">
      <c r="A6114" t="s">
        <v>16727</v>
      </c>
      <c r="B6114" t="s">
        <v>7142</v>
      </c>
      <c r="C6114" t="str">
        <f>HYPERLINK("https://nematode.unl.edu/meldog8.jpg")</f>
        <v>https://nematode.unl.edu/meldog8.jpg</v>
      </c>
      <c r="D6114" t="s">
        <v>16</v>
      </c>
      <c r="G6114" t="s">
        <v>28</v>
      </c>
      <c r="J6114" t="s">
        <v>20</v>
      </c>
      <c r="M6114" t="s">
        <v>7143</v>
      </c>
      <c r="N6114" t="s">
        <v>7143</v>
      </c>
      <c r="O6114" t="s">
        <v>23</v>
      </c>
      <c r="P6114" t="s">
        <v>24</v>
      </c>
      <c r="Q6114" t="s">
        <v>7123</v>
      </c>
      <c r="R6114" t="s">
        <v>7122</v>
      </c>
    </row>
    <row r="6115" spans="1:18" x14ac:dyDescent="0.25">
      <c r="A6115" t="s">
        <v>16692</v>
      </c>
      <c r="B6115" t="s">
        <v>7144</v>
      </c>
      <c r="C6115" t="str">
        <f>HYPERLINK("https://nematode.unl.edu/meldog9.jpg")</f>
        <v>https://nematode.unl.edu/meldog9.jpg</v>
      </c>
      <c r="D6115" t="s">
        <v>16</v>
      </c>
      <c r="G6115" t="s">
        <v>34</v>
      </c>
      <c r="H6115" t="s">
        <v>18</v>
      </c>
      <c r="J6115" t="s">
        <v>20</v>
      </c>
      <c r="M6115" t="s">
        <v>7143</v>
      </c>
      <c r="N6115" t="s">
        <v>7143</v>
      </c>
      <c r="O6115" t="s">
        <v>23</v>
      </c>
      <c r="P6115" t="s">
        <v>24</v>
      </c>
      <c r="Q6115" t="s">
        <v>7123</v>
      </c>
      <c r="R6115" t="s">
        <v>7122</v>
      </c>
    </row>
    <row r="6116" spans="1:18" x14ac:dyDescent="0.25">
      <c r="A6116" t="s">
        <v>16693</v>
      </c>
      <c r="B6116" t="s">
        <v>7145</v>
      </c>
      <c r="C6116" t="str">
        <f>HYPERLINK("https://nematode.unl.edu/melgel10.jpg")</f>
        <v>https://nematode.unl.edu/melgel10.jpg</v>
      </c>
      <c r="G6116" t="s">
        <v>34</v>
      </c>
      <c r="H6116" t="s">
        <v>18</v>
      </c>
      <c r="M6116" t="s">
        <v>7143</v>
      </c>
      <c r="N6116" t="s">
        <v>7143</v>
      </c>
      <c r="O6116" t="s">
        <v>23</v>
      </c>
      <c r="P6116" t="s">
        <v>24</v>
      </c>
      <c r="Q6116" t="s">
        <v>7123</v>
      </c>
      <c r="R6116" t="s">
        <v>7122</v>
      </c>
    </row>
    <row r="6117" spans="1:18" x14ac:dyDescent="0.25">
      <c r="A6117" t="s">
        <v>16694</v>
      </c>
      <c r="B6117" t="s">
        <v>7146</v>
      </c>
      <c r="C6117" t="str">
        <f>HYPERLINK("https://nematode.unl.edu/melgel11.jpg")</f>
        <v>https://nematode.unl.edu/melgel11.jpg</v>
      </c>
      <c r="D6117" t="s">
        <v>16</v>
      </c>
      <c r="G6117" t="s">
        <v>34</v>
      </c>
      <c r="H6117" t="s">
        <v>18</v>
      </c>
      <c r="I6117" t="s">
        <v>19</v>
      </c>
      <c r="M6117" t="s">
        <v>7143</v>
      </c>
      <c r="N6117" t="s">
        <v>7143</v>
      </c>
      <c r="O6117" t="s">
        <v>23</v>
      </c>
      <c r="P6117" t="s">
        <v>24</v>
      </c>
      <c r="Q6117" t="s">
        <v>7123</v>
      </c>
      <c r="R6117" t="s">
        <v>7122</v>
      </c>
    </row>
    <row r="6118" spans="1:18" x14ac:dyDescent="0.25">
      <c r="A6118" t="s">
        <v>16695</v>
      </c>
      <c r="B6118" t="s">
        <v>7147</v>
      </c>
      <c r="C6118" t="str">
        <f>HYPERLINK("https://nematode.unl.edu/melgel12.jpg")</f>
        <v>https://nematode.unl.edu/melgel12.jpg</v>
      </c>
      <c r="D6118" t="s">
        <v>16</v>
      </c>
      <c r="G6118" t="s">
        <v>34</v>
      </c>
      <c r="H6118" t="s">
        <v>18</v>
      </c>
      <c r="I6118" t="s">
        <v>19</v>
      </c>
      <c r="M6118" t="s">
        <v>7143</v>
      </c>
      <c r="N6118" t="s">
        <v>7143</v>
      </c>
      <c r="O6118" t="s">
        <v>23</v>
      </c>
      <c r="P6118" t="s">
        <v>24</v>
      </c>
      <c r="Q6118" t="s">
        <v>7123</v>
      </c>
      <c r="R6118" t="s">
        <v>7122</v>
      </c>
    </row>
    <row r="6119" spans="1:18" x14ac:dyDescent="0.25">
      <c r="A6119" t="s">
        <v>16696</v>
      </c>
      <c r="B6119" t="s">
        <v>7148</v>
      </c>
      <c r="C6119" t="str">
        <f>HYPERLINK("https://nematode.unl.edu/melgel13.jpg")</f>
        <v>https://nematode.unl.edu/melgel13.jpg</v>
      </c>
      <c r="D6119" t="s">
        <v>16</v>
      </c>
      <c r="G6119" t="s">
        <v>34</v>
      </c>
      <c r="H6119" t="s">
        <v>18</v>
      </c>
      <c r="I6119" t="s">
        <v>41</v>
      </c>
      <c r="M6119" t="s">
        <v>7143</v>
      </c>
      <c r="N6119" t="s">
        <v>7143</v>
      </c>
      <c r="O6119" t="s">
        <v>23</v>
      </c>
      <c r="P6119" t="s">
        <v>24</v>
      </c>
      <c r="Q6119" t="s">
        <v>7123</v>
      </c>
      <c r="R6119" t="s">
        <v>7122</v>
      </c>
    </row>
    <row r="6120" spans="1:18" x14ac:dyDescent="0.25">
      <c r="A6120" t="s">
        <v>16697</v>
      </c>
      <c r="B6120" t="s">
        <v>7149</v>
      </c>
      <c r="C6120" t="str">
        <f>HYPERLINK("https://nematode.unl.edu/melgel14.jpg")</f>
        <v>https://nematode.unl.edu/melgel14.jpg</v>
      </c>
      <c r="D6120" t="s">
        <v>16</v>
      </c>
      <c r="G6120" t="s">
        <v>34</v>
      </c>
      <c r="H6120" t="s">
        <v>18</v>
      </c>
      <c r="I6120" t="s">
        <v>41</v>
      </c>
      <c r="M6120" t="s">
        <v>7143</v>
      </c>
      <c r="N6120" t="s">
        <v>7143</v>
      </c>
      <c r="O6120" t="s">
        <v>23</v>
      </c>
      <c r="P6120" t="s">
        <v>24</v>
      </c>
      <c r="Q6120" t="s">
        <v>7123</v>
      </c>
      <c r="R6120" t="s">
        <v>7122</v>
      </c>
    </row>
    <row r="6121" spans="1:18" x14ac:dyDescent="0.25">
      <c r="A6121" t="s">
        <v>16698</v>
      </c>
      <c r="B6121" t="s">
        <v>7150</v>
      </c>
      <c r="C6121" t="str">
        <f>HYPERLINK("https://nematode.unl.edu/melgel15.jpg")</f>
        <v>https://nematode.unl.edu/melgel15.jpg</v>
      </c>
      <c r="D6121" t="s">
        <v>16</v>
      </c>
      <c r="G6121" t="s">
        <v>34</v>
      </c>
      <c r="H6121" t="s">
        <v>18</v>
      </c>
      <c r="I6121" t="s">
        <v>41</v>
      </c>
      <c r="M6121" t="s">
        <v>7143</v>
      </c>
      <c r="N6121" t="s">
        <v>7143</v>
      </c>
      <c r="O6121" t="s">
        <v>23</v>
      </c>
      <c r="P6121" t="s">
        <v>24</v>
      </c>
      <c r="Q6121" t="s">
        <v>7123</v>
      </c>
      <c r="R6121" t="s">
        <v>7122</v>
      </c>
    </row>
    <row r="6122" spans="1:18" x14ac:dyDescent="0.25">
      <c r="A6122" t="s">
        <v>16728</v>
      </c>
      <c r="B6122" t="s">
        <v>7151</v>
      </c>
      <c r="C6122" t="str">
        <f>HYPERLINK("https://nematode.unl.edu/melgel16.jpg")</f>
        <v>https://nematode.unl.edu/melgel16.jpg</v>
      </c>
      <c r="D6122" t="s">
        <v>16</v>
      </c>
      <c r="G6122" t="s">
        <v>28</v>
      </c>
      <c r="I6122" t="s">
        <v>19</v>
      </c>
      <c r="M6122" t="s">
        <v>7143</v>
      </c>
      <c r="N6122" t="s">
        <v>7143</v>
      </c>
      <c r="O6122" t="s">
        <v>23</v>
      </c>
      <c r="P6122" t="s">
        <v>24</v>
      </c>
      <c r="Q6122" t="s">
        <v>7123</v>
      </c>
      <c r="R6122" t="s">
        <v>7122</v>
      </c>
    </row>
    <row r="6123" spans="1:18" x14ac:dyDescent="0.25">
      <c r="A6123" t="s">
        <v>16729</v>
      </c>
      <c r="B6123" t="s">
        <v>7152</v>
      </c>
      <c r="C6123" t="str">
        <f>HYPERLINK("https://nematode.unl.edu/melgel17.jpg")</f>
        <v>https://nematode.unl.edu/melgel17.jpg</v>
      </c>
      <c r="D6123" t="s">
        <v>16</v>
      </c>
      <c r="G6123" t="s">
        <v>28</v>
      </c>
      <c r="I6123" t="s">
        <v>516</v>
      </c>
      <c r="M6123" t="s">
        <v>7143</v>
      </c>
      <c r="N6123" t="s">
        <v>7143</v>
      </c>
      <c r="O6123" t="s">
        <v>23</v>
      </c>
      <c r="P6123" t="s">
        <v>24</v>
      </c>
      <c r="Q6123" t="s">
        <v>7123</v>
      </c>
      <c r="R6123" t="s">
        <v>7122</v>
      </c>
    </row>
    <row r="6124" spans="1:18" x14ac:dyDescent="0.25">
      <c r="A6124" t="s">
        <v>16730</v>
      </c>
      <c r="B6124" t="s">
        <v>7153</v>
      </c>
      <c r="C6124" t="str">
        <f>HYPERLINK("https://nematode.unl.edu/melgel18.jpg")</f>
        <v>https://nematode.unl.edu/melgel18.jpg</v>
      </c>
      <c r="D6124" t="s">
        <v>16</v>
      </c>
      <c r="G6124" t="s">
        <v>28</v>
      </c>
      <c r="I6124" t="s">
        <v>19</v>
      </c>
      <c r="M6124" t="s">
        <v>7143</v>
      </c>
      <c r="N6124" t="s">
        <v>7143</v>
      </c>
      <c r="O6124" t="s">
        <v>23</v>
      </c>
      <c r="P6124" t="s">
        <v>24</v>
      </c>
      <c r="Q6124" t="s">
        <v>7123</v>
      </c>
      <c r="R6124" t="s">
        <v>7122</v>
      </c>
    </row>
    <row r="6125" spans="1:18" x14ac:dyDescent="0.25">
      <c r="A6125" t="s">
        <v>16731</v>
      </c>
      <c r="B6125" t="s">
        <v>7154</v>
      </c>
      <c r="C6125" t="str">
        <f>HYPERLINK("https://nematode.unl.edu/melgel19.jpg")</f>
        <v>https://nematode.unl.edu/melgel19.jpg</v>
      </c>
      <c r="D6125" t="s">
        <v>16</v>
      </c>
      <c r="G6125" t="s">
        <v>28</v>
      </c>
      <c r="I6125" t="s">
        <v>41</v>
      </c>
      <c r="M6125" t="s">
        <v>7143</v>
      </c>
      <c r="N6125" t="s">
        <v>7143</v>
      </c>
      <c r="O6125" t="s">
        <v>23</v>
      </c>
      <c r="P6125" t="s">
        <v>24</v>
      </c>
      <c r="Q6125" t="s">
        <v>7123</v>
      </c>
      <c r="R6125" t="s">
        <v>7122</v>
      </c>
    </row>
    <row r="6126" spans="1:18" x14ac:dyDescent="0.25">
      <c r="A6126" t="s">
        <v>16732</v>
      </c>
      <c r="B6126" t="s">
        <v>7155</v>
      </c>
      <c r="C6126" t="str">
        <f>HYPERLINK("https://nematode.unl.edu/melgel20.jpg")</f>
        <v>https://nematode.unl.edu/melgel20.jpg</v>
      </c>
      <c r="D6126" t="s">
        <v>16</v>
      </c>
      <c r="G6126" t="s">
        <v>28</v>
      </c>
      <c r="I6126" t="s">
        <v>41</v>
      </c>
      <c r="M6126" t="s">
        <v>7143</v>
      </c>
      <c r="N6126" t="s">
        <v>7143</v>
      </c>
      <c r="O6126" t="s">
        <v>23</v>
      </c>
      <c r="P6126" t="s">
        <v>24</v>
      </c>
      <c r="Q6126" t="s">
        <v>7123</v>
      </c>
      <c r="R6126" t="s">
        <v>7122</v>
      </c>
    </row>
    <row r="6127" spans="1:18" x14ac:dyDescent="0.25">
      <c r="A6127" t="s">
        <v>16733</v>
      </c>
      <c r="B6127" t="s">
        <v>7156</v>
      </c>
      <c r="C6127" t="str">
        <f>HYPERLINK("https://nematode.unl.edu/melgel21.jpg")</f>
        <v>https://nematode.unl.edu/melgel21.jpg</v>
      </c>
      <c r="D6127" t="s">
        <v>16</v>
      </c>
      <c r="G6127" t="s">
        <v>28</v>
      </c>
      <c r="I6127" t="s">
        <v>41</v>
      </c>
      <c r="M6127" t="s">
        <v>7143</v>
      </c>
      <c r="N6127" t="s">
        <v>7143</v>
      </c>
      <c r="O6127" t="s">
        <v>23</v>
      </c>
      <c r="P6127" t="s">
        <v>24</v>
      </c>
      <c r="Q6127" t="s">
        <v>7123</v>
      </c>
      <c r="R6127" t="s">
        <v>7122</v>
      </c>
    </row>
    <row r="6128" spans="1:18" x14ac:dyDescent="0.25">
      <c r="A6128" t="s">
        <v>16723</v>
      </c>
      <c r="B6128" t="s">
        <v>7157</v>
      </c>
      <c r="C6128" t="str">
        <f>HYPERLINK("https://nematode.unl.edu/melgel22.jpg")</f>
        <v>https://nematode.unl.edu/melgel22.jpg</v>
      </c>
      <c r="D6128" t="s">
        <v>43</v>
      </c>
      <c r="G6128" t="s">
        <v>7158</v>
      </c>
      <c r="I6128" t="s">
        <v>529</v>
      </c>
      <c r="M6128" t="s">
        <v>7143</v>
      </c>
      <c r="N6128" t="s">
        <v>7143</v>
      </c>
      <c r="O6128" t="s">
        <v>23</v>
      </c>
      <c r="P6128" t="s">
        <v>24</v>
      </c>
      <c r="Q6128" t="s">
        <v>7123</v>
      </c>
      <c r="R6128" t="s">
        <v>7122</v>
      </c>
    </row>
    <row r="6129" spans="1:18" x14ac:dyDescent="0.25">
      <c r="A6129" t="s">
        <v>16724</v>
      </c>
      <c r="B6129" t="s">
        <v>7159</v>
      </c>
      <c r="C6129" t="str">
        <f>HYPERLINK("https://nematode.unl.edu/melgel23.jpg")</f>
        <v>https://nematode.unl.edu/melgel23.jpg</v>
      </c>
      <c r="D6129" t="s">
        <v>43</v>
      </c>
      <c r="G6129" t="s">
        <v>7158</v>
      </c>
      <c r="I6129" t="s">
        <v>516</v>
      </c>
      <c r="M6129" t="s">
        <v>7143</v>
      </c>
      <c r="N6129" t="s">
        <v>7143</v>
      </c>
      <c r="O6129" t="s">
        <v>23</v>
      </c>
      <c r="P6129" t="s">
        <v>24</v>
      </c>
      <c r="Q6129" t="s">
        <v>7123</v>
      </c>
      <c r="R6129" t="s">
        <v>7122</v>
      </c>
    </row>
    <row r="6130" spans="1:18" x14ac:dyDescent="0.25">
      <c r="A6130" t="s">
        <v>16725</v>
      </c>
      <c r="B6130" t="s">
        <v>7160</v>
      </c>
      <c r="C6130" t="str">
        <f>HYPERLINK("https://nematode.unl.edu/melgel24.jpg")</f>
        <v>https://nematode.unl.edu/melgel24.jpg</v>
      </c>
      <c r="D6130" t="s">
        <v>43</v>
      </c>
      <c r="G6130" t="s">
        <v>7158</v>
      </c>
      <c r="I6130" t="s">
        <v>19</v>
      </c>
      <c r="M6130" t="s">
        <v>7143</v>
      </c>
      <c r="N6130" t="s">
        <v>7143</v>
      </c>
      <c r="O6130" t="s">
        <v>23</v>
      </c>
      <c r="P6130" t="s">
        <v>24</v>
      </c>
      <c r="Q6130" t="s">
        <v>7123</v>
      </c>
      <c r="R6130" t="s">
        <v>7122</v>
      </c>
    </row>
    <row r="6131" spans="1:18" x14ac:dyDescent="0.25">
      <c r="A6131" t="s">
        <v>16726</v>
      </c>
      <c r="B6131" t="s">
        <v>7161</v>
      </c>
      <c r="C6131" t="str">
        <f>HYPERLINK("https://nematode.unl.edu/melgel25.jpg")</f>
        <v>https://nematode.unl.edu/melgel25.jpg</v>
      </c>
      <c r="D6131" t="s">
        <v>43</v>
      </c>
      <c r="G6131" t="s">
        <v>7158</v>
      </c>
      <c r="I6131" t="s">
        <v>137</v>
      </c>
      <c r="M6131" t="s">
        <v>7143</v>
      </c>
      <c r="N6131" t="s">
        <v>7143</v>
      </c>
      <c r="O6131" t="s">
        <v>23</v>
      </c>
      <c r="P6131" t="s">
        <v>24</v>
      </c>
      <c r="Q6131" t="s">
        <v>7123</v>
      </c>
      <c r="R6131" t="s">
        <v>7122</v>
      </c>
    </row>
    <row r="6132" spans="1:18" x14ac:dyDescent="0.25">
      <c r="A6132" t="s">
        <v>16711</v>
      </c>
      <c r="B6132" t="s">
        <v>7162</v>
      </c>
      <c r="C6132" t="str">
        <f>HYPERLINK("https://nematode.unl.edu/melgel26.jpg")</f>
        <v>https://nematode.unl.edu/melgel26.jpg</v>
      </c>
      <c r="D6132" t="s">
        <v>16</v>
      </c>
      <c r="G6132" t="s">
        <v>44</v>
      </c>
      <c r="I6132" t="s">
        <v>45</v>
      </c>
      <c r="M6132" t="s">
        <v>7143</v>
      </c>
      <c r="N6132" t="s">
        <v>7143</v>
      </c>
      <c r="O6132" t="s">
        <v>23</v>
      </c>
      <c r="P6132" t="s">
        <v>24</v>
      </c>
      <c r="Q6132" t="s">
        <v>7123</v>
      </c>
      <c r="R6132" t="s">
        <v>7122</v>
      </c>
    </row>
    <row r="6133" spans="1:18" x14ac:dyDescent="0.25">
      <c r="A6133" t="s">
        <v>16720</v>
      </c>
      <c r="B6133" t="s">
        <v>7163</v>
      </c>
      <c r="C6133" t="str">
        <f>HYPERLINK("https://nematode.unl.edu/melgel29.jpg")</f>
        <v>https://nematode.unl.edu/melgel29.jpg</v>
      </c>
      <c r="D6133" t="s">
        <v>43</v>
      </c>
      <c r="G6133" t="s">
        <v>108</v>
      </c>
      <c r="M6133" t="s">
        <v>7143</v>
      </c>
      <c r="N6133" t="s">
        <v>7143</v>
      </c>
      <c r="O6133" t="s">
        <v>23</v>
      </c>
      <c r="P6133" t="s">
        <v>24</v>
      </c>
      <c r="Q6133" t="s">
        <v>7123</v>
      </c>
      <c r="R6133" t="s">
        <v>7122</v>
      </c>
    </row>
    <row r="6134" spans="1:18" x14ac:dyDescent="0.25">
      <c r="A6134" t="s">
        <v>16691</v>
      </c>
      <c r="B6134" t="s">
        <v>7164</v>
      </c>
      <c r="C6134" t="str">
        <f>HYPERLINK("https://nematode.unl.edu/melgelcmp.jpg")</f>
        <v>https://nematode.unl.edu/melgelcmp.jpg</v>
      </c>
      <c r="D6134" t="s">
        <v>16</v>
      </c>
      <c r="G6134" t="s">
        <v>96</v>
      </c>
      <c r="H6134" t="s">
        <v>18</v>
      </c>
      <c r="M6134" t="s">
        <v>7143</v>
      </c>
      <c r="N6134" t="s">
        <v>7143</v>
      </c>
      <c r="O6134" t="s">
        <v>23</v>
      </c>
      <c r="P6134" t="s">
        <v>24</v>
      </c>
      <c r="Q6134" t="s">
        <v>7123</v>
      </c>
      <c r="R6134" t="s">
        <v>7122</v>
      </c>
    </row>
    <row r="6135" spans="1:18" x14ac:dyDescent="0.25">
      <c r="A6135" t="s">
        <v>16764</v>
      </c>
      <c r="B6135" t="s">
        <v>7213</v>
      </c>
      <c r="C6135" t="str">
        <f>HYPERLINK("https://nematode.unl.edu/melgra1.jpg")</f>
        <v>https://nematode.unl.edu/melgra1.jpg</v>
      </c>
      <c r="D6135" t="s">
        <v>16</v>
      </c>
      <c r="G6135" t="s">
        <v>44</v>
      </c>
      <c r="I6135" t="s">
        <v>45</v>
      </c>
      <c r="J6135" t="s">
        <v>20</v>
      </c>
      <c r="L6135" t="s">
        <v>85</v>
      </c>
      <c r="M6135" t="s">
        <v>7214</v>
      </c>
      <c r="N6135" t="s">
        <v>7214</v>
      </c>
      <c r="O6135" t="s">
        <v>23</v>
      </c>
      <c r="P6135" t="s">
        <v>24</v>
      </c>
      <c r="Q6135" t="s">
        <v>7123</v>
      </c>
      <c r="R6135" t="s">
        <v>7122</v>
      </c>
    </row>
    <row r="6136" spans="1:18" x14ac:dyDescent="0.25">
      <c r="A6136" t="s">
        <v>16757</v>
      </c>
      <c r="B6136" t="s">
        <v>7215</v>
      </c>
      <c r="C6136" t="str">
        <f>HYPERLINK("https://nematode.unl.edu/melgra2.jpg")</f>
        <v>https://nematode.unl.edu/melgra2.jpg</v>
      </c>
      <c r="D6136" t="s">
        <v>16</v>
      </c>
      <c r="G6136" t="s">
        <v>34</v>
      </c>
      <c r="H6136" t="s">
        <v>18</v>
      </c>
      <c r="I6136" t="s">
        <v>19</v>
      </c>
      <c r="M6136" t="s">
        <v>7214</v>
      </c>
      <c r="N6136" t="s">
        <v>7214</v>
      </c>
      <c r="O6136" t="s">
        <v>23</v>
      </c>
      <c r="P6136" t="s">
        <v>24</v>
      </c>
      <c r="Q6136" t="s">
        <v>7123</v>
      </c>
      <c r="R6136" t="s">
        <v>7122</v>
      </c>
    </row>
    <row r="6137" spans="1:18" x14ac:dyDescent="0.25">
      <c r="A6137" t="s">
        <v>16766</v>
      </c>
      <c r="B6137" t="s">
        <v>7216</v>
      </c>
      <c r="C6137" t="str">
        <f>HYPERLINK("https://nematode.unl.edu/melgra3.jpg")</f>
        <v>https://nematode.unl.edu/melgra3.jpg</v>
      </c>
      <c r="D6137" t="s">
        <v>16</v>
      </c>
      <c r="G6137" t="s">
        <v>28</v>
      </c>
      <c r="I6137" t="s">
        <v>19</v>
      </c>
      <c r="M6137" t="s">
        <v>7214</v>
      </c>
      <c r="N6137" t="s">
        <v>7214</v>
      </c>
      <c r="O6137" t="s">
        <v>23</v>
      </c>
      <c r="P6137" t="s">
        <v>24</v>
      </c>
      <c r="Q6137" t="s">
        <v>7123</v>
      </c>
      <c r="R6137" t="s">
        <v>7122</v>
      </c>
    </row>
    <row r="6138" spans="1:18" x14ac:dyDescent="0.25">
      <c r="A6138" t="s">
        <v>16758</v>
      </c>
      <c r="B6138" t="s">
        <v>7217</v>
      </c>
      <c r="C6138" t="str">
        <f>HYPERLINK("https://nematode.unl.edu/melgra4.jpg")</f>
        <v>https://nematode.unl.edu/melgra4.jpg</v>
      </c>
      <c r="D6138" t="s">
        <v>16</v>
      </c>
      <c r="G6138" t="s">
        <v>34</v>
      </c>
      <c r="H6138" t="s">
        <v>18</v>
      </c>
      <c r="I6138" t="s">
        <v>19</v>
      </c>
      <c r="J6138" t="s">
        <v>20</v>
      </c>
      <c r="L6138" t="s">
        <v>752</v>
      </c>
      <c r="M6138" t="s">
        <v>7214</v>
      </c>
      <c r="N6138" t="s">
        <v>7214</v>
      </c>
      <c r="O6138" t="s">
        <v>23</v>
      </c>
      <c r="P6138" t="s">
        <v>24</v>
      </c>
      <c r="Q6138" t="s">
        <v>7123</v>
      </c>
      <c r="R6138" t="s">
        <v>7122</v>
      </c>
    </row>
    <row r="6139" spans="1:18" x14ac:dyDescent="0.25">
      <c r="A6139" t="s">
        <v>16767</v>
      </c>
      <c r="B6139" t="s">
        <v>7218</v>
      </c>
      <c r="C6139" t="str">
        <f>HYPERLINK("https://nematode.unl.edu/melgra5.jpg")</f>
        <v>https://nematode.unl.edu/melgra5.jpg</v>
      </c>
      <c r="D6139" t="s">
        <v>16</v>
      </c>
      <c r="G6139" t="s">
        <v>28</v>
      </c>
      <c r="I6139" t="s">
        <v>516</v>
      </c>
      <c r="J6139" t="s">
        <v>20</v>
      </c>
      <c r="L6139" t="s">
        <v>752</v>
      </c>
      <c r="M6139" t="s">
        <v>7214</v>
      </c>
      <c r="N6139" t="s">
        <v>7214</v>
      </c>
      <c r="O6139" t="s">
        <v>23</v>
      </c>
      <c r="P6139" t="s">
        <v>24</v>
      </c>
      <c r="Q6139" t="s">
        <v>7123</v>
      </c>
      <c r="R6139" t="s">
        <v>7122</v>
      </c>
    </row>
    <row r="6140" spans="1:18" x14ac:dyDescent="0.25">
      <c r="A6140" t="s">
        <v>16759</v>
      </c>
      <c r="B6140" t="s">
        <v>7219</v>
      </c>
      <c r="C6140" t="str">
        <f>HYPERLINK("https://nematode.unl.edu/melgra6.jpg")</f>
        <v>https://nematode.unl.edu/melgra6.jpg</v>
      </c>
      <c r="D6140" t="s">
        <v>16</v>
      </c>
      <c r="G6140" t="s">
        <v>34</v>
      </c>
      <c r="H6140" t="s">
        <v>18</v>
      </c>
      <c r="I6140" t="s">
        <v>41</v>
      </c>
      <c r="J6140" t="s">
        <v>20</v>
      </c>
      <c r="L6140" t="s">
        <v>752</v>
      </c>
      <c r="M6140" t="s">
        <v>7214</v>
      </c>
      <c r="N6140" t="s">
        <v>7214</v>
      </c>
      <c r="O6140" t="s">
        <v>23</v>
      </c>
      <c r="P6140" t="s">
        <v>24</v>
      </c>
      <c r="Q6140" t="s">
        <v>7123</v>
      </c>
      <c r="R6140" t="s">
        <v>7122</v>
      </c>
    </row>
    <row r="6141" spans="1:18" x14ac:dyDescent="0.25">
      <c r="A6141" t="s">
        <v>16768</v>
      </c>
      <c r="B6141" t="s">
        <v>7220</v>
      </c>
      <c r="C6141" t="str">
        <f>HYPERLINK("https://nematode.unl.edu/melgra7.jpg")</f>
        <v>https://nematode.unl.edu/melgra7.jpg</v>
      </c>
      <c r="D6141" t="s">
        <v>16</v>
      </c>
      <c r="G6141" t="s">
        <v>28</v>
      </c>
      <c r="I6141" t="s">
        <v>41</v>
      </c>
      <c r="J6141" t="s">
        <v>20</v>
      </c>
      <c r="L6141" t="s">
        <v>752</v>
      </c>
      <c r="M6141" t="s">
        <v>7214</v>
      </c>
      <c r="N6141" t="s">
        <v>7214</v>
      </c>
      <c r="O6141" t="s">
        <v>23</v>
      </c>
      <c r="P6141" t="s">
        <v>24</v>
      </c>
      <c r="Q6141" t="s">
        <v>7123</v>
      </c>
      <c r="R6141" t="s">
        <v>7122</v>
      </c>
    </row>
    <row r="6142" spans="1:18" x14ac:dyDescent="0.25">
      <c r="A6142" t="s">
        <v>16760</v>
      </c>
      <c r="B6142" t="s">
        <v>7221</v>
      </c>
      <c r="C6142" t="str">
        <f>HYPERLINK("https://nematode.unl.edu/melgram1.jpg")</f>
        <v>https://nematode.unl.edu/melgram1.jpg</v>
      </c>
      <c r="D6142" t="s">
        <v>16</v>
      </c>
      <c r="G6142" t="s">
        <v>34</v>
      </c>
      <c r="H6142" t="s">
        <v>18</v>
      </c>
      <c r="I6142" t="s">
        <v>19</v>
      </c>
      <c r="J6142" t="s">
        <v>3679</v>
      </c>
      <c r="M6142" t="s">
        <v>7214</v>
      </c>
      <c r="N6142" t="s">
        <v>7214</v>
      </c>
      <c r="O6142" t="s">
        <v>23</v>
      </c>
      <c r="P6142" t="s">
        <v>24</v>
      </c>
      <c r="Q6142" t="s">
        <v>7123</v>
      </c>
      <c r="R6142" t="s">
        <v>7122</v>
      </c>
    </row>
    <row r="6143" spans="1:18" x14ac:dyDescent="0.25">
      <c r="A6143" t="s">
        <v>16761</v>
      </c>
      <c r="B6143" t="s">
        <v>7222</v>
      </c>
      <c r="C6143" t="str">
        <f>HYPERLINK("https://nematode.unl.edu/melgram2.jpg")</f>
        <v>https://nematode.unl.edu/melgram2.jpg</v>
      </c>
      <c r="D6143" t="s">
        <v>16</v>
      </c>
      <c r="G6143" t="s">
        <v>34</v>
      </c>
      <c r="H6143" t="s">
        <v>18</v>
      </c>
      <c r="I6143" t="s">
        <v>19</v>
      </c>
      <c r="J6143" t="s">
        <v>3679</v>
      </c>
      <c r="M6143" t="s">
        <v>7214</v>
      </c>
      <c r="N6143" t="s">
        <v>7214</v>
      </c>
      <c r="O6143" t="s">
        <v>23</v>
      </c>
      <c r="P6143" t="s">
        <v>24</v>
      </c>
      <c r="Q6143" t="s">
        <v>7123</v>
      </c>
      <c r="R6143" t="s">
        <v>7122</v>
      </c>
    </row>
    <row r="6144" spans="1:18" x14ac:dyDescent="0.25">
      <c r="A6144" t="s">
        <v>16769</v>
      </c>
      <c r="B6144" t="s">
        <v>7223</v>
      </c>
      <c r="C6144" t="str">
        <f>HYPERLINK("https://nematode.unl.edu/melgram3.jpg")</f>
        <v>https://nematode.unl.edu/melgram3.jpg</v>
      </c>
      <c r="D6144" t="s">
        <v>16</v>
      </c>
      <c r="G6144" t="s">
        <v>28</v>
      </c>
      <c r="I6144" t="s">
        <v>19</v>
      </c>
      <c r="M6144" t="s">
        <v>7214</v>
      </c>
      <c r="N6144" t="s">
        <v>7214</v>
      </c>
      <c r="O6144" t="s">
        <v>23</v>
      </c>
      <c r="P6144" t="s">
        <v>24</v>
      </c>
      <c r="Q6144" t="s">
        <v>7123</v>
      </c>
      <c r="R6144" t="s">
        <v>7122</v>
      </c>
    </row>
    <row r="6145" spans="1:18" x14ac:dyDescent="0.25">
      <c r="A6145" t="s">
        <v>16762</v>
      </c>
      <c r="B6145" t="s">
        <v>7224</v>
      </c>
      <c r="C6145" t="str">
        <f>HYPERLINK("https://nematode.unl.edu/melgram4.jpg")</f>
        <v>https://nematode.unl.edu/melgram4.jpg</v>
      </c>
      <c r="D6145" t="s">
        <v>16</v>
      </c>
      <c r="G6145" t="s">
        <v>34</v>
      </c>
      <c r="H6145" t="s">
        <v>18</v>
      </c>
      <c r="I6145" t="s">
        <v>41</v>
      </c>
      <c r="J6145" t="s">
        <v>3679</v>
      </c>
      <c r="M6145" t="s">
        <v>7214</v>
      </c>
      <c r="N6145" t="s">
        <v>7214</v>
      </c>
      <c r="O6145" t="s">
        <v>23</v>
      </c>
      <c r="P6145" t="s">
        <v>24</v>
      </c>
      <c r="Q6145" t="s">
        <v>7123</v>
      </c>
      <c r="R6145" t="s">
        <v>7122</v>
      </c>
    </row>
    <row r="6146" spans="1:18" x14ac:dyDescent="0.25">
      <c r="A6146" t="s">
        <v>16763</v>
      </c>
      <c r="B6146" t="s">
        <v>7225</v>
      </c>
      <c r="C6146" t="str">
        <f>HYPERLINK("https://nematode.unl.edu/melgram5.jpg")</f>
        <v>https://nematode.unl.edu/melgram5.jpg</v>
      </c>
      <c r="D6146" t="s">
        <v>16</v>
      </c>
      <c r="G6146" t="s">
        <v>34</v>
      </c>
      <c r="H6146" t="s">
        <v>18</v>
      </c>
      <c r="I6146" t="s">
        <v>41</v>
      </c>
      <c r="J6146" t="s">
        <v>3679</v>
      </c>
      <c r="M6146" t="s">
        <v>7214</v>
      </c>
      <c r="N6146" t="s">
        <v>7214</v>
      </c>
      <c r="O6146" t="s">
        <v>23</v>
      </c>
      <c r="P6146" t="s">
        <v>24</v>
      </c>
      <c r="Q6146" t="s">
        <v>7123</v>
      </c>
      <c r="R6146" t="s">
        <v>7122</v>
      </c>
    </row>
    <row r="6147" spans="1:18" x14ac:dyDescent="0.25">
      <c r="A6147" t="s">
        <v>16765</v>
      </c>
      <c r="B6147" t="s">
        <v>7226</v>
      </c>
      <c r="C6147" t="str">
        <f>HYPERLINK("https://nematode.unl.edu/melgram6.jpg")</f>
        <v>https://nematode.unl.edu/melgram6.jpg</v>
      </c>
      <c r="D6147" t="s">
        <v>16</v>
      </c>
      <c r="G6147" t="s">
        <v>53</v>
      </c>
      <c r="I6147" t="s">
        <v>41</v>
      </c>
      <c r="J6147" t="s">
        <v>3679</v>
      </c>
      <c r="M6147" t="s">
        <v>7214</v>
      </c>
      <c r="N6147" t="s">
        <v>7214</v>
      </c>
      <c r="O6147" t="s">
        <v>23</v>
      </c>
      <c r="P6147" t="s">
        <v>24</v>
      </c>
      <c r="Q6147" t="s">
        <v>7123</v>
      </c>
      <c r="R6147" t="s">
        <v>7122</v>
      </c>
    </row>
    <row r="6148" spans="1:18" x14ac:dyDescent="0.25">
      <c r="A6148" t="s">
        <v>16770</v>
      </c>
      <c r="B6148" t="s">
        <v>7227</v>
      </c>
      <c r="C6148" t="str">
        <f>HYPERLINK("https://nematode.unl.edu/melgram7.jpg")</f>
        <v>https://nematode.unl.edu/melgram7.jpg</v>
      </c>
      <c r="D6148" t="s">
        <v>16</v>
      </c>
      <c r="G6148" t="s">
        <v>28</v>
      </c>
      <c r="I6148" t="s">
        <v>41</v>
      </c>
      <c r="J6148" t="s">
        <v>3679</v>
      </c>
      <c r="M6148" t="s">
        <v>7214</v>
      </c>
      <c r="N6148" t="s">
        <v>7214</v>
      </c>
      <c r="O6148" t="s">
        <v>23</v>
      </c>
      <c r="P6148" t="s">
        <v>24</v>
      </c>
      <c r="Q6148" t="s">
        <v>7123</v>
      </c>
      <c r="R6148" t="s">
        <v>7122</v>
      </c>
    </row>
    <row r="6149" spans="1:18" x14ac:dyDescent="0.25">
      <c r="A6149" t="s">
        <v>16816</v>
      </c>
      <c r="B6149" t="s">
        <v>7228</v>
      </c>
      <c r="C6149" t="str">
        <f>HYPERLINK("https://nematode.unl.edu/melhap10.jpg")</f>
        <v>https://nematode.unl.edu/melhap10.jpg</v>
      </c>
      <c r="D6149" t="s">
        <v>16</v>
      </c>
      <c r="G6149" t="s">
        <v>28</v>
      </c>
      <c r="I6149" t="s">
        <v>529</v>
      </c>
      <c r="J6149" t="s">
        <v>7229</v>
      </c>
      <c r="L6149" t="s">
        <v>4481</v>
      </c>
      <c r="M6149" t="s">
        <v>7230</v>
      </c>
      <c r="N6149" t="s">
        <v>7230</v>
      </c>
      <c r="O6149" t="s">
        <v>23</v>
      </c>
      <c r="P6149" t="s">
        <v>24</v>
      </c>
      <c r="Q6149" t="s">
        <v>7123</v>
      </c>
      <c r="R6149" t="s">
        <v>7122</v>
      </c>
    </row>
    <row r="6150" spans="1:18" x14ac:dyDescent="0.25">
      <c r="A6150" t="s">
        <v>16795</v>
      </c>
      <c r="B6150" t="s">
        <v>7231</v>
      </c>
      <c r="C6150" t="str">
        <f>HYPERLINK("https://nematode.unl.edu/melhap11.jpg")</f>
        <v>https://nematode.unl.edu/melhap11.jpg</v>
      </c>
      <c r="D6150" t="s">
        <v>77</v>
      </c>
      <c r="G6150" t="s">
        <v>44</v>
      </c>
      <c r="I6150" t="s">
        <v>45</v>
      </c>
      <c r="M6150" t="s">
        <v>7230</v>
      </c>
      <c r="N6150" t="s">
        <v>7230</v>
      </c>
      <c r="O6150" t="s">
        <v>23</v>
      </c>
      <c r="P6150" t="s">
        <v>24</v>
      </c>
      <c r="Q6150" t="s">
        <v>7123</v>
      </c>
      <c r="R6150" t="s">
        <v>7122</v>
      </c>
    </row>
    <row r="6151" spans="1:18" x14ac:dyDescent="0.25">
      <c r="A6151" t="s">
        <v>16771</v>
      </c>
      <c r="B6151" t="s">
        <v>7232</v>
      </c>
      <c r="C6151" t="str">
        <f>HYPERLINK("https://nematode.unl.edu/melhap12.jpg")</f>
        <v>https://nematode.unl.edu/melhap12.jpg</v>
      </c>
      <c r="D6151" t="s">
        <v>77</v>
      </c>
      <c r="G6151" t="s">
        <v>96</v>
      </c>
      <c r="H6151" t="s">
        <v>18</v>
      </c>
      <c r="I6151" t="s">
        <v>19</v>
      </c>
      <c r="M6151" t="s">
        <v>7230</v>
      </c>
      <c r="N6151" t="s">
        <v>7230</v>
      </c>
      <c r="O6151" t="s">
        <v>23</v>
      </c>
      <c r="P6151" t="s">
        <v>24</v>
      </c>
      <c r="Q6151" t="s">
        <v>7123</v>
      </c>
      <c r="R6151" t="s">
        <v>7122</v>
      </c>
    </row>
    <row r="6152" spans="1:18" x14ac:dyDescent="0.25">
      <c r="A6152" t="s">
        <v>16810</v>
      </c>
      <c r="B6152" t="s">
        <v>7233</v>
      </c>
      <c r="C6152" t="str">
        <f>HYPERLINK("https://nematode.unl.edu/melhap13.jpg")</f>
        <v>https://nematode.unl.edu/melhap13.jpg</v>
      </c>
      <c r="G6152" t="s">
        <v>2121</v>
      </c>
      <c r="I6152" t="s">
        <v>19</v>
      </c>
      <c r="M6152" t="s">
        <v>7230</v>
      </c>
      <c r="N6152" t="s">
        <v>7230</v>
      </c>
      <c r="O6152" t="s">
        <v>23</v>
      </c>
      <c r="P6152" t="s">
        <v>24</v>
      </c>
      <c r="Q6152" t="s">
        <v>7123</v>
      </c>
      <c r="R6152" t="s">
        <v>7122</v>
      </c>
    </row>
    <row r="6153" spans="1:18" x14ac:dyDescent="0.25">
      <c r="A6153" t="s">
        <v>16812</v>
      </c>
      <c r="B6153" t="s">
        <v>7234</v>
      </c>
      <c r="C6153" t="str">
        <f>HYPERLINK("https://nematode.unl.edu/melhap14.jpg")</f>
        <v>https://nematode.unl.edu/melhap14.jpg</v>
      </c>
      <c r="D6153" t="s">
        <v>77</v>
      </c>
      <c r="G6153" t="s">
        <v>112</v>
      </c>
      <c r="I6153" t="s">
        <v>19</v>
      </c>
      <c r="L6153" t="s">
        <v>7235</v>
      </c>
      <c r="M6153" t="s">
        <v>7230</v>
      </c>
      <c r="N6153" t="s">
        <v>7230</v>
      </c>
      <c r="O6153" t="s">
        <v>23</v>
      </c>
      <c r="P6153" t="s">
        <v>24</v>
      </c>
      <c r="Q6153" t="s">
        <v>7123</v>
      </c>
      <c r="R6153" t="s">
        <v>7122</v>
      </c>
    </row>
    <row r="6154" spans="1:18" x14ac:dyDescent="0.25">
      <c r="A6154" t="s">
        <v>16774</v>
      </c>
      <c r="B6154" t="s">
        <v>7236</v>
      </c>
      <c r="C6154" t="str">
        <f>HYPERLINK("https://nematode.unl.edu/melhap15.jpg")</f>
        <v>https://nematode.unl.edu/melhap15.jpg</v>
      </c>
      <c r="D6154" t="s">
        <v>77</v>
      </c>
      <c r="G6154" t="s">
        <v>34</v>
      </c>
      <c r="H6154" t="s">
        <v>18</v>
      </c>
      <c r="I6154" t="s">
        <v>41</v>
      </c>
      <c r="L6154" t="s">
        <v>7235</v>
      </c>
      <c r="M6154" t="s">
        <v>7230</v>
      </c>
      <c r="N6154" t="s">
        <v>7230</v>
      </c>
      <c r="O6154" t="s">
        <v>23</v>
      </c>
      <c r="P6154" t="s">
        <v>24</v>
      </c>
      <c r="Q6154" t="s">
        <v>7123</v>
      </c>
      <c r="R6154" t="s">
        <v>7122</v>
      </c>
    </row>
    <row r="6155" spans="1:18" x14ac:dyDescent="0.25">
      <c r="A6155" t="s">
        <v>16813</v>
      </c>
      <c r="B6155" t="s">
        <v>7237</v>
      </c>
      <c r="C6155" t="str">
        <f>HYPERLINK("https://nematode.unl.edu/melhap16.jpg")</f>
        <v>https://nematode.unl.edu/melhap16.jpg</v>
      </c>
      <c r="D6155" t="s">
        <v>77</v>
      </c>
      <c r="G6155" t="s">
        <v>112</v>
      </c>
      <c r="I6155" t="s">
        <v>41</v>
      </c>
      <c r="M6155" t="s">
        <v>7230</v>
      </c>
      <c r="N6155" t="s">
        <v>7230</v>
      </c>
      <c r="O6155" t="s">
        <v>23</v>
      </c>
      <c r="P6155" t="s">
        <v>24</v>
      </c>
      <c r="Q6155" t="s">
        <v>7123</v>
      </c>
      <c r="R6155" t="s">
        <v>7122</v>
      </c>
    </row>
    <row r="6156" spans="1:18" x14ac:dyDescent="0.25">
      <c r="A6156" t="s">
        <v>16808</v>
      </c>
      <c r="B6156" t="s">
        <v>7238</v>
      </c>
      <c r="C6156" t="str">
        <f>HYPERLINK("https://nematode.unl.edu/melhap17.jpg")</f>
        <v>https://nematode.unl.edu/melhap17.jpg</v>
      </c>
      <c r="D6156" t="s">
        <v>77</v>
      </c>
      <c r="G6156" t="s">
        <v>2029</v>
      </c>
      <c r="I6156" t="s">
        <v>41</v>
      </c>
      <c r="M6156" t="s">
        <v>7230</v>
      </c>
      <c r="N6156" t="s">
        <v>7230</v>
      </c>
      <c r="O6156" t="s">
        <v>23</v>
      </c>
      <c r="P6156" t="s">
        <v>24</v>
      </c>
      <c r="Q6156" t="s">
        <v>7123</v>
      </c>
      <c r="R6156" t="s">
        <v>7122</v>
      </c>
    </row>
    <row r="6157" spans="1:18" x14ac:dyDescent="0.25">
      <c r="A6157" t="s">
        <v>16796</v>
      </c>
      <c r="B6157" t="s">
        <v>7239</v>
      </c>
      <c r="C6157" t="str">
        <f>HYPERLINK("https://nematode.unl.edu/melhap18.jpg")</f>
        <v>https://nematode.unl.edu/melhap18.jpg</v>
      </c>
      <c r="D6157" t="s">
        <v>16</v>
      </c>
      <c r="G6157" t="s">
        <v>44</v>
      </c>
      <c r="I6157" t="s">
        <v>4020</v>
      </c>
      <c r="L6157" t="s">
        <v>7235</v>
      </c>
      <c r="M6157" t="s">
        <v>7230</v>
      </c>
      <c r="N6157" t="s">
        <v>7230</v>
      </c>
      <c r="O6157" t="s">
        <v>23</v>
      </c>
      <c r="P6157" t="s">
        <v>24</v>
      </c>
      <c r="Q6157" t="s">
        <v>7123</v>
      </c>
      <c r="R6157" t="s">
        <v>7122</v>
      </c>
    </row>
    <row r="6158" spans="1:18" x14ac:dyDescent="0.25">
      <c r="A6158" t="s">
        <v>16817</v>
      </c>
      <c r="B6158" t="s">
        <v>7240</v>
      </c>
      <c r="C6158" t="str">
        <f>HYPERLINK("https://nematode.unl.edu/melhap19.jpg")</f>
        <v>https://nematode.unl.edu/melhap19.jpg</v>
      </c>
      <c r="D6158" t="s">
        <v>16</v>
      </c>
      <c r="G6158" t="s">
        <v>28</v>
      </c>
      <c r="M6158" t="s">
        <v>7230</v>
      </c>
      <c r="N6158" t="s">
        <v>7230</v>
      </c>
      <c r="O6158" t="s">
        <v>23</v>
      </c>
      <c r="P6158" t="s">
        <v>24</v>
      </c>
      <c r="Q6158" t="s">
        <v>7123</v>
      </c>
      <c r="R6158" t="s">
        <v>7122</v>
      </c>
    </row>
    <row r="6159" spans="1:18" x14ac:dyDescent="0.25">
      <c r="A6159" t="s">
        <v>16775</v>
      </c>
      <c r="B6159" t="s">
        <v>7241</v>
      </c>
      <c r="C6159" t="str">
        <f>HYPERLINK("https://nematode.unl.edu/melhap20.jpg")</f>
        <v>https://nematode.unl.edu/melhap20.jpg</v>
      </c>
      <c r="D6159" t="s">
        <v>16</v>
      </c>
      <c r="G6159" t="s">
        <v>34</v>
      </c>
      <c r="H6159" t="s">
        <v>18</v>
      </c>
      <c r="I6159" t="s">
        <v>516</v>
      </c>
      <c r="L6159" t="s">
        <v>7235</v>
      </c>
      <c r="M6159" t="s">
        <v>7230</v>
      </c>
      <c r="N6159" t="s">
        <v>7230</v>
      </c>
      <c r="O6159" t="s">
        <v>23</v>
      </c>
      <c r="P6159" t="s">
        <v>24</v>
      </c>
      <c r="Q6159" t="s">
        <v>7123</v>
      </c>
      <c r="R6159" t="s">
        <v>7122</v>
      </c>
    </row>
    <row r="6160" spans="1:18" x14ac:dyDescent="0.25">
      <c r="A6160" t="s">
        <v>16797</v>
      </c>
      <c r="B6160" t="s">
        <v>7242</v>
      </c>
      <c r="C6160" t="str">
        <f>HYPERLINK("https://nematode.unl.edu/melhap21.jpg")</f>
        <v>https://nematode.unl.edu/melhap21.jpg</v>
      </c>
      <c r="D6160" t="s">
        <v>16</v>
      </c>
      <c r="G6160" t="s">
        <v>44</v>
      </c>
      <c r="I6160" t="s">
        <v>137</v>
      </c>
      <c r="L6160" t="s">
        <v>7235</v>
      </c>
      <c r="M6160" t="s">
        <v>7230</v>
      </c>
      <c r="N6160" t="s">
        <v>7230</v>
      </c>
      <c r="O6160" t="s">
        <v>23</v>
      </c>
      <c r="P6160" t="s">
        <v>24</v>
      </c>
      <c r="Q6160" t="s">
        <v>7123</v>
      </c>
      <c r="R6160" t="s">
        <v>7122</v>
      </c>
    </row>
    <row r="6161" spans="1:18" x14ac:dyDescent="0.25">
      <c r="A6161" t="s">
        <v>16776</v>
      </c>
      <c r="B6161" t="s">
        <v>7243</v>
      </c>
      <c r="C6161" t="str">
        <f>HYPERLINK("https://nematode.unl.edu/melhap22.jpg")</f>
        <v>https://nematode.unl.edu/melhap22.jpg</v>
      </c>
      <c r="D6161" t="s">
        <v>16</v>
      </c>
      <c r="G6161" t="s">
        <v>34</v>
      </c>
      <c r="H6161" t="s">
        <v>18</v>
      </c>
      <c r="I6161" t="s">
        <v>41</v>
      </c>
      <c r="M6161" t="s">
        <v>7230</v>
      </c>
      <c r="N6161" t="s">
        <v>7230</v>
      </c>
      <c r="O6161" t="s">
        <v>23</v>
      </c>
      <c r="P6161" t="s">
        <v>24</v>
      </c>
      <c r="Q6161" t="s">
        <v>7123</v>
      </c>
      <c r="R6161" t="s">
        <v>7122</v>
      </c>
    </row>
    <row r="6162" spans="1:18" x14ac:dyDescent="0.25">
      <c r="A6162" t="s">
        <v>16818</v>
      </c>
      <c r="B6162" t="s">
        <v>7244</v>
      </c>
      <c r="C6162" t="str">
        <f>HYPERLINK("https://nematode.unl.edu/melhap23.jpg")</f>
        <v>https://nematode.unl.edu/melhap23.jpg</v>
      </c>
      <c r="D6162" t="s">
        <v>16</v>
      </c>
      <c r="G6162" t="s">
        <v>28</v>
      </c>
      <c r="I6162" t="s">
        <v>41</v>
      </c>
      <c r="L6162" t="s">
        <v>7235</v>
      </c>
      <c r="M6162" t="s">
        <v>7230</v>
      </c>
      <c r="N6162" t="s">
        <v>7230</v>
      </c>
      <c r="O6162" t="s">
        <v>23</v>
      </c>
      <c r="P6162" t="s">
        <v>24</v>
      </c>
      <c r="Q6162" t="s">
        <v>7123</v>
      </c>
      <c r="R6162" t="s">
        <v>7122</v>
      </c>
    </row>
    <row r="6163" spans="1:18" x14ac:dyDescent="0.25">
      <c r="A6163" t="s">
        <v>16807</v>
      </c>
      <c r="B6163" t="s">
        <v>7245</v>
      </c>
      <c r="C6163" t="str">
        <f>HYPERLINK("https://nematode.unl.edu/melhap24.jpg")</f>
        <v>https://nematode.unl.edu/melhap24.jpg</v>
      </c>
      <c r="D6163" t="s">
        <v>77</v>
      </c>
      <c r="G6163" t="s">
        <v>414</v>
      </c>
      <c r="I6163" t="s">
        <v>529</v>
      </c>
      <c r="L6163" t="s">
        <v>7235</v>
      </c>
      <c r="M6163" t="s">
        <v>7230</v>
      </c>
      <c r="N6163" t="s">
        <v>7230</v>
      </c>
      <c r="O6163" t="s">
        <v>23</v>
      </c>
      <c r="P6163" t="s">
        <v>24</v>
      </c>
      <c r="Q6163" t="s">
        <v>7123</v>
      </c>
      <c r="R6163" t="s">
        <v>7122</v>
      </c>
    </row>
    <row r="6164" spans="1:18" x14ac:dyDescent="0.25">
      <c r="A6164" t="s">
        <v>16811</v>
      </c>
      <c r="B6164" t="s">
        <v>7246</v>
      </c>
      <c r="C6164" t="str">
        <f>HYPERLINK("https://nematode.unl.edu/melhap25.jpg")</f>
        <v>https://nematode.unl.edu/melhap25.jpg</v>
      </c>
      <c r="G6164" t="s">
        <v>2121</v>
      </c>
      <c r="M6164" t="s">
        <v>7230</v>
      </c>
      <c r="N6164" t="s">
        <v>7230</v>
      </c>
      <c r="O6164" t="s">
        <v>23</v>
      </c>
      <c r="P6164" t="s">
        <v>24</v>
      </c>
      <c r="Q6164" t="s">
        <v>7123</v>
      </c>
      <c r="R6164" t="s">
        <v>7122</v>
      </c>
    </row>
    <row r="6165" spans="1:18" x14ac:dyDescent="0.25">
      <c r="A6165" t="s">
        <v>16802</v>
      </c>
      <c r="B6165" t="s">
        <v>7247</v>
      </c>
      <c r="C6165" t="str">
        <f>HYPERLINK("https://nematode.unl.edu/melhap26.jpg")</f>
        <v>https://nematode.unl.edu/melhap26.jpg</v>
      </c>
      <c r="D6165" t="s">
        <v>77</v>
      </c>
      <c r="G6165" t="s">
        <v>53</v>
      </c>
      <c r="M6165" t="s">
        <v>7230</v>
      </c>
      <c r="N6165" t="s">
        <v>7230</v>
      </c>
      <c r="O6165" t="s">
        <v>23</v>
      </c>
      <c r="P6165" t="s">
        <v>24</v>
      </c>
      <c r="Q6165" t="s">
        <v>7123</v>
      </c>
      <c r="R6165" t="s">
        <v>7122</v>
      </c>
    </row>
    <row r="6166" spans="1:18" x14ac:dyDescent="0.25">
      <c r="A6166" t="s">
        <v>16819</v>
      </c>
      <c r="B6166" t="s">
        <v>7248</v>
      </c>
      <c r="C6166" t="str">
        <f>HYPERLINK("https://nematode.unl.edu/melhap27.jpg")</f>
        <v>https://nematode.unl.edu/melhap27.jpg</v>
      </c>
      <c r="D6166" t="s">
        <v>16</v>
      </c>
      <c r="G6166" t="s">
        <v>28</v>
      </c>
      <c r="I6166" t="s">
        <v>41</v>
      </c>
      <c r="M6166" t="s">
        <v>7230</v>
      </c>
      <c r="N6166" t="s">
        <v>7230</v>
      </c>
      <c r="O6166" t="s">
        <v>23</v>
      </c>
      <c r="P6166" t="s">
        <v>24</v>
      </c>
      <c r="Q6166" t="s">
        <v>7123</v>
      </c>
      <c r="R6166" t="s">
        <v>7122</v>
      </c>
    </row>
    <row r="6167" spans="1:18" x14ac:dyDescent="0.25">
      <c r="A6167" t="s">
        <v>16777</v>
      </c>
      <c r="B6167" t="s">
        <v>7249</v>
      </c>
      <c r="C6167" t="str">
        <f>HYPERLINK("https://nematode.unl.edu/melhap28.jpg")</f>
        <v>https://nematode.unl.edu/melhap28.jpg</v>
      </c>
      <c r="D6167" t="s">
        <v>77</v>
      </c>
      <c r="G6167" t="s">
        <v>34</v>
      </c>
      <c r="H6167" t="s">
        <v>18</v>
      </c>
      <c r="M6167" t="s">
        <v>7230</v>
      </c>
      <c r="N6167" t="s">
        <v>7230</v>
      </c>
      <c r="O6167" t="s">
        <v>23</v>
      </c>
      <c r="P6167" t="s">
        <v>24</v>
      </c>
      <c r="Q6167" t="s">
        <v>7123</v>
      </c>
      <c r="R6167" t="s">
        <v>7122</v>
      </c>
    </row>
    <row r="6168" spans="1:18" x14ac:dyDescent="0.25">
      <c r="A6168" t="s">
        <v>16778</v>
      </c>
      <c r="B6168" t="s">
        <v>7250</v>
      </c>
      <c r="C6168" t="str">
        <f>HYPERLINK("https://nematode.unl.edu/melhap29.jpg")</f>
        <v>https://nematode.unl.edu/melhap29.jpg</v>
      </c>
      <c r="D6168" t="s">
        <v>77</v>
      </c>
      <c r="G6168" t="s">
        <v>34</v>
      </c>
      <c r="H6168" t="s">
        <v>18</v>
      </c>
      <c r="I6168" t="s">
        <v>41</v>
      </c>
      <c r="L6168" t="s">
        <v>7235</v>
      </c>
      <c r="M6168" t="s">
        <v>7230</v>
      </c>
      <c r="N6168" t="s">
        <v>7230</v>
      </c>
      <c r="O6168" t="s">
        <v>23</v>
      </c>
      <c r="P6168" t="s">
        <v>24</v>
      </c>
      <c r="Q6168" t="s">
        <v>7123</v>
      </c>
      <c r="R6168" t="s">
        <v>7122</v>
      </c>
    </row>
    <row r="6169" spans="1:18" x14ac:dyDescent="0.25">
      <c r="A6169" t="s">
        <v>16833</v>
      </c>
      <c r="B6169" t="s">
        <v>7251</v>
      </c>
      <c r="C6169" t="str">
        <f>HYPERLINK("https://nematode.unl.edu/melhap30.jpg")</f>
        <v>https://nematode.unl.edu/melhap30.jpg</v>
      </c>
      <c r="G6169" t="s">
        <v>2113</v>
      </c>
      <c r="M6169" t="s">
        <v>7230</v>
      </c>
      <c r="N6169" t="s">
        <v>7230</v>
      </c>
      <c r="O6169" t="s">
        <v>23</v>
      </c>
      <c r="P6169" t="s">
        <v>24</v>
      </c>
      <c r="Q6169" t="s">
        <v>7123</v>
      </c>
      <c r="R6169" t="s">
        <v>7122</v>
      </c>
    </row>
    <row r="6170" spans="1:18" x14ac:dyDescent="0.25">
      <c r="A6170" t="s">
        <v>16814</v>
      </c>
      <c r="B6170" t="s">
        <v>7252</v>
      </c>
      <c r="C6170" t="str">
        <f>HYPERLINK("https://nematode.unl.edu/melhap31.jpg")</f>
        <v>https://nematode.unl.edu/melhap31.jpg</v>
      </c>
      <c r="D6170" t="s">
        <v>77</v>
      </c>
      <c r="G6170" t="s">
        <v>112</v>
      </c>
      <c r="M6170" t="s">
        <v>7230</v>
      </c>
      <c r="N6170" t="s">
        <v>7230</v>
      </c>
      <c r="O6170" t="s">
        <v>23</v>
      </c>
      <c r="P6170" t="s">
        <v>24</v>
      </c>
      <c r="Q6170" t="s">
        <v>7123</v>
      </c>
      <c r="R6170" t="s">
        <v>7122</v>
      </c>
    </row>
    <row r="6171" spans="1:18" x14ac:dyDescent="0.25">
      <c r="A6171" t="s">
        <v>16809</v>
      </c>
      <c r="B6171" t="s">
        <v>7253</v>
      </c>
      <c r="C6171" t="str">
        <f>HYPERLINK("https://nematode.unl.edu/melhap32.jpg")</f>
        <v>https://nematode.unl.edu/melhap32.jpg</v>
      </c>
      <c r="D6171" t="s">
        <v>77</v>
      </c>
      <c r="G6171" t="s">
        <v>2029</v>
      </c>
      <c r="I6171" t="s">
        <v>41</v>
      </c>
      <c r="M6171" t="s">
        <v>7230</v>
      </c>
      <c r="N6171" t="s">
        <v>7230</v>
      </c>
      <c r="O6171" t="s">
        <v>23</v>
      </c>
      <c r="P6171" t="s">
        <v>24</v>
      </c>
      <c r="Q6171" t="s">
        <v>7123</v>
      </c>
      <c r="R6171" t="s">
        <v>7122</v>
      </c>
    </row>
    <row r="6172" spans="1:18" x14ac:dyDescent="0.25">
      <c r="A6172" t="s">
        <v>16779</v>
      </c>
      <c r="B6172" t="s">
        <v>7254</v>
      </c>
      <c r="C6172" t="str">
        <f>HYPERLINK("https://nematode.unl.edu/melhap33.jpg")</f>
        <v>https://nematode.unl.edu/melhap33.jpg</v>
      </c>
      <c r="D6172" t="s">
        <v>77</v>
      </c>
      <c r="G6172" t="s">
        <v>34</v>
      </c>
      <c r="H6172" t="s">
        <v>18</v>
      </c>
      <c r="I6172" t="s">
        <v>41</v>
      </c>
      <c r="M6172" t="s">
        <v>7230</v>
      </c>
      <c r="N6172" t="s">
        <v>7230</v>
      </c>
      <c r="O6172" t="s">
        <v>23</v>
      </c>
      <c r="P6172" t="s">
        <v>24</v>
      </c>
      <c r="Q6172" t="s">
        <v>7123</v>
      </c>
      <c r="R6172" t="s">
        <v>7122</v>
      </c>
    </row>
    <row r="6173" spans="1:18" x14ac:dyDescent="0.25">
      <c r="A6173" t="s">
        <v>16780</v>
      </c>
      <c r="B6173" t="s">
        <v>7255</v>
      </c>
      <c r="C6173" t="str">
        <f>HYPERLINK("https://nematode.unl.edu/melhap34.jpg")</f>
        <v>https://nematode.unl.edu/melhap34.jpg</v>
      </c>
      <c r="D6173" t="s">
        <v>77</v>
      </c>
      <c r="G6173" t="s">
        <v>34</v>
      </c>
      <c r="H6173" t="s">
        <v>18</v>
      </c>
      <c r="I6173" t="s">
        <v>137</v>
      </c>
      <c r="M6173" t="s">
        <v>7230</v>
      </c>
      <c r="N6173" t="s">
        <v>7230</v>
      </c>
      <c r="O6173" t="s">
        <v>23</v>
      </c>
      <c r="P6173" t="s">
        <v>24</v>
      </c>
      <c r="Q6173" t="s">
        <v>7123</v>
      </c>
      <c r="R6173" t="s">
        <v>7122</v>
      </c>
    </row>
    <row r="6174" spans="1:18" x14ac:dyDescent="0.25">
      <c r="A6174" t="s">
        <v>16803</v>
      </c>
      <c r="B6174" t="s">
        <v>7256</v>
      </c>
      <c r="C6174" t="str">
        <f>HYPERLINK("https://nematode.unl.edu/melhap35.jpg")</f>
        <v>https://nematode.unl.edu/melhap35.jpg</v>
      </c>
      <c r="D6174" t="s">
        <v>77</v>
      </c>
      <c r="G6174" t="s">
        <v>53</v>
      </c>
      <c r="I6174" t="s">
        <v>41</v>
      </c>
      <c r="L6174" t="s">
        <v>7235</v>
      </c>
      <c r="M6174" t="s">
        <v>7230</v>
      </c>
      <c r="N6174" t="s">
        <v>7230</v>
      </c>
      <c r="O6174" t="s">
        <v>23</v>
      </c>
      <c r="P6174" t="s">
        <v>24</v>
      </c>
      <c r="Q6174" t="s">
        <v>7123</v>
      </c>
      <c r="R6174" t="s">
        <v>7122</v>
      </c>
    </row>
    <row r="6175" spans="1:18" x14ac:dyDescent="0.25">
      <c r="A6175" t="s">
        <v>16798</v>
      </c>
      <c r="B6175" t="s">
        <v>7257</v>
      </c>
      <c r="C6175" t="str">
        <f>HYPERLINK("https://nematode.unl.edu/melhap36.jpg")</f>
        <v>https://nematode.unl.edu/melhap36.jpg</v>
      </c>
      <c r="D6175" t="s">
        <v>16</v>
      </c>
      <c r="G6175" t="s">
        <v>44</v>
      </c>
      <c r="I6175" t="s">
        <v>137</v>
      </c>
      <c r="M6175" t="s">
        <v>7230</v>
      </c>
      <c r="N6175" t="s">
        <v>7230</v>
      </c>
      <c r="O6175" t="s">
        <v>23</v>
      </c>
      <c r="P6175" t="s">
        <v>24</v>
      </c>
      <c r="Q6175" t="s">
        <v>7123</v>
      </c>
      <c r="R6175" t="s">
        <v>7122</v>
      </c>
    </row>
    <row r="6176" spans="1:18" x14ac:dyDescent="0.25">
      <c r="A6176" t="s">
        <v>16781</v>
      </c>
      <c r="B6176" t="s">
        <v>7258</v>
      </c>
      <c r="C6176" t="str">
        <f>HYPERLINK("https://nematode.unl.edu/melhap37.jpg")</f>
        <v>https://nematode.unl.edu/melhap37.jpg</v>
      </c>
      <c r="D6176" t="s">
        <v>16</v>
      </c>
      <c r="G6176" t="s">
        <v>34</v>
      </c>
      <c r="H6176" t="s">
        <v>18</v>
      </c>
      <c r="M6176" t="s">
        <v>7230</v>
      </c>
      <c r="N6176" t="s">
        <v>7230</v>
      </c>
      <c r="O6176" t="s">
        <v>23</v>
      </c>
      <c r="P6176" t="s">
        <v>24</v>
      </c>
      <c r="Q6176" t="s">
        <v>7123</v>
      </c>
      <c r="R6176" t="s">
        <v>7122</v>
      </c>
    </row>
    <row r="6177" spans="1:18" x14ac:dyDescent="0.25">
      <c r="A6177" t="s">
        <v>16820</v>
      </c>
      <c r="B6177" t="s">
        <v>7259</v>
      </c>
      <c r="C6177" t="str">
        <f>HYPERLINK("https://nematode.unl.edu/melhap38.jpg")</f>
        <v>https://nematode.unl.edu/melhap38.jpg</v>
      </c>
      <c r="D6177" t="s">
        <v>16</v>
      </c>
      <c r="G6177" t="s">
        <v>28</v>
      </c>
      <c r="M6177" t="s">
        <v>7230</v>
      </c>
      <c r="N6177" t="s">
        <v>7230</v>
      </c>
      <c r="O6177" t="s">
        <v>23</v>
      </c>
      <c r="P6177" t="s">
        <v>24</v>
      </c>
      <c r="Q6177" t="s">
        <v>7123</v>
      </c>
      <c r="R6177" t="s">
        <v>7122</v>
      </c>
    </row>
    <row r="6178" spans="1:18" x14ac:dyDescent="0.25">
      <c r="A6178" t="s">
        <v>16782</v>
      </c>
      <c r="B6178" t="s">
        <v>7260</v>
      </c>
      <c r="C6178" t="str">
        <f>HYPERLINK("https://nematode.unl.edu/melhap39.jpg")</f>
        <v>https://nematode.unl.edu/melhap39.jpg</v>
      </c>
      <c r="D6178" t="s">
        <v>16</v>
      </c>
      <c r="G6178" t="s">
        <v>34</v>
      </c>
      <c r="H6178" t="s">
        <v>18</v>
      </c>
      <c r="I6178" t="s">
        <v>41</v>
      </c>
      <c r="M6178" t="s">
        <v>7230</v>
      </c>
      <c r="N6178" t="s">
        <v>7230</v>
      </c>
      <c r="O6178" t="s">
        <v>23</v>
      </c>
      <c r="P6178" t="s">
        <v>24</v>
      </c>
      <c r="Q6178" t="s">
        <v>7123</v>
      </c>
      <c r="R6178" t="s">
        <v>7122</v>
      </c>
    </row>
    <row r="6179" spans="1:18" x14ac:dyDescent="0.25">
      <c r="A6179" t="s">
        <v>16804</v>
      </c>
      <c r="B6179" t="s">
        <v>7261</v>
      </c>
      <c r="C6179" t="str">
        <f>HYPERLINK("https://nematode.unl.edu/melhap40.jpg")</f>
        <v>https://nematode.unl.edu/melhap40.jpg</v>
      </c>
      <c r="D6179" t="s">
        <v>16</v>
      </c>
      <c r="G6179" t="s">
        <v>53</v>
      </c>
      <c r="I6179" t="s">
        <v>41</v>
      </c>
      <c r="M6179" t="s">
        <v>7230</v>
      </c>
      <c r="N6179" t="s">
        <v>7230</v>
      </c>
      <c r="O6179" t="s">
        <v>23</v>
      </c>
      <c r="P6179" t="s">
        <v>24</v>
      </c>
      <c r="Q6179" t="s">
        <v>7123</v>
      </c>
      <c r="R6179" t="s">
        <v>7122</v>
      </c>
    </row>
    <row r="6180" spans="1:18" x14ac:dyDescent="0.25">
      <c r="A6180" t="s">
        <v>16821</v>
      </c>
      <c r="B6180" t="s">
        <v>7262</v>
      </c>
      <c r="C6180" t="str">
        <f>HYPERLINK("https://nematode.unl.edu/melhap41.jpg")</f>
        <v>https://nematode.unl.edu/melhap41.jpg</v>
      </c>
      <c r="D6180" t="s">
        <v>16</v>
      </c>
      <c r="G6180" t="s">
        <v>28</v>
      </c>
      <c r="I6180" t="s">
        <v>41</v>
      </c>
      <c r="M6180" t="s">
        <v>7230</v>
      </c>
      <c r="N6180" t="s">
        <v>7230</v>
      </c>
      <c r="O6180" t="s">
        <v>23</v>
      </c>
      <c r="P6180" t="s">
        <v>24</v>
      </c>
      <c r="Q6180" t="s">
        <v>7123</v>
      </c>
      <c r="R6180" t="s">
        <v>7122</v>
      </c>
    </row>
    <row r="6181" spans="1:18" x14ac:dyDescent="0.25">
      <c r="A6181" t="s">
        <v>16799</v>
      </c>
      <c r="B6181" t="s">
        <v>7263</v>
      </c>
      <c r="C6181" t="str">
        <f>HYPERLINK("https://nematode.unl.edu/melhap42.jpg")</f>
        <v>https://nematode.unl.edu/melhap42.jpg</v>
      </c>
      <c r="D6181" t="s">
        <v>16</v>
      </c>
      <c r="G6181" t="s">
        <v>44</v>
      </c>
      <c r="I6181" t="s">
        <v>45</v>
      </c>
      <c r="M6181" t="s">
        <v>7230</v>
      </c>
      <c r="N6181" t="s">
        <v>7230</v>
      </c>
      <c r="O6181" t="s">
        <v>23</v>
      </c>
      <c r="P6181" t="s">
        <v>24</v>
      </c>
      <c r="Q6181" t="s">
        <v>7123</v>
      </c>
      <c r="R6181" t="s">
        <v>7122</v>
      </c>
    </row>
    <row r="6182" spans="1:18" x14ac:dyDescent="0.25">
      <c r="A6182" t="s">
        <v>16783</v>
      </c>
      <c r="B6182" t="s">
        <v>7264</v>
      </c>
      <c r="C6182" t="str">
        <f>HYPERLINK("https://nematode.unl.edu/melhap43.jpg")</f>
        <v>https://nematode.unl.edu/melhap43.jpg</v>
      </c>
      <c r="D6182" t="s">
        <v>16</v>
      </c>
      <c r="G6182" t="s">
        <v>34</v>
      </c>
      <c r="H6182" t="s">
        <v>18</v>
      </c>
      <c r="I6182" t="s">
        <v>19</v>
      </c>
      <c r="M6182" t="s">
        <v>7230</v>
      </c>
      <c r="N6182" t="s">
        <v>7230</v>
      </c>
      <c r="O6182" t="s">
        <v>23</v>
      </c>
      <c r="P6182" t="s">
        <v>24</v>
      </c>
      <c r="Q6182" t="s">
        <v>7123</v>
      </c>
      <c r="R6182" t="s">
        <v>7122</v>
      </c>
    </row>
    <row r="6183" spans="1:18" x14ac:dyDescent="0.25">
      <c r="A6183" t="s">
        <v>16822</v>
      </c>
      <c r="B6183" t="s">
        <v>7265</v>
      </c>
      <c r="C6183" t="str">
        <f>HYPERLINK("https://nematode.unl.edu/melhap44.jpg")</f>
        <v>https://nematode.unl.edu/melhap44.jpg</v>
      </c>
      <c r="D6183" t="s">
        <v>16</v>
      </c>
      <c r="G6183" t="s">
        <v>28</v>
      </c>
      <c r="I6183" t="s">
        <v>19</v>
      </c>
      <c r="M6183" t="s">
        <v>7230</v>
      </c>
      <c r="N6183" t="s">
        <v>7230</v>
      </c>
      <c r="O6183" t="s">
        <v>23</v>
      </c>
      <c r="P6183" t="s">
        <v>24</v>
      </c>
      <c r="Q6183" t="s">
        <v>7123</v>
      </c>
      <c r="R6183" t="s">
        <v>7122</v>
      </c>
    </row>
    <row r="6184" spans="1:18" x14ac:dyDescent="0.25">
      <c r="A6184" t="s">
        <v>16784</v>
      </c>
      <c r="B6184" t="s">
        <v>7266</v>
      </c>
      <c r="C6184" t="str">
        <f>HYPERLINK("https://nematode.unl.edu/melhap45.jpg")</f>
        <v>https://nematode.unl.edu/melhap45.jpg</v>
      </c>
      <c r="D6184" t="s">
        <v>16</v>
      </c>
      <c r="G6184" t="s">
        <v>34</v>
      </c>
      <c r="H6184" t="s">
        <v>18</v>
      </c>
      <c r="I6184" t="s">
        <v>41</v>
      </c>
      <c r="M6184" t="s">
        <v>7230</v>
      </c>
      <c r="N6184" t="s">
        <v>7230</v>
      </c>
      <c r="O6184" t="s">
        <v>23</v>
      </c>
      <c r="P6184" t="s">
        <v>24</v>
      </c>
      <c r="Q6184" t="s">
        <v>7123</v>
      </c>
      <c r="R6184" t="s">
        <v>7122</v>
      </c>
    </row>
    <row r="6185" spans="1:18" x14ac:dyDescent="0.25">
      <c r="A6185" t="s">
        <v>16805</v>
      </c>
      <c r="B6185" t="s">
        <v>7267</v>
      </c>
      <c r="C6185" t="str">
        <f>HYPERLINK("https://nematode.unl.edu/melhap46.jpg")</f>
        <v>https://nematode.unl.edu/melhap46.jpg</v>
      </c>
      <c r="D6185" t="s">
        <v>16</v>
      </c>
      <c r="G6185" t="s">
        <v>53</v>
      </c>
      <c r="I6185" t="s">
        <v>41</v>
      </c>
      <c r="M6185" t="s">
        <v>7230</v>
      </c>
      <c r="N6185" t="s">
        <v>7230</v>
      </c>
      <c r="O6185" t="s">
        <v>23</v>
      </c>
      <c r="P6185" t="s">
        <v>24</v>
      </c>
      <c r="Q6185" t="s">
        <v>7123</v>
      </c>
      <c r="R6185" t="s">
        <v>7122</v>
      </c>
    </row>
    <row r="6186" spans="1:18" x14ac:dyDescent="0.25">
      <c r="A6186" t="s">
        <v>16823</v>
      </c>
      <c r="B6186" t="s">
        <v>7268</v>
      </c>
      <c r="C6186" t="str">
        <f>HYPERLINK("https://nematode.unl.edu/melhap47.jpg")</f>
        <v>https://nematode.unl.edu/melhap47.jpg</v>
      </c>
      <c r="D6186" t="s">
        <v>16</v>
      </c>
      <c r="G6186" t="s">
        <v>28</v>
      </c>
      <c r="I6186" t="s">
        <v>41</v>
      </c>
      <c r="M6186" t="s">
        <v>7230</v>
      </c>
      <c r="N6186" t="s">
        <v>7230</v>
      </c>
      <c r="O6186" t="s">
        <v>23</v>
      </c>
      <c r="P6186" t="s">
        <v>24</v>
      </c>
      <c r="Q6186" t="s">
        <v>7123</v>
      </c>
      <c r="R6186" t="s">
        <v>7122</v>
      </c>
    </row>
    <row r="6187" spans="1:18" x14ac:dyDescent="0.25">
      <c r="A6187" t="s">
        <v>16785</v>
      </c>
      <c r="B6187" t="s">
        <v>7269</v>
      </c>
      <c r="C6187" t="str">
        <f>HYPERLINK("https://nematode.unl.edu/melhap48.jpg")</f>
        <v>https://nematode.unl.edu/melhap48.jpg</v>
      </c>
      <c r="D6187" t="s">
        <v>77</v>
      </c>
      <c r="G6187" t="s">
        <v>34</v>
      </c>
      <c r="H6187" t="s">
        <v>18</v>
      </c>
      <c r="I6187" t="s">
        <v>19</v>
      </c>
      <c r="L6187" t="s">
        <v>7235</v>
      </c>
      <c r="M6187" t="s">
        <v>7230</v>
      </c>
      <c r="N6187" t="s">
        <v>7230</v>
      </c>
      <c r="O6187" t="s">
        <v>23</v>
      </c>
      <c r="P6187" t="s">
        <v>24</v>
      </c>
      <c r="Q6187" t="s">
        <v>7123</v>
      </c>
      <c r="R6187" t="s">
        <v>7122</v>
      </c>
    </row>
    <row r="6188" spans="1:18" x14ac:dyDescent="0.25">
      <c r="A6188" t="s">
        <v>16800</v>
      </c>
      <c r="B6188" t="s">
        <v>7270</v>
      </c>
      <c r="C6188" t="str">
        <f>HYPERLINK("https://nematode.unl.edu/melhap49.jpg")</f>
        <v>https://nematode.unl.edu/melhap49.jpg</v>
      </c>
      <c r="D6188" t="s">
        <v>77</v>
      </c>
      <c r="G6188" t="s">
        <v>44</v>
      </c>
      <c r="I6188" t="s">
        <v>45</v>
      </c>
      <c r="L6188" t="s">
        <v>7235</v>
      </c>
      <c r="M6188" t="s">
        <v>7230</v>
      </c>
      <c r="N6188" t="s">
        <v>7230</v>
      </c>
      <c r="O6188" t="s">
        <v>23</v>
      </c>
      <c r="P6188" t="s">
        <v>24</v>
      </c>
      <c r="Q6188" t="s">
        <v>7123</v>
      </c>
      <c r="R6188" t="s">
        <v>7122</v>
      </c>
    </row>
    <row r="6189" spans="1:18" x14ac:dyDescent="0.25">
      <c r="A6189" t="s">
        <v>16786</v>
      </c>
      <c r="B6189" t="s">
        <v>7271</v>
      </c>
      <c r="C6189" t="str">
        <f>HYPERLINK("https://nematode.unl.edu/melhap5.jpg")</f>
        <v>https://nematode.unl.edu/melhap5.jpg</v>
      </c>
      <c r="D6189" t="s">
        <v>77</v>
      </c>
      <c r="G6189" t="s">
        <v>34</v>
      </c>
      <c r="H6189" t="s">
        <v>18</v>
      </c>
      <c r="I6189" t="s">
        <v>41</v>
      </c>
      <c r="L6189" t="s">
        <v>7235</v>
      </c>
      <c r="M6189" t="s">
        <v>7230</v>
      </c>
      <c r="N6189" t="s">
        <v>7230</v>
      </c>
      <c r="O6189" t="s">
        <v>23</v>
      </c>
      <c r="P6189" t="s">
        <v>24</v>
      </c>
      <c r="Q6189" t="s">
        <v>7123</v>
      </c>
      <c r="R6189" t="s">
        <v>7122</v>
      </c>
    </row>
    <row r="6190" spans="1:18" x14ac:dyDescent="0.25">
      <c r="A6190" t="s">
        <v>16787</v>
      </c>
      <c r="B6190" t="s">
        <v>7272</v>
      </c>
      <c r="C6190" t="str">
        <f>HYPERLINK("https://nematode.unl.edu/melhap50.jpg")</f>
        <v>https://nematode.unl.edu/melhap50.jpg</v>
      </c>
      <c r="D6190" t="s">
        <v>16</v>
      </c>
      <c r="G6190" t="s">
        <v>34</v>
      </c>
      <c r="H6190" t="s">
        <v>18</v>
      </c>
      <c r="M6190" t="s">
        <v>7230</v>
      </c>
      <c r="N6190" t="s">
        <v>7230</v>
      </c>
      <c r="O6190" t="s">
        <v>23</v>
      </c>
      <c r="P6190" t="s">
        <v>24</v>
      </c>
      <c r="Q6190" t="s">
        <v>7123</v>
      </c>
      <c r="R6190" t="s">
        <v>7122</v>
      </c>
    </row>
    <row r="6191" spans="1:18" x14ac:dyDescent="0.25">
      <c r="A6191" t="s">
        <v>16772</v>
      </c>
      <c r="B6191" t="s">
        <v>7273</v>
      </c>
      <c r="C6191" t="str">
        <f>HYPERLINK("https://nematode.unl.edu/melhap51.jpg")</f>
        <v>https://nematode.unl.edu/melhap51.jpg</v>
      </c>
      <c r="D6191" t="s">
        <v>77</v>
      </c>
      <c r="G6191" t="s">
        <v>96</v>
      </c>
      <c r="H6191" t="s">
        <v>18</v>
      </c>
      <c r="M6191" t="s">
        <v>7230</v>
      </c>
      <c r="N6191" t="s">
        <v>7230</v>
      </c>
      <c r="O6191" t="s">
        <v>23</v>
      </c>
      <c r="P6191" t="s">
        <v>24</v>
      </c>
      <c r="Q6191" t="s">
        <v>7123</v>
      </c>
      <c r="R6191" t="s">
        <v>7122</v>
      </c>
    </row>
    <row r="6192" spans="1:18" x14ac:dyDescent="0.25">
      <c r="A6192" t="s">
        <v>16801</v>
      </c>
      <c r="B6192" t="s">
        <v>7274</v>
      </c>
      <c r="C6192" t="str">
        <f>HYPERLINK("https://nematode.unl.edu/melhap52.jpg")</f>
        <v>https://nematode.unl.edu/melhap52.jpg</v>
      </c>
      <c r="D6192" t="s">
        <v>77</v>
      </c>
      <c r="G6192" t="s">
        <v>44</v>
      </c>
      <c r="I6192" t="s">
        <v>45</v>
      </c>
      <c r="L6192" t="s">
        <v>7235</v>
      </c>
      <c r="M6192" t="s">
        <v>7230</v>
      </c>
      <c r="N6192" t="s">
        <v>7230</v>
      </c>
      <c r="O6192" t="s">
        <v>23</v>
      </c>
      <c r="P6192" t="s">
        <v>24</v>
      </c>
      <c r="Q6192" t="s">
        <v>7123</v>
      </c>
      <c r="R6192" t="s">
        <v>7122</v>
      </c>
    </row>
    <row r="6193" spans="1:18" x14ac:dyDescent="0.25">
      <c r="A6193" t="s">
        <v>16788</v>
      </c>
      <c r="B6193" t="s">
        <v>7275</v>
      </c>
      <c r="C6193" t="str">
        <f>HYPERLINK("https://nematode.unl.edu/melhap53.jpg")</f>
        <v>https://nematode.unl.edu/melhap53.jpg</v>
      </c>
      <c r="D6193" t="s">
        <v>77</v>
      </c>
      <c r="G6193" t="s">
        <v>34</v>
      </c>
      <c r="H6193" t="s">
        <v>18</v>
      </c>
      <c r="M6193" t="s">
        <v>7230</v>
      </c>
      <c r="N6193" t="s">
        <v>7230</v>
      </c>
      <c r="O6193" t="s">
        <v>23</v>
      </c>
      <c r="P6193" t="s">
        <v>24</v>
      </c>
      <c r="Q6193" t="s">
        <v>7123</v>
      </c>
      <c r="R6193" t="s">
        <v>7122</v>
      </c>
    </row>
    <row r="6194" spans="1:18" x14ac:dyDescent="0.25">
      <c r="A6194" t="s">
        <v>16794</v>
      </c>
      <c r="B6194" t="s">
        <v>7276</v>
      </c>
      <c r="C6194" t="str">
        <f>HYPERLINK("https://nematode.unl.edu/melhap54.jpg")</f>
        <v>https://nematode.unl.edu/melhap54.jpg</v>
      </c>
      <c r="D6194" t="s">
        <v>77</v>
      </c>
      <c r="G6194" t="s">
        <v>257</v>
      </c>
      <c r="H6194" t="s">
        <v>18</v>
      </c>
      <c r="I6194" t="s">
        <v>41</v>
      </c>
      <c r="M6194" t="s">
        <v>7230</v>
      </c>
      <c r="N6194" t="s">
        <v>7230</v>
      </c>
      <c r="O6194" t="s">
        <v>23</v>
      </c>
      <c r="P6194" t="s">
        <v>24</v>
      </c>
      <c r="Q6194" t="s">
        <v>7123</v>
      </c>
      <c r="R6194" t="s">
        <v>7122</v>
      </c>
    </row>
    <row r="6195" spans="1:18" x14ac:dyDescent="0.25">
      <c r="A6195" t="s">
        <v>16806</v>
      </c>
      <c r="B6195" t="s">
        <v>7277</v>
      </c>
      <c r="C6195" t="str">
        <f>HYPERLINK("https://nematode.unl.edu/melhap55.jpg")</f>
        <v>https://nematode.unl.edu/melhap55.jpg</v>
      </c>
      <c r="D6195" t="s">
        <v>77</v>
      </c>
      <c r="G6195" t="s">
        <v>53</v>
      </c>
      <c r="I6195" t="s">
        <v>41</v>
      </c>
      <c r="M6195" t="s">
        <v>7230</v>
      </c>
      <c r="N6195" t="s">
        <v>7230</v>
      </c>
      <c r="O6195" t="s">
        <v>23</v>
      </c>
      <c r="P6195" t="s">
        <v>24</v>
      </c>
      <c r="Q6195" t="s">
        <v>7123</v>
      </c>
      <c r="R6195" t="s">
        <v>7122</v>
      </c>
    </row>
    <row r="6196" spans="1:18" x14ac:dyDescent="0.25">
      <c r="A6196" t="s">
        <v>16773</v>
      </c>
      <c r="B6196" t="s">
        <v>7278</v>
      </c>
      <c r="C6196" t="str">
        <f>HYPERLINK("https://nematode.unl.edu/melhap56.jpg")</f>
        <v>https://nematode.unl.edu/melhap56.jpg</v>
      </c>
      <c r="G6196" t="s">
        <v>96</v>
      </c>
      <c r="H6196" t="s">
        <v>18</v>
      </c>
      <c r="M6196" t="s">
        <v>7230</v>
      </c>
      <c r="N6196" t="s">
        <v>7230</v>
      </c>
      <c r="O6196" t="s">
        <v>23</v>
      </c>
      <c r="P6196" t="s">
        <v>24</v>
      </c>
      <c r="Q6196" t="s">
        <v>7123</v>
      </c>
      <c r="R6196" t="s">
        <v>7122</v>
      </c>
    </row>
    <row r="6197" spans="1:18" x14ac:dyDescent="0.25">
      <c r="A6197" t="s">
        <v>16824</v>
      </c>
      <c r="B6197" t="s">
        <v>7279</v>
      </c>
      <c r="C6197" t="str">
        <f>HYPERLINK("https://nematode.unl.edu/melhap57.jpg")</f>
        <v>https://nematode.unl.edu/melhap57.jpg</v>
      </c>
      <c r="D6197" t="s">
        <v>16</v>
      </c>
      <c r="G6197" t="s">
        <v>28</v>
      </c>
      <c r="M6197" t="s">
        <v>7230</v>
      </c>
      <c r="N6197" t="s">
        <v>7230</v>
      </c>
      <c r="O6197" t="s">
        <v>23</v>
      </c>
      <c r="P6197" t="s">
        <v>24</v>
      </c>
      <c r="Q6197" t="s">
        <v>7123</v>
      </c>
      <c r="R6197" t="s">
        <v>7122</v>
      </c>
    </row>
    <row r="6198" spans="1:18" x14ac:dyDescent="0.25">
      <c r="A6198" t="s">
        <v>16825</v>
      </c>
      <c r="B6198" t="s">
        <v>7280</v>
      </c>
      <c r="C6198" t="str">
        <f>HYPERLINK("https://nematode.unl.edu/melhap58.jpg")</f>
        <v>https://nematode.unl.edu/melhap58.jpg</v>
      </c>
      <c r="D6198" t="s">
        <v>16</v>
      </c>
      <c r="G6198" t="s">
        <v>28</v>
      </c>
      <c r="I6198" t="s">
        <v>41</v>
      </c>
      <c r="L6198" t="s">
        <v>7235</v>
      </c>
      <c r="M6198" t="s">
        <v>7230</v>
      </c>
      <c r="N6198" t="s">
        <v>7230</v>
      </c>
      <c r="O6198" t="s">
        <v>23</v>
      </c>
      <c r="P6198" t="s">
        <v>24</v>
      </c>
      <c r="Q6198" t="s">
        <v>7123</v>
      </c>
      <c r="R6198" t="s">
        <v>7122</v>
      </c>
    </row>
    <row r="6199" spans="1:18" x14ac:dyDescent="0.25">
      <c r="A6199" t="s">
        <v>16789</v>
      </c>
      <c r="B6199" t="s">
        <v>7281</v>
      </c>
      <c r="C6199" t="str">
        <f>HYPERLINK("https://nematode.unl.edu/melhap59.jpg")</f>
        <v>https://nematode.unl.edu/melhap59.jpg</v>
      </c>
      <c r="D6199" t="s">
        <v>16</v>
      </c>
      <c r="G6199" t="s">
        <v>34</v>
      </c>
      <c r="H6199" t="s">
        <v>18</v>
      </c>
      <c r="I6199" t="s">
        <v>19</v>
      </c>
      <c r="M6199" t="s">
        <v>7230</v>
      </c>
      <c r="N6199" t="s">
        <v>7230</v>
      </c>
      <c r="O6199" t="s">
        <v>23</v>
      </c>
      <c r="P6199" t="s">
        <v>24</v>
      </c>
      <c r="Q6199" t="s">
        <v>7123</v>
      </c>
      <c r="R6199" t="s">
        <v>7122</v>
      </c>
    </row>
    <row r="6200" spans="1:18" x14ac:dyDescent="0.25">
      <c r="A6200" t="s">
        <v>16826</v>
      </c>
      <c r="B6200" t="s">
        <v>7282</v>
      </c>
      <c r="C6200" t="str">
        <f>HYPERLINK("https://nematode.unl.edu/melhap6.jpg")</f>
        <v>https://nematode.unl.edu/melhap6.jpg</v>
      </c>
      <c r="D6200" t="s">
        <v>77</v>
      </c>
      <c r="G6200" t="s">
        <v>28</v>
      </c>
      <c r="I6200" t="s">
        <v>516</v>
      </c>
      <c r="L6200" t="s">
        <v>7235</v>
      </c>
      <c r="M6200" t="s">
        <v>7230</v>
      </c>
      <c r="N6200" t="s">
        <v>7230</v>
      </c>
      <c r="O6200" t="s">
        <v>23</v>
      </c>
      <c r="P6200" t="s">
        <v>24</v>
      </c>
      <c r="Q6200" t="s">
        <v>7123</v>
      </c>
      <c r="R6200" t="s">
        <v>7122</v>
      </c>
    </row>
    <row r="6201" spans="1:18" x14ac:dyDescent="0.25">
      <c r="A6201" t="s">
        <v>16827</v>
      </c>
      <c r="B6201" t="s">
        <v>7283</v>
      </c>
      <c r="C6201" t="str">
        <f>HYPERLINK("https://nematode.unl.edu/melhap60.jpg")</f>
        <v>https://nematode.unl.edu/melhap60.jpg</v>
      </c>
      <c r="D6201" t="s">
        <v>16</v>
      </c>
      <c r="G6201" t="s">
        <v>28</v>
      </c>
      <c r="M6201" t="s">
        <v>7230</v>
      </c>
      <c r="N6201" t="s">
        <v>7230</v>
      </c>
      <c r="O6201" t="s">
        <v>23</v>
      </c>
      <c r="P6201" t="s">
        <v>24</v>
      </c>
      <c r="Q6201" t="s">
        <v>7123</v>
      </c>
      <c r="R6201" t="s">
        <v>7122</v>
      </c>
    </row>
    <row r="6202" spans="1:18" x14ac:dyDescent="0.25">
      <c r="A6202" t="s">
        <v>16790</v>
      </c>
      <c r="B6202" t="s">
        <v>7284</v>
      </c>
      <c r="C6202" t="str">
        <f>HYPERLINK("https://nematode.unl.edu/melhap61.jpg")</f>
        <v>https://nematode.unl.edu/melhap61.jpg</v>
      </c>
      <c r="D6202" t="s">
        <v>16</v>
      </c>
      <c r="G6202" t="s">
        <v>34</v>
      </c>
      <c r="H6202" t="s">
        <v>18</v>
      </c>
      <c r="M6202" t="s">
        <v>7230</v>
      </c>
      <c r="N6202" t="s">
        <v>7230</v>
      </c>
      <c r="O6202" t="s">
        <v>23</v>
      </c>
      <c r="P6202" t="s">
        <v>24</v>
      </c>
      <c r="Q6202" t="s">
        <v>7123</v>
      </c>
      <c r="R6202" t="s">
        <v>7122</v>
      </c>
    </row>
    <row r="6203" spans="1:18" x14ac:dyDescent="0.25">
      <c r="A6203" t="s">
        <v>16828</v>
      </c>
      <c r="B6203" t="s">
        <v>7285</v>
      </c>
      <c r="C6203" t="str">
        <f>HYPERLINK("https://nematode.unl.edu/melhap62.jpg")</f>
        <v>https://nematode.unl.edu/melhap62.jpg</v>
      </c>
      <c r="D6203" t="s">
        <v>16</v>
      </c>
      <c r="G6203" t="s">
        <v>28</v>
      </c>
      <c r="M6203" t="s">
        <v>7230</v>
      </c>
      <c r="N6203" t="s">
        <v>7230</v>
      </c>
      <c r="O6203" t="s">
        <v>23</v>
      </c>
      <c r="P6203" t="s">
        <v>24</v>
      </c>
      <c r="Q6203" t="s">
        <v>7123</v>
      </c>
      <c r="R6203" t="s">
        <v>7122</v>
      </c>
    </row>
    <row r="6204" spans="1:18" x14ac:dyDescent="0.25">
      <c r="A6204" t="s">
        <v>16791</v>
      </c>
      <c r="B6204" t="s">
        <v>7286</v>
      </c>
      <c r="C6204" t="str">
        <f>HYPERLINK("https://nematode.unl.edu/melhap63.jpg")</f>
        <v>https://nematode.unl.edu/melhap63.jpg</v>
      </c>
      <c r="D6204" t="s">
        <v>16</v>
      </c>
      <c r="G6204" t="s">
        <v>34</v>
      </c>
      <c r="H6204" t="s">
        <v>18</v>
      </c>
      <c r="I6204" t="s">
        <v>19</v>
      </c>
      <c r="M6204" t="s">
        <v>7230</v>
      </c>
      <c r="N6204" t="s">
        <v>7230</v>
      </c>
      <c r="O6204" t="s">
        <v>23</v>
      </c>
      <c r="P6204" t="s">
        <v>24</v>
      </c>
      <c r="Q6204" t="s">
        <v>7123</v>
      </c>
      <c r="R6204" t="s">
        <v>7122</v>
      </c>
    </row>
    <row r="6205" spans="1:18" x14ac:dyDescent="0.25">
      <c r="A6205" t="s">
        <v>16829</v>
      </c>
      <c r="B6205" t="s">
        <v>7287</v>
      </c>
      <c r="C6205" t="str">
        <f>HYPERLINK("https://nematode.unl.edu/melhap64.jpg")</f>
        <v>https://nematode.unl.edu/melhap64.jpg</v>
      </c>
      <c r="D6205" t="s">
        <v>16</v>
      </c>
      <c r="G6205" t="s">
        <v>28</v>
      </c>
      <c r="I6205" t="s">
        <v>19</v>
      </c>
      <c r="M6205" t="s">
        <v>7230</v>
      </c>
      <c r="N6205" t="s">
        <v>7230</v>
      </c>
      <c r="O6205" t="s">
        <v>23</v>
      </c>
      <c r="P6205" t="s">
        <v>24</v>
      </c>
      <c r="Q6205" t="s">
        <v>7123</v>
      </c>
      <c r="R6205" t="s">
        <v>7122</v>
      </c>
    </row>
    <row r="6206" spans="1:18" x14ac:dyDescent="0.25">
      <c r="A6206" t="s">
        <v>16830</v>
      </c>
      <c r="B6206" t="s">
        <v>7288</v>
      </c>
      <c r="C6206" t="str">
        <f>HYPERLINK("https://nematode.unl.edu/melhap65.jpg")</f>
        <v>https://nematode.unl.edu/melhap65.jpg</v>
      </c>
      <c r="D6206" t="s">
        <v>16</v>
      </c>
      <c r="G6206" t="s">
        <v>28</v>
      </c>
      <c r="I6206" t="s">
        <v>41</v>
      </c>
      <c r="L6206" t="s">
        <v>7235</v>
      </c>
      <c r="M6206" t="s">
        <v>7230</v>
      </c>
      <c r="N6206" t="s">
        <v>7230</v>
      </c>
      <c r="O6206" t="s">
        <v>23</v>
      </c>
      <c r="P6206" t="s">
        <v>24</v>
      </c>
      <c r="Q6206" t="s">
        <v>7123</v>
      </c>
      <c r="R6206" t="s">
        <v>7122</v>
      </c>
    </row>
    <row r="6207" spans="1:18" x14ac:dyDescent="0.25">
      <c r="A6207" t="s">
        <v>16792</v>
      </c>
      <c r="B6207" t="s">
        <v>7289</v>
      </c>
      <c r="C6207" t="str">
        <f>HYPERLINK("https://nematode.unl.edu/melhap67.jpg")</f>
        <v>https://nematode.unl.edu/melhap67.jpg</v>
      </c>
      <c r="D6207" t="s">
        <v>16</v>
      </c>
      <c r="G6207" t="s">
        <v>34</v>
      </c>
      <c r="H6207" t="s">
        <v>18</v>
      </c>
      <c r="I6207" t="s">
        <v>41</v>
      </c>
      <c r="L6207" t="s">
        <v>7235</v>
      </c>
      <c r="M6207" t="s">
        <v>7230</v>
      </c>
      <c r="N6207" t="s">
        <v>7230</v>
      </c>
      <c r="O6207" t="s">
        <v>23</v>
      </c>
      <c r="P6207" t="s">
        <v>24</v>
      </c>
      <c r="Q6207" t="s">
        <v>7123</v>
      </c>
      <c r="R6207" t="s">
        <v>7122</v>
      </c>
    </row>
    <row r="6208" spans="1:18" x14ac:dyDescent="0.25">
      <c r="A6208" t="s">
        <v>16831</v>
      </c>
      <c r="B6208" t="s">
        <v>7290</v>
      </c>
      <c r="C6208" t="str">
        <f>HYPERLINK("https://nematode.unl.edu/melhap68.jpg")</f>
        <v>https://nematode.unl.edu/melhap68.jpg</v>
      </c>
      <c r="D6208" t="s">
        <v>16</v>
      </c>
      <c r="G6208" t="s">
        <v>28</v>
      </c>
      <c r="I6208" t="s">
        <v>41</v>
      </c>
      <c r="L6208" t="s">
        <v>7235</v>
      </c>
      <c r="M6208" t="s">
        <v>7230</v>
      </c>
      <c r="N6208" t="s">
        <v>7230</v>
      </c>
      <c r="O6208" t="s">
        <v>23</v>
      </c>
      <c r="P6208" t="s">
        <v>24</v>
      </c>
      <c r="Q6208" t="s">
        <v>7123</v>
      </c>
      <c r="R6208" t="s">
        <v>7122</v>
      </c>
    </row>
    <row r="6209" spans="1:18" x14ac:dyDescent="0.25">
      <c r="A6209" t="s">
        <v>16832</v>
      </c>
      <c r="B6209" t="s">
        <v>7291</v>
      </c>
      <c r="C6209" t="str">
        <f>HYPERLINK("https://nematode.unl.edu/melhap7.jpg")</f>
        <v>https://nematode.unl.edu/melhap7.jpg</v>
      </c>
      <c r="D6209" t="s">
        <v>77</v>
      </c>
      <c r="G6209" t="s">
        <v>28</v>
      </c>
      <c r="I6209" t="s">
        <v>41</v>
      </c>
      <c r="M6209" t="s">
        <v>7230</v>
      </c>
      <c r="N6209" t="s">
        <v>7230</v>
      </c>
      <c r="O6209" t="s">
        <v>23</v>
      </c>
      <c r="P6209" t="s">
        <v>24</v>
      </c>
      <c r="Q6209" t="s">
        <v>7123</v>
      </c>
      <c r="R6209" t="s">
        <v>7122</v>
      </c>
    </row>
    <row r="6210" spans="1:18" x14ac:dyDescent="0.25">
      <c r="A6210" t="s">
        <v>16815</v>
      </c>
      <c r="B6210" t="s">
        <v>7292</v>
      </c>
      <c r="C6210" t="str">
        <f>HYPERLINK("https://nematode.unl.edu/melhap8.jpg")</f>
        <v>https://nematode.unl.edu/melhap8.jpg</v>
      </c>
      <c r="D6210" t="s">
        <v>77</v>
      </c>
      <c r="G6210" t="s">
        <v>112</v>
      </c>
      <c r="I6210" t="s">
        <v>41</v>
      </c>
      <c r="L6210" t="s">
        <v>7235</v>
      </c>
      <c r="M6210" t="s">
        <v>7230</v>
      </c>
      <c r="N6210" t="s">
        <v>7230</v>
      </c>
      <c r="O6210" t="s">
        <v>23</v>
      </c>
      <c r="P6210" t="s">
        <v>24</v>
      </c>
      <c r="Q6210" t="s">
        <v>7123</v>
      </c>
      <c r="R6210" t="s">
        <v>7122</v>
      </c>
    </row>
    <row r="6211" spans="1:18" x14ac:dyDescent="0.25">
      <c r="A6211" t="s">
        <v>16793</v>
      </c>
      <c r="B6211" t="s">
        <v>7293</v>
      </c>
      <c r="C6211" t="str">
        <f>HYPERLINK("https://nematode.unl.edu/melhap9.jpg")</f>
        <v>https://nematode.unl.edu/melhap9.jpg</v>
      </c>
      <c r="D6211" t="s">
        <v>16</v>
      </c>
      <c r="G6211" t="s">
        <v>34</v>
      </c>
      <c r="H6211" t="s">
        <v>18</v>
      </c>
      <c r="I6211" t="s">
        <v>19</v>
      </c>
      <c r="J6211" t="s">
        <v>7229</v>
      </c>
      <c r="L6211" t="s">
        <v>4481</v>
      </c>
      <c r="M6211" t="s">
        <v>7230</v>
      </c>
      <c r="N6211" t="s">
        <v>7230</v>
      </c>
      <c r="O6211" t="s">
        <v>23</v>
      </c>
      <c r="P6211" t="s">
        <v>24</v>
      </c>
      <c r="Q6211" t="s">
        <v>7123</v>
      </c>
      <c r="R6211" t="s">
        <v>7122</v>
      </c>
    </row>
    <row r="6212" spans="1:18" x14ac:dyDescent="0.25">
      <c r="A6212" t="s">
        <v>16750</v>
      </c>
      <c r="B6212" t="s">
        <v>7202</v>
      </c>
      <c r="C6212" t="str">
        <f>HYPERLINK("https://nematode.unl.edu/melicola1.jpg")</f>
        <v>https://nematode.unl.edu/melicola1.jpg</v>
      </c>
      <c r="D6212" t="s">
        <v>16</v>
      </c>
      <c r="G6212" t="s">
        <v>44</v>
      </c>
      <c r="I6212" t="s">
        <v>137</v>
      </c>
      <c r="J6212" t="s">
        <v>4654</v>
      </c>
      <c r="M6212" t="s">
        <v>7203</v>
      </c>
      <c r="N6212" t="s">
        <v>7203</v>
      </c>
      <c r="O6212" t="s">
        <v>23</v>
      </c>
      <c r="P6212" t="s">
        <v>24</v>
      </c>
      <c r="Q6212" t="s">
        <v>7123</v>
      </c>
      <c r="R6212" t="s">
        <v>7122</v>
      </c>
    </row>
    <row r="6213" spans="1:18" x14ac:dyDescent="0.25">
      <c r="A6213" t="s">
        <v>16752</v>
      </c>
      <c r="B6213" t="s">
        <v>7204</v>
      </c>
      <c r="C6213" t="str">
        <f>HYPERLINK("https://nematode.unl.edu/melicola10.jpg")</f>
        <v>https://nematode.unl.edu/melicola10.jpg</v>
      </c>
      <c r="D6213" t="s">
        <v>16</v>
      </c>
      <c r="G6213" t="s">
        <v>28</v>
      </c>
      <c r="I6213" t="s">
        <v>41</v>
      </c>
      <c r="J6213" t="s">
        <v>4654</v>
      </c>
      <c r="M6213" t="s">
        <v>7203</v>
      </c>
      <c r="N6213" t="s">
        <v>7203</v>
      </c>
      <c r="O6213" t="s">
        <v>23</v>
      </c>
      <c r="P6213" t="s">
        <v>24</v>
      </c>
      <c r="Q6213" t="s">
        <v>7123</v>
      </c>
      <c r="R6213" t="s">
        <v>7122</v>
      </c>
    </row>
    <row r="6214" spans="1:18" x14ac:dyDescent="0.25">
      <c r="A6214" t="s">
        <v>16747</v>
      </c>
      <c r="B6214" t="s">
        <v>7205</v>
      </c>
      <c r="C6214" t="str">
        <f>HYPERLINK("https://nematode.unl.edu/melicola2.jpg")</f>
        <v>https://nematode.unl.edu/melicola2.jpg</v>
      </c>
      <c r="D6214" t="s">
        <v>16</v>
      </c>
      <c r="G6214" t="s">
        <v>34</v>
      </c>
      <c r="H6214" t="s">
        <v>18</v>
      </c>
      <c r="I6214" t="s">
        <v>19</v>
      </c>
      <c r="J6214" t="s">
        <v>4654</v>
      </c>
      <c r="M6214" t="s">
        <v>7203</v>
      </c>
      <c r="N6214" t="s">
        <v>7203</v>
      </c>
      <c r="O6214" t="s">
        <v>23</v>
      </c>
      <c r="P6214" t="s">
        <v>24</v>
      </c>
      <c r="Q6214" t="s">
        <v>7123</v>
      </c>
      <c r="R6214" t="s">
        <v>7122</v>
      </c>
    </row>
    <row r="6215" spans="1:18" x14ac:dyDescent="0.25">
      <c r="A6215" t="s">
        <v>16753</v>
      </c>
      <c r="B6215" t="s">
        <v>7206</v>
      </c>
      <c r="C6215" t="str">
        <f>HYPERLINK("https://nematode.unl.edu/melicola3.jpg")</f>
        <v>https://nematode.unl.edu/melicola3.jpg</v>
      </c>
      <c r="D6215" t="s">
        <v>16</v>
      </c>
      <c r="G6215" t="s">
        <v>28</v>
      </c>
      <c r="I6215" t="s">
        <v>19</v>
      </c>
      <c r="J6215" t="s">
        <v>4654</v>
      </c>
      <c r="M6215" t="s">
        <v>7203</v>
      </c>
      <c r="N6215" t="s">
        <v>7203</v>
      </c>
      <c r="O6215" t="s">
        <v>23</v>
      </c>
      <c r="P6215" t="s">
        <v>24</v>
      </c>
      <c r="Q6215" t="s">
        <v>7123</v>
      </c>
      <c r="R6215" t="s">
        <v>7122</v>
      </c>
    </row>
    <row r="6216" spans="1:18" x14ac:dyDescent="0.25">
      <c r="A6216" t="s">
        <v>16754</v>
      </c>
      <c r="B6216" t="s">
        <v>7207</v>
      </c>
      <c r="C6216" t="str">
        <f>HYPERLINK("https://nematode.unl.edu/melicola4.jpg")</f>
        <v>https://nematode.unl.edu/melicola4.jpg</v>
      </c>
      <c r="D6216" t="s">
        <v>16</v>
      </c>
      <c r="G6216" t="s">
        <v>28</v>
      </c>
      <c r="J6216" t="s">
        <v>4654</v>
      </c>
      <c r="M6216" t="s">
        <v>7203</v>
      </c>
      <c r="N6216" t="s">
        <v>7203</v>
      </c>
      <c r="O6216" t="s">
        <v>23</v>
      </c>
      <c r="P6216" t="s">
        <v>24</v>
      </c>
      <c r="Q6216" t="s">
        <v>7123</v>
      </c>
      <c r="R6216" t="s">
        <v>7122</v>
      </c>
    </row>
    <row r="6217" spans="1:18" x14ac:dyDescent="0.25">
      <c r="A6217" t="s">
        <v>16751</v>
      </c>
      <c r="B6217" t="s">
        <v>7208</v>
      </c>
      <c r="C6217" t="str">
        <f>HYPERLINK("https://nematode.unl.edu/melicola5.jpg")</f>
        <v>https://nematode.unl.edu/melicola5.jpg</v>
      </c>
      <c r="D6217" t="s">
        <v>16</v>
      </c>
      <c r="G6217" t="s">
        <v>44</v>
      </c>
      <c r="I6217" t="s">
        <v>499</v>
      </c>
      <c r="J6217" t="s">
        <v>4654</v>
      </c>
      <c r="M6217" t="s">
        <v>7203</v>
      </c>
      <c r="N6217" t="s">
        <v>7203</v>
      </c>
      <c r="O6217" t="s">
        <v>23</v>
      </c>
      <c r="P6217" t="s">
        <v>24</v>
      </c>
      <c r="Q6217" t="s">
        <v>7123</v>
      </c>
      <c r="R6217" t="s">
        <v>7122</v>
      </c>
    </row>
    <row r="6218" spans="1:18" x14ac:dyDescent="0.25">
      <c r="A6218" t="s">
        <v>16748</v>
      </c>
      <c r="B6218" t="s">
        <v>7209</v>
      </c>
      <c r="C6218" t="str">
        <f>HYPERLINK("https://nematode.unl.edu/melicola6.jpg")</f>
        <v>https://nematode.unl.edu/melicola6.jpg</v>
      </c>
      <c r="D6218" t="s">
        <v>16</v>
      </c>
      <c r="G6218" t="s">
        <v>34</v>
      </c>
      <c r="H6218" t="s">
        <v>18</v>
      </c>
      <c r="I6218" t="s">
        <v>19</v>
      </c>
      <c r="J6218" t="s">
        <v>4654</v>
      </c>
      <c r="M6218" t="s">
        <v>7203</v>
      </c>
      <c r="N6218" t="s">
        <v>7203</v>
      </c>
      <c r="O6218" t="s">
        <v>23</v>
      </c>
      <c r="P6218" t="s">
        <v>24</v>
      </c>
      <c r="Q6218" t="s">
        <v>7123</v>
      </c>
      <c r="R6218" t="s">
        <v>7122</v>
      </c>
    </row>
    <row r="6219" spans="1:18" x14ac:dyDescent="0.25">
      <c r="A6219" t="s">
        <v>16755</v>
      </c>
      <c r="B6219" t="s">
        <v>7210</v>
      </c>
      <c r="C6219" t="str">
        <f>HYPERLINK("https://nematode.unl.edu/melicola7.jpg")</f>
        <v>https://nematode.unl.edu/melicola7.jpg</v>
      </c>
      <c r="D6219" t="s">
        <v>16</v>
      </c>
      <c r="G6219" t="s">
        <v>28</v>
      </c>
      <c r="I6219" t="s">
        <v>516</v>
      </c>
      <c r="J6219" t="s">
        <v>4654</v>
      </c>
      <c r="M6219" t="s">
        <v>7203</v>
      </c>
      <c r="N6219" t="s">
        <v>7203</v>
      </c>
      <c r="O6219" t="s">
        <v>23</v>
      </c>
      <c r="P6219" t="s">
        <v>24</v>
      </c>
      <c r="Q6219" t="s">
        <v>7123</v>
      </c>
      <c r="R6219" t="s">
        <v>7122</v>
      </c>
    </row>
    <row r="6220" spans="1:18" x14ac:dyDescent="0.25">
      <c r="A6220" t="s">
        <v>16749</v>
      </c>
      <c r="B6220" t="s">
        <v>7211</v>
      </c>
      <c r="C6220" t="str">
        <f>HYPERLINK("https://nematode.unl.edu/melicola8.jpg")</f>
        <v>https://nematode.unl.edu/melicola8.jpg</v>
      </c>
      <c r="D6220" t="s">
        <v>16</v>
      </c>
      <c r="G6220" t="s">
        <v>34</v>
      </c>
      <c r="H6220" t="s">
        <v>18</v>
      </c>
      <c r="I6220" t="s">
        <v>41</v>
      </c>
      <c r="J6220" t="s">
        <v>4654</v>
      </c>
      <c r="M6220" t="s">
        <v>7203</v>
      </c>
      <c r="N6220" t="s">
        <v>7203</v>
      </c>
      <c r="O6220" t="s">
        <v>23</v>
      </c>
      <c r="P6220" t="s">
        <v>24</v>
      </c>
      <c r="Q6220" t="s">
        <v>7123</v>
      </c>
      <c r="R6220" t="s">
        <v>7122</v>
      </c>
    </row>
    <row r="6221" spans="1:18" x14ac:dyDescent="0.25">
      <c r="A6221" t="s">
        <v>16756</v>
      </c>
      <c r="B6221" t="s">
        <v>7212</v>
      </c>
      <c r="C6221" t="str">
        <f>HYPERLINK("https://nematode.unl.edu/melicola9.jpg")</f>
        <v>https://nematode.unl.edu/melicola9.jpg</v>
      </c>
      <c r="D6221" t="s">
        <v>16</v>
      </c>
      <c r="G6221" t="s">
        <v>28</v>
      </c>
      <c r="I6221" t="s">
        <v>41</v>
      </c>
      <c r="J6221" t="s">
        <v>4654</v>
      </c>
      <c r="M6221" t="s">
        <v>7203</v>
      </c>
      <c r="N6221" t="s">
        <v>7203</v>
      </c>
      <c r="O6221" t="s">
        <v>23</v>
      </c>
      <c r="P6221" t="s">
        <v>24</v>
      </c>
      <c r="Q6221" t="s">
        <v>7123</v>
      </c>
      <c r="R6221" t="s">
        <v>7122</v>
      </c>
    </row>
    <row r="6222" spans="1:18" x14ac:dyDescent="0.25">
      <c r="A6222" t="s">
        <v>19915</v>
      </c>
      <c r="B6222" t="s">
        <v>8812</v>
      </c>
      <c r="C6222" t="str">
        <f>HYPERLINK("https://nematode.unl.edu/meliss1.jpg")</f>
        <v>https://nematode.unl.edu/meliss1.jpg</v>
      </c>
      <c r="D6222" t="s">
        <v>16</v>
      </c>
      <c r="G6222" t="s">
        <v>44</v>
      </c>
      <c r="I6222" t="s">
        <v>45</v>
      </c>
      <c r="J6222" t="s">
        <v>20</v>
      </c>
      <c r="L6222" t="s">
        <v>78</v>
      </c>
      <c r="M6222" t="s">
        <v>8813</v>
      </c>
      <c r="N6222" t="s">
        <v>8813</v>
      </c>
      <c r="O6222" t="s">
        <v>73</v>
      </c>
      <c r="P6222" t="s">
        <v>81</v>
      </c>
      <c r="Q6222" t="s">
        <v>489</v>
      </c>
      <c r="R6222" t="s">
        <v>8805</v>
      </c>
    </row>
    <row r="6223" spans="1:18" x14ac:dyDescent="0.25">
      <c r="A6223" t="s">
        <v>19912</v>
      </c>
      <c r="B6223" t="s">
        <v>8814</v>
      </c>
      <c r="C6223" t="str">
        <f>HYPERLINK("https://nematode.unl.edu/meliss2.jpg")</f>
        <v>https://nematode.unl.edu/meliss2.jpg</v>
      </c>
      <c r="D6223" t="s">
        <v>16</v>
      </c>
      <c r="G6223" t="s">
        <v>34</v>
      </c>
      <c r="H6223" t="s">
        <v>18</v>
      </c>
      <c r="I6223" t="s">
        <v>19</v>
      </c>
      <c r="J6223" t="s">
        <v>20</v>
      </c>
      <c r="L6223" t="s">
        <v>78</v>
      </c>
      <c r="M6223" t="s">
        <v>8813</v>
      </c>
      <c r="N6223" t="s">
        <v>8813</v>
      </c>
      <c r="O6223" t="s">
        <v>73</v>
      </c>
      <c r="P6223" t="s">
        <v>81</v>
      </c>
      <c r="Q6223" t="s">
        <v>489</v>
      </c>
      <c r="R6223" t="s">
        <v>8805</v>
      </c>
    </row>
    <row r="6224" spans="1:18" x14ac:dyDescent="0.25">
      <c r="A6224" t="s">
        <v>19916</v>
      </c>
      <c r="B6224" t="s">
        <v>8815</v>
      </c>
      <c r="C6224" t="str">
        <f>HYPERLINK("https://nematode.unl.edu/meliss3.jpg")</f>
        <v>https://nematode.unl.edu/meliss3.jpg</v>
      </c>
      <c r="D6224" t="s">
        <v>16</v>
      </c>
      <c r="G6224" t="s">
        <v>28</v>
      </c>
      <c r="I6224" t="s">
        <v>19</v>
      </c>
      <c r="J6224" t="s">
        <v>20</v>
      </c>
      <c r="L6224" t="s">
        <v>78</v>
      </c>
      <c r="M6224" t="s">
        <v>8813</v>
      </c>
      <c r="N6224" t="s">
        <v>8813</v>
      </c>
      <c r="O6224" t="s">
        <v>73</v>
      </c>
      <c r="P6224" t="s">
        <v>81</v>
      </c>
      <c r="Q6224" t="s">
        <v>489</v>
      </c>
      <c r="R6224" t="s">
        <v>8805</v>
      </c>
    </row>
    <row r="6225" spans="1:18" x14ac:dyDescent="0.25">
      <c r="A6225" t="s">
        <v>19913</v>
      </c>
      <c r="B6225" t="s">
        <v>8816</v>
      </c>
      <c r="C6225" t="str">
        <f>HYPERLINK("https://nematode.unl.edu/meliss4.jpg")</f>
        <v>https://nematode.unl.edu/meliss4.jpg</v>
      </c>
      <c r="D6225" t="s">
        <v>16</v>
      </c>
      <c r="G6225" t="s">
        <v>905</v>
      </c>
      <c r="I6225" t="s">
        <v>19</v>
      </c>
      <c r="J6225" t="s">
        <v>20</v>
      </c>
      <c r="L6225" t="s">
        <v>35</v>
      </c>
      <c r="M6225" t="s">
        <v>8813</v>
      </c>
      <c r="N6225" t="s">
        <v>8813</v>
      </c>
      <c r="O6225" t="s">
        <v>73</v>
      </c>
      <c r="P6225" t="s">
        <v>81</v>
      </c>
      <c r="Q6225" t="s">
        <v>489</v>
      </c>
      <c r="R6225" t="s">
        <v>8805</v>
      </c>
    </row>
    <row r="6226" spans="1:18" x14ac:dyDescent="0.25">
      <c r="A6226" t="s">
        <v>19914</v>
      </c>
      <c r="B6226" t="s">
        <v>8817</v>
      </c>
      <c r="C6226" t="str">
        <f>HYPERLINK("https://nematode.unl.edu/meliss5.jpg")</f>
        <v>https://nematode.unl.edu/meliss5.jpg</v>
      </c>
      <c r="D6226" t="s">
        <v>16</v>
      </c>
      <c r="G6226" t="s">
        <v>87</v>
      </c>
      <c r="I6226" t="s">
        <v>19</v>
      </c>
      <c r="J6226" t="s">
        <v>20</v>
      </c>
      <c r="L6226" t="s">
        <v>35</v>
      </c>
      <c r="M6226" t="s">
        <v>8813</v>
      </c>
      <c r="N6226" t="s">
        <v>8813</v>
      </c>
      <c r="O6226" t="s">
        <v>73</v>
      </c>
      <c r="P6226" t="s">
        <v>81</v>
      </c>
      <c r="Q6226" t="s">
        <v>489</v>
      </c>
      <c r="R6226" t="s">
        <v>8805</v>
      </c>
    </row>
    <row r="6227" spans="1:18" x14ac:dyDescent="0.25">
      <c r="A6227" t="s">
        <v>19917</v>
      </c>
      <c r="B6227" t="s">
        <v>8818</v>
      </c>
      <c r="C6227" t="str">
        <f>HYPERLINK("https://nematode.unl.edu/melisscmp.jpg")</f>
        <v>https://nematode.unl.edu/melisscmp.jpg</v>
      </c>
      <c r="D6227" t="s">
        <v>77</v>
      </c>
      <c r="G6227" t="s">
        <v>28</v>
      </c>
      <c r="M6227" t="s">
        <v>8813</v>
      </c>
      <c r="N6227" t="s">
        <v>8813</v>
      </c>
      <c r="O6227" t="s">
        <v>73</v>
      </c>
      <c r="P6227" t="s">
        <v>81</v>
      </c>
      <c r="Q6227" t="s">
        <v>489</v>
      </c>
      <c r="R6227" t="s">
        <v>8805</v>
      </c>
    </row>
    <row r="6228" spans="1:18" x14ac:dyDescent="0.25">
      <c r="A6228" t="s">
        <v>16712</v>
      </c>
      <c r="B6228" t="s">
        <v>7165</v>
      </c>
      <c r="C6228" t="str">
        <f>HYPERLINK("https://nematode.unl.edu/melochit1.jpg")</f>
        <v>https://nematode.unl.edu/melochit1.jpg</v>
      </c>
      <c r="D6228" t="s">
        <v>16</v>
      </c>
      <c r="G6228" t="s">
        <v>44</v>
      </c>
      <c r="I6228" t="s">
        <v>4020</v>
      </c>
      <c r="M6228" t="s">
        <v>7143</v>
      </c>
      <c r="N6228" t="s">
        <v>7143</v>
      </c>
      <c r="O6228" t="s">
        <v>23</v>
      </c>
      <c r="P6228" t="s">
        <v>24</v>
      </c>
      <c r="Q6228" t="s">
        <v>7123</v>
      </c>
      <c r="R6228" t="s">
        <v>7122</v>
      </c>
    </row>
    <row r="6229" spans="1:18" x14ac:dyDescent="0.25">
      <c r="A6229" t="s">
        <v>16734</v>
      </c>
      <c r="B6229" t="s">
        <v>7166</v>
      </c>
      <c r="C6229" t="str">
        <f>HYPERLINK("https://nematode.unl.edu/melochit10.jpg")</f>
        <v>https://nematode.unl.edu/melochit10.jpg</v>
      </c>
      <c r="D6229" t="s">
        <v>16</v>
      </c>
      <c r="G6229" t="s">
        <v>28</v>
      </c>
      <c r="M6229" t="s">
        <v>7143</v>
      </c>
      <c r="N6229" t="s">
        <v>7143</v>
      </c>
      <c r="O6229" t="s">
        <v>23</v>
      </c>
      <c r="P6229" t="s">
        <v>24</v>
      </c>
      <c r="Q6229" t="s">
        <v>7123</v>
      </c>
      <c r="R6229" t="s">
        <v>7122</v>
      </c>
    </row>
    <row r="6230" spans="1:18" x14ac:dyDescent="0.25">
      <c r="A6230" t="s">
        <v>16699</v>
      </c>
      <c r="B6230" t="s">
        <v>7167</v>
      </c>
      <c r="C6230" t="str">
        <f>HYPERLINK("https://nematode.unl.edu/melochit11.jpg")</f>
        <v>https://nematode.unl.edu/melochit11.jpg</v>
      </c>
      <c r="D6230" t="s">
        <v>16</v>
      </c>
      <c r="G6230" t="s">
        <v>34</v>
      </c>
      <c r="H6230" t="s">
        <v>18</v>
      </c>
      <c r="I6230" t="s">
        <v>41</v>
      </c>
      <c r="M6230" t="s">
        <v>7143</v>
      </c>
      <c r="N6230" t="s">
        <v>7143</v>
      </c>
      <c r="O6230" t="s">
        <v>23</v>
      </c>
      <c r="P6230" t="s">
        <v>24</v>
      </c>
      <c r="Q6230" t="s">
        <v>7123</v>
      </c>
      <c r="R6230" t="s">
        <v>7122</v>
      </c>
    </row>
    <row r="6231" spans="1:18" x14ac:dyDescent="0.25">
      <c r="A6231" t="s">
        <v>16735</v>
      </c>
      <c r="B6231" t="s">
        <v>7168</v>
      </c>
      <c r="C6231" t="str">
        <f>HYPERLINK("https://nematode.unl.edu/melochit12.jpg")</f>
        <v>https://nematode.unl.edu/melochit12.jpg</v>
      </c>
      <c r="D6231" t="s">
        <v>16</v>
      </c>
      <c r="G6231" t="s">
        <v>28</v>
      </c>
      <c r="I6231" t="s">
        <v>41</v>
      </c>
      <c r="M6231" t="s">
        <v>7143</v>
      </c>
      <c r="N6231" t="s">
        <v>7143</v>
      </c>
      <c r="O6231" t="s">
        <v>23</v>
      </c>
      <c r="P6231" t="s">
        <v>24</v>
      </c>
      <c r="Q6231" t="s">
        <v>7123</v>
      </c>
      <c r="R6231" t="s">
        <v>7122</v>
      </c>
    </row>
    <row r="6232" spans="1:18" x14ac:dyDescent="0.25">
      <c r="A6232" t="s">
        <v>16700</v>
      </c>
      <c r="B6232" t="s">
        <v>7169</v>
      </c>
      <c r="C6232" t="str">
        <f>HYPERLINK("https://nematode.unl.edu/melochit13.jpg")</f>
        <v>https://nematode.unl.edu/melochit13.jpg</v>
      </c>
      <c r="G6232" t="s">
        <v>34</v>
      </c>
      <c r="H6232" t="s">
        <v>18</v>
      </c>
      <c r="I6232" t="s">
        <v>19</v>
      </c>
      <c r="M6232" t="s">
        <v>7143</v>
      </c>
      <c r="N6232" t="s">
        <v>7143</v>
      </c>
      <c r="O6232" t="s">
        <v>23</v>
      </c>
      <c r="P6232" t="s">
        <v>24</v>
      </c>
      <c r="Q6232" t="s">
        <v>7123</v>
      </c>
      <c r="R6232" t="s">
        <v>7122</v>
      </c>
    </row>
    <row r="6233" spans="1:18" x14ac:dyDescent="0.25">
      <c r="A6233" t="s">
        <v>16736</v>
      </c>
      <c r="B6233" t="s">
        <v>7170</v>
      </c>
      <c r="C6233" t="str">
        <f>HYPERLINK("https://nematode.unl.edu/melochit14.jpg")</f>
        <v>https://nematode.unl.edu/melochit14.jpg</v>
      </c>
      <c r="D6233" t="s">
        <v>16</v>
      </c>
      <c r="G6233" t="s">
        <v>28</v>
      </c>
      <c r="I6233" t="s">
        <v>19</v>
      </c>
      <c r="J6233" t="s">
        <v>3679</v>
      </c>
      <c r="M6233" t="s">
        <v>7143</v>
      </c>
      <c r="N6233" t="s">
        <v>7143</v>
      </c>
      <c r="O6233" t="s">
        <v>23</v>
      </c>
      <c r="P6233" t="s">
        <v>24</v>
      </c>
      <c r="Q6233" t="s">
        <v>7123</v>
      </c>
      <c r="R6233" t="s">
        <v>7122</v>
      </c>
    </row>
    <row r="6234" spans="1:18" x14ac:dyDescent="0.25">
      <c r="A6234" t="s">
        <v>16701</v>
      </c>
      <c r="B6234" t="s">
        <v>7171</v>
      </c>
      <c r="C6234" t="str">
        <f>HYPERLINK("https://nematode.unl.edu/melochit15.jpg")</f>
        <v>https://nematode.unl.edu/melochit15.jpg</v>
      </c>
      <c r="D6234" t="s">
        <v>16</v>
      </c>
      <c r="G6234" t="s">
        <v>34</v>
      </c>
      <c r="H6234" t="s">
        <v>18</v>
      </c>
      <c r="I6234" t="s">
        <v>41</v>
      </c>
      <c r="J6234" t="s">
        <v>3679</v>
      </c>
      <c r="M6234" t="s">
        <v>7143</v>
      </c>
      <c r="N6234" t="s">
        <v>7143</v>
      </c>
      <c r="O6234" t="s">
        <v>23</v>
      </c>
      <c r="P6234" t="s">
        <v>24</v>
      </c>
      <c r="Q6234" t="s">
        <v>7123</v>
      </c>
      <c r="R6234" t="s">
        <v>7122</v>
      </c>
    </row>
    <row r="6235" spans="1:18" x14ac:dyDescent="0.25">
      <c r="A6235" t="s">
        <v>16721</v>
      </c>
      <c r="B6235" t="s">
        <v>7172</v>
      </c>
      <c r="C6235" t="str">
        <f>HYPERLINK("https://nematode.unl.edu/melochit16.jpg")</f>
        <v>https://nematode.unl.edu/melochit16.jpg</v>
      </c>
      <c r="D6235" t="s">
        <v>16</v>
      </c>
      <c r="G6235" t="s">
        <v>53</v>
      </c>
      <c r="I6235" t="s">
        <v>41</v>
      </c>
      <c r="J6235" t="s">
        <v>3679</v>
      </c>
      <c r="L6235" t="s">
        <v>4481</v>
      </c>
      <c r="M6235" t="s">
        <v>7143</v>
      </c>
      <c r="N6235" t="s">
        <v>7143</v>
      </c>
      <c r="O6235" t="s">
        <v>23</v>
      </c>
      <c r="P6235" t="s">
        <v>24</v>
      </c>
      <c r="Q6235" t="s">
        <v>7123</v>
      </c>
      <c r="R6235" t="s">
        <v>7122</v>
      </c>
    </row>
    <row r="6236" spans="1:18" x14ac:dyDescent="0.25">
      <c r="A6236" t="s">
        <v>16737</v>
      </c>
      <c r="B6236" t="s">
        <v>7173</v>
      </c>
      <c r="C6236" t="str">
        <f>HYPERLINK("https://nematode.unl.edu/melochit17.jpg")</f>
        <v>https://nematode.unl.edu/melochit17.jpg</v>
      </c>
      <c r="D6236" t="s">
        <v>16</v>
      </c>
      <c r="G6236" t="s">
        <v>28</v>
      </c>
      <c r="I6236" t="s">
        <v>41</v>
      </c>
      <c r="J6236" t="s">
        <v>3679</v>
      </c>
      <c r="M6236" t="s">
        <v>7143</v>
      </c>
      <c r="N6236" t="s">
        <v>7143</v>
      </c>
      <c r="O6236" t="s">
        <v>23</v>
      </c>
      <c r="P6236" t="s">
        <v>24</v>
      </c>
      <c r="Q6236" t="s">
        <v>7123</v>
      </c>
      <c r="R6236" t="s">
        <v>7122</v>
      </c>
    </row>
    <row r="6237" spans="1:18" x14ac:dyDescent="0.25">
      <c r="A6237" t="s">
        <v>16702</v>
      </c>
      <c r="B6237" t="s">
        <v>7174</v>
      </c>
      <c r="C6237" t="str">
        <f>HYPERLINK("https://nematode.unl.edu/melochit18.jpg")</f>
        <v>https://nematode.unl.edu/melochit18.jpg</v>
      </c>
      <c r="D6237" t="s">
        <v>16</v>
      </c>
      <c r="G6237" t="s">
        <v>34</v>
      </c>
      <c r="H6237" t="s">
        <v>18</v>
      </c>
      <c r="I6237" t="s">
        <v>41</v>
      </c>
      <c r="J6237" t="s">
        <v>3679</v>
      </c>
      <c r="L6237" t="s">
        <v>4481</v>
      </c>
      <c r="M6237" t="s">
        <v>7143</v>
      </c>
      <c r="N6237" t="s">
        <v>7143</v>
      </c>
      <c r="O6237" t="s">
        <v>23</v>
      </c>
      <c r="P6237" t="s">
        <v>24</v>
      </c>
      <c r="Q6237" t="s">
        <v>7123</v>
      </c>
      <c r="R6237" t="s">
        <v>7122</v>
      </c>
    </row>
    <row r="6238" spans="1:18" x14ac:dyDescent="0.25">
      <c r="A6238" t="s">
        <v>16738</v>
      </c>
      <c r="B6238" t="s">
        <v>7175</v>
      </c>
      <c r="C6238" t="str">
        <f>HYPERLINK("https://nematode.unl.edu/melochit19.jpg")</f>
        <v>https://nematode.unl.edu/melochit19.jpg</v>
      </c>
      <c r="D6238" t="s">
        <v>16</v>
      </c>
      <c r="G6238" t="s">
        <v>28</v>
      </c>
      <c r="I6238" t="s">
        <v>41</v>
      </c>
      <c r="J6238" t="s">
        <v>3679</v>
      </c>
      <c r="M6238" t="s">
        <v>7143</v>
      </c>
      <c r="N6238" t="s">
        <v>7143</v>
      </c>
      <c r="O6238" t="s">
        <v>23</v>
      </c>
      <c r="P6238" t="s">
        <v>24</v>
      </c>
      <c r="Q6238" t="s">
        <v>7123</v>
      </c>
      <c r="R6238" t="s">
        <v>7122</v>
      </c>
    </row>
    <row r="6239" spans="1:18" x14ac:dyDescent="0.25">
      <c r="A6239" t="s">
        <v>16703</v>
      </c>
      <c r="B6239" t="s">
        <v>7176</v>
      </c>
      <c r="C6239" t="str">
        <f>HYPERLINK("https://nematode.unl.edu/melochit2.jpg")</f>
        <v>https://nematode.unl.edu/melochit2.jpg</v>
      </c>
      <c r="D6239" t="s">
        <v>16</v>
      </c>
      <c r="G6239" t="s">
        <v>34</v>
      </c>
      <c r="H6239" t="s">
        <v>18</v>
      </c>
      <c r="I6239" t="s">
        <v>19</v>
      </c>
      <c r="M6239" t="s">
        <v>7143</v>
      </c>
      <c r="N6239" t="s">
        <v>7143</v>
      </c>
      <c r="O6239" t="s">
        <v>23</v>
      </c>
      <c r="P6239" t="s">
        <v>24</v>
      </c>
      <c r="Q6239" t="s">
        <v>7123</v>
      </c>
      <c r="R6239" t="s">
        <v>7122</v>
      </c>
    </row>
    <row r="6240" spans="1:18" x14ac:dyDescent="0.25">
      <c r="A6240" t="s">
        <v>16713</v>
      </c>
      <c r="B6240" t="s">
        <v>7177</v>
      </c>
      <c r="C6240" t="str">
        <f>HYPERLINK("https://nematode.unl.edu/melochit20.jpg")</f>
        <v>https://nematode.unl.edu/melochit20.jpg</v>
      </c>
      <c r="D6240" t="s">
        <v>16</v>
      </c>
      <c r="G6240" t="s">
        <v>44</v>
      </c>
      <c r="I6240" t="s">
        <v>516</v>
      </c>
      <c r="J6240" t="s">
        <v>7178</v>
      </c>
      <c r="L6240" t="s">
        <v>4481</v>
      </c>
      <c r="M6240" t="s">
        <v>7143</v>
      </c>
      <c r="N6240" t="s">
        <v>7143</v>
      </c>
      <c r="O6240" t="s">
        <v>23</v>
      </c>
      <c r="P6240" t="s">
        <v>24</v>
      </c>
      <c r="Q6240" t="s">
        <v>7123</v>
      </c>
      <c r="R6240" t="s">
        <v>7122</v>
      </c>
    </row>
    <row r="6241" spans="1:18" x14ac:dyDescent="0.25">
      <c r="A6241" t="s">
        <v>16704</v>
      </c>
      <c r="B6241" t="s">
        <v>7179</v>
      </c>
      <c r="C6241" t="str">
        <f>HYPERLINK("https://nematode.unl.edu/melochit21.jpg")</f>
        <v>https://nematode.unl.edu/melochit21.jpg</v>
      </c>
      <c r="D6241" t="s">
        <v>16</v>
      </c>
      <c r="G6241" t="s">
        <v>34</v>
      </c>
      <c r="H6241" t="s">
        <v>18</v>
      </c>
      <c r="I6241" t="s">
        <v>41</v>
      </c>
      <c r="J6241" t="s">
        <v>7178</v>
      </c>
      <c r="L6241" t="s">
        <v>4481</v>
      </c>
      <c r="M6241" t="s">
        <v>7143</v>
      </c>
      <c r="N6241" t="s">
        <v>7143</v>
      </c>
      <c r="O6241" t="s">
        <v>23</v>
      </c>
      <c r="P6241" t="s">
        <v>24</v>
      </c>
      <c r="Q6241" t="s">
        <v>7123</v>
      </c>
      <c r="R6241" t="s">
        <v>7122</v>
      </c>
    </row>
    <row r="6242" spans="1:18" x14ac:dyDescent="0.25">
      <c r="A6242" t="s">
        <v>16739</v>
      </c>
      <c r="B6242" t="s">
        <v>7180</v>
      </c>
      <c r="C6242" t="str">
        <f>HYPERLINK("https://nematode.unl.edu/melochit22.jpg")</f>
        <v>https://nematode.unl.edu/melochit22.jpg</v>
      </c>
      <c r="D6242" t="s">
        <v>16</v>
      </c>
      <c r="G6242" t="s">
        <v>28</v>
      </c>
      <c r="I6242" t="s">
        <v>41</v>
      </c>
      <c r="M6242" t="s">
        <v>7143</v>
      </c>
      <c r="N6242" t="s">
        <v>7143</v>
      </c>
      <c r="O6242" t="s">
        <v>23</v>
      </c>
      <c r="P6242" t="s">
        <v>24</v>
      </c>
      <c r="Q6242" t="s">
        <v>7123</v>
      </c>
      <c r="R6242" t="s">
        <v>7122</v>
      </c>
    </row>
    <row r="6243" spans="1:18" x14ac:dyDescent="0.25">
      <c r="A6243" t="s">
        <v>16714</v>
      </c>
      <c r="B6243" t="s">
        <v>7181</v>
      </c>
      <c r="C6243" t="str">
        <f>HYPERLINK("https://nematode.unl.edu/melochit23.jpg")</f>
        <v>https://nematode.unl.edu/melochit23.jpg</v>
      </c>
      <c r="D6243" t="s">
        <v>16</v>
      </c>
      <c r="G6243" t="s">
        <v>44</v>
      </c>
      <c r="I6243" t="s">
        <v>516</v>
      </c>
      <c r="J6243" t="s">
        <v>7178</v>
      </c>
      <c r="L6243" t="s">
        <v>4481</v>
      </c>
      <c r="M6243" t="s">
        <v>7143</v>
      </c>
      <c r="N6243" t="s">
        <v>7143</v>
      </c>
      <c r="O6243" t="s">
        <v>23</v>
      </c>
      <c r="P6243" t="s">
        <v>24</v>
      </c>
      <c r="Q6243" t="s">
        <v>7123</v>
      </c>
      <c r="R6243" t="s">
        <v>7122</v>
      </c>
    </row>
    <row r="6244" spans="1:18" x14ac:dyDescent="0.25">
      <c r="A6244" t="s">
        <v>16705</v>
      </c>
      <c r="B6244" t="s">
        <v>7182</v>
      </c>
      <c r="C6244" t="str">
        <f>HYPERLINK("https://nematode.unl.edu/melochit24.jpg")</f>
        <v>https://nematode.unl.edu/melochit24.jpg</v>
      </c>
      <c r="D6244" t="s">
        <v>16</v>
      </c>
      <c r="G6244" t="s">
        <v>34</v>
      </c>
      <c r="H6244" t="s">
        <v>18</v>
      </c>
      <c r="I6244" t="s">
        <v>41</v>
      </c>
      <c r="J6244" t="s">
        <v>7178</v>
      </c>
      <c r="L6244" t="s">
        <v>4481</v>
      </c>
      <c r="M6244" t="s">
        <v>7143</v>
      </c>
      <c r="N6244" t="s">
        <v>7143</v>
      </c>
      <c r="O6244" t="s">
        <v>23</v>
      </c>
      <c r="P6244" t="s">
        <v>24</v>
      </c>
      <c r="Q6244" t="s">
        <v>7123</v>
      </c>
      <c r="R6244" t="s">
        <v>7122</v>
      </c>
    </row>
    <row r="6245" spans="1:18" x14ac:dyDescent="0.25">
      <c r="A6245" t="s">
        <v>16740</v>
      </c>
      <c r="B6245" t="s">
        <v>7183</v>
      </c>
      <c r="C6245" t="str">
        <f>HYPERLINK("https://nematode.unl.edu/melochit25.jpg")</f>
        <v>https://nematode.unl.edu/melochit25.jpg</v>
      </c>
      <c r="D6245" t="s">
        <v>16</v>
      </c>
      <c r="G6245" t="s">
        <v>28</v>
      </c>
      <c r="I6245" t="s">
        <v>41</v>
      </c>
      <c r="M6245" t="s">
        <v>7143</v>
      </c>
      <c r="N6245" t="s">
        <v>7143</v>
      </c>
      <c r="O6245" t="s">
        <v>23</v>
      </c>
      <c r="P6245" t="s">
        <v>24</v>
      </c>
      <c r="Q6245" t="s">
        <v>7123</v>
      </c>
      <c r="R6245" t="s">
        <v>7122</v>
      </c>
    </row>
    <row r="6246" spans="1:18" x14ac:dyDescent="0.25">
      <c r="A6246" t="s">
        <v>16715</v>
      </c>
      <c r="B6246" t="s">
        <v>7184</v>
      </c>
      <c r="C6246" t="str">
        <f>HYPERLINK("https://nematode.unl.edu/melochit26.jpg")</f>
        <v>https://nematode.unl.edu/melochit26.jpg</v>
      </c>
      <c r="D6246" t="s">
        <v>16</v>
      </c>
      <c r="G6246" t="s">
        <v>44</v>
      </c>
      <c r="I6246" t="s">
        <v>4020</v>
      </c>
      <c r="J6246" t="s">
        <v>7185</v>
      </c>
      <c r="K6246" t="s">
        <v>22850</v>
      </c>
      <c r="L6246" t="s">
        <v>4481</v>
      </c>
      <c r="M6246" t="s">
        <v>7143</v>
      </c>
      <c r="N6246" t="s">
        <v>7143</v>
      </c>
      <c r="O6246" t="s">
        <v>23</v>
      </c>
      <c r="P6246" t="s">
        <v>24</v>
      </c>
      <c r="Q6246" t="s">
        <v>7123</v>
      </c>
      <c r="R6246" t="s">
        <v>7122</v>
      </c>
    </row>
    <row r="6247" spans="1:18" x14ac:dyDescent="0.25">
      <c r="A6247" t="s">
        <v>16716</v>
      </c>
      <c r="B6247" t="s">
        <v>7186</v>
      </c>
      <c r="C6247" t="str">
        <f>HYPERLINK("https://nematode.unl.edu/melochit27.jpg")</f>
        <v>https://nematode.unl.edu/melochit27.jpg</v>
      </c>
      <c r="D6247" t="s">
        <v>16</v>
      </c>
      <c r="G6247" t="s">
        <v>44</v>
      </c>
      <c r="I6247" t="s">
        <v>516</v>
      </c>
      <c r="J6247" t="s">
        <v>7185</v>
      </c>
      <c r="K6247" t="s">
        <v>22850</v>
      </c>
      <c r="L6247" t="s">
        <v>4481</v>
      </c>
      <c r="M6247" t="s">
        <v>7143</v>
      </c>
      <c r="N6247" t="s">
        <v>7143</v>
      </c>
      <c r="O6247" t="s">
        <v>23</v>
      </c>
      <c r="P6247" t="s">
        <v>24</v>
      </c>
      <c r="Q6247" t="s">
        <v>7123</v>
      </c>
      <c r="R6247" t="s">
        <v>7122</v>
      </c>
    </row>
    <row r="6248" spans="1:18" x14ac:dyDescent="0.25">
      <c r="A6248" t="s">
        <v>16706</v>
      </c>
      <c r="B6248" t="s">
        <v>7187</v>
      </c>
      <c r="C6248" t="str">
        <f>HYPERLINK("https://nematode.unl.edu/melochit28.jpg")</f>
        <v>https://nematode.unl.edu/melochit28.jpg</v>
      </c>
      <c r="D6248" t="s">
        <v>16</v>
      </c>
      <c r="G6248" t="s">
        <v>34</v>
      </c>
      <c r="H6248" t="s">
        <v>18</v>
      </c>
      <c r="I6248" t="s">
        <v>41</v>
      </c>
      <c r="J6248" t="s">
        <v>7185</v>
      </c>
      <c r="K6248" t="s">
        <v>22850</v>
      </c>
      <c r="L6248" t="s">
        <v>4481</v>
      </c>
      <c r="M6248" t="s">
        <v>7143</v>
      </c>
      <c r="N6248" t="s">
        <v>7143</v>
      </c>
      <c r="O6248" t="s">
        <v>23</v>
      </c>
      <c r="P6248" t="s">
        <v>24</v>
      </c>
      <c r="Q6248" t="s">
        <v>7123</v>
      </c>
      <c r="R6248" t="s">
        <v>7122</v>
      </c>
    </row>
    <row r="6249" spans="1:18" x14ac:dyDescent="0.25">
      <c r="A6249" t="s">
        <v>16722</v>
      </c>
      <c r="B6249" t="s">
        <v>7188</v>
      </c>
      <c r="C6249" t="str">
        <f>HYPERLINK("https://nematode.unl.edu/melochit29.jpg")</f>
        <v>https://nematode.unl.edu/melochit29.jpg</v>
      </c>
      <c r="D6249" t="s">
        <v>16</v>
      </c>
      <c r="G6249" t="s">
        <v>53</v>
      </c>
      <c r="I6249" t="s">
        <v>41</v>
      </c>
      <c r="M6249" t="s">
        <v>7143</v>
      </c>
      <c r="N6249" t="s">
        <v>7143</v>
      </c>
      <c r="O6249" t="s">
        <v>23</v>
      </c>
      <c r="P6249" t="s">
        <v>24</v>
      </c>
      <c r="Q6249" t="s">
        <v>7123</v>
      </c>
      <c r="R6249" t="s">
        <v>7122</v>
      </c>
    </row>
    <row r="6250" spans="1:18" x14ac:dyDescent="0.25">
      <c r="A6250" t="s">
        <v>16741</v>
      </c>
      <c r="B6250" t="s">
        <v>7189</v>
      </c>
      <c r="C6250" t="str">
        <f>HYPERLINK("https://nematode.unl.edu/melochit3.jpg")</f>
        <v>https://nematode.unl.edu/melochit3.jpg</v>
      </c>
      <c r="D6250" t="s">
        <v>16</v>
      </c>
      <c r="G6250" t="s">
        <v>28</v>
      </c>
      <c r="I6250" t="s">
        <v>19</v>
      </c>
      <c r="M6250" t="s">
        <v>7143</v>
      </c>
      <c r="N6250" t="s">
        <v>7143</v>
      </c>
      <c r="O6250" t="s">
        <v>23</v>
      </c>
      <c r="P6250" t="s">
        <v>24</v>
      </c>
      <c r="Q6250" t="s">
        <v>7123</v>
      </c>
      <c r="R6250" t="s">
        <v>7122</v>
      </c>
    </row>
    <row r="6251" spans="1:18" x14ac:dyDescent="0.25">
      <c r="A6251" t="s">
        <v>16742</v>
      </c>
      <c r="B6251" t="s">
        <v>7190</v>
      </c>
      <c r="C6251" t="str">
        <f>HYPERLINK("https://nematode.unl.edu/melochit30.jpg")</f>
        <v>https://nematode.unl.edu/melochit30.jpg</v>
      </c>
      <c r="D6251" t="s">
        <v>16</v>
      </c>
      <c r="G6251" t="s">
        <v>28</v>
      </c>
      <c r="I6251" t="s">
        <v>41</v>
      </c>
      <c r="M6251" t="s">
        <v>7143</v>
      </c>
      <c r="N6251" t="s">
        <v>7143</v>
      </c>
      <c r="O6251" t="s">
        <v>23</v>
      </c>
      <c r="P6251" t="s">
        <v>24</v>
      </c>
      <c r="Q6251" t="s">
        <v>7123</v>
      </c>
      <c r="R6251" t="s">
        <v>7122</v>
      </c>
    </row>
    <row r="6252" spans="1:18" x14ac:dyDescent="0.25">
      <c r="A6252" t="s">
        <v>16717</v>
      </c>
      <c r="B6252" t="s">
        <v>7191</v>
      </c>
      <c r="C6252" t="str">
        <f>HYPERLINK("https://nematode.unl.edu/melochit31.jpg")</f>
        <v>https://nematode.unl.edu/melochit31.jpg</v>
      </c>
      <c r="D6252" t="s">
        <v>16</v>
      </c>
      <c r="G6252" t="s">
        <v>44</v>
      </c>
      <c r="I6252" t="s">
        <v>499</v>
      </c>
      <c r="J6252" t="s">
        <v>440</v>
      </c>
      <c r="M6252" t="s">
        <v>7143</v>
      </c>
      <c r="N6252" t="s">
        <v>7143</v>
      </c>
      <c r="O6252" t="s">
        <v>23</v>
      </c>
      <c r="P6252" t="s">
        <v>24</v>
      </c>
      <c r="Q6252" t="s">
        <v>7123</v>
      </c>
      <c r="R6252" t="s">
        <v>7122</v>
      </c>
    </row>
    <row r="6253" spans="1:18" x14ac:dyDescent="0.25">
      <c r="A6253" t="s">
        <v>16718</v>
      </c>
      <c r="B6253" t="s">
        <v>7192</v>
      </c>
      <c r="C6253" t="str">
        <f>HYPERLINK("https://nematode.unl.edu/melochit32.jpg")</f>
        <v>https://nematode.unl.edu/melochit32.jpg</v>
      </c>
      <c r="D6253" t="s">
        <v>16</v>
      </c>
      <c r="G6253" t="s">
        <v>44</v>
      </c>
      <c r="I6253" t="s">
        <v>137</v>
      </c>
      <c r="J6253" t="s">
        <v>440</v>
      </c>
      <c r="M6253" t="s">
        <v>7143</v>
      </c>
      <c r="N6253" t="s">
        <v>7143</v>
      </c>
      <c r="O6253" t="s">
        <v>23</v>
      </c>
      <c r="P6253" t="s">
        <v>24</v>
      </c>
      <c r="Q6253" t="s">
        <v>7123</v>
      </c>
      <c r="R6253" t="s">
        <v>7122</v>
      </c>
    </row>
    <row r="6254" spans="1:18" x14ac:dyDescent="0.25">
      <c r="A6254" t="s">
        <v>16707</v>
      </c>
      <c r="B6254" t="s">
        <v>7193</v>
      </c>
      <c r="C6254" t="str">
        <f>HYPERLINK("https://nematode.unl.edu/melochit33.jpg")</f>
        <v>https://nematode.unl.edu/melochit33.jpg</v>
      </c>
      <c r="D6254" t="s">
        <v>16</v>
      </c>
      <c r="G6254" t="s">
        <v>34</v>
      </c>
      <c r="H6254" t="s">
        <v>18</v>
      </c>
      <c r="I6254" t="s">
        <v>19</v>
      </c>
      <c r="J6254" t="s">
        <v>440</v>
      </c>
      <c r="M6254" t="s">
        <v>7143</v>
      </c>
      <c r="N6254" t="s">
        <v>7143</v>
      </c>
      <c r="O6254" t="s">
        <v>23</v>
      </c>
      <c r="P6254" t="s">
        <v>24</v>
      </c>
      <c r="Q6254" t="s">
        <v>7123</v>
      </c>
      <c r="R6254" t="s">
        <v>7122</v>
      </c>
    </row>
    <row r="6255" spans="1:18" x14ac:dyDescent="0.25">
      <c r="A6255" t="s">
        <v>16743</v>
      </c>
      <c r="B6255" t="s">
        <v>7194</v>
      </c>
      <c r="C6255" t="str">
        <f>HYPERLINK("https://nematode.unl.edu/melochit34.jpg")</f>
        <v>https://nematode.unl.edu/melochit34.jpg</v>
      </c>
      <c r="D6255" t="s">
        <v>16</v>
      </c>
      <c r="G6255" t="s">
        <v>28</v>
      </c>
      <c r="J6255" t="s">
        <v>440</v>
      </c>
      <c r="M6255" t="s">
        <v>7143</v>
      </c>
      <c r="N6255" t="s">
        <v>7143</v>
      </c>
      <c r="O6255" t="s">
        <v>23</v>
      </c>
      <c r="P6255" t="s">
        <v>24</v>
      </c>
      <c r="Q6255" t="s">
        <v>7123</v>
      </c>
      <c r="R6255" t="s">
        <v>7122</v>
      </c>
    </row>
    <row r="6256" spans="1:18" x14ac:dyDescent="0.25">
      <c r="A6256" t="s">
        <v>16744</v>
      </c>
      <c r="B6256" t="s">
        <v>7195</v>
      </c>
      <c r="C6256" t="str">
        <f>HYPERLINK("https://nematode.unl.edu/melochit35.jpg")</f>
        <v>https://nematode.unl.edu/melochit35.jpg</v>
      </c>
      <c r="D6256" t="s">
        <v>16</v>
      </c>
      <c r="G6256" t="s">
        <v>28</v>
      </c>
      <c r="I6256" t="s">
        <v>41</v>
      </c>
      <c r="J6256" t="s">
        <v>440</v>
      </c>
      <c r="M6256" t="s">
        <v>7143</v>
      </c>
      <c r="N6256" t="s">
        <v>7143</v>
      </c>
      <c r="O6256" t="s">
        <v>23</v>
      </c>
      <c r="P6256" t="s">
        <v>24</v>
      </c>
      <c r="Q6256" t="s">
        <v>7123</v>
      </c>
      <c r="R6256" t="s">
        <v>7122</v>
      </c>
    </row>
    <row r="6257" spans="1:18" x14ac:dyDescent="0.25">
      <c r="A6257" t="s">
        <v>16708</v>
      </c>
      <c r="B6257" t="s">
        <v>7196</v>
      </c>
      <c r="C6257" t="str">
        <f>HYPERLINK("https://nematode.unl.edu/melochit4.jpg")</f>
        <v>https://nematode.unl.edu/melochit4.jpg</v>
      </c>
      <c r="D6257" t="s">
        <v>16</v>
      </c>
      <c r="G6257" t="s">
        <v>34</v>
      </c>
      <c r="H6257" t="s">
        <v>18</v>
      </c>
      <c r="I6257" t="s">
        <v>41</v>
      </c>
      <c r="M6257" t="s">
        <v>7143</v>
      </c>
      <c r="N6257" t="s">
        <v>7143</v>
      </c>
      <c r="O6257" t="s">
        <v>23</v>
      </c>
      <c r="P6257" t="s">
        <v>24</v>
      </c>
      <c r="Q6257" t="s">
        <v>7123</v>
      </c>
      <c r="R6257" t="s">
        <v>7122</v>
      </c>
    </row>
    <row r="6258" spans="1:18" x14ac:dyDescent="0.25">
      <c r="A6258" t="s">
        <v>16709</v>
      </c>
      <c r="B6258" t="s">
        <v>7197</v>
      </c>
      <c r="C6258" t="str">
        <f>HYPERLINK("https://nematode.unl.edu/melochit5.jpg")</f>
        <v>https://nematode.unl.edu/melochit5.jpg</v>
      </c>
      <c r="D6258" t="s">
        <v>16</v>
      </c>
      <c r="G6258" t="s">
        <v>34</v>
      </c>
      <c r="H6258" t="s">
        <v>18</v>
      </c>
      <c r="I6258" t="s">
        <v>41</v>
      </c>
      <c r="M6258" t="s">
        <v>7143</v>
      </c>
      <c r="N6258" t="s">
        <v>7143</v>
      </c>
      <c r="O6258" t="s">
        <v>23</v>
      </c>
      <c r="P6258" t="s">
        <v>24</v>
      </c>
      <c r="Q6258" t="s">
        <v>7123</v>
      </c>
      <c r="R6258" t="s">
        <v>7122</v>
      </c>
    </row>
    <row r="6259" spans="1:18" x14ac:dyDescent="0.25">
      <c r="A6259" t="s">
        <v>16745</v>
      </c>
      <c r="B6259" t="s">
        <v>7198</v>
      </c>
      <c r="C6259" t="str">
        <f>HYPERLINK("https://nematode.unl.edu/melochit6.jpg")</f>
        <v>https://nematode.unl.edu/melochit6.jpg</v>
      </c>
      <c r="D6259" t="s">
        <v>16</v>
      </c>
      <c r="G6259" t="s">
        <v>28</v>
      </c>
      <c r="I6259" t="s">
        <v>41</v>
      </c>
      <c r="M6259" t="s">
        <v>7143</v>
      </c>
      <c r="N6259" t="s">
        <v>7143</v>
      </c>
      <c r="O6259" t="s">
        <v>23</v>
      </c>
      <c r="P6259" t="s">
        <v>24</v>
      </c>
      <c r="Q6259" t="s">
        <v>7123</v>
      </c>
      <c r="R6259" t="s">
        <v>7122</v>
      </c>
    </row>
    <row r="6260" spans="1:18" x14ac:dyDescent="0.25">
      <c r="A6260" t="s">
        <v>16746</v>
      </c>
      <c r="B6260" t="s">
        <v>7199</v>
      </c>
      <c r="C6260" t="str">
        <f>HYPERLINK("https://nematode.unl.edu/melochit7.jpg")</f>
        <v>https://nematode.unl.edu/melochit7.jpg</v>
      </c>
      <c r="D6260" t="s">
        <v>16</v>
      </c>
      <c r="G6260" t="s">
        <v>28</v>
      </c>
      <c r="M6260" t="s">
        <v>7143</v>
      </c>
      <c r="N6260" t="s">
        <v>7143</v>
      </c>
      <c r="O6260" t="s">
        <v>23</v>
      </c>
      <c r="P6260" t="s">
        <v>24</v>
      </c>
      <c r="Q6260" t="s">
        <v>7123</v>
      </c>
      <c r="R6260" t="s">
        <v>7122</v>
      </c>
    </row>
    <row r="6261" spans="1:18" x14ac:dyDescent="0.25">
      <c r="A6261" t="s">
        <v>16719</v>
      </c>
      <c r="B6261" t="s">
        <v>7200</v>
      </c>
      <c r="C6261" t="str">
        <f>HYPERLINK("https://nematode.unl.edu/melochit8.jpg")</f>
        <v>https://nematode.unl.edu/melochit8.jpg</v>
      </c>
      <c r="D6261" t="s">
        <v>16</v>
      </c>
      <c r="G6261" t="s">
        <v>44</v>
      </c>
      <c r="I6261" t="s">
        <v>137</v>
      </c>
      <c r="M6261" t="s">
        <v>7143</v>
      </c>
      <c r="N6261" t="s">
        <v>7143</v>
      </c>
      <c r="O6261" t="s">
        <v>23</v>
      </c>
      <c r="P6261" t="s">
        <v>24</v>
      </c>
      <c r="Q6261" t="s">
        <v>7123</v>
      </c>
      <c r="R6261" t="s">
        <v>7122</v>
      </c>
    </row>
    <row r="6262" spans="1:18" x14ac:dyDescent="0.25">
      <c r="A6262" t="s">
        <v>16710</v>
      </c>
      <c r="B6262" t="s">
        <v>7201</v>
      </c>
      <c r="C6262" t="str">
        <f>HYPERLINK("https://nematode.unl.edu/melochit9.jpg")</f>
        <v>https://nematode.unl.edu/melochit9.jpg</v>
      </c>
      <c r="D6262" t="s">
        <v>16</v>
      </c>
      <c r="G6262" t="s">
        <v>34</v>
      </c>
      <c r="H6262" t="s">
        <v>18</v>
      </c>
      <c r="I6262" t="s">
        <v>516</v>
      </c>
      <c r="M6262" t="s">
        <v>7143</v>
      </c>
      <c r="N6262" t="s">
        <v>7143</v>
      </c>
      <c r="O6262" t="s">
        <v>23</v>
      </c>
      <c r="P6262" t="s">
        <v>24</v>
      </c>
      <c r="Q6262" t="s">
        <v>7123</v>
      </c>
      <c r="R6262" t="s">
        <v>7122</v>
      </c>
    </row>
    <row r="6263" spans="1:18" x14ac:dyDescent="0.25">
      <c r="A6263" t="s">
        <v>16683</v>
      </c>
      <c r="B6263" t="s">
        <v>7139</v>
      </c>
      <c r="C6263" t="str">
        <f>HYPERLINK("https://nematode.unl.edu/melocr1.jpg")</f>
        <v>https://nematode.unl.edu/melocr1.jpg</v>
      </c>
      <c r="D6263" t="s">
        <v>16</v>
      </c>
      <c r="G6263" t="s">
        <v>44</v>
      </c>
      <c r="I6263" t="s">
        <v>516</v>
      </c>
      <c r="J6263" t="s">
        <v>1517</v>
      </c>
      <c r="L6263" t="s">
        <v>1526</v>
      </c>
      <c r="M6263" t="s">
        <v>7122</v>
      </c>
      <c r="N6263" t="s">
        <v>7122</v>
      </c>
      <c r="O6263" t="s">
        <v>23</v>
      </c>
      <c r="P6263" t="s">
        <v>24</v>
      </c>
      <c r="Q6263" t="s">
        <v>7123</v>
      </c>
      <c r="R6263" t="s">
        <v>7122</v>
      </c>
    </row>
    <row r="6264" spans="1:18" x14ac:dyDescent="0.25">
      <c r="A6264" t="s">
        <v>16672</v>
      </c>
      <c r="B6264" t="s">
        <v>7140</v>
      </c>
      <c r="C6264" t="str">
        <f>HYPERLINK("https://nematode.unl.edu/melocr2.jpg")</f>
        <v>https://nematode.unl.edu/melocr2.jpg</v>
      </c>
      <c r="D6264" t="s">
        <v>16</v>
      </c>
      <c r="G6264" t="s">
        <v>96</v>
      </c>
      <c r="H6264" t="s">
        <v>18</v>
      </c>
      <c r="I6264" t="s">
        <v>41</v>
      </c>
      <c r="J6264" t="s">
        <v>1525</v>
      </c>
      <c r="L6264" t="s">
        <v>1526</v>
      </c>
      <c r="M6264" t="s">
        <v>7122</v>
      </c>
      <c r="N6264" t="s">
        <v>7122</v>
      </c>
      <c r="O6264" t="s">
        <v>23</v>
      </c>
      <c r="P6264" t="s">
        <v>24</v>
      </c>
      <c r="Q6264" t="s">
        <v>7123</v>
      </c>
      <c r="R6264" t="s">
        <v>7122</v>
      </c>
    </row>
    <row r="6265" spans="1:18" x14ac:dyDescent="0.25">
      <c r="A6265" t="s">
        <v>16673</v>
      </c>
      <c r="B6265" t="s">
        <v>7141</v>
      </c>
      <c r="C6265" t="str">
        <f>HYPERLINK("https://nematode.unl.edu/melocr3.jpg")</f>
        <v>https://nematode.unl.edu/melocr3.jpg</v>
      </c>
      <c r="D6265" t="s">
        <v>16</v>
      </c>
      <c r="G6265" t="s">
        <v>96</v>
      </c>
      <c r="H6265" t="s">
        <v>18</v>
      </c>
      <c r="I6265" t="s">
        <v>529</v>
      </c>
      <c r="J6265" t="s">
        <v>1517</v>
      </c>
      <c r="L6265" t="s">
        <v>1526</v>
      </c>
      <c r="M6265" t="s">
        <v>7122</v>
      </c>
      <c r="N6265" t="s">
        <v>7122</v>
      </c>
      <c r="O6265" t="s">
        <v>23</v>
      </c>
      <c r="P6265" t="s">
        <v>24</v>
      </c>
      <c r="Q6265" t="s">
        <v>7123</v>
      </c>
      <c r="R6265" t="s">
        <v>7122</v>
      </c>
    </row>
    <row r="6266" spans="1:18" x14ac:dyDescent="0.25">
      <c r="A6266" t="s">
        <v>16853</v>
      </c>
      <c r="B6266" t="s">
        <v>7309</v>
      </c>
      <c r="C6266" t="str">
        <f>HYPERLINK("https://nematode.unl.edu/memay1.jpg")</f>
        <v>https://nematode.unl.edu/memay1.jpg</v>
      </c>
      <c r="D6266" t="s">
        <v>16</v>
      </c>
      <c r="G6266" t="s">
        <v>44</v>
      </c>
      <c r="I6266" t="s">
        <v>137</v>
      </c>
      <c r="J6266" t="s">
        <v>4654</v>
      </c>
      <c r="M6266" t="s">
        <v>7310</v>
      </c>
      <c r="N6266" t="s">
        <v>7310</v>
      </c>
      <c r="O6266" t="s">
        <v>23</v>
      </c>
      <c r="P6266" t="s">
        <v>24</v>
      </c>
      <c r="Q6266" t="s">
        <v>7123</v>
      </c>
      <c r="R6266" t="s">
        <v>7122</v>
      </c>
    </row>
    <row r="6267" spans="1:18" x14ac:dyDescent="0.25">
      <c r="A6267" t="s">
        <v>16855</v>
      </c>
      <c r="B6267" t="s">
        <v>7311</v>
      </c>
      <c r="C6267" t="str">
        <f>HYPERLINK("https://nematode.unl.edu/memay10.jpg")</f>
        <v>https://nematode.unl.edu/memay10.jpg</v>
      </c>
      <c r="D6267" t="s">
        <v>16</v>
      </c>
      <c r="G6267" t="s">
        <v>53</v>
      </c>
      <c r="I6267" t="s">
        <v>41</v>
      </c>
      <c r="M6267" t="s">
        <v>7310</v>
      </c>
      <c r="N6267" t="s">
        <v>7310</v>
      </c>
      <c r="O6267" t="s">
        <v>23</v>
      </c>
      <c r="P6267" t="s">
        <v>24</v>
      </c>
      <c r="Q6267" t="s">
        <v>7123</v>
      </c>
      <c r="R6267" t="s">
        <v>7122</v>
      </c>
    </row>
    <row r="6268" spans="1:18" x14ac:dyDescent="0.25">
      <c r="A6268" t="s">
        <v>16861</v>
      </c>
      <c r="B6268" t="s">
        <v>7312</v>
      </c>
      <c r="C6268" t="str">
        <f>HYPERLINK("https://nematode.unl.edu/memay11.jpg")</f>
        <v>https://nematode.unl.edu/memay11.jpg</v>
      </c>
      <c r="D6268" t="s">
        <v>16</v>
      </c>
      <c r="G6268" t="s">
        <v>28</v>
      </c>
      <c r="I6268" t="s">
        <v>41</v>
      </c>
      <c r="M6268" t="s">
        <v>7310</v>
      </c>
      <c r="N6268" t="s">
        <v>7310</v>
      </c>
      <c r="O6268" t="s">
        <v>23</v>
      </c>
      <c r="P6268" t="s">
        <v>24</v>
      </c>
      <c r="Q6268" t="s">
        <v>7123</v>
      </c>
      <c r="R6268" t="s">
        <v>7122</v>
      </c>
    </row>
    <row r="6269" spans="1:18" x14ac:dyDescent="0.25">
      <c r="A6269" t="s">
        <v>16847</v>
      </c>
      <c r="B6269" t="s">
        <v>7313</v>
      </c>
      <c r="C6269" t="str">
        <f>HYPERLINK("https://nematode.unl.edu/memay12.jpg")</f>
        <v>https://nematode.unl.edu/memay12.jpg</v>
      </c>
      <c r="D6269" t="s">
        <v>16</v>
      </c>
      <c r="G6269" t="s">
        <v>34</v>
      </c>
      <c r="H6269" t="s">
        <v>18</v>
      </c>
      <c r="I6269" t="s">
        <v>41</v>
      </c>
      <c r="M6269" t="s">
        <v>7310</v>
      </c>
      <c r="N6269" t="s">
        <v>7310</v>
      </c>
      <c r="O6269" t="s">
        <v>23</v>
      </c>
      <c r="P6269" t="s">
        <v>24</v>
      </c>
      <c r="Q6269" t="s">
        <v>7123</v>
      </c>
      <c r="R6269" t="s">
        <v>7122</v>
      </c>
    </row>
    <row r="6270" spans="1:18" x14ac:dyDescent="0.25">
      <c r="A6270" t="s">
        <v>16848</v>
      </c>
      <c r="B6270" t="s">
        <v>7314</v>
      </c>
      <c r="C6270" t="str">
        <f>HYPERLINK("https://nematode.unl.edu/memay13.jpg")</f>
        <v>https://nematode.unl.edu/memay13.jpg</v>
      </c>
      <c r="D6270" t="s">
        <v>16</v>
      </c>
      <c r="G6270" t="s">
        <v>34</v>
      </c>
      <c r="H6270" t="s">
        <v>18</v>
      </c>
      <c r="I6270" t="s">
        <v>529</v>
      </c>
      <c r="J6270" t="s">
        <v>4654</v>
      </c>
      <c r="M6270" t="s">
        <v>7310</v>
      </c>
      <c r="N6270" t="s">
        <v>7310</v>
      </c>
      <c r="O6270" t="s">
        <v>23</v>
      </c>
      <c r="P6270" t="s">
        <v>24</v>
      </c>
      <c r="Q6270" t="s">
        <v>7123</v>
      </c>
      <c r="R6270" t="s">
        <v>7122</v>
      </c>
    </row>
    <row r="6271" spans="1:18" x14ac:dyDescent="0.25">
      <c r="A6271" t="s">
        <v>16856</v>
      </c>
      <c r="B6271" t="s">
        <v>7315</v>
      </c>
      <c r="C6271" t="str">
        <f>HYPERLINK("https://nematode.unl.edu/memay14.jpg")</f>
        <v>https://nematode.unl.edu/memay14.jpg</v>
      </c>
      <c r="D6271" t="s">
        <v>16</v>
      </c>
      <c r="G6271" t="s">
        <v>53</v>
      </c>
      <c r="I6271" t="s">
        <v>41</v>
      </c>
      <c r="J6271" t="s">
        <v>4654</v>
      </c>
      <c r="M6271" t="s">
        <v>7310</v>
      </c>
      <c r="N6271" t="s">
        <v>7310</v>
      </c>
      <c r="O6271" t="s">
        <v>23</v>
      </c>
      <c r="P6271" t="s">
        <v>24</v>
      </c>
      <c r="Q6271" t="s">
        <v>7123</v>
      </c>
      <c r="R6271" t="s">
        <v>7122</v>
      </c>
    </row>
    <row r="6272" spans="1:18" x14ac:dyDescent="0.25">
      <c r="A6272" t="s">
        <v>16862</v>
      </c>
      <c r="B6272" t="s">
        <v>7316</v>
      </c>
      <c r="C6272" t="str">
        <f>HYPERLINK("https://nematode.unl.edu/memay15.jpg")</f>
        <v>https://nematode.unl.edu/memay15.jpg</v>
      </c>
      <c r="D6272" t="s">
        <v>16</v>
      </c>
      <c r="G6272" t="s">
        <v>28</v>
      </c>
      <c r="I6272" t="s">
        <v>19</v>
      </c>
      <c r="J6272" t="s">
        <v>4654</v>
      </c>
      <c r="M6272" t="s">
        <v>7310</v>
      </c>
      <c r="N6272" t="s">
        <v>7310</v>
      </c>
      <c r="O6272" t="s">
        <v>23</v>
      </c>
      <c r="P6272" t="s">
        <v>24</v>
      </c>
      <c r="Q6272" t="s">
        <v>7123</v>
      </c>
      <c r="R6272" t="s">
        <v>7122</v>
      </c>
    </row>
    <row r="6273" spans="1:18" x14ac:dyDescent="0.25">
      <c r="A6273" t="s">
        <v>16849</v>
      </c>
      <c r="B6273" t="s">
        <v>7317</v>
      </c>
      <c r="C6273" t="str">
        <f>HYPERLINK("https://nematode.unl.edu/memay16.jpg")</f>
        <v>https://nematode.unl.edu/memay16.jpg</v>
      </c>
      <c r="D6273" t="s">
        <v>77</v>
      </c>
      <c r="G6273" t="s">
        <v>34</v>
      </c>
      <c r="H6273" t="s">
        <v>18</v>
      </c>
      <c r="J6273" t="s">
        <v>4654</v>
      </c>
      <c r="M6273" t="s">
        <v>7310</v>
      </c>
      <c r="N6273" t="s">
        <v>7310</v>
      </c>
      <c r="O6273" t="s">
        <v>23</v>
      </c>
      <c r="P6273" t="s">
        <v>24</v>
      </c>
      <c r="Q6273" t="s">
        <v>7123</v>
      </c>
      <c r="R6273" t="s">
        <v>7122</v>
      </c>
    </row>
    <row r="6274" spans="1:18" x14ac:dyDescent="0.25">
      <c r="A6274" t="s">
        <v>16863</v>
      </c>
      <c r="B6274" t="s">
        <v>7318</v>
      </c>
      <c r="C6274" t="str">
        <f>HYPERLINK("https://nematode.unl.edu/memay17.jpg")</f>
        <v>https://nematode.unl.edu/memay17.jpg</v>
      </c>
      <c r="D6274" t="s">
        <v>77</v>
      </c>
      <c r="G6274" t="s">
        <v>28</v>
      </c>
      <c r="I6274" t="s">
        <v>19</v>
      </c>
      <c r="J6274" t="s">
        <v>4654</v>
      </c>
      <c r="M6274" t="s">
        <v>7310</v>
      </c>
      <c r="N6274" t="s">
        <v>7310</v>
      </c>
      <c r="O6274" t="s">
        <v>23</v>
      </c>
      <c r="P6274" t="s">
        <v>24</v>
      </c>
      <c r="Q6274" t="s">
        <v>7123</v>
      </c>
      <c r="R6274" t="s">
        <v>7122</v>
      </c>
    </row>
    <row r="6275" spans="1:18" x14ac:dyDescent="0.25">
      <c r="A6275" t="s">
        <v>16859</v>
      </c>
      <c r="B6275" t="s">
        <v>7319</v>
      </c>
      <c r="C6275" t="str">
        <f>HYPERLINK("https://nematode.unl.edu/memay18.jpg")</f>
        <v>https://nematode.unl.edu/memay18.jpg</v>
      </c>
      <c r="D6275" t="s">
        <v>77</v>
      </c>
      <c r="G6275" t="s">
        <v>2029</v>
      </c>
      <c r="I6275" t="s">
        <v>41</v>
      </c>
      <c r="J6275" t="s">
        <v>4654</v>
      </c>
      <c r="M6275" t="s">
        <v>7310</v>
      </c>
      <c r="N6275" t="s">
        <v>7310</v>
      </c>
      <c r="O6275" t="s">
        <v>23</v>
      </c>
      <c r="P6275" t="s">
        <v>24</v>
      </c>
      <c r="Q6275" t="s">
        <v>7123</v>
      </c>
      <c r="R6275" t="s">
        <v>7122</v>
      </c>
    </row>
    <row r="6276" spans="1:18" x14ac:dyDescent="0.25">
      <c r="A6276" t="s">
        <v>16850</v>
      </c>
      <c r="B6276" t="s">
        <v>7320</v>
      </c>
      <c r="C6276" t="str">
        <f>HYPERLINK("https://nematode.unl.edu/memay19.jpg")</f>
        <v>https://nematode.unl.edu/memay19.jpg</v>
      </c>
      <c r="D6276" t="s">
        <v>77</v>
      </c>
      <c r="G6276" t="s">
        <v>34</v>
      </c>
      <c r="H6276" t="s">
        <v>18</v>
      </c>
      <c r="M6276" t="s">
        <v>7310</v>
      </c>
      <c r="N6276" t="s">
        <v>7310</v>
      </c>
      <c r="O6276" t="s">
        <v>23</v>
      </c>
      <c r="P6276" t="s">
        <v>24</v>
      </c>
      <c r="Q6276" t="s">
        <v>7123</v>
      </c>
      <c r="R6276" t="s">
        <v>7122</v>
      </c>
    </row>
    <row r="6277" spans="1:18" x14ac:dyDescent="0.25">
      <c r="A6277" t="s">
        <v>16851</v>
      </c>
      <c r="B6277" t="s">
        <v>7321</v>
      </c>
      <c r="C6277" t="str">
        <f>HYPERLINK("https://nematode.unl.edu/memay2.jpg")</f>
        <v>https://nematode.unl.edu/memay2.jpg</v>
      </c>
      <c r="D6277" t="s">
        <v>16</v>
      </c>
      <c r="G6277" t="s">
        <v>34</v>
      </c>
      <c r="H6277" t="s">
        <v>18</v>
      </c>
      <c r="I6277" t="s">
        <v>137</v>
      </c>
      <c r="J6277" t="s">
        <v>4654</v>
      </c>
      <c r="M6277" t="s">
        <v>7310</v>
      </c>
      <c r="N6277" t="s">
        <v>7310</v>
      </c>
      <c r="O6277" t="s">
        <v>23</v>
      </c>
      <c r="P6277" t="s">
        <v>24</v>
      </c>
      <c r="Q6277" t="s">
        <v>7123</v>
      </c>
      <c r="R6277" t="s">
        <v>7122</v>
      </c>
    </row>
    <row r="6278" spans="1:18" x14ac:dyDescent="0.25">
      <c r="A6278" t="s">
        <v>16857</v>
      </c>
      <c r="B6278" t="s">
        <v>7322</v>
      </c>
      <c r="C6278" t="str">
        <f>HYPERLINK("https://nematode.unl.edu/memay20.jpg")</f>
        <v>https://nematode.unl.edu/memay20.jpg</v>
      </c>
      <c r="D6278" t="s">
        <v>77</v>
      </c>
      <c r="G6278" t="s">
        <v>414</v>
      </c>
      <c r="M6278" t="s">
        <v>7310</v>
      </c>
      <c r="N6278" t="s">
        <v>7310</v>
      </c>
      <c r="O6278" t="s">
        <v>23</v>
      </c>
      <c r="P6278" t="s">
        <v>24</v>
      </c>
      <c r="Q6278" t="s">
        <v>7123</v>
      </c>
      <c r="R6278" t="s">
        <v>7122</v>
      </c>
    </row>
    <row r="6279" spans="1:18" x14ac:dyDescent="0.25">
      <c r="A6279" t="s">
        <v>16860</v>
      </c>
      <c r="B6279" t="s">
        <v>7323</v>
      </c>
      <c r="C6279" t="str">
        <f>HYPERLINK("https://nematode.unl.edu/memay21.jpg")</f>
        <v>https://nematode.unl.edu/memay21.jpg</v>
      </c>
      <c r="D6279" t="s">
        <v>77</v>
      </c>
      <c r="G6279" t="s">
        <v>112</v>
      </c>
      <c r="J6279" t="s">
        <v>4654</v>
      </c>
      <c r="M6279" t="s">
        <v>7310</v>
      </c>
      <c r="N6279" t="s">
        <v>7310</v>
      </c>
      <c r="O6279" t="s">
        <v>23</v>
      </c>
      <c r="P6279" t="s">
        <v>24</v>
      </c>
      <c r="Q6279" t="s">
        <v>7123</v>
      </c>
      <c r="R6279" t="s">
        <v>7122</v>
      </c>
    </row>
    <row r="6280" spans="1:18" x14ac:dyDescent="0.25">
      <c r="A6280" t="s">
        <v>16858</v>
      </c>
      <c r="B6280" t="s">
        <v>7324</v>
      </c>
      <c r="C6280" t="str">
        <f>HYPERLINK("https://nematode.unl.edu/memay22.jpg")</f>
        <v>https://nematode.unl.edu/memay22.jpg</v>
      </c>
      <c r="D6280" t="s">
        <v>77</v>
      </c>
      <c r="G6280" t="s">
        <v>414</v>
      </c>
      <c r="I6280" t="s">
        <v>529</v>
      </c>
      <c r="J6280" t="s">
        <v>4654</v>
      </c>
      <c r="M6280" t="s">
        <v>7310</v>
      </c>
      <c r="N6280" t="s">
        <v>7310</v>
      </c>
      <c r="O6280" t="s">
        <v>23</v>
      </c>
      <c r="P6280" t="s">
        <v>24</v>
      </c>
      <c r="Q6280" t="s">
        <v>7123</v>
      </c>
      <c r="R6280" t="s">
        <v>7122</v>
      </c>
    </row>
    <row r="6281" spans="1:18" x14ac:dyDescent="0.25">
      <c r="A6281" t="s">
        <v>16864</v>
      </c>
      <c r="B6281" t="s">
        <v>7325</v>
      </c>
      <c r="C6281" t="str">
        <f>HYPERLINK("https://nematode.unl.edu/memay23.jpg")</f>
        <v>https://nematode.unl.edu/memay23.jpg</v>
      </c>
      <c r="D6281" t="s">
        <v>16</v>
      </c>
      <c r="G6281" t="s">
        <v>28</v>
      </c>
      <c r="M6281" t="s">
        <v>7310</v>
      </c>
      <c r="N6281" t="s">
        <v>7310</v>
      </c>
      <c r="O6281" t="s">
        <v>23</v>
      </c>
      <c r="P6281" t="s">
        <v>24</v>
      </c>
      <c r="Q6281" t="s">
        <v>7123</v>
      </c>
      <c r="R6281" t="s">
        <v>7122</v>
      </c>
    </row>
    <row r="6282" spans="1:18" x14ac:dyDescent="0.25">
      <c r="A6282" t="s">
        <v>16845</v>
      </c>
      <c r="B6282" t="s">
        <v>7326</v>
      </c>
      <c r="C6282" t="str">
        <f>HYPERLINK("https://nematode.unl.edu/memay3.jpg")</f>
        <v>https://nematode.unl.edu/memay3.jpg</v>
      </c>
      <c r="D6282" t="s">
        <v>16</v>
      </c>
      <c r="G6282" t="s">
        <v>96</v>
      </c>
      <c r="H6282" t="s">
        <v>18</v>
      </c>
      <c r="I6282" t="s">
        <v>19</v>
      </c>
      <c r="J6282" t="s">
        <v>4654</v>
      </c>
      <c r="M6282" t="s">
        <v>7310</v>
      </c>
      <c r="N6282" t="s">
        <v>7310</v>
      </c>
      <c r="O6282" t="s">
        <v>23</v>
      </c>
      <c r="P6282" t="s">
        <v>24</v>
      </c>
      <c r="Q6282" t="s">
        <v>7123</v>
      </c>
      <c r="R6282" t="s">
        <v>7122</v>
      </c>
    </row>
    <row r="6283" spans="1:18" x14ac:dyDescent="0.25">
      <c r="A6283" t="s">
        <v>16865</v>
      </c>
      <c r="B6283" t="s">
        <v>7327</v>
      </c>
      <c r="C6283" t="str">
        <f>HYPERLINK("https://nematode.unl.edu/memay4.jpg")</f>
        <v>https://nematode.unl.edu/memay4.jpg</v>
      </c>
      <c r="D6283" t="s">
        <v>16</v>
      </c>
      <c r="G6283" t="s">
        <v>28</v>
      </c>
      <c r="J6283" t="s">
        <v>4654</v>
      </c>
      <c r="M6283" t="s">
        <v>7310</v>
      </c>
      <c r="N6283" t="s">
        <v>7310</v>
      </c>
      <c r="O6283" t="s">
        <v>23</v>
      </c>
      <c r="P6283" t="s">
        <v>24</v>
      </c>
      <c r="Q6283" t="s">
        <v>7123</v>
      </c>
      <c r="R6283" t="s">
        <v>7122</v>
      </c>
    </row>
    <row r="6284" spans="1:18" x14ac:dyDescent="0.25">
      <c r="A6284" t="s">
        <v>16854</v>
      </c>
      <c r="B6284" t="s">
        <v>7328</v>
      </c>
      <c r="C6284" t="str">
        <f>HYPERLINK("https://nematode.unl.edu/memay5.jpg")</f>
        <v>https://nematode.unl.edu/memay5.jpg</v>
      </c>
      <c r="D6284" t="s">
        <v>16</v>
      </c>
      <c r="G6284" t="s">
        <v>44</v>
      </c>
      <c r="I6284" t="s">
        <v>499</v>
      </c>
      <c r="J6284" t="s">
        <v>4654</v>
      </c>
      <c r="M6284" t="s">
        <v>7310</v>
      </c>
      <c r="N6284" t="s">
        <v>7310</v>
      </c>
      <c r="O6284" t="s">
        <v>23</v>
      </c>
      <c r="P6284" t="s">
        <v>24</v>
      </c>
      <c r="Q6284" t="s">
        <v>7123</v>
      </c>
      <c r="R6284" t="s">
        <v>7122</v>
      </c>
    </row>
    <row r="6285" spans="1:18" x14ac:dyDescent="0.25">
      <c r="A6285" t="s">
        <v>16852</v>
      </c>
      <c r="B6285" t="s">
        <v>7329</v>
      </c>
      <c r="C6285" t="str">
        <f>HYPERLINK("https://nematode.unl.edu/memay6.jpg")</f>
        <v>https://nematode.unl.edu/memay6.jpg</v>
      </c>
      <c r="G6285" t="s">
        <v>34</v>
      </c>
      <c r="H6285" t="s">
        <v>18</v>
      </c>
      <c r="J6285" t="s">
        <v>4654</v>
      </c>
      <c r="M6285" t="s">
        <v>7310</v>
      </c>
      <c r="N6285" t="s">
        <v>7310</v>
      </c>
      <c r="O6285" t="s">
        <v>23</v>
      </c>
      <c r="P6285" t="s">
        <v>24</v>
      </c>
      <c r="Q6285" t="s">
        <v>7123</v>
      </c>
      <c r="R6285" t="s">
        <v>7122</v>
      </c>
    </row>
    <row r="6286" spans="1:18" x14ac:dyDescent="0.25">
      <c r="A6286" t="s">
        <v>16866</v>
      </c>
      <c r="B6286" t="s">
        <v>7330</v>
      </c>
      <c r="C6286" t="str">
        <f>HYPERLINK("https://nematode.unl.edu/memay7.jpg")</f>
        <v>https://nematode.unl.edu/memay7.jpg</v>
      </c>
      <c r="D6286" t="s">
        <v>16</v>
      </c>
      <c r="G6286" t="s">
        <v>28</v>
      </c>
      <c r="J6286" t="s">
        <v>4654</v>
      </c>
      <c r="M6286" t="s">
        <v>7310</v>
      </c>
      <c r="N6286" t="s">
        <v>7310</v>
      </c>
      <c r="O6286" t="s">
        <v>23</v>
      </c>
      <c r="P6286" t="s">
        <v>24</v>
      </c>
      <c r="Q6286" t="s">
        <v>7123</v>
      </c>
      <c r="R6286" t="s">
        <v>7122</v>
      </c>
    </row>
    <row r="6287" spans="1:18" x14ac:dyDescent="0.25">
      <c r="A6287" t="s">
        <v>16846</v>
      </c>
      <c r="B6287" t="s">
        <v>7331</v>
      </c>
      <c r="C6287" t="str">
        <f>HYPERLINK("https://nematode.unl.edu/memay8.jpg")</f>
        <v>https://nematode.unl.edu/memay8.jpg</v>
      </c>
      <c r="D6287" t="s">
        <v>16</v>
      </c>
      <c r="G6287" t="s">
        <v>96</v>
      </c>
      <c r="H6287" t="s">
        <v>18</v>
      </c>
      <c r="I6287" t="s">
        <v>41</v>
      </c>
      <c r="J6287" t="s">
        <v>4654</v>
      </c>
      <c r="M6287" t="s">
        <v>7310</v>
      </c>
      <c r="N6287" t="s">
        <v>7310</v>
      </c>
      <c r="O6287" t="s">
        <v>23</v>
      </c>
      <c r="P6287" t="s">
        <v>24</v>
      </c>
      <c r="Q6287" t="s">
        <v>7123</v>
      </c>
      <c r="R6287" t="s">
        <v>7122</v>
      </c>
    </row>
    <row r="6288" spans="1:18" x14ac:dyDescent="0.25">
      <c r="A6288" t="s">
        <v>16867</v>
      </c>
      <c r="B6288" t="s">
        <v>7332</v>
      </c>
      <c r="C6288" t="str">
        <f>HYPERLINK("https://nematode.unl.edu/memay9.jpg")</f>
        <v>https://nematode.unl.edu/memay9.jpg</v>
      </c>
      <c r="G6288" t="s">
        <v>28</v>
      </c>
      <c r="M6288" t="s">
        <v>7310</v>
      </c>
      <c r="N6288" t="s">
        <v>7310</v>
      </c>
      <c r="O6288" t="s">
        <v>23</v>
      </c>
      <c r="P6288" t="s">
        <v>24</v>
      </c>
      <c r="Q6288" t="s">
        <v>7123</v>
      </c>
      <c r="R6288" t="s">
        <v>7122</v>
      </c>
    </row>
    <row r="6289" spans="1:18" x14ac:dyDescent="0.25">
      <c r="A6289" t="s">
        <v>16877</v>
      </c>
      <c r="B6289" t="s">
        <v>7333</v>
      </c>
      <c r="C6289" t="str">
        <f>HYPERLINK("https://nematode.unl.edu/meparti1.jpg")</f>
        <v>https://nematode.unl.edu/meparti1.jpg</v>
      </c>
      <c r="D6289" t="s">
        <v>16</v>
      </c>
      <c r="G6289" t="s">
        <v>44</v>
      </c>
      <c r="I6289" t="s">
        <v>499</v>
      </c>
      <c r="M6289" t="s">
        <v>7334</v>
      </c>
      <c r="N6289" t="s">
        <v>7334</v>
      </c>
      <c r="O6289" t="s">
        <v>23</v>
      </c>
      <c r="P6289" t="s">
        <v>24</v>
      </c>
      <c r="Q6289" t="s">
        <v>7123</v>
      </c>
      <c r="R6289" t="s">
        <v>7122</v>
      </c>
    </row>
    <row r="6290" spans="1:18" x14ac:dyDescent="0.25">
      <c r="A6290" t="s">
        <v>16880</v>
      </c>
      <c r="B6290" t="s">
        <v>7335</v>
      </c>
      <c r="C6290" t="str">
        <f>HYPERLINK("https://nematode.unl.edu/meparti10.jpg")</f>
        <v>https://nematode.unl.edu/meparti10.jpg</v>
      </c>
      <c r="D6290" t="s">
        <v>16</v>
      </c>
      <c r="G6290" t="s">
        <v>53</v>
      </c>
      <c r="I6290" t="s">
        <v>529</v>
      </c>
      <c r="M6290" t="s">
        <v>7334</v>
      </c>
      <c r="N6290" t="s">
        <v>7334</v>
      </c>
      <c r="O6290" t="s">
        <v>23</v>
      </c>
      <c r="P6290" t="s">
        <v>24</v>
      </c>
      <c r="Q6290" t="s">
        <v>7123</v>
      </c>
      <c r="R6290" t="s">
        <v>7122</v>
      </c>
    </row>
    <row r="6291" spans="1:18" x14ac:dyDescent="0.25">
      <c r="A6291" t="s">
        <v>16882</v>
      </c>
      <c r="B6291" t="s">
        <v>7336</v>
      </c>
      <c r="C6291" t="str">
        <f>HYPERLINK("https://nematode.unl.edu/meparti11.jpg")</f>
        <v>https://nematode.unl.edu/meparti11.jpg</v>
      </c>
      <c r="D6291" t="s">
        <v>16</v>
      </c>
      <c r="G6291" t="s">
        <v>414</v>
      </c>
      <c r="I6291" t="s">
        <v>529</v>
      </c>
      <c r="M6291" t="s">
        <v>7334</v>
      </c>
      <c r="N6291" t="s">
        <v>7334</v>
      </c>
      <c r="O6291" t="s">
        <v>23</v>
      </c>
      <c r="P6291" t="s">
        <v>24</v>
      </c>
      <c r="Q6291" t="s">
        <v>7123</v>
      </c>
      <c r="R6291" t="s">
        <v>7122</v>
      </c>
    </row>
    <row r="6292" spans="1:18" x14ac:dyDescent="0.25">
      <c r="A6292" t="s">
        <v>16878</v>
      </c>
      <c r="B6292" t="s">
        <v>7337</v>
      </c>
      <c r="C6292" t="str">
        <f>HYPERLINK("https://nematode.unl.edu/meparti12.jpg")</f>
        <v>https://nematode.unl.edu/meparti12.jpg</v>
      </c>
      <c r="D6292" t="s">
        <v>16</v>
      </c>
      <c r="G6292" t="s">
        <v>44</v>
      </c>
      <c r="I6292" t="s">
        <v>499</v>
      </c>
      <c r="M6292" t="s">
        <v>7334</v>
      </c>
      <c r="N6292" t="s">
        <v>7334</v>
      </c>
      <c r="O6292" t="s">
        <v>23</v>
      </c>
      <c r="P6292" t="s">
        <v>24</v>
      </c>
      <c r="Q6292" t="s">
        <v>7123</v>
      </c>
      <c r="R6292" t="s">
        <v>7122</v>
      </c>
    </row>
    <row r="6293" spans="1:18" x14ac:dyDescent="0.25">
      <c r="A6293" t="s">
        <v>16870</v>
      </c>
      <c r="B6293" t="s">
        <v>7338</v>
      </c>
      <c r="C6293" t="str">
        <f>HYPERLINK("https://nematode.unl.edu/meparti13.jpg")</f>
        <v>https://nematode.unl.edu/meparti13.jpg</v>
      </c>
      <c r="D6293" t="s">
        <v>16</v>
      </c>
      <c r="G6293" t="s">
        <v>34</v>
      </c>
      <c r="H6293" t="s">
        <v>18</v>
      </c>
      <c r="I6293" t="s">
        <v>19</v>
      </c>
      <c r="M6293" t="s">
        <v>7334</v>
      </c>
      <c r="N6293" t="s">
        <v>7334</v>
      </c>
      <c r="O6293" t="s">
        <v>23</v>
      </c>
      <c r="P6293" t="s">
        <v>24</v>
      </c>
      <c r="Q6293" t="s">
        <v>7123</v>
      </c>
      <c r="R6293" t="s">
        <v>7122</v>
      </c>
    </row>
    <row r="6294" spans="1:18" x14ac:dyDescent="0.25">
      <c r="A6294" t="s">
        <v>16884</v>
      </c>
      <c r="B6294" t="s">
        <v>7339</v>
      </c>
      <c r="C6294" t="str">
        <f>HYPERLINK("https://nematode.unl.edu/meparti14.jpg")</f>
        <v>https://nematode.unl.edu/meparti14.jpg</v>
      </c>
      <c r="D6294" t="s">
        <v>16</v>
      </c>
      <c r="G6294" t="s">
        <v>28</v>
      </c>
      <c r="I6294" t="s">
        <v>516</v>
      </c>
      <c r="M6294" t="s">
        <v>7334</v>
      </c>
      <c r="N6294" t="s">
        <v>7334</v>
      </c>
      <c r="O6294" t="s">
        <v>23</v>
      </c>
      <c r="P6294" t="s">
        <v>24</v>
      </c>
      <c r="Q6294" t="s">
        <v>7123</v>
      </c>
      <c r="R6294" t="s">
        <v>7122</v>
      </c>
    </row>
    <row r="6295" spans="1:18" x14ac:dyDescent="0.25">
      <c r="A6295" t="s">
        <v>16881</v>
      </c>
      <c r="B6295" t="s">
        <v>7340</v>
      </c>
      <c r="C6295" t="str">
        <f>HYPERLINK("https://nematode.unl.edu/meparti15.jpg")</f>
        <v>https://nematode.unl.edu/meparti15.jpg</v>
      </c>
      <c r="D6295" t="s">
        <v>16</v>
      </c>
      <c r="G6295" t="s">
        <v>53</v>
      </c>
      <c r="I6295" t="s">
        <v>41</v>
      </c>
      <c r="M6295" t="s">
        <v>7334</v>
      </c>
      <c r="N6295" t="s">
        <v>7334</v>
      </c>
      <c r="O6295" t="s">
        <v>23</v>
      </c>
      <c r="P6295" t="s">
        <v>24</v>
      </c>
      <c r="Q6295" t="s">
        <v>7123</v>
      </c>
      <c r="R6295" t="s">
        <v>7122</v>
      </c>
    </row>
    <row r="6296" spans="1:18" x14ac:dyDescent="0.25">
      <c r="A6296" t="s">
        <v>16885</v>
      </c>
      <c r="B6296" t="s">
        <v>7341</v>
      </c>
      <c r="C6296" t="str">
        <f>HYPERLINK("https://nematode.unl.edu/meparti16.jpg")</f>
        <v>https://nematode.unl.edu/meparti16.jpg</v>
      </c>
      <c r="D6296" t="s">
        <v>16</v>
      </c>
      <c r="G6296" t="s">
        <v>28</v>
      </c>
      <c r="I6296" t="s">
        <v>529</v>
      </c>
      <c r="M6296" t="s">
        <v>7334</v>
      </c>
      <c r="N6296" t="s">
        <v>7334</v>
      </c>
      <c r="O6296" t="s">
        <v>23</v>
      </c>
      <c r="P6296" t="s">
        <v>24</v>
      </c>
      <c r="Q6296" t="s">
        <v>7123</v>
      </c>
      <c r="R6296" t="s">
        <v>7122</v>
      </c>
    </row>
    <row r="6297" spans="1:18" x14ac:dyDescent="0.25">
      <c r="A6297" t="s">
        <v>16871</v>
      </c>
      <c r="B6297" t="s">
        <v>7342</v>
      </c>
      <c r="C6297" t="str">
        <f>HYPERLINK("https://nematode.unl.edu/meparti17.jpg")</f>
        <v>https://nematode.unl.edu/meparti17.jpg</v>
      </c>
      <c r="D6297" t="s">
        <v>16</v>
      </c>
      <c r="G6297" t="s">
        <v>34</v>
      </c>
      <c r="H6297" t="s">
        <v>18</v>
      </c>
      <c r="I6297" t="s">
        <v>529</v>
      </c>
      <c r="M6297" t="s">
        <v>7334</v>
      </c>
      <c r="N6297" t="s">
        <v>7334</v>
      </c>
      <c r="O6297" t="s">
        <v>23</v>
      </c>
      <c r="P6297" t="s">
        <v>24</v>
      </c>
      <c r="Q6297" t="s">
        <v>7123</v>
      </c>
      <c r="R6297" t="s">
        <v>7122</v>
      </c>
    </row>
    <row r="6298" spans="1:18" x14ac:dyDescent="0.25">
      <c r="A6298" t="s">
        <v>16886</v>
      </c>
      <c r="B6298" t="s">
        <v>7343</v>
      </c>
      <c r="C6298" t="str">
        <f>HYPERLINK("https://nematode.unl.edu/meparti18.jpg")</f>
        <v>https://nematode.unl.edu/meparti18.jpg</v>
      </c>
      <c r="D6298" t="s">
        <v>16</v>
      </c>
      <c r="G6298" t="s">
        <v>28</v>
      </c>
      <c r="I6298" t="s">
        <v>41</v>
      </c>
      <c r="M6298" t="s">
        <v>7334</v>
      </c>
      <c r="N6298" t="s">
        <v>7334</v>
      </c>
      <c r="O6298" t="s">
        <v>23</v>
      </c>
      <c r="P6298" t="s">
        <v>24</v>
      </c>
      <c r="Q6298" t="s">
        <v>7123</v>
      </c>
      <c r="R6298" t="s">
        <v>7122</v>
      </c>
    </row>
    <row r="6299" spans="1:18" x14ac:dyDescent="0.25">
      <c r="A6299" t="s">
        <v>16872</v>
      </c>
      <c r="B6299" t="s">
        <v>7344</v>
      </c>
      <c r="C6299" t="str">
        <f>HYPERLINK("https://nematode.unl.edu/meparti19.jpg")</f>
        <v>https://nematode.unl.edu/meparti19.jpg</v>
      </c>
      <c r="D6299" t="s">
        <v>16</v>
      </c>
      <c r="G6299" t="s">
        <v>34</v>
      </c>
      <c r="H6299" t="s">
        <v>18</v>
      </c>
      <c r="I6299" t="s">
        <v>529</v>
      </c>
      <c r="M6299" t="s">
        <v>7334</v>
      </c>
      <c r="N6299" t="s">
        <v>7334</v>
      </c>
      <c r="O6299" t="s">
        <v>23</v>
      </c>
      <c r="P6299" t="s">
        <v>24</v>
      </c>
      <c r="Q6299" t="s">
        <v>7123</v>
      </c>
      <c r="R6299" t="s">
        <v>7122</v>
      </c>
    </row>
    <row r="6300" spans="1:18" x14ac:dyDescent="0.25">
      <c r="A6300" t="s">
        <v>16873</v>
      </c>
      <c r="B6300" t="s">
        <v>7345</v>
      </c>
      <c r="C6300" t="str">
        <f>HYPERLINK("https://nematode.unl.edu/meparti2.jpg")</f>
        <v>https://nematode.unl.edu/meparti2.jpg</v>
      </c>
      <c r="D6300" t="s">
        <v>16</v>
      </c>
      <c r="G6300" t="s">
        <v>34</v>
      </c>
      <c r="H6300" t="s">
        <v>18</v>
      </c>
      <c r="M6300" t="s">
        <v>7334</v>
      </c>
      <c r="N6300" t="s">
        <v>7334</v>
      </c>
      <c r="O6300" t="s">
        <v>23</v>
      </c>
      <c r="P6300" t="s">
        <v>24</v>
      </c>
      <c r="Q6300" t="s">
        <v>7123</v>
      </c>
      <c r="R6300" t="s">
        <v>7122</v>
      </c>
    </row>
    <row r="6301" spans="1:18" x14ac:dyDescent="0.25">
      <c r="A6301" t="s">
        <v>16868</v>
      </c>
      <c r="B6301" t="s">
        <v>7346</v>
      </c>
      <c r="C6301" t="str">
        <f>HYPERLINK("https://nematode.unl.edu/meparti20.jpg")</f>
        <v>https://nematode.unl.edu/meparti20.jpg</v>
      </c>
      <c r="D6301" t="s">
        <v>16</v>
      </c>
      <c r="G6301" t="s">
        <v>96</v>
      </c>
      <c r="H6301" t="s">
        <v>18</v>
      </c>
      <c r="M6301" t="s">
        <v>7334</v>
      </c>
      <c r="N6301" t="s">
        <v>7334</v>
      </c>
      <c r="O6301" t="s">
        <v>23</v>
      </c>
      <c r="P6301" t="s">
        <v>24</v>
      </c>
      <c r="Q6301" t="s">
        <v>7123</v>
      </c>
      <c r="R6301" t="s">
        <v>7122</v>
      </c>
    </row>
    <row r="6302" spans="1:18" x14ac:dyDescent="0.25">
      <c r="A6302" t="s">
        <v>16887</v>
      </c>
      <c r="B6302" t="s">
        <v>7347</v>
      </c>
      <c r="C6302" t="str">
        <f>HYPERLINK("https://nematode.unl.edu/meparti21.jpg")</f>
        <v>https://nematode.unl.edu/meparti21.jpg</v>
      </c>
      <c r="D6302" t="s">
        <v>16</v>
      </c>
      <c r="G6302" t="s">
        <v>28</v>
      </c>
      <c r="M6302" t="s">
        <v>7334</v>
      </c>
      <c r="N6302" t="s">
        <v>7334</v>
      </c>
      <c r="O6302" t="s">
        <v>23</v>
      </c>
      <c r="P6302" t="s">
        <v>24</v>
      </c>
      <c r="Q6302" t="s">
        <v>7123</v>
      </c>
      <c r="R6302" t="s">
        <v>7122</v>
      </c>
    </row>
    <row r="6303" spans="1:18" x14ac:dyDescent="0.25">
      <c r="A6303" t="s">
        <v>16874</v>
      </c>
      <c r="B6303" t="s">
        <v>7348</v>
      </c>
      <c r="C6303" t="str">
        <f>HYPERLINK("https://nematode.unl.edu/meparti22.jpg")</f>
        <v>https://nematode.unl.edu/meparti22.jpg</v>
      </c>
      <c r="D6303" t="s">
        <v>16</v>
      </c>
      <c r="G6303" t="s">
        <v>34</v>
      </c>
      <c r="H6303" t="s">
        <v>18</v>
      </c>
      <c r="I6303" t="s">
        <v>529</v>
      </c>
      <c r="M6303" t="s">
        <v>7334</v>
      </c>
      <c r="N6303" t="s">
        <v>7334</v>
      </c>
      <c r="O6303" t="s">
        <v>23</v>
      </c>
      <c r="P6303" t="s">
        <v>24</v>
      </c>
      <c r="Q6303" t="s">
        <v>7123</v>
      </c>
      <c r="R6303" t="s">
        <v>7122</v>
      </c>
    </row>
    <row r="6304" spans="1:18" x14ac:dyDescent="0.25">
      <c r="A6304" t="s">
        <v>16869</v>
      </c>
      <c r="B6304" t="s">
        <v>7349</v>
      </c>
      <c r="C6304" t="str">
        <f>HYPERLINK("https://nematode.unl.edu/meparti23.jpg")</f>
        <v>https://nematode.unl.edu/meparti23.jpg</v>
      </c>
      <c r="G6304" t="s">
        <v>17</v>
      </c>
      <c r="H6304" t="s">
        <v>18</v>
      </c>
      <c r="I6304" t="s">
        <v>41</v>
      </c>
      <c r="M6304" t="s">
        <v>7334</v>
      </c>
      <c r="N6304" t="s">
        <v>7334</v>
      </c>
      <c r="O6304" t="s">
        <v>23</v>
      </c>
      <c r="P6304" t="s">
        <v>24</v>
      </c>
      <c r="Q6304" t="s">
        <v>7123</v>
      </c>
      <c r="R6304" t="s">
        <v>7122</v>
      </c>
    </row>
    <row r="6305" spans="1:18" x14ac:dyDescent="0.25">
      <c r="A6305" t="s">
        <v>16888</v>
      </c>
      <c r="B6305" t="s">
        <v>7350</v>
      </c>
      <c r="C6305" t="str">
        <f>HYPERLINK("https://nematode.unl.edu/meparti24.jpg")</f>
        <v>https://nematode.unl.edu/meparti24.jpg</v>
      </c>
      <c r="D6305" t="s">
        <v>16</v>
      </c>
      <c r="G6305" t="s">
        <v>28</v>
      </c>
      <c r="M6305" t="s">
        <v>7334</v>
      </c>
      <c r="N6305" t="s">
        <v>7334</v>
      </c>
      <c r="O6305" t="s">
        <v>23</v>
      </c>
      <c r="P6305" t="s">
        <v>24</v>
      </c>
      <c r="Q6305" t="s">
        <v>7123</v>
      </c>
      <c r="R6305" t="s">
        <v>7122</v>
      </c>
    </row>
    <row r="6306" spans="1:18" x14ac:dyDescent="0.25">
      <c r="A6306" t="s">
        <v>16889</v>
      </c>
      <c r="B6306" t="s">
        <v>7351</v>
      </c>
      <c r="C6306" t="str">
        <f>HYPERLINK("https://nematode.unl.edu/meparti3.jpg")</f>
        <v>https://nematode.unl.edu/meparti3.jpg</v>
      </c>
      <c r="D6306" t="s">
        <v>16</v>
      </c>
      <c r="G6306" t="s">
        <v>28</v>
      </c>
      <c r="I6306" t="s">
        <v>19</v>
      </c>
      <c r="M6306" t="s">
        <v>7334</v>
      </c>
      <c r="N6306" t="s">
        <v>7334</v>
      </c>
      <c r="O6306" t="s">
        <v>23</v>
      </c>
      <c r="P6306" t="s">
        <v>24</v>
      </c>
      <c r="Q6306" t="s">
        <v>7123</v>
      </c>
      <c r="R6306" t="s">
        <v>7122</v>
      </c>
    </row>
    <row r="6307" spans="1:18" x14ac:dyDescent="0.25">
      <c r="A6307" t="s">
        <v>16875</v>
      </c>
      <c r="B6307" t="s">
        <v>7352</v>
      </c>
      <c r="C6307" t="str">
        <f>HYPERLINK("https://nematode.unl.edu/meparti4.jpg")</f>
        <v>https://nematode.unl.edu/meparti4.jpg</v>
      </c>
      <c r="D6307" t="s">
        <v>16</v>
      </c>
      <c r="G6307" t="s">
        <v>34</v>
      </c>
      <c r="H6307" t="s">
        <v>18</v>
      </c>
      <c r="M6307" t="s">
        <v>7334</v>
      </c>
      <c r="N6307" t="s">
        <v>7334</v>
      </c>
      <c r="O6307" t="s">
        <v>23</v>
      </c>
      <c r="P6307" t="s">
        <v>24</v>
      </c>
      <c r="Q6307" t="s">
        <v>7123</v>
      </c>
      <c r="R6307" t="s">
        <v>7122</v>
      </c>
    </row>
    <row r="6308" spans="1:18" x14ac:dyDescent="0.25">
      <c r="A6308" t="s">
        <v>16890</v>
      </c>
      <c r="B6308" t="s">
        <v>7353</v>
      </c>
      <c r="C6308" t="str">
        <f>HYPERLINK("https://nematode.unl.edu/meparti5.jpg")</f>
        <v>https://nematode.unl.edu/meparti5.jpg</v>
      </c>
      <c r="D6308" t="s">
        <v>16</v>
      </c>
      <c r="G6308" t="s">
        <v>28</v>
      </c>
      <c r="I6308" t="s">
        <v>41</v>
      </c>
      <c r="M6308" t="s">
        <v>7334</v>
      </c>
      <c r="N6308" t="s">
        <v>7334</v>
      </c>
      <c r="O6308" t="s">
        <v>23</v>
      </c>
      <c r="P6308" t="s">
        <v>24</v>
      </c>
      <c r="Q6308" t="s">
        <v>7123</v>
      </c>
      <c r="R6308" t="s">
        <v>7122</v>
      </c>
    </row>
    <row r="6309" spans="1:18" x14ac:dyDescent="0.25">
      <c r="A6309" t="s">
        <v>16883</v>
      </c>
      <c r="B6309" t="s">
        <v>7354</v>
      </c>
      <c r="C6309" t="str">
        <f>HYPERLINK("https://nematode.unl.edu/meparti6.jpg")</f>
        <v>https://nematode.unl.edu/meparti6.jpg</v>
      </c>
      <c r="D6309" t="s">
        <v>16</v>
      </c>
      <c r="G6309" t="s">
        <v>7355</v>
      </c>
      <c r="I6309" t="s">
        <v>41</v>
      </c>
      <c r="M6309" t="s">
        <v>7334</v>
      </c>
      <c r="N6309" t="s">
        <v>7334</v>
      </c>
      <c r="O6309" t="s">
        <v>23</v>
      </c>
      <c r="P6309" t="s">
        <v>24</v>
      </c>
      <c r="Q6309" t="s">
        <v>7123</v>
      </c>
      <c r="R6309" t="s">
        <v>7122</v>
      </c>
    </row>
    <row r="6310" spans="1:18" x14ac:dyDescent="0.25">
      <c r="A6310" t="s">
        <v>16879</v>
      </c>
      <c r="B6310" t="s">
        <v>7356</v>
      </c>
      <c r="C6310" t="str">
        <f>HYPERLINK("https://nematode.unl.edu/meparti7.jpg")</f>
        <v>https://nematode.unl.edu/meparti7.jpg</v>
      </c>
      <c r="D6310" t="s">
        <v>16</v>
      </c>
      <c r="G6310" t="s">
        <v>44</v>
      </c>
      <c r="I6310" t="s">
        <v>499</v>
      </c>
      <c r="M6310" t="s">
        <v>7334</v>
      </c>
      <c r="N6310" t="s">
        <v>7334</v>
      </c>
      <c r="O6310" t="s">
        <v>23</v>
      </c>
      <c r="P6310" t="s">
        <v>24</v>
      </c>
      <c r="Q6310" t="s">
        <v>7123</v>
      </c>
      <c r="R6310" t="s">
        <v>7122</v>
      </c>
    </row>
    <row r="6311" spans="1:18" x14ac:dyDescent="0.25">
      <c r="A6311" t="s">
        <v>16876</v>
      </c>
      <c r="B6311" t="s">
        <v>7357</v>
      </c>
      <c r="C6311" t="str">
        <f>HYPERLINK("https://nematode.unl.edu/meparti8.jpg")</f>
        <v>https://nematode.unl.edu/meparti8.jpg</v>
      </c>
      <c r="D6311" t="s">
        <v>16</v>
      </c>
      <c r="G6311" t="s">
        <v>34</v>
      </c>
      <c r="H6311" t="s">
        <v>18</v>
      </c>
      <c r="I6311" t="s">
        <v>529</v>
      </c>
      <c r="M6311" t="s">
        <v>7334</v>
      </c>
      <c r="N6311" t="s">
        <v>7334</v>
      </c>
      <c r="O6311" t="s">
        <v>23</v>
      </c>
      <c r="P6311" t="s">
        <v>24</v>
      </c>
      <c r="Q6311" t="s">
        <v>7123</v>
      </c>
      <c r="R6311" t="s">
        <v>7122</v>
      </c>
    </row>
    <row r="6312" spans="1:18" x14ac:dyDescent="0.25">
      <c r="A6312" t="s">
        <v>16891</v>
      </c>
      <c r="B6312" t="s">
        <v>7358</v>
      </c>
      <c r="C6312" t="str">
        <f>HYPERLINK("https://nematode.unl.edu/meparti9.jpg")</f>
        <v>https://nematode.unl.edu/meparti9.jpg</v>
      </c>
      <c r="D6312" t="s">
        <v>16</v>
      </c>
      <c r="G6312" t="s">
        <v>28</v>
      </c>
      <c r="M6312" t="s">
        <v>7334</v>
      </c>
      <c r="N6312" t="s">
        <v>7334</v>
      </c>
      <c r="O6312" t="s">
        <v>23</v>
      </c>
      <c r="P6312" t="s">
        <v>24</v>
      </c>
      <c r="Q6312" t="s">
        <v>7123</v>
      </c>
      <c r="R6312" t="s">
        <v>7122</v>
      </c>
    </row>
    <row r="6313" spans="1:18" x14ac:dyDescent="0.25">
      <c r="A6313" t="s">
        <v>19938</v>
      </c>
      <c r="B6313" t="s">
        <v>8830</v>
      </c>
      <c r="C6313" t="str">
        <f>HYPERLINK("https://nematode.unl.edu/mepseu1.jpg")</f>
        <v>https://nematode.unl.edu/mepseu1.jpg</v>
      </c>
      <c r="D6313" t="s">
        <v>77</v>
      </c>
      <c r="G6313" t="s">
        <v>44</v>
      </c>
      <c r="I6313" t="s">
        <v>45</v>
      </c>
      <c r="J6313" t="s">
        <v>20</v>
      </c>
      <c r="L6313" t="s">
        <v>78</v>
      </c>
      <c r="M6313" t="s">
        <v>8831</v>
      </c>
      <c r="N6313" t="s">
        <v>8831</v>
      </c>
      <c r="O6313" t="s">
        <v>73</v>
      </c>
      <c r="P6313" t="s">
        <v>81</v>
      </c>
      <c r="Q6313" t="s">
        <v>489</v>
      </c>
      <c r="R6313" t="s">
        <v>8805</v>
      </c>
    </row>
    <row r="6314" spans="1:18" x14ac:dyDescent="0.25">
      <c r="A6314" t="s">
        <v>19930</v>
      </c>
      <c r="B6314" t="s">
        <v>8832</v>
      </c>
      <c r="C6314" t="str">
        <f>HYPERLINK("https://nematode.unl.edu/mepseu10.jpg")</f>
        <v>https://nematode.unl.edu/mepseu10.jpg</v>
      </c>
      <c r="D6314" t="s">
        <v>43</v>
      </c>
      <c r="G6314" t="s">
        <v>34</v>
      </c>
      <c r="H6314" t="s">
        <v>18</v>
      </c>
      <c r="I6314" t="s">
        <v>41</v>
      </c>
      <c r="J6314" t="s">
        <v>20</v>
      </c>
      <c r="L6314" t="s">
        <v>64</v>
      </c>
      <c r="M6314" t="s">
        <v>8831</v>
      </c>
      <c r="N6314" t="s">
        <v>8831</v>
      </c>
      <c r="O6314" t="s">
        <v>73</v>
      </c>
      <c r="P6314" t="s">
        <v>81</v>
      </c>
      <c r="Q6314" t="s">
        <v>489</v>
      </c>
      <c r="R6314" t="s">
        <v>8805</v>
      </c>
    </row>
    <row r="6315" spans="1:18" x14ac:dyDescent="0.25">
      <c r="A6315" t="s">
        <v>19931</v>
      </c>
      <c r="B6315" t="s">
        <v>8833</v>
      </c>
      <c r="C6315" t="str">
        <f>HYPERLINK("https://nematode.unl.edu/mepseu11.jpg")</f>
        <v>https://nematode.unl.edu/mepseu11.jpg</v>
      </c>
      <c r="D6315" t="s">
        <v>43</v>
      </c>
      <c r="G6315" t="s">
        <v>34</v>
      </c>
      <c r="H6315" t="s">
        <v>18</v>
      </c>
      <c r="I6315" t="s">
        <v>19</v>
      </c>
      <c r="J6315" t="s">
        <v>20</v>
      </c>
      <c r="L6315" t="s">
        <v>64</v>
      </c>
      <c r="M6315" t="s">
        <v>8831</v>
      </c>
      <c r="N6315" t="s">
        <v>8831</v>
      </c>
      <c r="O6315" t="s">
        <v>73</v>
      </c>
      <c r="P6315" t="s">
        <v>81</v>
      </c>
      <c r="Q6315" t="s">
        <v>489</v>
      </c>
      <c r="R6315" t="s">
        <v>8805</v>
      </c>
    </row>
    <row r="6316" spans="1:18" x14ac:dyDescent="0.25">
      <c r="A6316" t="s">
        <v>19929</v>
      </c>
      <c r="B6316" t="s">
        <v>8834</v>
      </c>
      <c r="C6316" t="str">
        <f>HYPERLINK("https://nematode.unl.edu/mepseu12.jpg")</f>
        <v>https://nematode.unl.edu/mepseu12.jpg</v>
      </c>
      <c r="D6316" t="s">
        <v>43</v>
      </c>
      <c r="G6316" t="s">
        <v>17</v>
      </c>
      <c r="H6316" t="s">
        <v>18</v>
      </c>
      <c r="J6316" t="s">
        <v>20</v>
      </c>
      <c r="M6316" t="s">
        <v>8831</v>
      </c>
      <c r="N6316" t="s">
        <v>8831</v>
      </c>
      <c r="O6316" t="s">
        <v>73</v>
      </c>
      <c r="P6316" t="s">
        <v>81</v>
      </c>
      <c r="Q6316" t="s">
        <v>489</v>
      </c>
      <c r="R6316" t="s">
        <v>8805</v>
      </c>
    </row>
    <row r="6317" spans="1:18" x14ac:dyDescent="0.25">
      <c r="A6317" t="s">
        <v>19948</v>
      </c>
      <c r="B6317" t="s">
        <v>8835</v>
      </c>
      <c r="C6317" t="str">
        <f>HYPERLINK("https://nematode.unl.edu/mepseu13.jpg")</f>
        <v>https://nematode.unl.edu/mepseu13.jpg</v>
      </c>
      <c r="D6317" t="s">
        <v>43</v>
      </c>
      <c r="G6317" t="s">
        <v>51</v>
      </c>
      <c r="I6317" t="s">
        <v>19</v>
      </c>
      <c r="J6317" t="s">
        <v>20</v>
      </c>
      <c r="M6317" t="s">
        <v>8831</v>
      </c>
      <c r="N6317" t="s">
        <v>8831</v>
      </c>
      <c r="O6317" t="s">
        <v>73</v>
      </c>
      <c r="P6317" t="s">
        <v>81</v>
      </c>
      <c r="Q6317" t="s">
        <v>489</v>
      </c>
      <c r="R6317" t="s">
        <v>8805</v>
      </c>
    </row>
    <row r="6318" spans="1:18" x14ac:dyDescent="0.25">
      <c r="A6318" t="s">
        <v>19942</v>
      </c>
      <c r="B6318" t="s">
        <v>8836</v>
      </c>
      <c r="C6318" t="str">
        <f>HYPERLINK("https://nematode.unl.edu/mepseu14.jpg")</f>
        <v>https://nematode.unl.edu/mepseu14.jpg</v>
      </c>
      <c r="D6318" t="s">
        <v>77</v>
      </c>
      <c r="G6318" t="s">
        <v>28</v>
      </c>
      <c r="J6318" t="s">
        <v>20</v>
      </c>
      <c r="M6318" t="s">
        <v>8831</v>
      </c>
      <c r="N6318" t="s">
        <v>8831</v>
      </c>
      <c r="O6318" t="s">
        <v>73</v>
      </c>
      <c r="P6318" t="s">
        <v>81</v>
      </c>
      <c r="Q6318" t="s">
        <v>489</v>
      </c>
      <c r="R6318" t="s">
        <v>8805</v>
      </c>
    </row>
    <row r="6319" spans="1:18" x14ac:dyDescent="0.25">
      <c r="A6319" t="s">
        <v>19939</v>
      </c>
      <c r="B6319" t="s">
        <v>8837</v>
      </c>
      <c r="C6319" t="str">
        <f>HYPERLINK("https://nematode.unl.edu/mepseu15.jpg")</f>
        <v>https://nematode.unl.edu/mepseu15.jpg</v>
      </c>
      <c r="D6319" t="s">
        <v>43</v>
      </c>
      <c r="G6319" t="s">
        <v>44</v>
      </c>
      <c r="I6319" t="s">
        <v>1008</v>
      </c>
      <c r="J6319" t="s">
        <v>20</v>
      </c>
      <c r="L6319" t="s">
        <v>78</v>
      </c>
      <c r="M6319" t="s">
        <v>8831</v>
      </c>
      <c r="N6319" t="s">
        <v>8831</v>
      </c>
      <c r="O6319" t="s">
        <v>73</v>
      </c>
      <c r="P6319" t="s">
        <v>81</v>
      </c>
      <c r="Q6319" t="s">
        <v>489</v>
      </c>
      <c r="R6319" t="s">
        <v>8805</v>
      </c>
    </row>
    <row r="6320" spans="1:18" x14ac:dyDescent="0.25">
      <c r="A6320" t="s">
        <v>19943</v>
      </c>
      <c r="B6320" t="s">
        <v>8838</v>
      </c>
      <c r="C6320" t="str">
        <f>HYPERLINK("https://nematode.unl.edu/mepseu16.jpg")</f>
        <v>https://nematode.unl.edu/mepseu16.jpg</v>
      </c>
      <c r="D6320" t="s">
        <v>43</v>
      </c>
      <c r="G6320" t="s">
        <v>28</v>
      </c>
      <c r="I6320" t="s">
        <v>137</v>
      </c>
      <c r="J6320" t="s">
        <v>20</v>
      </c>
      <c r="L6320" t="s">
        <v>78</v>
      </c>
      <c r="M6320" t="s">
        <v>8831</v>
      </c>
      <c r="N6320" t="s">
        <v>8831</v>
      </c>
      <c r="O6320" t="s">
        <v>73</v>
      </c>
      <c r="P6320" t="s">
        <v>81</v>
      </c>
      <c r="Q6320" t="s">
        <v>489</v>
      </c>
      <c r="R6320" t="s">
        <v>8805</v>
      </c>
    </row>
    <row r="6321" spans="1:18" x14ac:dyDescent="0.25">
      <c r="A6321" t="s">
        <v>19944</v>
      </c>
      <c r="B6321" t="s">
        <v>8839</v>
      </c>
      <c r="C6321" t="str">
        <f>HYPERLINK("https://nematode.unl.edu/mepseu17.jpg")</f>
        <v>https://nematode.unl.edu/mepseu17.jpg</v>
      </c>
      <c r="D6321" t="s">
        <v>43</v>
      </c>
      <c r="G6321" t="s">
        <v>28</v>
      </c>
      <c r="I6321" t="s">
        <v>19</v>
      </c>
      <c r="J6321" t="s">
        <v>20</v>
      </c>
      <c r="L6321" t="s">
        <v>78</v>
      </c>
      <c r="M6321" t="s">
        <v>8831</v>
      </c>
      <c r="N6321" t="s">
        <v>8831</v>
      </c>
      <c r="O6321" t="s">
        <v>73</v>
      </c>
      <c r="P6321" t="s">
        <v>81</v>
      </c>
      <c r="Q6321" t="s">
        <v>489</v>
      </c>
      <c r="R6321" t="s">
        <v>8805</v>
      </c>
    </row>
    <row r="6322" spans="1:18" x14ac:dyDescent="0.25">
      <c r="A6322" t="s">
        <v>19949</v>
      </c>
      <c r="B6322" t="s">
        <v>8840</v>
      </c>
      <c r="C6322" t="str">
        <f>HYPERLINK("https://nematode.unl.edu/mepseu18.jpg")</f>
        <v>https://nematode.unl.edu/mepseu18.jpg</v>
      </c>
      <c r="D6322" t="s">
        <v>43</v>
      </c>
      <c r="G6322" t="s">
        <v>51</v>
      </c>
      <c r="I6322" t="s">
        <v>19</v>
      </c>
      <c r="J6322" t="s">
        <v>20</v>
      </c>
      <c r="M6322" t="s">
        <v>8831</v>
      </c>
      <c r="N6322" t="s">
        <v>8831</v>
      </c>
      <c r="O6322" t="s">
        <v>73</v>
      </c>
      <c r="P6322" t="s">
        <v>81</v>
      </c>
      <c r="Q6322" t="s">
        <v>489</v>
      </c>
      <c r="R6322" t="s">
        <v>8805</v>
      </c>
    </row>
    <row r="6323" spans="1:18" x14ac:dyDescent="0.25">
      <c r="A6323" t="s">
        <v>19935</v>
      </c>
      <c r="B6323" t="s">
        <v>8841</v>
      </c>
      <c r="C6323" t="str">
        <f>HYPERLINK("https://nematode.unl.edu/mepseu19.jpg")</f>
        <v>https://nematode.unl.edu/mepseu19.jpg</v>
      </c>
      <c r="D6323" t="s">
        <v>43</v>
      </c>
      <c r="G6323" t="s">
        <v>87</v>
      </c>
      <c r="J6323" t="s">
        <v>20</v>
      </c>
      <c r="M6323" t="s">
        <v>8831</v>
      </c>
      <c r="N6323" t="s">
        <v>8831</v>
      </c>
      <c r="O6323" t="s">
        <v>73</v>
      </c>
      <c r="P6323" t="s">
        <v>81</v>
      </c>
      <c r="Q6323" t="s">
        <v>489</v>
      </c>
      <c r="R6323" t="s">
        <v>8805</v>
      </c>
    </row>
    <row r="6324" spans="1:18" x14ac:dyDescent="0.25">
      <c r="A6324" t="s">
        <v>19945</v>
      </c>
      <c r="B6324" t="s">
        <v>8842</v>
      </c>
      <c r="C6324" t="str">
        <f>HYPERLINK("https://nematode.unl.edu/mepseu2.jpg")</f>
        <v>https://nematode.unl.edu/mepseu2.jpg</v>
      </c>
      <c r="D6324" t="s">
        <v>43</v>
      </c>
      <c r="G6324" t="s">
        <v>28</v>
      </c>
      <c r="I6324" t="s">
        <v>516</v>
      </c>
      <c r="J6324" t="s">
        <v>20</v>
      </c>
      <c r="L6324" t="s">
        <v>78</v>
      </c>
      <c r="M6324" t="s">
        <v>8831</v>
      </c>
      <c r="N6324" t="s">
        <v>8831</v>
      </c>
      <c r="O6324" t="s">
        <v>73</v>
      </c>
      <c r="P6324" t="s">
        <v>81</v>
      </c>
      <c r="Q6324" t="s">
        <v>489</v>
      </c>
      <c r="R6324" t="s">
        <v>8805</v>
      </c>
    </row>
    <row r="6325" spans="1:18" x14ac:dyDescent="0.25">
      <c r="A6325" t="s">
        <v>19932</v>
      </c>
      <c r="B6325" t="s">
        <v>8843</v>
      </c>
      <c r="C6325" t="str">
        <f>HYPERLINK("https://nematode.unl.edu/mepseu20.jpg")</f>
        <v>https://nematode.unl.edu/mepseu20.jpg</v>
      </c>
      <c r="D6325" t="s">
        <v>43</v>
      </c>
      <c r="G6325" t="s">
        <v>34</v>
      </c>
      <c r="H6325" t="s">
        <v>18</v>
      </c>
      <c r="J6325" t="s">
        <v>20</v>
      </c>
      <c r="M6325" t="s">
        <v>8831</v>
      </c>
      <c r="N6325" t="s">
        <v>8831</v>
      </c>
      <c r="O6325" t="s">
        <v>73</v>
      </c>
      <c r="P6325" t="s">
        <v>81</v>
      </c>
      <c r="Q6325" t="s">
        <v>489</v>
      </c>
      <c r="R6325" t="s">
        <v>8805</v>
      </c>
    </row>
    <row r="6326" spans="1:18" x14ac:dyDescent="0.25">
      <c r="A6326" t="s">
        <v>19933</v>
      </c>
      <c r="B6326" t="s">
        <v>8844</v>
      </c>
      <c r="C6326" t="str">
        <f>HYPERLINK("https://nematode.unl.edu/mepseu21.jpg")</f>
        <v>https://nematode.unl.edu/mepseu21.jpg</v>
      </c>
      <c r="D6326" t="s">
        <v>43</v>
      </c>
      <c r="G6326" t="s">
        <v>34</v>
      </c>
      <c r="H6326" t="s">
        <v>18</v>
      </c>
      <c r="J6326" t="s">
        <v>20</v>
      </c>
      <c r="L6326" t="s">
        <v>64</v>
      </c>
      <c r="M6326" t="s">
        <v>8831</v>
      </c>
      <c r="N6326" t="s">
        <v>8831</v>
      </c>
      <c r="O6326" t="s">
        <v>73</v>
      </c>
      <c r="P6326" t="s">
        <v>81</v>
      </c>
      <c r="Q6326" t="s">
        <v>489</v>
      </c>
      <c r="R6326" t="s">
        <v>8805</v>
      </c>
    </row>
    <row r="6327" spans="1:18" x14ac:dyDescent="0.25">
      <c r="A6327" t="s">
        <v>19950</v>
      </c>
      <c r="B6327" t="s">
        <v>8845</v>
      </c>
      <c r="C6327" t="str">
        <f>HYPERLINK("https://nematode.unl.edu/mepseu22.jpg")</f>
        <v>https://nematode.unl.edu/mepseu22.jpg</v>
      </c>
      <c r="D6327" t="s">
        <v>43</v>
      </c>
      <c r="G6327" t="s">
        <v>51</v>
      </c>
      <c r="J6327" t="s">
        <v>20</v>
      </c>
      <c r="M6327" t="s">
        <v>8831</v>
      </c>
      <c r="N6327" t="s">
        <v>8831</v>
      </c>
      <c r="O6327" t="s">
        <v>73</v>
      </c>
      <c r="P6327" t="s">
        <v>81</v>
      </c>
      <c r="Q6327" t="s">
        <v>489</v>
      </c>
      <c r="R6327" t="s">
        <v>8805</v>
      </c>
    </row>
    <row r="6328" spans="1:18" x14ac:dyDescent="0.25">
      <c r="A6328" t="s">
        <v>19946</v>
      </c>
      <c r="B6328" t="s">
        <v>8846</v>
      </c>
      <c r="C6328" t="str">
        <f>HYPERLINK("https://nematode.unl.edu/mepseu23.jpg")</f>
        <v>https://nematode.unl.edu/mepseu23.jpg</v>
      </c>
      <c r="D6328" t="s">
        <v>77</v>
      </c>
      <c r="G6328" t="s">
        <v>28</v>
      </c>
      <c r="J6328" t="s">
        <v>20</v>
      </c>
      <c r="M6328" t="s">
        <v>8831</v>
      </c>
      <c r="N6328" t="s">
        <v>8831</v>
      </c>
      <c r="O6328" t="s">
        <v>73</v>
      </c>
      <c r="P6328" t="s">
        <v>81</v>
      </c>
      <c r="Q6328" t="s">
        <v>489</v>
      </c>
      <c r="R6328" t="s">
        <v>8805</v>
      </c>
    </row>
    <row r="6329" spans="1:18" x14ac:dyDescent="0.25">
      <c r="A6329" t="s">
        <v>19951</v>
      </c>
      <c r="B6329" t="s">
        <v>8847</v>
      </c>
      <c r="C6329" t="str">
        <f>HYPERLINK("https://nematode.unl.edu/mepseu3.jpg")</f>
        <v>https://nematode.unl.edu/mepseu3.jpg</v>
      </c>
      <c r="D6329" t="s">
        <v>43</v>
      </c>
      <c r="G6329" t="s">
        <v>51</v>
      </c>
      <c r="J6329" t="s">
        <v>20</v>
      </c>
      <c r="L6329" t="s">
        <v>35</v>
      </c>
      <c r="M6329" t="s">
        <v>8831</v>
      </c>
      <c r="N6329" t="s">
        <v>8831</v>
      </c>
      <c r="O6329" t="s">
        <v>73</v>
      </c>
      <c r="P6329" t="s">
        <v>81</v>
      </c>
      <c r="Q6329" t="s">
        <v>489</v>
      </c>
      <c r="R6329" t="s">
        <v>8805</v>
      </c>
    </row>
    <row r="6330" spans="1:18" x14ac:dyDescent="0.25">
      <c r="A6330" t="s">
        <v>19936</v>
      </c>
      <c r="B6330" t="s">
        <v>8848</v>
      </c>
      <c r="C6330" t="str">
        <f>HYPERLINK("https://nematode.unl.edu/mepseu4.jpg")</f>
        <v>https://nematode.unl.edu/mepseu4.jpg</v>
      </c>
      <c r="D6330" t="s">
        <v>43</v>
      </c>
      <c r="G6330" t="s">
        <v>87</v>
      </c>
      <c r="J6330" t="s">
        <v>20</v>
      </c>
      <c r="L6330" t="s">
        <v>35</v>
      </c>
      <c r="M6330" t="s">
        <v>8831</v>
      </c>
      <c r="N6330" t="s">
        <v>8831</v>
      </c>
      <c r="O6330" t="s">
        <v>73</v>
      </c>
      <c r="P6330" t="s">
        <v>81</v>
      </c>
      <c r="Q6330" t="s">
        <v>489</v>
      </c>
      <c r="R6330" t="s">
        <v>8805</v>
      </c>
    </row>
    <row r="6331" spans="1:18" x14ac:dyDescent="0.25">
      <c r="A6331" t="s">
        <v>19934</v>
      </c>
      <c r="B6331" t="s">
        <v>8849</v>
      </c>
      <c r="C6331" t="str">
        <f>HYPERLINK("https://nematode.unl.edu/mepseu5.jpg")</f>
        <v>https://nematode.unl.edu/mepseu5.jpg</v>
      </c>
      <c r="D6331" t="s">
        <v>77</v>
      </c>
      <c r="G6331" t="s">
        <v>34</v>
      </c>
      <c r="H6331" t="s">
        <v>18</v>
      </c>
      <c r="I6331" t="s">
        <v>19</v>
      </c>
      <c r="J6331" t="s">
        <v>20</v>
      </c>
      <c r="L6331" t="s">
        <v>85</v>
      </c>
      <c r="M6331" t="s">
        <v>8831</v>
      </c>
      <c r="N6331" t="s">
        <v>8831</v>
      </c>
      <c r="O6331" t="s">
        <v>73</v>
      </c>
      <c r="P6331" t="s">
        <v>81</v>
      </c>
      <c r="Q6331" t="s">
        <v>489</v>
      </c>
      <c r="R6331" t="s">
        <v>8805</v>
      </c>
    </row>
    <row r="6332" spans="1:18" x14ac:dyDescent="0.25">
      <c r="A6332" t="s">
        <v>19937</v>
      </c>
      <c r="B6332" t="s">
        <v>8850</v>
      </c>
      <c r="C6332" t="str">
        <f>HYPERLINK("https://nematode.unl.edu/mepseu6.jpg")</f>
        <v>https://nematode.unl.edu/mepseu6.jpg</v>
      </c>
      <c r="D6332" t="s">
        <v>43</v>
      </c>
      <c r="G6332" t="s">
        <v>87</v>
      </c>
      <c r="I6332" t="s">
        <v>19</v>
      </c>
      <c r="J6332" t="s">
        <v>20</v>
      </c>
      <c r="M6332" t="s">
        <v>8831</v>
      </c>
      <c r="N6332" t="s">
        <v>8831</v>
      </c>
      <c r="O6332" t="s">
        <v>73</v>
      </c>
      <c r="P6332" t="s">
        <v>81</v>
      </c>
      <c r="Q6332" t="s">
        <v>489</v>
      </c>
      <c r="R6332" t="s">
        <v>8805</v>
      </c>
    </row>
    <row r="6333" spans="1:18" x14ac:dyDescent="0.25">
      <c r="A6333" t="s">
        <v>19928</v>
      </c>
      <c r="B6333" t="s">
        <v>8851</v>
      </c>
      <c r="C6333" t="str">
        <f>HYPERLINK("https://nematode.unl.edu/mepseu7.jpg")</f>
        <v>https://nematode.unl.edu/mepseu7.jpg</v>
      </c>
      <c r="D6333" t="s">
        <v>43</v>
      </c>
      <c r="G6333" t="s">
        <v>96</v>
      </c>
      <c r="H6333" t="s">
        <v>18</v>
      </c>
      <c r="I6333" t="s">
        <v>19</v>
      </c>
      <c r="J6333" t="s">
        <v>20</v>
      </c>
      <c r="M6333" t="s">
        <v>8831</v>
      </c>
      <c r="N6333" t="s">
        <v>8831</v>
      </c>
      <c r="O6333" t="s">
        <v>73</v>
      </c>
      <c r="P6333" t="s">
        <v>81</v>
      </c>
      <c r="Q6333" t="s">
        <v>489</v>
      </c>
      <c r="R6333" t="s">
        <v>8805</v>
      </c>
    </row>
    <row r="6334" spans="1:18" x14ac:dyDescent="0.25">
      <c r="A6334" t="s">
        <v>19947</v>
      </c>
      <c r="B6334" t="s">
        <v>8852</v>
      </c>
      <c r="C6334" t="str">
        <f>HYPERLINK("https://nematode.unl.edu/mepseu8.jpg")</f>
        <v>https://nematode.unl.edu/mepseu8.jpg</v>
      </c>
      <c r="D6334" t="s">
        <v>43</v>
      </c>
      <c r="G6334" t="s">
        <v>8853</v>
      </c>
      <c r="I6334" t="s">
        <v>41</v>
      </c>
      <c r="J6334" t="s">
        <v>20</v>
      </c>
      <c r="L6334" t="s">
        <v>78</v>
      </c>
      <c r="M6334" t="s">
        <v>8831</v>
      </c>
      <c r="N6334" t="s">
        <v>8831</v>
      </c>
      <c r="O6334" t="s">
        <v>73</v>
      </c>
      <c r="P6334" t="s">
        <v>81</v>
      </c>
      <c r="Q6334" t="s">
        <v>489</v>
      </c>
      <c r="R6334" t="s">
        <v>8805</v>
      </c>
    </row>
    <row r="6335" spans="1:18" x14ac:dyDescent="0.25">
      <c r="A6335" t="s">
        <v>19941</v>
      </c>
      <c r="B6335" t="s">
        <v>8854</v>
      </c>
      <c r="C6335" t="str">
        <f>HYPERLINK("https://nematode.unl.edu/mepseu9.jpg")</f>
        <v>https://nematode.unl.edu/mepseu9.jpg</v>
      </c>
      <c r="D6335" t="s">
        <v>43</v>
      </c>
      <c r="G6335" t="s">
        <v>8855</v>
      </c>
      <c r="I6335" t="s">
        <v>41</v>
      </c>
      <c r="J6335" t="s">
        <v>20</v>
      </c>
      <c r="L6335" t="s">
        <v>78</v>
      </c>
      <c r="M6335" t="s">
        <v>8831</v>
      </c>
      <c r="N6335" t="s">
        <v>8831</v>
      </c>
      <c r="O6335" t="s">
        <v>73</v>
      </c>
      <c r="P6335" t="s">
        <v>81</v>
      </c>
      <c r="Q6335" t="s">
        <v>489</v>
      </c>
      <c r="R6335" t="s">
        <v>8805</v>
      </c>
    </row>
    <row r="6336" spans="1:18" x14ac:dyDescent="0.25">
      <c r="A6336" t="s">
        <v>19940</v>
      </c>
      <c r="B6336" t="s">
        <v>8856</v>
      </c>
      <c r="C6336" t="str">
        <f>HYPERLINK("https://nematode.unl.edu/mepseucmp.jpg")</f>
        <v>https://nematode.unl.edu/mepseucmp.jpg</v>
      </c>
      <c r="G6336" t="s">
        <v>243</v>
      </c>
      <c r="M6336" t="s">
        <v>8831</v>
      </c>
      <c r="N6336" t="s">
        <v>8831</v>
      </c>
      <c r="O6336" t="s">
        <v>73</v>
      </c>
      <c r="P6336" t="s">
        <v>81</v>
      </c>
      <c r="Q6336" t="s">
        <v>489</v>
      </c>
      <c r="R6336" t="s">
        <v>8805</v>
      </c>
    </row>
    <row r="6337" spans="1:18" x14ac:dyDescent="0.25">
      <c r="A6337" t="s">
        <v>15885</v>
      </c>
      <c r="B6337" t="s">
        <v>1373</v>
      </c>
      <c r="C6337" t="str">
        <f>HYPERLINK("https://nematode.unl.edu/meralp1.jpg")</f>
        <v>https://nematode.unl.edu/meralp1.jpg</v>
      </c>
      <c r="D6337" t="s">
        <v>77</v>
      </c>
      <c r="G6337" t="s">
        <v>44</v>
      </c>
      <c r="I6337" t="s">
        <v>1008</v>
      </c>
      <c r="J6337" t="s">
        <v>1374</v>
      </c>
      <c r="M6337" t="s">
        <v>1365</v>
      </c>
      <c r="N6337" t="s">
        <v>1366</v>
      </c>
      <c r="O6337" t="s">
        <v>23</v>
      </c>
      <c r="P6337" t="s">
        <v>24</v>
      </c>
      <c r="Q6337" t="s">
        <v>1071</v>
      </c>
      <c r="R6337" t="s">
        <v>1367</v>
      </c>
    </row>
    <row r="6338" spans="1:18" x14ac:dyDescent="0.25">
      <c r="A6338" t="s">
        <v>15882</v>
      </c>
      <c r="B6338" t="s">
        <v>1375</v>
      </c>
      <c r="C6338" t="str">
        <f>HYPERLINK("https://nematode.unl.edu/meralp2.jpg")</f>
        <v>https://nematode.unl.edu/meralp2.jpg</v>
      </c>
      <c r="D6338" t="s">
        <v>77</v>
      </c>
      <c r="G6338" t="s">
        <v>34</v>
      </c>
      <c r="H6338" t="s">
        <v>18</v>
      </c>
      <c r="I6338" t="s">
        <v>19</v>
      </c>
      <c r="M6338" t="s">
        <v>1365</v>
      </c>
      <c r="N6338" t="s">
        <v>1366</v>
      </c>
      <c r="O6338" t="s">
        <v>23</v>
      </c>
      <c r="P6338" t="s">
        <v>24</v>
      </c>
      <c r="Q6338" t="s">
        <v>1071</v>
      </c>
      <c r="R6338" t="s">
        <v>1367</v>
      </c>
    </row>
    <row r="6339" spans="1:18" x14ac:dyDescent="0.25">
      <c r="A6339" t="s">
        <v>15890</v>
      </c>
      <c r="B6339" t="s">
        <v>1376</v>
      </c>
      <c r="C6339" t="str">
        <f>HYPERLINK("https://nematode.unl.edu/meralp3.jpg")</f>
        <v>https://nematode.unl.edu/meralp3.jpg</v>
      </c>
      <c r="D6339" t="s">
        <v>77</v>
      </c>
      <c r="G6339" t="s">
        <v>28</v>
      </c>
      <c r="M6339" t="s">
        <v>1365</v>
      </c>
      <c r="N6339" t="s">
        <v>1366</v>
      </c>
      <c r="O6339" t="s">
        <v>23</v>
      </c>
      <c r="P6339" t="s">
        <v>24</v>
      </c>
      <c r="Q6339" t="s">
        <v>1071</v>
      </c>
      <c r="R6339" t="s">
        <v>1367</v>
      </c>
    </row>
    <row r="6340" spans="1:18" x14ac:dyDescent="0.25">
      <c r="A6340" t="s">
        <v>15886</v>
      </c>
      <c r="B6340" t="s">
        <v>1377</v>
      </c>
      <c r="C6340" t="str">
        <f>HYPERLINK("https://nematode.unl.edu/meralp4.jpg")</f>
        <v>https://nematode.unl.edu/meralp4.jpg</v>
      </c>
      <c r="D6340" t="s">
        <v>43</v>
      </c>
      <c r="G6340" t="s">
        <v>44</v>
      </c>
      <c r="I6340" t="s">
        <v>1008</v>
      </c>
      <c r="J6340" t="s">
        <v>1374</v>
      </c>
      <c r="M6340" t="s">
        <v>1365</v>
      </c>
      <c r="N6340" t="s">
        <v>1366</v>
      </c>
      <c r="O6340" t="s">
        <v>23</v>
      </c>
      <c r="P6340" t="s">
        <v>24</v>
      </c>
      <c r="Q6340" t="s">
        <v>1071</v>
      </c>
      <c r="R6340" t="s">
        <v>1367</v>
      </c>
    </row>
    <row r="6341" spans="1:18" x14ac:dyDescent="0.25">
      <c r="A6341" t="s">
        <v>15883</v>
      </c>
      <c r="B6341" t="s">
        <v>1378</v>
      </c>
      <c r="C6341" t="str">
        <f>HYPERLINK("https://nematode.unl.edu/meralp5.jpg")</f>
        <v>https://nematode.unl.edu/meralp5.jpg</v>
      </c>
      <c r="D6341" t="s">
        <v>43</v>
      </c>
      <c r="G6341" t="s">
        <v>34</v>
      </c>
      <c r="H6341" t="s">
        <v>18</v>
      </c>
      <c r="M6341" t="s">
        <v>1365</v>
      </c>
      <c r="N6341" t="s">
        <v>1366</v>
      </c>
      <c r="O6341" t="s">
        <v>23</v>
      </c>
      <c r="P6341" t="s">
        <v>24</v>
      </c>
      <c r="Q6341" t="s">
        <v>1071</v>
      </c>
      <c r="R6341" t="s">
        <v>1367</v>
      </c>
    </row>
    <row r="6342" spans="1:18" x14ac:dyDescent="0.25">
      <c r="A6342" t="s">
        <v>15893</v>
      </c>
      <c r="B6342" t="s">
        <v>1379</v>
      </c>
      <c r="C6342" t="str">
        <f>HYPERLINK("https://nematode.unl.edu/meralp6.jpg")</f>
        <v>https://nematode.unl.edu/meralp6.jpg</v>
      </c>
      <c r="D6342" t="s">
        <v>43</v>
      </c>
      <c r="G6342" t="s">
        <v>51</v>
      </c>
      <c r="M6342" t="s">
        <v>1365</v>
      </c>
      <c r="N6342" t="s">
        <v>1366</v>
      </c>
      <c r="O6342" t="s">
        <v>23</v>
      </c>
      <c r="P6342" t="s">
        <v>24</v>
      </c>
      <c r="Q6342" t="s">
        <v>1071</v>
      </c>
      <c r="R6342" t="s">
        <v>1367</v>
      </c>
    </row>
    <row r="6343" spans="1:18" x14ac:dyDescent="0.25">
      <c r="A6343" t="s">
        <v>15891</v>
      </c>
      <c r="B6343" t="s">
        <v>1380</v>
      </c>
      <c r="C6343" t="str">
        <f>HYPERLINK("https://nematode.unl.edu/meralp7.jpg")</f>
        <v>https://nematode.unl.edu/meralp7.jpg</v>
      </c>
      <c r="D6343" t="s">
        <v>43</v>
      </c>
      <c r="G6343" t="s">
        <v>28</v>
      </c>
      <c r="I6343" t="s">
        <v>19</v>
      </c>
      <c r="M6343" t="s">
        <v>1365</v>
      </c>
      <c r="N6343" t="s">
        <v>1366</v>
      </c>
      <c r="O6343" t="s">
        <v>23</v>
      </c>
      <c r="P6343" t="s">
        <v>24</v>
      </c>
      <c r="Q6343" t="s">
        <v>1071</v>
      </c>
      <c r="R6343" t="s">
        <v>1367</v>
      </c>
    </row>
    <row r="6344" spans="1:18" x14ac:dyDescent="0.25">
      <c r="A6344" t="s">
        <v>15888</v>
      </c>
      <c r="B6344" t="s">
        <v>1381</v>
      </c>
      <c r="C6344" t="str">
        <f>HYPERLINK("https://nematode.unl.edu/meralp8.jpg")</f>
        <v>https://nematode.unl.edu/meralp8.jpg</v>
      </c>
      <c r="D6344" t="s">
        <v>43</v>
      </c>
      <c r="G6344" t="s">
        <v>53</v>
      </c>
      <c r="I6344" t="s">
        <v>41</v>
      </c>
      <c r="M6344" t="s">
        <v>1365</v>
      </c>
      <c r="N6344" t="s">
        <v>1366</v>
      </c>
      <c r="O6344" t="s">
        <v>23</v>
      </c>
      <c r="P6344" t="s">
        <v>24</v>
      </c>
      <c r="Q6344" t="s">
        <v>1071</v>
      </c>
      <c r="R6344" t="s">
        <v>1367</v>
      </c>
    </row>
    <row r="6345" spans="1:18" x14ac:dyDescent="0.25">
      <c r="A6345" t="s">
        <v>15892</v>
      </c>
      <c r="B6345" t="s">
        <v>1382</v>
      </c>
      <c r="C6345" t="str">
        <f>HYPERLINK("https://nematode.unl.edu/meralp9.jpg")</f>
        <v>https://nematode.unl.edu/meralp9.jpg</v>
      </c>
      <c r="D6345" t="s">
        <v>43</v>
      </c>
      <c r="G6345" t="s">
        <v>28</v>
      </c>
      <c r="I6345" t="s">
        <v>41</v>
      </c>
      <c r="M6345" t="s">
        <v>1365</v>
      </c>
      <c r="N6345" t="s">
        <v>1366</v>
      </c>
      <c r="O6345" t="s">
        <v>23</v>
      </c>
      <c r="P6345" t="s">
        <v>24</v>
      </c>
      <c r="Q6345" t="s">
        <v>1071</v>
      </c>
      <c r="R6345" t="s">
        <v>1367</v>
      </c>
    </row>
    <row r="6346" spans="1:18" x14ac:dyDescent="0.25">
      <c r="A6346" t="s">
        <v>15879</v>
      </c>
      <c r="B6346" t="s">
        <v>1067</v>
      </c>
      <c r="C6346" t="str">
        <f>HYPERLINK("https://nematode.unl.edu/merbus1.jpg")</f>
        <v>https://nematode.unl.edu/merbus1.jpg</v>
      </c>
      <c r="D6346" t="s">
        <v>77</v>
      </c>
      <c r="G6346" t="s">
        <v>1068</v>
      </c>
      <c r="M6346" t="s">
        <v>1069</v>
      </c>
      <c r="N6346" t="s">
        <v>1070</v>
      </c>
      <c r="O6346" t="s">
        <v>23</v>
      </c>
      <c r="P6346" t="s">
        <v>24</v>
      </c>
      <c r="Q6346" t="s">
        <v>1071</v>
      </c>
      <c r="R6346" t="s">
        <v>1072</v>
      </c>
    </row>
    <row r="6347" spans="1:18" x14ac:dyDescent="0.25">
      <c r="A6347" t="s">
        <v>15880</v>
      </c>
      <c r="B6347" t="s">
        <v>1073</v>
      </c>
      <c r="C6347" t="str">
        <f>HYPERLINK("https://nematode.unl.edu/merbus2.jpg")</f>
        <v>https://nematode.unl.edu/merbus2.jpg</v>
      </c>
      <c r="D6347" t="s">
        <v>77</v>
      </c>
      <c r="G6347" t="s">
        <v>1074</v>
      </c>
      <c r="M6347" t="s">
        <v>1069</v>
      </c>
      <c r="N6347" t="s">
        <v>1070</v>
      </c>
      <c r="O6347" t="s">
        <v>23</v>
      </c>
      <c r="P6347" t="s">
        <v>24</v>
      </c>
      <c r="Q6347" t="s">
        <v>1071</v>
      </c>
      <c r="R6347" t="s">
        <v>1072</v>
      </c>
    </row>
    <row r="6348" spans="1:18" x14ac:dyDescent="0.25">
      <c r="A6348" t="s">
        <v>15878</v>
      </c>
      <c r="B6348" t="s">
        <v>1075</v>
      </c>
      <c r="C6348" t="str">
        <f>HYPERLINK("https://nematode.unl.edu/merbus3.jpg")</f>
        <v>https://nematode.unl.edu/merbus3.jpg</v>
      </c>
      <c r="G6348" t="s">
        <v>34</v>
      </c>
      <c r="H6348" t="s">
        <v>18</v>
      </c>
      <c r="M6348" t="s">
        <v>1069</v>
      </c>
      <c r="N6348" t="s">
        <v>1070</v>
      </c>
      <c r="O6348" t="s">
        <v>23</v>
      </c>
      <c r="P6348" t="s">
        <v>24</v>
      </c>
      <c r="Q6348" t="s">
        <v>1071</v>
      </c>
      <c r="R6348" t="s">
        <v>1072</v>
      </c>
    </row>
    <row r="6349" spans="1:18" x14ac:dyDescent="0.25">
      <c r="A6349" t="s">
        <v>19955</v>
      </c>
      <c r="B6349" t="s">
        <v>8857</v>
      </c>
      <c r="C6349" t="str">
        <f>HYPERLINK("https://nematode.unl.edu/merec1.jpg")</f>
        <v>https://nematode.unl.edu/merec1.jpg</v>
      </c>
      <c r="D6349" t="s">
        <v>43</v>
      </c>
      <c r="G6349" t="s">
        <v>44</v>
      </c>
      <c r="I6349" t="s">
        <v>45</v>
      </c>
      <c r="J6349" t="s">
        <v>20</v>
      </c>
      <c r="L6349" t="s">
        <v>183</v>
      </c>
      <c r="M6349" t="s">
        <v>8858</v>
      </c>
      <c r="N6349" t="s">
        <v>8858</v>
      </c>
      <c r="O6349" t="s">
        <v>73</v>
      </c>
      <c r="P6349" t="s">
        <v>81</v>
      </c>
      <c r="Q6349" t="s">
        <v>489</v>
      </c>
      <c r="R6349" t="s">
        <v>8805</v>
      </c>
    </row>
    <row r="6350" spans="1:18" x14ac:dyDescent="0.25">
      <c r="A6350" t="s">
        <v>19956</v>
      </c>
      <c r="B6350" t="s">
        <v>8859</v>
      </c>
      <c r="C6350" t="str">
        <f>HYPERLINK("https://nematode.unl.edu/merec2.jpg")</f>
        <v>https://nematode.unl.edu/merec2.jpg</v>
      </c>
      <c r="D6350" t="s">
        <v>43</v>
      </c>
      <c r="G6350" t="s">
        <v>28</v>
      </c>
      <c r="J6350" t="s">
        <v>20</v>
      </c>
      <c r="M6350" t="s">
        <v>8858</v>
      </c>
      <c r="N6350" t="s">
        <v>8858</v>
      </c>
      <c r="O6350" t="s">
        <v>73</v>
      </c>
      <c r="P6350" t="s">
        <v>81</v>
      </c>
      <c r="Q6350" t="s">
        <v>489</v>
      </c>
      <c r="R6350" t="s">
        <v>8805</v>
      </c>
    </row>
    <row r="6351" spans="1:18" x14ac:dyDescent="0.25">
      <c r="A6351" t="s">
        <v>19957</v>
      </c>
      <c r="B6351" t="s">
        <v>8860</v>
      </c>
      <c r="C6351" t="str">
        <f>HYPERLINK("https://nematode.unl.edu/merec3.jpg")</f>
        <v>https://nematode.unl.edu/merec3.jpg</v>
      </c>
      <c r="D6351" t="s">
        <v>43</v>
      </c>
      <c r="G6351" t="s">
        <v>51</v>
      </c>
      <c r="I6351" t="s">
        <v>19</v>
      </c>
      <c r="J6351" t="s">
        <v>20</v>
      </c>
      <c r="M6351" t="s">
        <v>8858</v>
      </c>
      <c r="N6351" t="s">
        <v>8858</v>
      </c>
      <c r="O6351" t="s">
        <v>73</v>
      </c>
      <c r="P6351" t="s">
        <v>81</v>
      </c>
      <c r="Q6351" t="s">
        <v>489</v>
      </c>
      <c r="R6351" t="s">
        <v>8805</v>
      </c>
    </row>
    <row r="6352" spans="1:18" x14ac:dyDescent="0.25">
      <c r="A6352" t="s">
        <v>19954</v>
      </c>
      <c r="B6352" t="s">
        <v>8861</v>
      </c>
      <c r="C6352" t="str">
        <f>HYPERLINK("https://nematode.unl.edu/merec4.jpg")</f>
        <v>https://nematode.unl.edu/merec4.jpg</v>
      </c>
      <c r="D6352" t="s">
        <v>43</v>
      </c>
      <c r="G6352" t="s">
        <v>87</v>
      </c>
      <c r="J6352" t="s">
        <v>20</v>
      </c>
      <c r="L6352" t="s">
        <v>85</v>
      </c>
      <c r="M6352" t="s">
        <v>8858</v>
      </c>
      <c r="N6352" t="s">
        <v>8858</v>
      </c>
      <c r="O6352" t="s">
        <v>73</v>
      </c>
      <c r="P6352" t="s">
        <v>81</v>
      </c>
      <c r="Q6352" t="s">
        <v>489</v>
      </c>
      <c r="R6352" t="s">
        <v>8805</v>
      </c>
    </row>
    <row r="6353" spans="1:18" x14ac:dyDescent="0.25">
      <c r="A6353" t="s">
        <v>19953</v>
      </c>
      <c r="B6353" t="s">
        <v>8862</v>
      </c>
      <c r="C6353" t="str">
        <f>HYPERLINK("https://nematode.unl.edu/merec5.jpg")</f>
        <v>https://nematode.unl.edu/merec5.jpg</v>
      </c>
      <c r="D6353" t="s">
        <v>43</v>
      </c>
      <c r="G6353" t="s">
        <v>34</v>
      </c>
      <c r="H6353" t="s">
        <v>18</v>
      </c>
      <c r="I6353" t="s">
        <v>19</v>
      </c>
      <c r="J6353" t="s">
        <v>20</v>
      </c>
      <c r="M6353" t="s">
        <v>8858</v>
      </c>
      <c r="N6353" t="s">
        <v>8858</v>
      </c>
      <c r="O6353" t="s">
        <v>73</v>
      </c>
      <c r="P6353" t="s">
        <v>81</v>
      </c>
      <c r="Q6353" t="s">
        <v>489</v>
      </c>
      <c r="R6353" t="s">
        <v>8805</v>
      </c>
    </row>
    <row r="6354" spans="1:18" x14ac:dyDescent="0.25">
      <c r="A6354" t="s">
        <v>19952</v>
      </c>
      <c r="B6354" t="s">
        <v>8863</v>
      </c>
      <c r="C6354" t="str">
        <f>HYPERLINK("https://nematode.unl.edu/mereccmp.jpg")</f>
        <v>https://nematode.unl.edu/mereccmp.jpg</v>
      </c>
      <c r="D6354" t="s">
        <v>43</v>
      </c>
      <c r="G6354" t="s">
        <v>96</v>
      </c>
      <c r="H6354" t="s">
        <v>18</v>
      </c>
      <c r="M6354" t="s">
        <v>8858</v>
      </c>
      <c r="N6354" t="s">
        <v>8858</v>
      </c>
      <c r="O6354" t="s">
        <v>73</v>
      </c>
      <c r="P6354" t="s">
        <v>81</v>
      </c>
      <c r="Q6354" t="s">
        <v>489</v>
      </c>
      <c r="R6354" t="s">
        <v>8805</v>
      </c>
    </row>
    <row r="6355" spans="1:18" x14ac:dyDescent="0.25">
      <c r="A6355" t="s">
        <v>15899</v>
      </c>
      <c r="B6355" t="s">
        <v>1392</v>
      </c>
      <c r="C6355" t="str">
        <f>HYPERLINK("https://nematode.unl.edu/mergra1.jpg")</f>
        <v>https://nematode.unl.edu/mergra1.jpg</v>
      </c>
      <c r="G6355" t="s">
        <v>34</v>
      </c>
      <c r="H6355" t="s">
        <v>18</v>
      </c>
      <c r="M6355" t="s">
        <v>1393</v>
      </c>
      <c r="N6355" t="s">
        <v>1394</v>
      </c>
      <c r="O6355" t="s">
        <v>23</v>
      </c>
      <c r="P6355" t="s">
        <v>24</v>
      </c>
      <c r="Q6355" t="s">
        <v>1071</v>
      </c>
      <c r="R6355" t="s">
        <v>1367</v>
      </c>
    </row>
    <row r="6356" spans="1:18" x14ac:dyDescent="0.25">
      <c r="A6356" t="s">
        <v>15901</v>
      </c>
      <c r="B6356" t="s">
        <v>1395</v>
      </c>
      <c r="C6356" t="str">
        <f>HYPERLINK("https://nematode.unl.edu/merling1.jpg")</f>
        <v>https://nematode.unl.edu/merling1.jpg</v>
      </c>
      <c r="D6356" t="s">
        <v>43</v>
      </c>
      <c r="G6356" t="s">
        <v>44</v>
      </c>
      <c r="I6356" t="s">
        <v>19</v>
      </c>
      <c r="J6356" t="s">
        <v>1396</v>
      </c>
      <c r="K6356" t="s">
        <v>22846</v>
      </c>
      <c r="L6356" t="s">
        <v>1397</v>
      </c>
      <c r="M6356" t="s">
        <v>1393</v>
      </c>
      <c r="N6356" t="s">
        <v>1394</v>
      </c>
      <c r="O6356" t="s">
        <v>23</v>
      </c>
      <c r="P6356" t="s">
        <v>24</v>
      </c>
      <c r="Q6356" t="s">
        <v>1071</v>
      </c>
      <c r="R6356" t="s">
        <v>1367</v>
      </c>
    </row>
    <row r="6357" spans="1:18" x14ac:dyDescent="0.25">
      <c r="A6357" t="s">
        <v>15898</v>
      </c>
      <c r="B6357" t="s">
        <v>1398</v>
      </c>
      <c r="C6357" t="str">
        <f>HYPERLINK("https://nematode.unl.edu/merling2.jpg")</f>
        <v>https://nematode.unl.edu/merling2.jpg</v>
      </c>
      <c r="D6357" t="s">
        <v>43</v>
      </c>
      <c r="G6357" t="s">
        <v>96</v>
      </c>
      <c r="H6357" t="s">
        <v>18</v>
      </c>
      <c r="M6357" t="s">
        <v>1393</v>
      </c>
      <c r="N6357" t="s">
        <v>1394</v>
      </c>
      <c r="O6357" t="s">
        <v>23</v>
      </c>
      <c r="P6357" t="s">
        <v>24</v>
      </c>
      <c r="Q6357" t="s">
        <v>1071</v>
      </c>
      <c r="R6357" t="s">
        <v>1367</v>
      </c>
    </row>
    <row r="6358" spans="1:18" x14ac:dyDescent="0.25">
      <c r="A6358" t="s">
        <v>15900</v>
      </c>
      <c r="B6358" t="s">
        <v>1399</v>
      </c>
      <c r="C6358" t="str">
        <f>HYPERLINK("https://nematode.unl.edu/merling3.jpg")</f>
        <v>https://nematode.unl.edu/merling3.jpg</v>
      </c>
      <c r="D6358" t="s">
        <v>43</v>
      </c>
      <c r="G6358" t="s">
        <v>34</v>
      </c>
      <c r="H6358" t="s">
        <v>18</v>
      </c>
      <c r="I6358" t="s">
        <v>41</v>
      </c>
      <c r="J6358" t="s">
        <v>1396</v>
      </c>
      <c r="K6358" t="s">
        <v>22846</v>
      </c>
      <c r="L6358" t="s">
        <v>1397</v>
      </c>
      <c r="M6358" t="s">
        <v>1393</v>
      </c>
      <c r="N6358" t="s">
        <v>1394</v>
      </c>
      <c r="O6358" t="s">
        <v>23</v>
      </c>
      <c r="P6358" t="s">
        <v>24</v>
      </c>
      <c r="Q6358" t="s">
        <v>1071</v>
      </c>
      <c r="R6358" t="s">
        <v>1367</v>
      </c>
    </row>
    <row r="6359" spans="1:18" x14ac:dyDescent="0.25">
      <c r="A6359" t="s">
        <v>15902</v>
      </c>
      <c r="B6359" t="s">
        <v>1400</v>
      </c>
      <c r="C6359" t="str">
        <f>HYPERLINK("https://nematode.unl.edu/merling4.jpg")</f>
        <v>https://nematode.unl.edu/merling4.jpg</v>
      </c>
      <c r="D6359" t="s">
        <v>43</v>
      </c>
      <c r="G6359" t="s">
        <v>1401</v>
      </c>
      <c r="I6359" t="s">
        <v>529</v>
      </c>
      <c r="J6359" t="s">
        <v>1396</v>
      </c>
      <c r="K6359" t="s">
        <v>22846</v>
      </c>
      <c r="L6359" t="s">
        <v>1397</v>
      </c>
      <c r="M6359" t="s">
        <v>1393</v>
      </c>
      <c r="N6359" t="s">
        <v>1394</v>
      </c>
      <c r="O6359" t="s">
        <v>23</v>
      </c>
      <c r="P6359" t="s">
        <v>24</v>
      </c>
      <c r="Q6359" t="s">
        <v>1071</v>
      </c>
      <c r="R6359" t="s">
        <v>1367</v>
      </c>
    </row>
    <row r="6360" spans="1:18" x14ac:dyDescent="0.25">
      <c r="A6360" t="s">
        <v>15905</v>
      </c>
      <c r="B6360" t="s">
        <v>1402</v>
      </c>
      <c r="C6360" t="str">
        <f>HYPERLINK("https://nematode.unl.edu/merling5.jpg")</f>
        <v>https://nematode.unl.edu/merling5.jpg</v>
      </c>
      <c r="D6360" t="s">
        <v>43</v>
      </c>
      <c r="G6360" t="s">
        <v>51</v>
      </c>
      <c r="M6360" t="s">
        <v>1393</v>
      </c>
      <c r="N6360" t="s">
        <v>1394</v>
      </c>
      <c r="O6360" t="s">
        <v>23</v>
      </c>
      <c r="P6360" t="s">
        <v>24</v>
      </c>
      <c r="Q6360" t="s">
        <v>1071</v>
      </c>
      <c r="R6360" t="s">
        <v>1367</v>
      </c>
    </row>
    <row r="6361" spans="1:18" x14ac:dyDescent="0.25">
      <c r="A6361" t="s">
        <v>15903</v>
      </c>
      <c r="B6361" t="s">
        <v>1403</v>
      </c>
      <c r="C6361" t="str">
        <f>HYPERLINK("https://nematode.unl.edu/merling6.jpg")</f>
        <v>https://nematode.unl.edu/merling6.jpg</v>
      </c>
      <c r="G6361" t="s">
        <v>1404</v>
      </c>
      <c r="I6361" t="s">
        <v>41</v>
      </c>
      <c r="M6361" t="s">
        <v>1393</v>
      </c>
      <c r="N6361" t="s">
        <v>1394</v>
      </c>
      <c r="O6361" t="s">
        <v>23</v>
      </c>
      <c r="P6361" t="s">
        <v>24</v>
      </c>
      <c r="Q6361" t="s">
        <v>1071</v>
      </c>
      <c r="R6361" t="s">
        <v>1367</v>
      </c>
    </row>
    <row r="6362" spans="1:18" x14ac:dyDescent="0.25">
      <c r="A6362" t="s">
        <v>15904</v>
      </c>
      <c r="B6362" t="s">
        <v>1405</v>
      </c>
      <c r="C6362" t="str">
        <f>HYPERLINK("https://nematode.unl.edu/merling7.jpg")</f>
        <v>https://nematode.unl.edu/merling7.jpg</v>
      </c>
      <c r="D6362" t="s">
        <v>43</v>
      </c>
      <c r="G6362" t="s">
        <v>28</v>
      </c>
      <c r="I6362" t="s">
        <v>41</v>
      </c>
      <c r="M6362" t="s">
        <v>1393</v>
      </c>
      <c r="N6362" t="s">
        <v>1394</v>
      </c>
      <c r="O6362" t="s">
        <v>23</v>
      </c>
      <c r="P6362" t="s">
        <v>24</v>
      </c>
      <c r="Q6362" t="s">
        <v>1071</v>
      </c>
      <c r="R6362" t="s">
        <v>1367</v>
      </c>
    </row>
    <row r="6363" spans="1:18" x14ac:dyDescent="0.25">
      <c r="A6363" t="s">
        <v>17667</v>
      </c>
      <c r="B6363" t="s">
        <v>1770</v>
      </c>
      <c r="C6363" t="str">
        <f>HYPERLINK("https://nematode.unl.edu/merlins1.jpg")</f>
        <v>https://nematode.unl.edu/merlins1.jpg</v>
      </c>
      <c r="D6363" t="s">
        <v>77</v>
      </c>
      <c r="G6363" t="s">
        <v>44</v>
      </c>
      <c r="I6363" t="s">
        <v>45</v>
      </c>
      <c r="J6363" t="s">
        <v>20</v>
      </c>
      <c r="L6363" t="s">
        <v>64</v>
      </c>
      <c r="M6363" t="s">
        <v>1771</v>
      </c>
      <c r="N6363" t="s">
        <v>1772</v>
      </c>
      <c r="O6363" t="s">
        <v>23</v>
      </c>
      <c r="P6363" t="s">
        <v>24</v>
      </c>
      <c r="Q6363" t="s">
        <v>1773</v>
      </c>
      <c r="R6363" t="s">
        <v>1772</v>
      </c>
    </row>
    <row r="6364" spans="1:18" x14ac:dyDescent="0.25">
      <c r="A6364" t="s">
        <v>17665</v>
      </c>
      <c r="B6364" t="s">
        <v>1774</v>
      </c>
      <c r="C6364" t="str">
        <f>HYPERLINK("https://nematode.unl.edu/merlins2.jpg")</f>
        <v>https://nematode.unl.edu/merlins2.jpg</v>
      </c>
      <c r="D6364" t="s">
        <v>77</v>
      </c>
      <c r="G6364" t="s">
        <v>34</v>
      </c>
      <c r="H6364" t="s">
        <v>18</v>
      </c>
      <c r="I6364" t="s">
        <v>516</v>
      </c>
      <c r="J6364" t="s">
        <v>20</v>
      </c>
      <c r="L6364" t="s">
        <v>64</v>
      </c>
      <c r="M6364" t="s">
        <v>1771</v>
      </c>
      <c r="N6364" t="s">
        <v>1772</v>
      </c>
      <c r="O6364" t="s">
        <v>23</v>
      </c>
      <c r="P6364" t="s">
        <v>24</v>
      </c>
      <c r="Q6364" t="s">
        <v>1773</v>
      </c>
      <c r="R6364" t="s">
        <v>1772</v>
      </c>
    </row>
    <row r="6365" spans="1:18" x14ac:dyDescent="0.25">
      <c r="A6365" t="s">
        <v>17670</v>
      </c>
      <c r="B6365" t="s">
        <v>1775</v>
      </c>
      <c r="C6365" t="str">
        <f>HYPERLINK("https://nematode.unl.edu/merlins3.jpg")</f>
        <v>https://nematode.unl.edu/merlins3.jpg</v>
      </c>
      <c r="D6365" t="s">
        <v>77</v>
      </c>
      <c r="G6365" t="s">
        <v>28</v>
      </c>
      <c r="J6365" t="s">
        <v>20</v>
      </c>
      <c r="L6365" t="s">
        <v>64</v>
      </c>
      <c r="M6365" t="s">
        <v>1771</v>
      </c>
      <c r="N6365" t="s">
        <v>1772</v>
      </c>
      <c r="O6365" t="s">
        <v>23</v>
      </c>
      <c r="P6365" t="s">
        <v>24</v>
      </c>
      <c r="Q6365" t="s">
        <v>1773</v>
      </c>
      <c r="R6365" t="s">
        <v>1772</v>
      </c>
    </row>
    <row r="6366" spans="1:18" x14ac:dyDescent="0.25">
      <c r="A6366" t="s">
        <v>17668</v>
      </c>
      <c r="B6366" t="s">
        <v>1776</v>
      </c>
      <c r="C6366" t="str">
        <f>HYPERLINK("https://nematode.unl.edu/merlins4.jpg")</f>
        <v>https://nematode.unl.edu/merlins4.jpg</v>
      </c>
      <c r="D6366" t="s">
        <v>77</v>
      </c>
      <c r="G6366" t="s">
        <v>53</v>
      </c>
      <c r="I6366" t="s">
        <v>41</v>
      </c>
      <c r="J6366" t="s">
        <v>20</v>
      </c>
      <c r="L6366" t="s">
        <v>64</v>
      </c>
      <c r="M6366" t="s">
        <v>1771</v>
      </c>
      <c r="N6366" t="s">
        <v>1772</v>
      </c>
      <c r="O6366" t="s">
        <v>23</v>
      </c>
      <c r="P6366" t="s">
        <v>24</v>
      </c>
      <c r="Q6366" t="s">
        <v>1773</v>
      </c>
      <c r="R6366" t="s">
        <v>1772</v>
      </c>
    </row>
    <row r="6367" spans="1:18" x14ac:dyDescent="0.25">
      <c r="A6367" t="s">
        <v>17669</v>
      </c>
      <c r="B6367" t="s">
        <v>1777</v>
      </c>
      <c r="C6367" t="str">
        <f>HYPERLINK("https://nematode.unl.edu/merlins5.jpg")</f>
        <v>https://nematode.unl.edu/merlins5.jpg</v>
      </c>
      <c r="D6367" t="s">
        <v>77</v>
      </c>
      <c r="G6367" t="s">
        <v>112</v>
      </c>
      <c r="J6367" t="s">
        <v>20</v>
      </c>
      <c r="L6367" t="s">
        <v>64</v>
      </c>
      <c r="M6367" t="s">
        <v>1771</v>
      </c>
      <c r="N6367" t="s">
        <v>1772</v>
      </c>
      <c r="O6367" t="s">
        <v>23</v>
      </c>
      <c r="P6367" t="s">
        <v>24</v>
      </c>
      <c r="Q6367" t="s">
        <v>1773</v>
      </c>
      <c r="R6367" t="s">
        <v>1772</v>
      </c>
    </row>
    <row r="6368" spans="1:18" x14ac:dyDescent="0.25">
      <c r="A6368" t="s">
        <v>17666</v>
      </c>
      <c r="B6368" t="s">
        <v>1778</v>
      </c>
      <c r="C6368" t="str">
        <f>HYPERLINK("https://nematode.unl.edu/merlins6.jpg")</f>
        <v>https://nematode.unl.edu/merlins6.jpg</v>
      </c>
      <c r="D6368" t="s">
        <v>77</v>
      </c>
      <c r="G6368" t="s">
        <v>34</v>
      </c>
      <c r="H6368" t="s">
        <v>18</v>
      </c>
      <c r="I6368" t="s">
        <v>41</v>
      </c>
      <c r="J6368" t="s">
        <v>20</v>
      </c>
      <c r="L6368" t="s">
        <v>64</v>
      </c>
      <c r="M6368" t="s">
        <v>1771</v>
      </c>
      <c r="N6368" t="s">
        <v>1772</v>
      </c>
      <c r="O6368" t="s">
        <v>23</v>
      </c>
      <c r="P6368" t="s">
        <v>24</v>
      </c>
      <c r="Q6368" t="s">
        <v>1773</v>
      </c>
      <c r="R6368" t="s">
        <v>1772</v>
      </c>
    </row>
    <row r="6369" spans="1:18" x14ac:dyDescent="0.25">
      <c r="A6369" t="s">
        <v>15909</v>
      </c>
      <c r="B6369" t="s">
        <v>1411</v>
      </c>
      <c r="C6369" t="str">
        <f>HYPERLINK("https://nematode.unl.edu/mermac1.jpg")</f>
        <v>https://nematode.unl.edu/mermac1.jpg</v>
      </c>
      <c r="G6369" t="s">
        <v>34</v>
      </c>
      <c r="H6369" t="s">
        <v>18</v>
      </c>
      <c r="M6369" t="s">
        <v>1412</v>
      </c>
      <c r="N6369" t="s">
        <v>1413</v>
      </c>
      <c r="O6369" t="s">
        <v>23</v>
      </c>
      <c r="P6369" t="s">
        <v>24</v>
      </c>
      <c r="Q6369" t="s">
        <v>1071</v>
      </c>
      <c r="R6369" t="s">
        <v>1367</v>
      </c>
    </row>
    <row r="6370" spans="1:18" x14ac:dyDescent="0.25">
      <c r="A6370" t="s">
        <v>22305</v>
      </c>
      <c r="B6370" t="s">
        <v>7365</v>
      </c>
      <c r="C6370" t="str">
        <f>HYPERLINK("https://nematode.unl.edu/mermini1.jpg")</f>
        <v>https://nematode.unl.edu/mermini1.jpg</v>
      </c>
      <c r="G6370" t="s">
        <v>1555</v>
      </c>
      <c r="I6370" t="s">
        <v>41</v>
      </c>
      <c r="M6370" t="s">
        <v>7366</v>
      </c>
      <c r="N6370" t="s">
        <v>7366</v>
      </c>
      <c r="O6370" t="s">
        <v>73</v>
      </c>
      <c r="P6370" t="s">
        <v>7361</v>
      </c>
      <c r="Q6370" t="s">
        <v>7362</v>
      </c>
      <c r="R6370" t="s">
        <v>7360</v>
      </c>
    </row>
    <row r="6371" spans="1:18" x14ac:dyDescent="0.25">
      <c r="A6371" t="s">
        <v>22306</v>
      </c>
      <c r="B6371" t="s">
        <v>7367</v>
      </c>
      <c r="C6371" t="str">
        <f>HYPERLINK("https://nematode.unl.edu/merminicmp.jpg")</f>
        <v>https://nematode.unl.edu/merminicmp.jpg</v>
      </c>
      <c r="D6371" t="s">
        <v>16</v>
      </c>
      <c r="G6371" t="s">
        <v>1555</v>
      </c>
      <c r="M6371" t="s">
        <v>7366</v>
      </c>
      <c r="N6371" t="s">
        <v>7366</v>
      </c>
      <c r="O6371" t="s">
        <v>73</v>
      </c>
      <c r="P6371" t="s">
        <v>7361</v>
      </c>
      <c r="Q6371" t="s">
        <v>7362</v>
      </c>
      <c r="R6371" t="s">
        <v>7360</v>
      </c>
    </row>
    <row r="6372" spans="1:18" x14ac:dyDescent="0.25">
      <c r="A6372" t="s">
        <v>22307</v>
      </c>
      <c r="B6372" t="s">
        <v>7368</v>
      </c>
      <c r="C6372" t="str">
        <f>HYPERLINK("https://nematode.unl.edu/merminigdrw.jpg")</f>
        <v>https://nematode.unl.edu/merminigdrw.jpg</v>
      </c>
      <c r="D6372" t="s">
        <v>43</v>
      </c>
      <c r="G6372" t="s">
        <v>1555</v>
      </c>
      <c r="M6372" t="s">
        <v>7366</v>
      </c>
      <c r="N6372" t="s">
        <v>7366</v>
      </c>
      <c r="O6372" t="s">
        <v>73</v>
      </c>
      <c r="P6372" t="s">
        <v>7361</v>
      </c>
      <c r="Q6372" t="s">
        <v>7362</v>
      </c>
      <c r="R6372" t="s">
        <v>7360</v>
      </c>
    </row>
    <row r="6373" spans="1:18" x14ac:dyDescent="0.25">
      <c r="A6373" t="s">
        <v>22303</v>
      </c>
      <c r="B6373" t="s">
        <v>7359</v>
      </c>
      <c r="C6373" t="str">
        <f>HYPERLINK("https://nematode.unl.edu/mermiss1.jpg")</f>
        <v>https://nematode.unl.edu/mermiss1.jpg</v>
      </c>
      <c r="D6373" t="s">
        <v>16</v>
      </c>
      <c r="G6373" t="s">
        <v>44</v>
      </c>
      <c r="I6373" t="s">
        <v>45</v>
      </c>
      <c r="J6373" t="s">
        <v>46</v>
      </c>
      <c r="L6373" t="s">
        <v>105</v>
      </c>
      <c r="M6373" t="s">
        <v>7360</v>
      </c>
      <c r="N6373" t="s">
        <v>7360</v>
      </c>
      <c r="O6373" t="s">
        <v>73</v>
      </c>
      <c r="P6373" t="s">
        <v>7361</v>
      </c>
      <c r="Q6373" t="s">
        <v>7362</v>
      </c>
      <c r="R6373" t="s">
        <v>7360</v>
      </c>
    </row>
    <row r="6374" spans="1:18" x14ac:dyDescent="0.25">
      <c r="A6374" t="s">
        <v>22302</v>
      </c>
      <c r="B6374" t="s">
        <v>7363</v>
      </c>
      <c r="C6374" t="str">
        <f>HYPERLINK("https://nematode.unl.edu/mermiss2.jpg")</f>
        <v>https://nematode.unl.edu/mermiss2.jpg</v>
      </c>
      <c r="D6374" t="s">
        <v>16</v>
      </c>
      <c r="G6374" t="s">
        <v>34</v>
      </c>
      <c r="H6374" t="s">
        <v>18</v>
      </c>
      <c r="I6374" t="s">
        <v>19</v>
      </c>
      <c r="J6374" t="s">
        <v>46</v>
      </c>
      <c r="L6374" t="s">
        <v>105</v>
      </c>
      <c r="M6374" t="s">
        <v>7360</v>
      </c>
      <c r="N6374" t="s">
        <v>7360</v>
      </c>
      <c r="O6374" t="s">
        <v>73</v>
      </c>
      <c r="P6374" t="s">
        <v>7361</v>
      </c>
      <c r="Q6374" t="s">
        <v>7362</v>
      </c>
      <c r="R6374" t="s">
        <v>7360</v>
      </c>
    </row>
    <row r="6375" spans="1:18" x14ac:dyDescent="0.25">
      <c r="A6375" t="s">
        <v>22304</v>
      </c>
      <c r="B6375" t="s">
        <v>7364</v>
      </c>
      <c r="C6375" t="str">
        <f>HYPERLINK("https://nematode.unl.edu/mermiss3.jpg")</f>
        <v>https://nematode.unl.edu/mermiss3.jpg</v>
      </c>
      <c r="G6375" t="s">
        <v>1000</v>
      </c>
      <c r="I6375" t="s">
        <v>19</v>
      </c>
      <c r="J6375" t="s">
        <v>46</v>
      </c>
      <c r="L6375" t="s">
        <v>105</v>
      </c>
      <c r="M6375" t="s">
        <v>7360</v>
      </c>
      <c r="N6375" t="s">
        <v>7360</v>
      </c>
      <c r="O6375" t="s">
        <v>73</v>
      </c>
      <c r="P6375" t="s">
        <v>7361</v>
      </c>
      <c r="Q6375" t="s">
        <v>7362</v>
      </c>
      <c r="R6375" t="s">
        <v>7360</v>
      </c>
    </row>
    <row r="6376" spans="1:18" x14ac:dyDescent="0.25">
      <c r="A6376" t="s">
        <v>15096</v>
      </c>
      <c r="B6376" t="s">
        <v>8470</v>
      </c>
      <c r="C6376" t="str">
        <f>HYPERLINK("https://nematode.unl.edu/merus1.jpg")</f>
        <v>https://nematode.unl.edu/merus1.jpg</v>
      </c>
      <c r="G6376" t="s">
        <v>34</v>
      </c>
      <c r="H6376" t="s">
        <v>18</v>
      </c>
      <c r="I6376" t="s">
        <v>19</v>
      </c>
      <c r="M6376" t="s">
        <v>8448</v>
      </c>
      <c r="N6376" t="s">
        <v>8448</v>
      </c>
      <c r="O6376" t="s">
        <v>23</v>
      </c>
      <c r="P6376" t="s">
        <v>24</v>
      </c>
      <c r="Q6376" t="s">
        <v>642</v>
      </c>
      <c r="R6376" t="s">
        <v>1214</v>
      </c>
    </row>
    <row r="6377" spans="1:18" x14ac:dyDescent="0.25">
      <c r="A6377" t="s">
        <v>15097</v>
      </c>
      <c r="B6377" t="s">
        <v>8471</v>
      </c>
      <c r="C6377" t="str">
        <f>HYPERLINK("https://nematode.unl.edu/merus10.jpg")</f>
        <v>https://nematode.unl.edu/merus10.jpg</v>
      </c>
      <c r="D6377" t="s">
        <v>43</v>
      </c>
      <c r="G6377" t="s">
        <v>34</v>
      </c>
      <c r="H6377" t="s">
        <v>18</v>
      </c>
      <c r="J6377" t="s">
        <v>20</v>
      </c>
      <c r="L6377" t="s">
        <v>64</v>
      </c>
      <c r="M6377" t="s">
        <v>8448</v>
      </c>
      <c r="N6377" t="s">
        <v>8448</v>
      </c>
      <c r="O6377" t="s">
        <v>23</v>
      </c>
      <c r="P6377" t="s">
        <v>24</v>
      </c>
      <c r="Q6377" t="s">
        <v>642</v>
      </c>
      <c r="R6377" t="s">
        <v>1214</v>
      </c>
    </row>
    <row r="6378" spans="1:18" x14ac:dyDescent="0.25">
      <c r="A6378" t="s">
        <v>15152</v>
      </c>
      <c r="B6378" t="s">
        <v>8472</v>
      </c>
      <c r="C6378" t="str">
        <f>HYPERLINK("https://nematode.unl.edu/merus11.jpg")</f>
        <v>https://nematode.unl.edu/merus11.jpg</v>
      </c>
      <c r="D6378" t="s">
        <v>43</v>
      </c>
      <c r="G6378" t="s">
        <v>28</v>
      </c>
      <c r="J6378" t="s">
        <v>20</v>
      </c>
      <c r="L6378" t="s">
        <v>64</v>
      </c>
      <c r="M6378" t="s">
        <v>8448</v>
      </c>
      <c r="N6378" t="s">
        <v>8448</v>
      </c>
      <c r="O6378" t="s">
        <v>23</v>
      </c>
      <c r="P6378" t="s">
        <v>24</v>
      </c>
      <c r="Q6378" t="s">
        <v>642</v>
      </c>
      <c r="R6378" t="s">
        <v>1214</v>
      </c>
    </row>
    <row r="6379" spans="1:18" x14ac:dyDescent="0.25">
      <c r="A6379" t="s">
        <v>15167</v>
      </c>
      <c r="B6379" t="s">
        <v>8473</v>
      </c>
      <c r="C6379" t="str">
        <f>HYPERLINK("https://nematode.unl.edu/merus12.jpg")</f>
        <v>https://nematode.unl.edu/merus12.jpg</v>
      </c>
      <c r="D6379" t="s">
        <v>43</v>
      </c>
      <c r="G6379" t="s">
        <v>51</v>
      </c>
      <c r="J6379" t="s">
        <v>20</v>
      </c>
      <c r="L6379" t="s">
        <v>64</v>
      </c>
      <c r="M6379" t="s">
        <v>8448</v>
      </c>
      <c r="N6379" t="s">
        <v>8448</v>
      </c>
      <c r="O6379" t="s">
        <v>23</v>
      </c>
      <c r="P6379" t="s">
        <v>24</v>
      </c>
      <c r="Q6379" t="s">
        <v>642</v>
      </c>
      <c r="R6379" t="s">
        <v>1214</v>
      </c>
    </row>
    <row r="6380" spans="1:18" x14ac:dyDescent="0.25">
      <c r="A6380" t="s">
        <v>15098</v>
      </c>
      <c r="B6380" t="s">
        <v>8474</v>
      </c>
      <c r="C6380" t="str">
        <f>HYPERLINK("https://nematode.unl.edu/merus13.jpg")</f>
        <v>https://nematode.unl.edu/merus13.jpg</v>
      </c>
      <c r="G6380" t="s">
        <v>34</v>
      </c>
      <c r="H6380" t="s">
        <v>18</v>
      </c>
      <c r="I6380" t="s">
        <v>19</v>
      </c>
      <c r="J6380" t="s">
        <v>20</v>
      </c>
      <c r="L6380" t="s">
        <v>64</v>
      </c>
      <c r="M6380" t="s">
        <v>8448</v>
      </c>
      <c r="N6380" t="s">
        <v>8448</v>
      </c>
      <c r="O6380" t="s">
        <v>23</v>
      </c>
      <c r="P6380" t="s">
        <v>24</v>
      </c>
      <c r="Q6380" t="s">
        <v>642</v>
      </c>
      <c r="R6380" t="s">
        <v>1214</v>
      </c>
    </row>
    <row r="6381" spans="1:18" x14ac:dyDescent="0.25">
      <c r="A6381" t="s">
        <v>15153</v>
      </c>
      <c r="B6381" t="s">
        <v>8475</v>
      </c>
      <c r="C6381" t="str">
        <f>HYPERLINK("https://nematode.unl.edu/merus14.jpg")</f>
        <v>https://nematode.unl.edu/merus14.jpg</v>
      </c>
      <c r="G6381" t="s">
        <v>28</v>
      </c>
      <c r="I6381" t="s">
        <v>19</v>
      </c>
      <c r="J6381" t="s">
        <v>20</v>
      </c>
      <c r="L6381" t="s">
        <v>64</v>
      </c>
      <c r="M6381" t="s">
        <v>8448</v>
      </c>
      <c r="N6381" t="s">
        <v>8448</v>
      </c>
      <c r="O6381" t="s">
        <v>23</v>
      </c>
      <c r="P6381" t="s">
        <v>24</v>
      </c>
      <c r="Q6381" t="s">
        <v>642</v>
      </c>
      <c r="R6381" t="s">
        <v>1214</v>
      </c>
    </row>
    <row r="6382" spans="1:18" x14ac:dyDescent="0.25">
      <c r="A6382" t="s">
        <v>15125</v>
      </c>
      <c r="B6382" t="s">
        <v>8476</v>
      </c>
      <c r="C6382" t="str">
        <f>HYPERLINK("https://nematode.unl.edu/merus15.jpg")</f>
        <v>https://nematode.unl.edu/merus15.jpg</v>
      </c>
      <c r="D6382" t="s">
        <v>43</v>
      </c>
      <c r="G6382" t="s">
        <v>44</v>
      </c>
      <c r="I6382" t="s">
        <v>45</v>
      </c>
      <c r="J6382" t="s">
        <v>20</v>
      </c>
      <c r="L6382" t="s">
        <v>8477</v>
      </c>
      <c r="M6382" t="s">
        <v>8448</v>
      </c>
      <c r="N6382" t="s">
        <v>8448</v>
      </c>
      <c r="O6382" t="s">
        <v>23</v>
      </c>
      <c r="P6382" t="s">
        <v>24</v>
      </c>
      <c r="Q6382" t="s">
        <v>642</v>
      </c>
      <c r="R6382" t="s">
        <v>1214</v>
      </c>
    </row>
    <row r="6383" spans="1:18" x14ac:dyDescent="0.25">
      <c r="A6383" t="s">
        <v>15099</v>
      </c>
      <c r="B6383" t="s">
        <v>8478</v>
      </c>
      <c r="C6383" t="str">
        <f>HYPERLINK("https://nematode.unl.edu/merus16.jpg")</f>
        <v>https://nematode.unl.edu/merus16.jpg</v>
      </c>
      <c r="D6383" t="s">
        <v>43</v>
      </c>
      <c r="G6383" t="s">
        <v>34</v>
      </c>
      <c r="H6383" t="s">
        <v>18</v>
      </c>
      <c r="J6383" t="s">
        <v>20</v>
      </c>
      <c r="L6383" t="s">
        <v>141</v>
      </c>
      <c r="M6383" t="s">
        <v>8448</v>
      </c>
      <c r="N6383" t="s">
        <v>8448</v>
      </c>
      <c r="O6383" t="s">
        <v>23</v>
      </c>
      <c r="P6383" t="s">
        <v>24</v>
      </c>
      <c r="Q6383" t="s">
        <v>642</v>
      </c>
      <c r="R6383" t="s">
        <v>1214</v>
      </c>
    </row>
    <row r="6384" spans="1:18" x14ac:dyDescent="0.25">
      <c r="A6384" t="s">
        <v>15154</v>
      </c>
      <c r="B6384" t="s">
        <v>8479</v>
      </c>
      <c r="C6384" t="str">
        <f>HYPERLINK("https://nematode.unl.edu/merus17.jpg")</f>
        <v>https://nematode.unl.edu/merus17.jpg</v>
      </c>
      <c r="D6384" t="s">
        <v>43</v>
      </c>
      <c r="G6384" t="s">
        <v>28</v>
      </c>
      <c r="J6384" t="s">
        <v>20</v>
      </c>
      <c r="L6384" t="s">
        <v>64</v>
      </c>
      <c r="M6384" t="s">
        <v>8448</v>
      </c>
      <c r="N6384" t="s">
        <v>8448</v>
      </c>
      <c r="O6384" t="s">
        <v>23</v>
      </c>
      <c r="P6384" t="s">
        <v>24</v>
      </c>
      <c r="Q6384" t="s">
        <v>642</v>
      </c>
      <c r="R6384" t="s">
        <v>1214</v>
      </c>
    </row>
    <row r="6385" spans="1:18" x14ac:dyDescent="0.25">
      <c r="A6385" t="s">
        <v>15126</v>
      </c>
      <c r="B6385" t="s">
        <v>8480</v>
      </c>
      <c r="C6385" t="str">
        <f>HYPERLINK("https://nematode.unl.edu/merus18.jpg")</f>
        <v>https://nematode.unl.edu/merus18.jpg</v>
      </c>
      <c r="D6385" t="s">
        <v>43</v>
      </c>
      <c r="G6385" t="s">
        <v>44</v>
      </c>
      <c r="I6385" t="s">
        <v>45</v>
      </c>
      <c r="J6385" t="s">
        <v>20</v>
      </c>
      <c r="L6385" t="s">
        <v>8477</v>
      </c>
      <c r="M6385" t="s">
        <v>8448</v>
      </c>
      <c r="N6385" t="s">
        <v>8448</v>
      </c>
      <c r="O6385" t="s">
        <v>23</v>
      </c>
      <c r="P6385" t="s">
        <v>24</v>
      </c>
      <c r="Q6385" t="s">
        <v>642</v>
      </c>
      <c r="R6385" t="s">
        <v>1214</v>
      </c>
    </row>
    <row r="6386" spans="1:18" x14ac:dyDescent="0.25">
      <c r="A6386" t="s">
        <v>15127</v>
      </c>
      <c r="B6386" t="s">
        <v>8481</v>
      </c>
      <c r="C6386" t="str">
        <f>HYPERLINK("https://nematode.unl.edu/merus19.jpg")</f>
        <v>https://nematode.unl.edu/merus19.jpg</v>
      </c>
      <c r="D6386" t="s">
        <v>43</v>
      </c>
      <c r="G6386" t="s">
        <v>44</v>
      </c>
      <c r="I6386" t="s">
        <v>45</v>
      </c>
      <c r="J6386" t="s">
        <v>20</v>
      </c>
      <c r="L6386" t="s">
        <v>8482</v>
      </c>
      <c r="M6386" t="s">
        <v>8448</v>
      </c>
      <c r="N6386" t="s">
        <v>8448</v>
      </c>
      <c r="O6386" t="s">
        <v>23</v>
      </c>
      <c r="P6386" t="s">
        <v>24</v>
      </c>
      <c r="Q6386" t="s">
        <v>642</v>
      </c>
      <c r="R6386" t="s">
        <v>1214</v>
      </c>
    </row>
    <row r="6387" spans="1:18" x14ac:dyDescent="0.25">
      <c r="A6387" t="s">
        <v>15100</v>
      </c>
      <c r="B6387" t="s">
        <v>8483</v>
      </c>
      <c r="C6387" t="str">
        <f>HYPERLINK("https://nematode.unl.edu/merus2.jpg")</f>
        <v>https://nematode.unl.edu/merus2.jpg</v>
      </c>
      <c r="D6387" t="s">
        <v>16</v>
      </c>
      <c r="G6387" t="s">
        <v>34</v>
      </c>
      <c r="H6387" t="s">
        <v>18</v>
      </c>
      <c r="I6387" t="s">
        <v>41</v>
      </c>
      <c r="J6387" t="s">
        <v>20</v>
      </c>
      <c r="M6387" t="s">
        <v>8448</v>
      </c>
      <c r="N6387" t="s">
        <v>8448</v>
      </c>
      <c r="O6387" t="s">
        <v>23</v>
      </c>
      <c r="P6387" t="s">
        <v>24</v>
      </c>
      <c r="Q6387" t="s">
        <v>642</v>
      </c>
      <c r="R6387" t="s">
        <v>1214</v>
      </c>
    </row>
    <row r="6388" spans="1:18" x14ac:dyDescent="0.25">
      <c r="A6388" t="s">
        <v>15101</v>
      </c>
      <c r="B6388" t="s">
        <v>8484</v>
      </c>
      <c r="C6388" t="str">
        <f>HYPERLINK("https://nematode.unl.edu/merus20.jpg")</f>
        <v>https://nematode.unl.edu/merus20.jpg</v>
      </c>
      <c r="D6388" t="s">
        <v>43</v>
      </c>
      <c r="G6388" t="s">
        <v>34</v>
      </c>
      <c r="H6388" t="s">
        <v>18</v>
      </c>
      <c r="I6388" t="s">
        <v>19</v>
      </c>
      <c r="J6388" t="s">
        <v>20</v>
      </c>
      <c r="L6388" t="s">
        <v>64</v>
      </c>
      <c r="M6388" t="s">
        <v>8448</v>
      </c>
      <c r="N6388" t="s">
        <v>8448</v>
      </c>
      <c r="O6388" t="s">
        <v>23</v>
      </c>
      <c r="P6388" t="s">
        <v>24</v>
      </c>
      <c r="Q6388" t="s">
        <v>642</v>
      </c>
      <c r="R6388" t="s">
        <v>1214</v>
      </c>
    </row>
    <row r="6389" spans="1:18" x14ac:dyDescent="0.25">
      <c r="A6389" t="s">
        <v>15155</v>
      </c>
      <c r="B6389" t="s">
        <v>8485</v>
      </c>
      <c r="C6389" t="str">
        <f>HYPERLINK("https://nematode.unl.edu/merus21.jpg")</f>
        <v>https://nematode.unl.edu/merus21.jpg</v>
      </c>
      <c r="D6389" t="s">
        <v>43</v>
      </c>
      <c r="G6389" t="s">
        <v>28</v>
      </c>
      <c r="J6389" t="s">
        <v>20</v>
      </c>
      <c r="L6389" t="s">
        <v>85</v>
      </c>
      <c r="M6389" t="s">
        <v>8448</v>
      </c>
      <c r="N6389" t="s">
        <v>8448</v>
      </c>
      <c r="O6389" t="s">
        <v>23</v>
      </c>
      <c r="P6389" t="s">
        <v>24</v>
      </c>
      <c r="Q6389" t="s">
        <v>642</v>
      </c>
      <c r="R6389" t="s">
        <v>1214</v>
      </c>
    </row>
    <row r="6390" spans="1:18" x14ac:dyDescent="0.25">
      <c r="A6390" t="s">
        <v>15128</v>
      </c>
      <c r="B6390" t="s">
        <v>8486</v>
      </c>
      <c r="C6390" t="str">
        <f>HYPERLINK("https://nematode.unl.edu/merus22.jpg")</f>
        <v>https://nematode.unl.edu/merus22.jpg</v>
      </c>
      <c r="D6390" t="s">
        <v>43</v>
      </c>
      <c r="G6390" t="s">
        <v>44</v>
      </c>
      <c r="I6390" t="s">
        <v>45</v>
      </c>
      <c r="J6390" t="s">
        <v>20</v>
      </c>
      <c r="L6390" t="s">
        <v>8482</v>
      </c>
      <c r="M6390" t="s">
        <v>8448</v>
      </c>
      <c r="N6390" t="s">
        <v>8448</v>
      </c>
      <c r="O6390" t="s">
        <v>23</v>
      </c>
      <c r="P6390" t="s">
        <v>24</v>
      </c>
      <c r="Q6390" t="s">
        <v>642</v>
      </c>
      <c r="R6390" t="s">
        <v>1214</v>
      </c>
    </row>
    <row r="6391" spans="1:18" x14ac:dyDescent="0.25">
      <c r="A6391" t="s">
        <v>15102</v>
      </c>
      <c r="B6391" t="s">
        <v>8487</v>
      </c>
      <c r="C6391" t="str">
        <f>HYPERLINK("https://nematode.unl.edu/merus23.jpg")</f>
        <v>https://nematode.unl.edu/merus23.jpg</v>
      </c>
      <c r="D6391" t="s">
        <v>43</v>
      </c>
      <c r="G6391" t="s">
        <v>34</v>
      </c>
      <c r="H6391" t="s">
        <v>18</v>
      </c>
      <c r="J6391" t="s">
        <v>20</v>
      </c>
      <c r="L6391" t="s">
        <v>35</v>
      </c>
      <c r="M6391" t="s">
        <v>8448</v>
      </c>
      <c r="N6391" t="s">
        <v>8448</v>
      </c>
      <c r="O6391" t="s">
        <v>23</v>
      </c>
      <c r="P6391" t="s">
        <v>24</v>
      </c>
      <c r="Q6391" t="s">
        <v>642</v>
      </c>
      <c r="R6391" t="s">
        <v>1214</v>
      </c>
    </row>
    <row r="6392" spans="1:18" x14ac:dyDescent="0.25">
      <c r="A6392" t="s">
        <v>15168</v>
      </c>
      <c r="B6392" t="s">
        <v>8488</v>
      </c>
      <c r="C6392" t="str">
        <f>HYPERLINK("https://nematode.unl.edu/merus24.jpg")</f>
        <v>https://nematode.unl.edu/merus24.jpg</v>
      </c>
      <c r="D6392" t="s">
        <v>43</v>
      </c>
      <c r="G6392" t="s">
        <v>51</v>
      </c>
      <c r="J6392" t="s">
        <v>20</v>
      </c>
      <c r="L6392" t="s">
        <v>64</v>
      </c>
      <c r="M6392" t="s">
        <v>8448</v>
      </c>
      <c r="N6392" t="s">
        <v>8448</v>
      </c>
      <c r="O6392" t="s">
        <v>23</v>
      </c>
      <c r="P6392" t="s">
        <v>24</v>
      </c>
      <c r="Q6392" t="s">
        <v>642</v>
      </c>
      <c r="R6392" t="s">
        <v>1214</v>
      </c>
    </row>
    <row r="6393" spans="1:18" x14ac:dyDescent="0.25">
      <c r="A6393" t="s">
        <v>15103</v>
      </c>
      <c r="B6393" t="s">
        <v>8489</v>
      </c>
      <c r="C6393" t="str">
        <f>HYPERLINK("https://nematode.unl.edu/merus25.jpg")</f>
        <v>https://nematode.unl.edu/merus25.jpg</v>
      </c>
      <c r="D6393" t="s">
        <v>43</v>
      </c>
      <c r="G6393" t="s">
        <v>34</v>
      </c>
      <c r="H6393" t="s">
        <v>18</v>
      </c>
      <c r="J6393" t="s">
        <v>20</v>
      </c>
      <c r="L6393" t="s">
        <v>35</v>
      </c>
      <c r="M6393" t="s">
        <v>8448</v>
      </c>
      <c r="N6393" t="s">
        <v>8448</v>
      </c>
      <c r="O6393" t="s">
        <v>23</v>
      </c>
      <c r="P6393" t="s">
        <v>24</v>
      </c>
      <c r="Q6393" t="s">
        <v>642</v>
      </c>
      <c r="R6393" t="s">
        <v>1214</v>
      </c>
    </row>
    <row r="6394" spans="1:18" x14ac:dyDescent="0.25">
      <c r="A6394" t="s">
        <v>15104</v>
      </c>
      <c r="B6394" t="s">
        <v>8490</v>
      </c>
      <c r="C6394" t="str">
        <f>HYPERLINK("https://nematode.unl.edu/merus26.jpg")</f>
        <v>https://nematode.unl.edu/merus26.jpg</v>
      </c>
      <c r="D6394" t="s">
        <v>43</v>
      </c>
      <c r="G6394" t="s">
        <v>34</v>
      </c>
      <c r="H6394" t="s">
        <v>18</v>
      </c>
      <c r="J6394" t="s">
        <v>20</v>
      </c>
      <c r="L6394" t="s">
        <v>64</v>
      </c>
      <c r="M6394" t="s">
        <v>8448</v>
      </c>
      <c r="N6394" t="s">
        <v>8448</v>
      </c>
      <c r="O6394" t="s">
        <v>23</v>
      </c>
      <c r="P6394" t="s">
        <v>24</v>
      </c>
      <c r="Q6394" t="s">
        <v>642</v>
      </c>
      <c r="R6394" t="s">
        <v>1214</v>
      </c>
    </row>
    <row r="6395" spans="1:18" x14ac:dyDescent="0.25">
      <c r="A6395" t="s">
        <v>15156</v>
      </c>
      <c r="B6395" t="s">
        <v>8491</v>
      </c>
      <c r="C6395" t="str">
        <f>HYPERLINK("https://nematode.unl.edu/merus27.jpg")</f>
        <v>https://nematode.unl.edu/merus27.jpg</v>
      </c>
      <c r="D6395" t="s">
        <v>43</v>
      </c>
      <c r="G6395" t="s">
        <v>28</v>
      </c>
      <c r="J6395" t="s">
        <v>20</v>
      </c>
      <c r="L6395" t="s">
        <v>64</v>
      </c>
      <c r="M6395" t="s">
        <v>8448</v>
      </c>
      <c r="N6395" t="s">
        <v>8448</v>
      </c>
      <c r="O6395" t="s">
        <v>23</v>
      </c>
      <c r="P6395" t="s">
        <v>24</v>
      </c>
      <c r="Q6395" t="s">
        <v>642</v>
      </c>
      <c r="R6395" t="s">
        <v>1214</v>
      </c>
    </row>
    <row r="6396" spans="1:18" x14ac:dyDescent="0.25">
      <c r="A6396" t="s">
        <v>15105</v>
      </c>
      <c r="B6396" t="s">
        <v>8492</v>
      </c>
      <c r="C6396" t="str">
        <f>HYPERLINK("https://nematode.unl.edu/merus3.jpg")</f>
        <v>https://nematode.unl.edu/merus3.jpg</v>
      </c>
      <c r="D6396" t="s">
        <v>43</v>
      </c>
      <c r="G6396" t="s">
        <v>34</v>
      </c>
      <c r="H6396" t="s">
        <v>18</v>
      </c>
      <c r="J6396" t="s">
        <v>20</v>
      </c>
      <c r="L6396" t="s">
        <v>141</v>
      </c>
      <c r="M6396" t="s">
        <v>8448</v>
      </c>
      <c r="N6396" t="s">
        <v>8448</v>
      </c>
      <c r="O6396" t="s">
        <v>23</v>
      </c>
      <c r="P6396" t="s">
        <v>24</v>
      </c>
      <c r="Q6396" t="s">
        <v>642</v>
      </c>
      <c r="R6396" t="s">
        <v>1214</v>
      </c>
    </row>
    <row r="6397" spans="1:18" x14ac:dyDescent="0.25">
      <c r="A6397" t="s">
        <v>15157</v>
      </c>
      <c r="B6397" t="s">
        <v>8493</v>
      </c>
      <c r="C6397" t="str">
        <f>HYPERLINK("https://nematode.unl.edu/merus4.jpg")</f>
        <v>https://nematode.unl.edu/merus4.jpg</v>
      </c>
      <c r="D6397" t="s">
        <v>43</v>
      </c>
      <c r="G6397" t="s">
        <v>28</v>
      </c>
      <c r="I6397" t="s">
        <v>19</v>
      </c>
      <c r="J6397" t="s">
        <v>20</v>
      </c>
      <c r="L6397" t="s">
        <v>141</v>
      </c>
      <c r="M6397" t="s">
        <v>8448</v>
      </c>
      <c r="N6397" t="s">
        <v>8448</v>
      </c>
      <c r="O6397" t="s">
        <v>23</v>
      </c>
      <c r="P6397" t="s">
        <v>24</v>
      </c>
      <c r="Q6397" t="s">
        <v>642</v>
      </c>
      <c r="R6397" t="s">
        <v>1214</v>
      </c>
    </row>
    <row r="6398" spans="1:18" x14ac:dyDescent="0.25">
      <c r="A6398" t="s">
        <v>15106</v>
      </c>
      <c r="B6398" t="s">
        <v>8494</v>
      </c>
      <c r="C6398" t="str">
        <f>HYPERLINK("https://nematode.unl.edu/merus5.jpg")</f>
        <v>https://nematode.unl.edu/merus5.jpg</v>
      </c>
      <c r="D6398" t="s">
        <v>43</v>
      </c>
      <c r="G6398" t="s">
        <v>34</v>
      </c>
      <c r="H6398" t="s">
        <v>18</v>
      </c>
      <c r="I6398" t="s">
        <v>41</v>
      </c>
      <c r="J6398" t="s">
        <v>20</v>
      </c>
      <c r="M6398" t="s">
        <v>8448</v>
      </c>
      <c r="N6398" t="s">
        <v>8448</v>
      </c>
      <c r="O6398" t="s">
        <v>23</v>
      </c>
      <c r="P6398" t="s">
        <v>24</v>
      </c>
      <c r="Q6398" t="s">
        <v>642</v>
      </c>
      <c r="R6398" t="s">
        <v>1214</v>
      </c>
    </row>
    <row r="6399" spans="1:18" x14ac:dyDescent="0.25">
      <c r="A6399" t="s">
        <v>15117</v>
      </c>
      <c r="B6399" t="s">
        <v>8495</v>
      </c>
      <c r="C6399" t="str">
        <f>HYPERLINK("https://nematode.unl.edu/merus6.jpg")</f>
        <v>https://nematode.unl.edu/merus6.jpg</v>
      </c>
      <c r="D6399" t="s">
        <v>43</v>
      </c>
      <c r="G6399" t="s">
        <v>3942</v>
      </c>
      <c r="I6399" t="s">
        <v>529</v>
      </c>
      <c r="J6399" t="s">
        <v>20</v>
      </c>
      <c r="L6399" t="s">
        <v>138</v>
      </c>
      <c r="M6399" t="s">
        <v>8448</v>
      </c>
      <c r="N6399" t="s">
        <v>8448</v>
      </c>
      <c r="O6399" t="s">
        <v>23</v>
      </c>
      <c r="P6399" t="s">
        <v>24</v>
      </c>
      <c r="Q6399" t="s">
        <v>642</v>
      </c>
      <c r="R6399" t="s">
        <v>1214</v>
      </c>
    </row>
    <row r="6400" spans="1:18" x14ac:dyDescent="0.25">
      <c r="A6400" t="s">
        <v>15158</v>
      </c>
      <c r="B6400" t="s">
        <v>8496</v>
      </c>
      <c r="C6400" t="str">
        <f>HYPERLINK("https://nematode.unl.edu/merus7.jpg")</f>
        <v>https://nematode.unl.edu/merus7.jpg</v>
      </c>
      <c r="D6400" t="s">
        <v>43</v>
      </c>
      <c r="G6400" t="s">
        <v>28</v>
      </c>
      <c r="I6400" t="s">
        <v>41</v>
      </c>
      <c r="J6400" t="s">
        <v>20</v>
      </c>
      <c r="L6400" t="s">
        <v>138</v>
      </c>
      <c r="M6400" t="s">
        <v>8448</v>
      </c>
      <c r="N6400" t="s">
        <v>8448</v>
      </c>
      <c r="O6400" t="s">
        <v>23</v>
      </c>
      <c r="P6400" t="s">
        <v>24</v>
      </c>
      <c r="Q6400" t="s">
        <v>642</v>
      </c>
      <c r="R6400" t="s">
        <v>1214</v>
      </c>
    </row>
    <row r="6401" spans="1:18" x14ac:dyDescent="0.25">
      <c r="A6401" t="s">
        <v>15169</v>
      </c>
      <c r="B6401" t="s">
        <v>8497</v>
      </c>
      <c r="C6401" t="str">
        <f>HYPERLINK("https://nematode.unl.edu/merus8.jpg")</f>
        <v>https://nematode.unl.edu/merus8.jpg</v>
      </c>
      <c r="D6401" t="s">
        <v>43</v>
      </c>
      <c r="G6401" t="s">
        <v>51</v>
      </c>
      <c r="I6401" t="s">
        <v>41</v>
      </c>
      <c r="J6401" t="s">
        <v>20</v>
      </c>
      <c r="L6401" t="s">
        <v>138</v>
      </c>
      <c r="M6401" t="s">
        <v>8448</v>
      </c>
      <c r="N6401" t="s">
        <v>8448</v>
      </c>
      <c r="O6401" t="s">
        <v>23</v>
      </c>
      <c r="P6401" t="s">
        <v>24</v>
      </c>
      <c r="Q6401" t="s">
        <v>642</v>
      </c>
      <c r="R6401" t="s">
        <v>1214</v>
      </c>
    </row>
    <row r="6402" spans="1:18" x14ac:dyDescent="0.25">
      <c r="A6402" t="s">
        <v>15129</v>
      </c>
      <c r="B6402" t="s">
        <v>8498</v>
      </c>
      <c r="C6402" t="str">
        <f>HYPERLINK("https://nematode.unl.edu/merus9.jpg")</f>
        <v>https://nematode.unl.edu/merus9.jpg</v>
      </c>
      <c r="D6402" t="s">
        <v>43</v>
      </c>
      <c r="G6402" t="s">
        <v>44</v>
      </c>
      <c r="I6402" t="s">
        <v>45</v>
      </c>
      <c r="J6402" t="s">
        <v>20</v>
      </c>
      <c r="L6402" t="s">
        <v>64</v>
      </c>
      <c r="M6402" t="s">
        <v>8448</v>
      </c>
      <c r="N6402" t="s">
        <v>8448</v>
      </c>
      <c r="O6402" t="s">
        <v>23</v>
      </c>
      <c r="P6402" t="s">
        <v>24</v>
      </c>
      <c r="Q6402" t="s">
        <v>642</v>
      </c>
      <c r="R6402" t="s">
        <v>1214</v>
      </c>
    </row>
    <row r="6403" spans="1:18" x14ac:dyDescent="0.25">
      <c r="A6403" t="s">
        <v>15130</v>
      </c>
      <c r="B6403" t="s">
        <v>8499</v>
      </c>
      <c r="C6403" t="str">
        <f>HYPERLINK("https://nematode.unl.edu/merushim1.jpg")</f>
        <v>https://nematode.unl.edu/merushim1.jpg</v>
      </c>
      <c r="D6403" t="s">
        <v>43</v>
      </c>
      <c r="G6403" t="s">
        <v>44</v>
      </c>
      <c r="I6403" t="s">
        <v>516</v>
      </c>
      <c r="J6403" t="s">
        <v>8500</v>
      </c>
      <c r="L6403" t="s">
        <v>8501</v>
      </c>
      <c r="M6403" t="s">
        <v>8448</v>
      </c>
      <c r="N6403" t="s">
        <v>8448</v>
      </c>
      <c r="O6403" t="s">
        <v>23</v>
      </c>
      <c r="P6403" t="s">
        <v>24</v>
      </c>
      <c r="Q6403" t="s">
        <v>642</v>
      </c>
      <c r="R6403" t="s">
        <v>1214</v>
      </c>
    </row>
    <row r="6404" spans="1:18" x14ac:dyDescent="0.25">
      <c r="A6404" t="s">
        <v>15107</v>
      </c>
      <c r="B6404" t="s">
        <v>8502</v>
      </c>
      <c r="C6404" t="str">
        <f>HYPERLINK("https://nematode.unl.edu/merushim2.jpg")</f>
        <v>https://nematode.unl.edu/merushim2.jpg</v>
      </c>
      <c r="D6404" t="s">
        <v>43</v>
      </c>
      <c r="G6404" t="s">
        <v>34</v>
      </c>
      <c r="H6404" t="s">
        <v>18</v>
      </c>
      <c r="I6404" t="s">
        <v>41</v>
      </c>
      <c r="M6404" t="s">
        <v>8448</v>
      </c>
      <c r="N6404" t="s">
        <v>8448</v>
      </c>
      <c r="O6404" t="s">
        <v>23</v>
      </c>
      <c r="P6404" t="s">
        <v>24</v>
      </c>
      <c r="Q6404" t="s">
        <v>642</v>
      </c>
      <c r="R6404" t="s">
        <v>1214</v>
      </c>
    </row>
    <row r="6405" spans="1:18" x14ac:dyDescent="0.25">
      <c r="A6405" t="s">
        <v>15159</v>
      </c>
      <c r="B6405" t="s">
        <v>8503</v>
      </c>
      <c r="C6405" t="str">
        <f>HYPERLINK("https://nematode.unl.edu/merushim3.jpg")</f>
        <v>https://nematode.unl.edu/merushim3.jpg</v>
      </c>
      <c r="D6405" t="s">
        <v>43</v>
      </c>
      <c r="G6405" t="s">
        <v>28</v>
      </c>
      <c r="I6405" t="s">
        <v>41</v>
      </c>
      <c r="M6405" t="s">
        <v>8448</v>
      </c>
      <c r="N6405" t="s">
        <v>8448</v>
      </c>
      <c r="O6405" t="s">
        <v>23</v>
      </c>
      <c r="P6405" t="s">
        <v>24</v>
      </c>
      <c r="Q6405" t="s">
        <v>642</v>
      </c>
      <c r="R6405" t="s">
        <v>1214</v>
      </c>
    </row>
    <row r="6406" spans="1:18" x14ac:dyDescent="0.25">
      <c r="A6406" t="s">
        <v>15131</v>
      </c>
      <c r="B6406" t="s">
        <v>8504</v>
      </c>
      <c r="C6406" t="str">
        <f>HYPERLINK("https://nematode.unl.edu/merushim4.jpg")</f>
        <v>https://nematode.unl.edu/merushim4.jpg</v>
      </c>
      <c r="D6406" t="s">
        <v>16</v>
      </c>
      <c r="G6406" t="s">
        <v>44</v>
      </c>
      <c r="I6406" t="s">
        <v>19</v>
      </c>
      <c r="J6406" t="s">
        <v>8500</v>
      </c>
      <c r="L6406" t="s">
        <v>8501</v>
      </c>
      <c r="M6406" t="s">
        <v>8448</v>
      </c>
      <c r="N6406" t="s">
        <v>8448</v>
      </c>
      <c r="O6406" t="s">
        <v>23</v>
      </c>
      <c r="P6406" t="s">
        <v>24</v>
      </c>
      <c r="Q6406" t="s">
        <v>642</v>
      </c>
      <c r="R6406" t="s">
        <v>1214</v>
      </c>
    </row>
    <row r="6407" spans="1:18" x14ac:dyDescent="0.25">
      <c r="A6407" t="s">
        <v>15108</v>
      </c>
      <c r="B6407" t="s">
        <v>8505</v>
      </c>
      <c r="C6407" t="str">
        <f>HYPERLINK("https://nematode.unl.edu/merushim5.jpg")</f>
        <v>https://nematode.unl.edu/merushim5.jpg</v>
      </c>
      <c r="D6407" t="s">
        <v>16</v>
      </c>
      <c r="G6407" t="s">
        <v>34</v>
      </c>
      <c r="H6407" t="s">
        <v>18</v>
      </c>
      <c r="I6407" t="s">
        <v>41</v>
      </c>
      <c r="M6407" t="s">
        <v>8448</v>
      </c>
      <c r="N6407" t="s">
        <v>8448</v>
      </c>
      <c r="O6407" t="s">
        <v>23</v>
      </c>
      <c r="P6407" t="s">
        <v>24</v>
      </c>
      <c r="Q6407" t="s">
        <v>642</v>
      </c>
      <c r="R6407" t="s">
        <v>1214</v>
      </c>
    </row>
    <row r="6408" spans="1:18" x14ac:dyDescent="0.25">
      <c r="A6408" t="s">
        <v>15160</v>
      </c>
      <c r="B6408" t="s">
        <v>8506</v>
      </c>
      <c r="C6408" t="str">
        <f>HYPERLINK("https://nematode.unl.edu/merushim6.jpg")</f>
        <v>https://nematode.unl.edu/merushim6.jpg</v>
      </c>
      <c r="D6408" t="s">
        <v>16</v>
      </c>
      <c r="G6408" t="s">
        <v>28</v>
      </c>
      <c r="I6408" t="s">
        <v>41</v>
      </c>
      <c r="M6408" t="s">
        <v>8448</v>
      </c>
      <c r="N6408" t="s">
        <v>8448</v>
      </c>
      <c r="O6408" t="s">
        <v>23</v>
      </c>
      <c r="P6408" t="s">
        <v>24</v>
      </c>
      <c r="Q6408" t="s">
        <v>642</v>
      </c>
      <c r="R6408" t="s">
        <v>1214</v>
      </c>
    </row>
    <row r="6409" spans="1:18" x14ac:dyDescent="0.25">
      <c r="A6409" t="s">
        <v>15143</v>
      </c>
      <c r="B6409" t="s">
        <v>8507</v>
      </c>
      <c r="C6409" t="str">
        <f>HYPERLINK("https://nematode.unl.edu/merushim7.jpg")</f>
        <v>https://nematode.unl.edu/merushim7.jpg</v>
      </c>
      <c r="G6409" t="s">
        <v>224</v>
      </c>
      <c r="I6409" t="s">
        <v>41</v>
      </c>
      <c r="M6409" t="s">
        <v>8448</v>
      </c>
      <c r="N6409" t="s">
        <v>8448</v>
      </c>
      <c r="O6409" t="s">
        <v>23</v>
      </c>
      <c r="P6409" t="s">
        <v>24</v>
      </c>
      <c r="Q6409" t="s">
        <v>642</v>
      </c>
      <c r="R6409" t="s">
        <v>1214</v>
      </c>
    </row>
    <row r="6410" spans="1:18" x14ac:dyDescent="0.25">
      <c r="A6410" t="s">
        <v>15132</v>
      </c>
      <c r="B6410" t="s">
        <v>8508</v>
      </c>
      <c r="C6410" t="str">
        <f>HYPERLINK("https://nematode.unl.edu/merushim8.jpg")</f>
        <v>https://nematode.unl.edu/merushim8.jpg</v>
      </c>
      <c r="D6410" t="s">
        <v>16</v>
      </c>
      <c r="G6410" t="s">
        <v>44</v>
      </c>
      <c r="I6410" t="s">
        <v>41</v>
      </c>
      <c r="M6410" t="s">
        <v>8448</v>
      </c>
      <c r="N6410" t="s">
        <v>8448</v>
      </c>
      <c r="O6410" t="s">
        <v>23</v>
      </c>
      <c r="P6410" t="s">
        <v>24</v>
      </c>
      <c r="Q6410" t="s">
        <v>642</v>
      </c>
      <c r="R6410" t="s">
        <v>1214</v>
      </c>
    </row>
    <row r="6411" spans="1:18" x14ac:dyDescent="0.25">
      <c r="A6411" t="s">
        <v>15133</v>
      </c>
      <c r="B6411" t="s">
        <v>8509</v>
      </c>
      <c r="C6411" t="str">
        <f>HYPERLINK("https://nematode.unl.edu/meruwp1.jpg")</f>
        <v>https://nematode.unl.edu/meruwp1.jpg</v>
      </c>
      <c r="D6411" t="s">
        <v>43</v>
      </c>
      <c r="G6411" t="s">
        <v>44</v>
      </c>
      <c r="I6411" t="s">
        <v>19</v>
      </c>
      <c r="J6411" t="s">
        <v>1229</v>
      </c>
      <c r="L6411" t="s">
        <v>6170</v>
      </c>
      <c r="M6411" t="s">
        <v>8448</v>
      </c>
      <c r="N6411" t="s">
        <v>8448</v>
      </c>
      <c r="O6411" t="s">
        <v>23</v>
      </c>
      <c r="P6411" t="s">
        <v>24</v>
      </c>
      <c r="Q6411" t="s">
        <v>642</v>
      </c>
      <c r="R6411" t="s">
        <v>1214</v>
      </c>
    </row>
    <row r="6412" spans="1:18" x14ac:dyDescent="0.25">
      <c r="A6412" t="s">
        <v>15109</v>
      </c>
      <c r="B6412" t="s">
        <v>8510</v>
      </c>
      <c r="C6412" t="str">
        <f>HYPERLINK("https://nematode.unl.edu/meruwp2.jpg")</f>
        <v>https://nematode.unl.edu/meruwp2.jpg</v>
      </c>
      <c r="D6412" t="s">
        <v>43</v>
      </c>
      <c r="G6412" t="s">
        <v>34</v>
      </c>
      <c r="H6412" t="s">
        <v>18</v>
      </c>
      <c r="J6412" t="s">
        <v>1229</v>
      </c>
      <c r="M6412" t="s">
        <v>8448</v>
      </c>
      <c r="N6412" t="s">
        <v>8448</v>
      </c>
      <c r="O6412" t="s">
        <v>23</v>
      </c>
      <c r="P6412" t="s">
        <v>24</v>
      </c>
      <c r="Q6412" t="s">
        <v>642</v>
      </c>
      <c r="R6412" t="s">
        <v>1214</v>
      </c>
    </row>
    <row r="6413" spans="1:18" x14ac:dyDescent="0.25">
      <c r="A6413" t="s">
        <v>15161</v>
      </c>
      <c r="B6413" t="s">
        <v>8511</v>
      </c>
      <c r="C6413" t="str">
        <f>HYPERLINK("https://nematode.unl.edu/meruwp3.jpg")</f>
        <v>https://nematode.unl.edu/meruwp3.jpg</v>
      </c>
      <c r="D6413" t="s">
        <v>43</v>
      </c>
      <c r="G6413" t="s">
        <v>28</v>
      </c>
      <c r="I6413" t="s">
        <v>41</v>
      </c>
      <c r="J6413" t="s">
        <v>1229</v>
      </c>
      <c r="M6413" t="s">
        <v>8448</v>
      </c>
      <c r="N6413" t="s">
        <v>8448</v>
      </c>
      <c r="O6413" t="s">
        <v>23</v>
      </c>
      <c r="P6413" t="s">
        <v>24</v>
      </c>
      <c r="Q6413" t="s">
        <v>642</v>
      </c>
      <c r="R6413" t="s">
        <v>1214</v>
      </c>
    </row>
    <row r="6414" spans="1:18" x14ac:dyDescent="0.25">
      <c r="A6414" t="s">
        <v>15144</v>
      </c>
      <c r="B6414" t="s">
        <v>8512</v>
      </c>
      <c r="C6414" t="str">
        <f>HYPERLINK("https://nematode.unl.edu/meruwp4.jpg")</f>
        <v>https://nematode.unl.edu/meruwp4.jpg</v>
      </c>
      <c r="D6414" t="s">
        <v>43</v>
      </c>
      <c r="G6414" t="s">
        <v>224</v>
      </c>
      <c r="J6414" t="s">
        <v>1229</v>
      </c>
      <c r="M6414" t="s">
        <v>8448</v>
      </c>
      <c r="N6414" t="s">
        <v>8448</v>
      </c>
      <c r="O6414" t="s">
        <v>23</v>
      </c>
      <c r="P6414" t="s">
        <v>24</v>
      </c>
      <c r="Q6414" t="s">
        <v>642</v>
      </c>
      <c r="R6414" t="s">
        <v>1214</v>
      </c>
    </row>
    <row r="6415" spans="1:18" x14ac:dyDescent="0.25">
      <c r="A6415" t="s">
        <v>14512</v>
      </c>
      <c r="B6415" t="s">
        <v>7986</v>
      </c>
      <c r="C6415" t="str">
        <f>HYPERLINK("https://nematode.unl.edu/mesavo1.jpg")</f>
        <v>https://nematode.unl.edu/mesavo1.jpg</v>
      </c>
      <c r="D6415" t="s">
        <v>43</v>
      </c>
      <c r="G6415" t="s">
        <v>44</v>
      </c>
      <c r="I6415" t="s">
        <v>516</v>
      </c>
      <c r="J6415" t="s">
        <v>638</v>
      </c>
      <c r="K6415" t="s">
        <v>22854</v>
      </c>
      <c r="L6415" t="s">
        <v>639</v>
      </c>
      <c r="M6415" t="s">
        <v>1233</v>
      </c>
      <c r="N6415" t="s">
        <v>1233</v>
      </c>
      <c r="O6415" t="s">
        <v>23</v>
      </c>
      <c r="P6415" t="s">
        <v>24</v>
      </c>
      <c r="Q6415" t="s">
        <v>642</v>
      </c>
      <c r="R6415" t="s">
        <v>1214</v>
      </c>
    </row>
    <row r="6416" spans="1:18" x14ac:dyDescent="0.25">
      <c r="A6416" t="s">
        <v>14513</v>
      </c>
      <c r="B6416" t="s">
        <v>7987</v>
      </c>
      <c r="C6416" t="str">
        <f>HYPERLINK("https://nematode.unl.edu/mesavo10.jpg")</f>
        <v>https://nematode.unl.edu/mesavo10.jpg</v>
      </c>
      <c r="D6416" t="s">
        <v>43</v>
      </c>
      <c r="G6416" t="s">
        <v>44</v>
      </c>
      <c r="I6416" t="s">
        <v>516</v>
      </c>
      <c r="J6416" t="s">
        <v>638</v>
      </c>
      <c r="K6416" t="s">
        <v>22854</v>
      </c>
      <c r="L6416" t="s">
        <v>639</v>
      </c>
      <c r="M6416" t="s">
        <v>1233</v>
      </c>
      <c r="N6416" t="s">
        <v>1233</v>
      </c>
      <c r="O6416" t="s">
        <v>23</v>
      </c>
      <c r="P6416" t="s">
        <v>24</v>
      </c>
      <c r="Q6416" t="s">
        <v>642</v>
      </c>
      <c r="R6416" t="s">
        <v>1214</v>
      </c>
    </row>
    <row r="6417" spans="1:18" x14ac:dyDescent="0.25">
      <c r="A6417" t="s">
        <v>14356</v>
      </c>
      <c r="B6417" t="s">
        <v>7988</v>
      </c>
      <c r="C6417" t="str">
        <f>HYPERLINK("https://nematode.unl.edu/mesavo11.jpg")</f>
        <v>https://nematode.unl.edu/mesavo11.jpg</v>
      </c>
      <c r="D6417" t="s">
        <v>43</v>
      </c>
      <c r="G6417" t="s">
        <v>34</v>
      </c>
      <c r="H6417" t="s">
        <v>18</v>
      </c>
      <c r="I6417" t="s">
        <v>41</v>
      </c>
      <c r="J6417" t="s">
        <v>638</v>
      </c>
      <c r="K6417" t="s">
        <v>22854</v>
      </c>
      <c r="L6417" t="s">
        <v>639</v>
      </c>
      <c r="M6417" t="s">
        <v>1233</v>
      </c>
      <c r="N6417" t="s">
        <v>1233</v>
      </c>
      <c r="O6417" t="s">
        <v>23</v>
      </c>
      <c r="P6417" t="s">
        <v>24</v>
      </c>
      <c r="Q6417" t="s">
        <v>642</v>
      </c>
      <c r="R6417" t="s">
        <v>1214</v>
      </c>
    </row>
    <row r="6418" spans="1:18" x14ac:dyDescent="0.25">
      <c r="A6418" t="s">
        <v>14684</v>
      </c>
      <c r="B6418" t="s">
        <v>7989</v>
      </c>
      <c r="C6418" t="str">
        <f>HYPERLINK("https://nematode.unl.edu/mesavo12.jpg")</f>
        <v>https://nematode.unl.edu/mesavo12.jpg</v>
      </c>
      <c r="D6418" t="s">
        <v>43</v>
      </c>
      <c r="G6418" t="s">
        <v>28</v>
      </c>
      <c r="I6418" t="s">
        <v>41</v>
      </c>
      <c r="J6418" t="s">
        <v>638</v>
      </c>
      <c r="K6418" t="s">
        <v>22854</v>
      </c>
      <c r="L6418" t="s">
        <v>639</v>
      </c>
      <c r="M6418" t="s">
        <v>1233</v>
      </c>
      <c r="N6418" t="s">
        <v>1233</v>
      </c>
      <c r="O6418" t="s">
        <v>23</v>
      </c>
      <c r="P6418" t="s">
        <v>24</v>
      </c>
      <c r="Q6418" t="s">
        <v>642</v>
      </c>
      <c r="R6418" t="s">
        <v>1214</v>
      </c>
    </row>
    <row r="6419" spans="1:18" x14ac:dyDescent="0.25">
      <c r="A6419" t="s">
        <v>14514</v>
      </c>
      <c r="B6419" t="s">
        <v>7990</v>
      </c>
      <c r="C6419" t="str">
        <f>HYPERLINK("https://nematode.unl.edu/mesavo13.jpg")</f>
        <v>https://nematode.unl.edu/mesavo13.jpg</v>
      </c>
      <c r="D6419" t="s">
        <v>43</v>
      </c>
      <c r="G6419" t="s">
        <v>44</v>
      </c>
      <c r="I6419" t="s">
        <v>41</v>
      </c>
      <c r="J6419" t="s">
        <v>638</v>
      </c>
      <c r="K6419" t="s">
        <v>22854</v>
      </c>
      <c r="L6419" t="s">
        <v>639</v>
      </c>
      <c r="M6419" t="s">
        <v>1233</v>
      </c>
      <c r="N6419" t="s">
        <v>1233</v>
      </c>
      <c r="O6419" t="s">
        <v>23</v>
      </c>
      <c r="P6419" t="s">
        <v>24</v>
      </c>
      <c r="Q6419" t="s">
        <v>642</v>
      </c>
      <c r="R6419" t="s">
        <v>1214</v>
      </c>
    </row>
    <row r="6420" spans="1:18" x14ac:dyDescent="0.25">
      <c r="A6420" t="s">
        <v>14357</v>
      </c>
      <c r="B6420" t="s">
        <v>7991</v>
      </c>
      <c r="C6420" t="str">
        <f>HYPERLINK("https://nematode.unl.edu/mesavo14.jpg")</f>
        <v>https://nematode.unl.edu/mesavo14.jpg</v>
      </c>
      <c r="D6420" t="s">
        <v>43</v>
      </c>
      <c r="G6420" t="s">
        <v>34</v>
      </c>
      <c r="H6420" t="s">
        <v>18</v>
      </c>
      <c r="I6420" t="s">
        <v>41</v>
      </c>
      <c r="J6420" t="s">
        <v>638</v>
      </c>
      <c r="K6420" t="s">
        <v>22854</v>
      </c>
      <c r="L6420" t="s">
        <v>639</v>
      </c>
      <c r="M6420" t="s">
        <v>1233</v>
      </c>
      <c r="N6420" t="s">
        <v>1233</v>
      </c>
      <c r="O6420" t="s">
        <v>23</v>
      </c>
      <c r="P6420" t="s">
        <v>24</v>
      </c>
      <c r="Q6420" t="s">
        <v>642</v>
      </c>
      <c r="R6420" t="s">
        <v>1214</v>
      </c>
    </row>
    <row r="6421" spans="1:18" x14ac:dyDescent="0.25">
      <c r="A6421" t="s">
        <v>14685</v>
      </c>
      <c r="B6421" t="s">
        <v>7992</v>
      </c>
      <c r="C6421" t="str">
        <f>HYPERLINK("https://nematode.unl.edu/mesavo15.jpg")</f>
        <v>https://nematode.unl.edu/mesavo15.jpg</v>
      </c>
      <c r="D6421" t="s">
        <v>43</v>
      </c>
      <c r="G6421" t="s">
        <v>28</v>
      </c>
      <c r="I6421" t="s">
        <v>41</v>
      </c>
      <c r="J6421" t="s">
        <v>4543</v>
      </c>
      <c r="M6421" t="s">
        <v>1233</v>
      </c>
      <c r="N6421" t="s">
        <v>1233</v>
      </c>
      <c r="O6421" t="s">
        <v>23</v>
      </c>
      <c r="P6421" t="s">
        <v>24</v>
      </c>
      <c r="Q6421" t="s">
        <v>642</v>
      </c>
      <c r="R6421" t="s">
        <v>1214</v>
      </c>
    </row>
    <row r="6422" spans="1:18" x14ac:dyDescent="0.25">
      <c r="A6422" t="s">
        <v>14728</v>
      </c>
      <c r="B6422" t="s">
        <v>7993</v>
      </c>
      <c r="C6422" t="str">
        <f>HYPERLINK("https://nematode.unl.edu/mesavo16.jpg")</f>
        <v>https://nematode.unl.edu/mesavo16.jpg</v>
      </c>
      <c r="D6422" t="s">
        <v>43</v>
      </c>
      <c r="G6422" t="s">
        <v>51</v>
      </c>
      <c r="I6422" t="s">
        <v>41</v>
      </c>
      <c r="J6422" t="s">
        <v>638</v>
      </c>
      <c r="K6422" t="s">
        <v>22854</v>
      </c>
      <c r="L6422" t="s">
        <v>639</v>
      </c>
      <c r="M6422" t="s">
        <v>1233</v>
      </c>
      <c r="N6422" t="s">
        <v>1233</v>
      </c>
      <c r="O6422" t="s">
        <v>23</v>
      </c>
      <c r="P6422" t="s">
        <v>24</v>
      </c>
      <c r="Q6422" t="s">
        <v>642</v>
      </c>
      <c r="R6422" t="s">
        <v>1214</v>
      </c>
    </row>
    <row r="6423" spans="1:18" x14ac:dyDescent="0.25">
      <c r="A6423" t="s">
        <v>14358</v>
      </c>
      <c r="B6423" t="s">
        <v>7994</v>
      </c>
      <c r="C6423" t="str">
        <f>HYPERLINK("https://nematode.unl.edu/mesavo17.jpg")</f>
        <v>https://nematode.unl.edu/mesavo17.jpg</v>
      </c>
      <c r="D6423" t="s">
        <v>16</v>
      </c>
      <c r="G6423" t="s">
        <v>34</v>
      </c>
      <c r="H6423" t="s">
        <v>18</v>
      </c>
      <c r="I6423" t="s">
        <v>41</v>
      </c>
      <c r="J6423" t="s">
        <v>638</v>
      </c>
      <c r="K6423" t="s">
        <v>22854</v>
      </c>
      <c r="L6423" t="s">
        <v>639</v>
      </c>
      <c r="M6423" t="s">
        <v>1233</v>
      </c>
      <c r="N6423" t="s">
        <v>1233</v>
      </c>
      <c r="O6423" t="s">
        <v>23</v>
      </c>
      <c r="P6423" t="s">
        <v>24</v>
      </c>
      <c r="Q6423" t="s">
        <v>642</v>
      </c>
      <c r="R6423" t="s">
        <v>1214</v>
      </c>
    </row>
    <row r="6424" spans="1:18" x14ac:dyDescent="0.25">
      <c r="A6424" t="s">
        <v>14686</v>
      </c>
      <c r="B6424" t="s">
        <v>7995</v>
      </c>
      <c r="C6424" t="str">
        <f>HYPERLINK("https://nematode.unl.edu/mesavo18.jpg")</f>
        <v>https://nematode.unl.edu/mesavo18.jpg</v>
      </c>
      <c r="D6424" t="s">
        <v>16</v>
      </c>
      <c r="G6424" t="s">
        <v>28</v>
      </c>
      <c r="I6424" t="s">
        <v>41</v>
      </c>
      <c r="J6424" t="s">
        <v>638</v>
      </c>
      <c r="K6424" t="s">
        <v>22854</v>
      </c>
      <c r="L6424" t="s">
        <v>639</v>
      </c>
      <c r="M6424" t="s">
        <v>1233</v>
      </c>
      <c r="N6424" t="s">
        <v>1233</v>
      </c>
      <c r="O6424" t="s">
        <v>23</v>
      </c>
      <c r="P6424" t="s">
        <v>24</v>
      </c>
      <c r="Q6424" t="s">
        <v>642</v>
      </c>
      <c r="R6424" t="s">
        <v>1214</v>
      </c>
    </row>
    <row r="6425" spans="1:18" x14ac:dyDescent="0.25">
      <c r="A6425" t="s">
        <v>15134</v>
      </c>
      <c r="B6425" t="s">
        <v>8513</v>
      </c>
      <c r="C6425" t="str">
        <f>HYPERLINK("https://nematode.unl.edu/mesavo19.jpg")</f>
        <v>https://nematode.unl.edu/mesavo19.jpg</v>
      </c>
      <c r="D6425" t="s">
        <v>43</v>
      </c>
      <c r="G6425" t="s">
        <v>44</v>
      </c>
      <c r="I6425" t="s">
        <v>19</v>
      </c>
      <c r="J6425" t="s">
        <v>638</v>
      </c>
      <c r="K6425" t="s">
        <v>22854</v>
      </c>
      <c r="L6425" t="s">
        <v>639</v>
      </c>
      <c r="M6425" t="s">
        <v>8448</v>
      </c>
      <c r="N6425" t="s">
        <v>8448</v>
      </c>
      <c r="O6425" t="s">
        <v>23</v>
      </c>
      <c r="P6425" t="s">
        <v>24</v>
      </c>
      <c r="Q6425" t="s">
        <v>642</v>
      </c>
      <c r="R6425" t="s">
        <v>1214</v>
      </c>
    </row>
    <row r="6426" spans="1:18" x14ac:dyDescent="0.25">
      <c r="A6426" t="s">
        <v>14359</v>
      </c>
      <c r="B6426" t="s">
        <v>7996</v>
      </c>
      <c r="C6426" t="str">
        <f>HYPERLINK("https://nematode.unl.edu/mesavo2.jpg")</f>
        <v>https://nematode.unl.edu/mesavo2.jpg</v>
      </c>
      <c r="D6426" t="s">
        <v>43</v>
      </c>
      <c r="G6426" t="s">
        <v>34</v>
      </c>
      <c r="H6426" t="s">
        <v>18</v>
      </c>
      <c r="I6426" t="s">
        <v>41</v>
      </c>
      <c r="J6426" t="s">
        <v>638</v>
      </c>
      <c r="K6426" t="s">
        <v>22854</v>
      </c>
      <c r="L6426" t="s">
        <v>639</v>
      </c>
      <c r="M6426" t="s">
        <v>1233</v>
      </c>
      <c r="N6426" t="s">
        <v>1233</v>
      </c>
      <c r="O6426" t="s">
        <v>23</v>
      </c>
      <c r="P6426" t="s">
        <v>24</v>
      </c>
      <c r="Q6426" t="s">
        <v>642</v>
      </c>
      <c r="R6426" t="s">
        <v>1214</v>
      </c>
    </row>
    <row r="6427" spans="1:18" x14ac:dyDescent="0.25">
      <c r="A6427" t="s">
        <v>14360</v>
      </c>
      <c r="B6427" t="s">
        <v>7997</v>
      </c>
      <c r="C6427" t="str">
        <f>HYPERLINK("https://nematode.unl.edu/mesavo20.jpg")</f>
        <v>https://nematode.unl.edu/mesavo20.jpg</v>
      </c>
      <c r="D6427" t="s">
        <v>43</v>
      </c>
      <c r="G6427" t="s">
        <v>34</v>
      </c>
      <c r="H6427" t="s">
        <v>18</v>
      </c>
      <c r="I6427" t="s">
        <v>41</v>
      </c>
      <c r="J6427" t="s">
        <v>638</v>
      </c>
      <c r="K6427" t="s">
        <v>22854</v>
      </c>
      <c r="L6427" t="s">
        <v>639</v>
      </c>
      <c r="M6427" t="s">
        <v>1233</v>
      </c>
      <c r="N6427" t="s">
        <v>1233</v>
      </c>
      <c r="O6427" t="s">
        <v>23</v>
      </c>
      <c r="P6427" t="s">
        <v>24</v>
      </c>
      <c r="Q6427" t="s">
        <v>642</v>
      </c>
      <c r="R6427" t="s">
        <v>1214</v>
      </c>
    </row>
    <row r="6428" spans="1:18" x14ac:dyDescent="0.25">
      <c r="A6428" t="s">
        <v>14687</v>
      </c>
      <c r="B6428" t="s">
        <v>7998</v>
      </c>
      <c r="C6428" t="str">
        <f>HYPERLINK("https://nematode.unl.edu/mesavo21.jpg")</f>
        <v>https://nematode.unl.edu/mesavo21.jpg</v>
      </c>
      <c r="D6428" t="s">
        <v>43</v>
      </c>
      <c r="G6428" t="s">
        <v>28</v>
      </c>
      <c r="I6428" t="s">
        <v>41</v>
      </c>
      <c r="J6428" t="s">
        <v>638</v>
      </c>
      <c r="K6428" t="s">
        <v>22854</v>
      </c>
      <c r="L6428" t="s">
        <v>639</v>
      </c>
      <c r="M6428" t="s">
        <v>1233</v>
      </c>
      <c r="N6428" t="s">
        <v>1233</v>
      </c>
      <c r="O6428" t="s">
        <v>23</v>
      </c>
      <c r="P6428" t="s">
        <v>24</v>
      </c>
      <c r="Q6428" t="s">
        <v>642</v>
      </c>
      <c r="R6428" t="s">
        <v>1214</v>
      </c>
    </row>
    <row r="6429" spans="1:18" x14ac:dyDescent="0.25">
      <c r="A6429" t="s">
        <v>15135</v>
      </c>
      <c r="B6429" t="s">
        <v>8514</v>
      </c>
      <c r="C6429" t="str">
        <f>HYPERLINK("https://nematode.unl.edu/mesavo22.jpg")</f>
        <v>https://nematode.unl.edu/mesavo22.jpg</v>
      </c>
      <c r="D6429" t="s">
        <v>16</v>
      </c>
      <c r="G6429" t="s">
        <v>44</v>
      </c>
      <c r="I6429" t="s">
        <v>19</v>
      </c>
      <c r="J6429" t="s">
        <v>638</v>
      </c>
      <c r="K6429" t="s">
        <v>22854</v>
      </c>
      <c r="L6429" t="s">
        <v>639</v>
      </c>
      <c r="M6429" t="s">
        <v>8448</v>
      </c>
      <c r="N6429" t="s">
        <v>8448</v>
      </c>
      <c r="O6429" t="s">
        <v>23</v>
      </c>
      <c r="P6429" t="s">
        <v>24</v>
      </c>
      <c r="Q6429" t="s">
        <v>642</v>
      </c>
      <c r="R6429" t="s">
        <v>1214</v>
      </c>
    </row>
    <row r="6430" spans="1:18" x14ac:dyDescent="0.25">
      <c r="A6430" t="s">
        <v>15110</v>
      </c>
      <c r="B6430" t="s">
        <v>8515</v>
      </c>
      <c r="C6430" t="str">
        <f>HYPERLINK("https://nematode.unl.edu/mesavo23.jpg")</f>
        <v>https://nematode.unl.edu/mesavo23.jpg</v>
      </c>
      <c r="D6430" t="s">
        <v>16</v>
      </c>
      <c r="G6430" t="s">
        <v>34</v>
      </c>
      <c r="H6430" t="s">
        <v>18</v>
      </c>
      <c r="I6430" t="s">
        <v>41</v>
      </c>
      <c r="J6430" t="s">
        <v>638</v>
      </c>
      <c r="K6430" t="s">
        <v>22854</v>
      </c>
      <c r="L6430" t="s">
        <v>639</v>
      </c>
      <c r="M6430" t="s">
        <v>8448</v>
      </c>
      <c r="N6430" t="s">
        <v>8448</v>
      </c>
      <c r="O6430" t="s">
        <v>23</v>
      </c>
      <c r="P6430" t="s">
        <v>24</v>
      </c>
      <c r="Q6430" t="s">
        <v>642</v>
      </c>
      <c r="R6430" t="s">
        <v>1214</v>
      </c>
    </row>
    <row r="6431" spans="1:18" x14ac:dyDescent="0.25">
      <c r="A6431" t="s">
        <v>15162</v>
      </c>
      <c r="B6431" t="s">
        <v>8516</v>
      </c>
      <c r="C6431" t="str">
        <f>HYPERLINK("https://nematode.unl.edu/mesavo24.jpg")</f>
        <v>https://nematode.unl.edu/mesavo24.jpg</v>
      </c>
      <c r="D6431" t="s">
        <v>16</v>
      </c>
      <c r="G6431" t="s">
        <v>28</v>
      </c>
      <c r="I6431" t="s">
        <v>41</v>
      </c>
      <c r="J6431" t="s">
        <v>638</v>
      </c>
      <c r="K6431" t="s">
        <v>22854</v>
      </c>
      <c r="L6431" t="s">
        <v>639</v>
      </c>
      <c r="M6431" t="s">
        <v>8448</v>
      </c>
      <c r="N6431" t="s">
        <v>8448</v>
      </c>
      <c r="O6431" t="s">
        <v>23</v>
      </c>
      <c r="P6431" t="s">
        <v>24</v>
      </c>
      <c r="Q6431" t="s">
        <v>642</v>
      </c>
      <c r="R6431" t="s">
        <v>1214</v>
      </c>
    </row>
    <row r="6432" spans="1:18" x14ac:dyDescent="0.25">
      <c r="A6432" t="s">
        <v>14732</v>
      </c>
      <c r="B6432" t="s">
        <v>1239</v>
      </c>
      <c r="C6432" t="str">
        <f>HYPERLINK("https://nematode.unl.edu/mesavo25.jpg")</f>
        <v>https://nematode.unl.edu/mesavo25.jpg</v>
      </c>
      <c r="D6432" t="s">
        <v>43</v>
      </c>
      <c r="G6432" t="s">
        <v>44</v>
      </c>
      <c r="I6432" t="s">
        <v>19</v>
      </c>
      <c r="J6432" t="s">
        <v>638</v>
      </c>
      <c r="K6432" t="s">
        <v>22854</v>
      </c>
      <c r="L6432" t="s">
        <v>639</v>
      </c>
      <c r="M6432" t="s">
        <v>1240</v>
      </c>
      <c r="N6432" t="s">
        <v>1233</v>
      </c>
      <c r="O6432" t="s">
        <v>23</v>
      </c>
      <c r="P6432" t="s">
        <v>24</v>
      </c>
      <c r="Q6432" t="s">
        <v>642</v>
      </c>
      <c r="R6432" t="s">
        <v>1214</v>
      </c>
    </row>
    <row r="6433" spans="1:18" x14ac:dyDescent="0.25">
      <c r="A6433" t="s">
        <v>14730</v>
      </c>
      <c r="B6433" t="s">
        <v>1241</v>
      </c>
      <c r="C6433" t="str">
        <f>HYPERLINK("https://nematode.unl.edu/mesavo26.jpg")</f>
        <v>https://nematode.unl.edu/mesavo26.jpg</v>
      </c>
      <c r="D6433" t="s">
        <v>43</v>
      </c>
      <c r="G6433" t="s">
        <v>34</v>
      </c>
      <c r="H6433" t="s">
        <v>18</v>
      </c>
      <c r="J6433" t="s">
        <v>638</v>
      </c>
      <c r="K6433" t="s">
        <v>22854</v>
      </c>
      <c r="L6433" t="s">
        <v>639</v>
      </c>
      <c r="M6433" t="s">
        <v>1240</v>
      </c>
      <c r="N6433" t="s">
        <v>1233</v>
      </c>
      <c r="O6433" t="s">
        <v>23</v>
      </c>
      <c r="P6433" t="s">
        <v>24</v>
      </c>
      <c r="Q6433" t="s">
        <v>642</v>
      </c>
      <c r="R6433" t="s">
        <v>1214</v>
      </c>
    </row>
    <row r="6434" spans="1:18" x14ac:dyDescent="0.25">
      <c r="A6434" t="s">
        <v>14361</v>
      </c>
      <c r="B6434" t="s">
        <v>7999</v>
      </c>
      <c r="C6434" t="str">
        <f>HYPERLINK("https://nematode.unl.edu/mesavo27.jpg")</f>
        <v>https://nematode.unl.edu/mesavo27.jpg</v>
      </c>
      <c r="D6434" t="s">
        <v>43</v>
      </c>
      <c r="G6434" t="s">
        <v>34</v>
      </c>
      <c r="H6434" t="s">
        <v>18</v>
      </c>
      <c r="J6434" t="s">
        <v>638</v>
      </c>
      <c r="K6434" t="s">
        <v>22854</v>
      </c>
      <c r="L6434" t="s">
        <v>639</v>
      </c>
      <c r="M6434" t="s">
        <v>1233</v>
      </c>
      <c r="N6434" t="s">
        <v>1233</v>
      </c>
      <c r="O6434" t="s">
        <v>23</v>
      </c>
      <c r="P6434" t="s">
        <v>24</v>
      </c>
      <c r="Q6434" t="s">
        <v>642</v>
      </c>
      <c r="R6434" t="s">
        <v>1214</v>
      </c>
    </row>
    <row r="6435" spans="1:18" x14ac:dyDescent="0.25">
      <c r="A6435" t="s">
        <v>14733</v>
      </c>
      <c r="B6435" t="s">
        <v>1242</v>
      </c>
      <c r="C6435" t="str">
        <f>HYPERLINK("https://nematode.unl.edu/mesavo28.jpg")</f>
        <v>https://nematode.unl.edu/mesavo28.jpg</v>
      </c>
      <c r="D6435" t="s">
        <v>43</v>
      </c>
      <c r="G6435" t="s">
        <v>28</v>
      </c>
      <c r="J6435" t="s">
        <v>638</v>
      </c>
      <c r="K6435" t="s">
        <v>22854</v>
      </c>
      <c r="L6435" t="s">
        <v>639</v>
      </c>
      <c r="M6435" t="s">
        <v>1240</v>
      </c>
      <c r="N6435" t="s">
        <v>1233</v>
      </c>
      <c r="O6435" t="s">
        <v>23</v>
      </c>
      <c r="P6435" t="s">
        <v>24</v>
      </c>
      <c r="Q6435" t="s">
        <v>642</v>
      </c>
      <c r="R6435" t="s">
        <v>1214</v>
      </c>
    </row>
    <row r="6436" spans="1:18" x14ac:dyDescent="0.25">
      <c r="A6436" t="s">
        <v>14734</v>
      </c>
      <c r="B6436" t="s">
        <v>1243</v>
      </c>
      <c r="C6436" t="str">
        <f>HYPERLINK("https://nematode.unl.edu/mesavo29.jpg")</f>
        <v>https://nematode.unl.edu/mesavo29.jpg</v>
      </c>
      <c r="D6436" t="s">
        <v>43</v>
      </c>
      <c r="G6436" t="s">
        <v>28</v>
      </c>
      <c r="I6436" t="s">
        <v>41</v>
      </c>
      <c r="J6436" t="s">
        <v>638</v>
      </c>
      <c r="K6436" t="s">
        <v>22854</v>
      </c>
      <c r="L6436" t="s">
        <v>639</v>
      </c>
      <c r="M6436" t="s">
        <v>1240</v>
      </c>
      <c r="N6436" t="s">
        <v>1233</v>
      </c>
      <c r="O6436" t="s">
        <v>23</v>
      </c>
      <c r="P6436" t="s">
        <v>24</v>
      </c>
      <c r="Q6436" t="s">
        <v>642</v>
      </c>
      <c r="R6436" t="s">
        <v>1214</v>
      </c>
    </row>
    <row r="6437" spans="1:18" x14ac:dyDescent="0.25">
      <c r="A6437" t="s">
        <v>14731</v>
      </c>
      <c r="B6437" t="s">
        <v>1244</v>
      </c>
      <c r="C6437" t="str">
        <f>HYPERLINK("https://nematode.unl.edu/mesavo3.jpg")</f>
        <v>https://nematode.unl.edu/mesavo3.jpg</v>
      </c>
      <c r="D6437" t="s">
        <v>43</v>
      </c>
      <c r="G6437" t="s">
        <v>34</v>
      </c>
      <c r="H6437" t="s">
        <v>18</v>
      </c>
      <c r="I6437" t="s">
        <v>41</v>
      </c>
      <c r="J6437" t="s">
        <v>638</v>
      </c>
      <c r="K6437" t="s">
        <v>22854</v>
      </c>
      <c r="L6437" t="s">
        <v>639</v>
      </c>
      <c r="M6437" t="s">
        <v>1240</v>
      </c>
      <c r="N6437" t="s">
        <v>1233</v>
      </c>
      <c r="O6437" t="s">
        <v>23</v>
      </c>
      <c r="P6437" t="s">
        <v>24</v>
      </c>
      <c r="Q6437" t="s">
        <v>642</v>
      </c>
      <c r="R6437" t="s">
        <v>1214</v>
      </c>
    </row>
    <row r="6438" spans="1:18" x14ac:dyDescent="0.25">
      <c r="A6438" t="s">
        <v>14688</v>
      </c>
      <c r="B6438" t="s">
        <v>8000</v>
      </c>
      <c r="C6438" t="str">
        <f>HYPERLINK("https://nematode.unl.edu/mesavo4.jpg")</f>
        <v>https://nematode.unl.edu/mesavo4.jpg</v>
      </c>
      <c r="D6438" t="s">
        <v>43</v>
      </c>
      <c r="G6438" t="s">
        <v>28</v>
      </c>
      <c r="I6438" t="s">
        <v>41</v>
      </c>
      <c r="J6438" t="s">
        <v>638</v>
      </c>
      <c r="K6438" t="s">
        <v>22854</v>
      </c>
      <c r="L6438" t="s">
        <v>639</v>
      </c>
      <c r="M6438" t="s">
        <v>1233</v>
      </c>
      <c r="N6438" t="s">
        <v>1233</v>
      </c>
      <c r="O6438" t="s">
        <v>23</v>
      </c>
      <c r="P6438" t="s">
        <v>24</v>
      </c>
      <c r="Q6438" t="s">
        <v>642</v>
      </c>
      <c r="R6438" t="s">
        <v>1214</v>
      </c>
    </row>
    <row r="6439" spans="1:18" x14ac:dyDescent="0.25">
      <c r="A6439" t="s">
        <v>14689</v>
      </c>
      <c r="B6439" t="s">
        <v>8001</v>
      </c>
      <c r="C6439" t="str">
        <f>HYPERLINK("https://nematode.unl.edu/mesavo5.jpg")</f>
        <v>https://nematode.unl.edu/mesavo5.jpg</v>
      </c>
      <c r="D6439" t="s">
        <v>43</v>
      </c>
      <c r="G6439" t="s">
        <v>28</v>
      </c>
      <c r="I6439" t="s">
        <v>41</v>
      </c>
      <c r="J6439" t="s">
        <v>638</v>
      </c>
      <c r="K6439" t="s">
        <v>22854</v>
      </c>
      <c r="L6439" t="s">
        <v>639</v>
      </c>
      <c r="M6439" t="s">
        <v>1233</v>
      </c>
      <c r="N6439" t="s">
        <v>1233</v>
      </c>
      <c r="O6439" t="s">
        <v>23</v>
      </c>
      <c r="P6439" t="s">
        <v>24</v>
      </c>
      <c r="Q6439" t="s">
        <v>642</v>
      </c>
      <c r="R6439" t="s">
        <v>1214</v>
      </c>
    </row>
    <row r="6440" spans="1:18" x14ac:dyDescent="0.25">
      <c r="A6440" t="s">
        <v>14515</v>
      </c>
      <c r="B6440" t="s">
        <v>8002</v>
      </c>
      <c r="C6440" t="str">
        <f>HYPERLINK("https://nematode.unl.edu/mesavo6.jpg")</f>
        <v>https://nematode.unl.edu/mesavo6.jpg</v>
      </c>
      <c r="D6440" t="s">
        <v>16</v>
      </c>
      <c r="G6440" t="s">
        <v>44</v>
      </c>
      <c r="I6440" t="s">
        <v>19</v>
      </c>
      <c r="J6440" t="s">
        <v>638</v>
      </c>
      <c r="K6440" t="s">
        <v>22854</v>
      </c>
      <c r="L6440" t="s">
        <v>639</v>
      </c>
      <c r="M6440" t="s">
        <v>1233</v>
      </c>
      <c r="N6440" t="s">
        <v>1233</v>
      </c>
      <c r="O6440" t="s">
        <v>23</v>
      </c>
      <c r="P6440" t="s">
        <v>24</v>
      </c>
      <c r="Q6440" t="s">
        <v>642</v>
      </c>
      <c r="R6440" t="s">
        <v>1214</v>
      </c>
    </row>
    <row r="6441" spans="1:18" x14ac:dyDescent="0.25">
      <c r="A6441" t="s">
        <v>14362</v>
      </c>
      <c r="B6441" t="s">
        <v>8003</v>
      </c>
      <c r="C6441" t="str">
        <f>HYPERLINK("https://nematode.unl.edu/mesavo7.jpg")</f>
        <v>https://nematode.unl.edu/mesavo7.jpg</v>
      </c>
      <c r="D6441" t="s">
        <v>16</v>
      </c>
      <c r="G6441" t="s">
        <v>34</v>
      </c>
      <c r="H6441" t="s">
        <v>18</v>
      </c>
      <c r="I6441" t="s">
        <v>41</v>
      </c>
      <c r="J6441" t="s">
        <v>638</v>
      </c>
      <c r="K6441" t="s">
        <v>22854</v>
      </c>
      <c r="L6441" t="s">
        <v>639</v>
      </c>
      <c r="M6441" t="s">
        <v>1233</v>
      </c>
      <c r="N6441" t="s">
        <v>1233</v>
      </c>
      <c r="O6441" t="s">
        <v>23</v>
      </c>
      <c r="P6441" t="s">
        <v>24</v>
      </c>
      <c r="Q6441" t="s">
        <v>642</v>
      </c>
      <c r="R6441" t="s">
        <v>1214</v>
      </c>
    </row>
    <row r="6442" spans="1:18" x14ac:dyDescent="0.25">
      <c r="A6442" t="s">
        <v>14690</v>
      </c>
      <c r="B6442" t="s">
        <v>8004</v>
      </c>
      <c r="C6442" t="str">
        <f>HYPERLINK("https://nematode.unl.edu/mesavo8.jpg")</f>
        <v>https://nematode.unl.edu/mesavo8.jpg</v>
      </c>
      <c r="D6442" t="s">
        <v>16</v>
      </c>
      <c r="G6442" t="s">
        <v>28</v>
      </c>
      <c r="I6442" t="s">
        <v>41</v>
      </c>
      <c r="J6442" t="s">
        <v>638</v>
      </c>
      <c r="K6442" t="s">
        <v>22854</v>
      </c>
      <c r="L6442" t="s">
        <v>639</v>
      </c>
      <c r="M6442" t="s">
        <v>1233</v>
      </c>
      <c r="N6442" t="s">
        <v>1233</v>
      </c>
      <c r="O6442" t="s">
        <v>23</v>
      </c>
      <c r="P6442" t="s">
        <v>24</v>
      </c>
      <c r="Q6442" t="s">
        <v>642</v>
      </c>
      <c r="R6442" t="s">
        <v>1214</v>
      </c>
    </row>
    <row r="6443" spans="1:18" x14ac:dyDescent="0.25">
      <c r="A6443" t="s">
        <v>14691</v>
      </c>
      <c r="B6443" t="s">
        <v>8005</v>
      </c>
      <c r="C6443" t="str">
        <f>HYPERLINK("https://nematode.unl.edu/mesavo9.jpg")</f>
        <v>https://nematode.unl.edu/mesavo9.jpg</v>
      </c>
      <c r="D6443" t="s">
        <v>16</v>
      </c>
      <c r="G6443" t="s">
        <v>28</v>
      </c>
      <c r="I6443" t="s">
        <v>41</v>
      </c>
      <c r="J6443" t="s">
        <v>638</v>
      </c>
      <c r="K6443" t="s">
        <v>22854</v>
      </c>
      <c r="L6443" t="s">
        <v>639</v>
      </c>
      <c r="M6443" t="s">
        <v>1233</v>
      </c>
      <c r="N6443" t="s">
        <v>1233</v>
      </c>
      <c r="O6443" t="s">
        <v>23</v>
      </c>
      <c r="P6443" t="s">
        <v>24</v>
      </c>
      <c r="Q6443" t="s">
        <v>642</v>
      </c>
      <c r="R6443" t="s">
        <v>1214</v>
      </c>
    </row>
    <row r="6444" spans="1:18" x14ac:dyDescent="0.25">
      <c r="A6444" t="s">
        <v>14125</v>
      </c>
      <c r="B6444" t="s">
        <v>7420</v>
      </c>
      <c r="C6444" t="str">
        <f>HYPERLINK("https://nematode.unl.edu/meschluc1.jpg")</f>
        <v>https://nematode.unl.edu/meschluc1.jpg</v>
      </c>
      <c r="D6444" t="s">
        <v>43</v>
      </c>
      <c r="G6444" t="s">
        <v>44</v>
      </c>
      <c r="I6444" t="s">
        <v>19</v>
      </c>
      <c r="J6444" t="s">
        <v>1432</v>
      </c>
      <c r="M6444" t="s">
        <v>1214</v>
      </c>
      <c r="N6444" t="s">
        <v>1214</v>
      </c>
      <c r="O6444" t="s">
        <v>23</v>
      </c>
      <c r="P6444" t="s">
        <v>24</v>
      </c>
      <c r="Q6444" t="s">
        <v>642</v>
      </c>
      <c r="R6444" t="s">
        <v>1214</v>
      </c>
    </row>
    <row r="6445" spans="1:18" x14ac:dyDescent="0.25">
      <c r="A6445" t="s">
        <v>14059</v>
      </c>
      <c r="B6445" t="s">
        <v>7421</v>
      </c>
      <c r="C6445" t="str">
        <f>HYPERLINK("https://nematode.unl.edu/meschluc2.jpg")</f>
        <v>https://nematode.unl.edu/meschluc2.jpg</v>
      </c>
      <c r="D6445" t="s">
        <v>43</v>
      </c>
      <c r="G6445" t="s">
        <v>96</v>
      </c>
      <c r="H6445" t="s">
        <v>18</v>
      </c>
      <c r="I6445" t="s">
        <v>41</v>
      </c>
      <c r="J6445" t="s">
        <v>1432</v>
      </c>
      <c r="M6445" t="s">
        <v>1214</v>
      </c>
      <c r="N6445" t="s">
        <v>1214</v>
      </c>
      <c r="O6445" t="s">
        <v>23</v>
      </c>
      <c r="P6445" t="s">
        <v>24</v>
      </c>
      <c r="Q6445" t="s">
        <v>642</v>
      </c>
      <c r="R6445" t="s">
        <v>1214</v>
      </c>
    </row>
    <row r="6446" spans="1:18" x14ac:dyDescent="0.25">
      <c r="A6446" t="s">
        <v>14192</v>
      </c>
      <c r="B6446" t="s">
        <v>7422</v>
      </c>
      <c r="C6446" t="str">
        <f>HYPERLINK("https://nematode.unl.edu/meschluc3.jpg")</f>
        <v>https://nematode.unl.edu/meschluc3.jpg</v>
      </c>
      <c r="D6446" t="s">
        <v>43</v>
      </c>
      <c r="G6446" t="s">
        <v>28</v>
      </c>
      <c r="I6446" t="s">
        <v>41</v>
      </c>
      <c r="J6446" t="s">
        <v>1432</v>
      </c>
      <c r="M6446" t="s">
        <v>1214</v>
      </c>
      <c r="N6446" t="s">
        <v>1214</v>
      </c>
      <c r="O6446" t="s">
        <v>23</v>
      </c>
      <c r="P6446" t="s">
        <v>24</v>
      </c>
      <c r="Q6446" t="s">
        <v>642</v>
      </c>
      <c r="R6446" t="s">
        <v>1214</v>
      </c>
    </row>
    <row r="6447" spans="1:18" x14ac:dyDescent="0.25">
      <c r="A6447" t="s">
        <v>14193</v>
      </c>
      <c r="B6447" t="s">
        <v>7423</v>
      </c>
      <c r="C6447" t="str">
        <f>HYPERLINK("https://nematode.unl.edu/meschluc4.jpg")</f>
        <v>https://nematode.unl.edu/meschluc4.jpg</v>
      </c>
      <c r="D6447" t="s">
        <v>43</v>
      </c>
      <c r="G6447" t="s">
        <v>28</v>
      </c>
      <c r="I6447" t="s">
        <v>41</v>
      </c>
      <c r="J6447" t="s">
        <v>1432</v>
      </c>
      <c r="M6447" t="s">
        <v>1214</v>
      </c>
      <c r="N6447" t="s">
        <v>1214</v>
      </c>
      <c r="O6447" t="s">
        <v>23</v>
      </c>
      <c r="P6447" t="s">
        <v>24</v>
      </c>
      <c r="Q6447" t="s">
        <v>642</v>
      </c>
      <c r="R6447" t="s">
        <v>1214</v>
      </c>
    </row>
    <row r="6448" spans="1:18" x14ac:dyDescent="0.25">
      <c r="A6448" t="s">
        <v>14126</v>
      </c>
      <c r="B6448" t="s">
        <v>7424</v>
      </c>
      <c r="C6448" t="str">
        <f>HYPERLINK("https://nematode.unl.edu/meschluc5.jpg")</f>
        <v>https://nematode.unl.edu/meschluc5.jpg</v>
      </c>
      <c r="D6448" t="s">
        <v>43</v>
      </c>
      <c r="G6448" t="s">
        <v>44</v>
      </c>
      <c r="I6448" t="s">
        <v>19</v>
      </c>
      <c r="J6448" t="s">
        <v>1432</v>
      </c>
      <c r="M6448" t="s">
        <v>1214</v>
      </c>
      <c r="N6448" t="s">
        <v>1214</v>
      </c>
      <c r="O6448" t="s">
        <v>23</v>
      </c>
      <c r="P6448" t="s">
        <v>24</v>
      </c>
      <c r="Q6448" t="s">
        <v>642</v>
      </c>
      <c r="R6448" t="s">
        <v>1214</v>
      </c>
    </row>
    <row r="6449" spans="1:18" x14ac:dyDescent="0.25">
      <c r="A6449" t="s">
        <v>14072</v>
      </c>
      <c r="B6449" t="s">
        <v>7425</v>
      </c>
      <c r="C6449" t="str">
        <f>HYPERLINK("https://nematode.unl.edu/meschluc6.jpg")</f>
        <v>https://nematode.unl.edu/meschluc6.jpg</v>
      </c>
      <c r="D6449" t="s">
        <v>43</v>
      </c>
      <c r="G6449" t="s">
        <v>34</v>
      </c>
      <c r="H6449" t="s">
        <v>18</v>
      </c>
      <c r="I6449" t="s">
        <v>41</v>
      </c>
      <c r="J6449" t="s">
        <v>1432</v>
      </c>
      <c r="M6449" t="s">
        <v>1214</v>
      </c>
      <c r="N6449" t="s">
        <v>1214</v>
      </c>
      <c r="O6449" t="s">
        <v>23</v>
      </c>
      <c r="P6449" t="s">
        <v>24</v>
      </c>
      <c r="Q6449" t="s">
        <v>642</v>
      </c>
      <c r="R6449" t="s">
        <v>1214</v>
      </c>
    </row>
    <row r="6450" spans="1:18" x14ac:dyDescent="0.25">
      <c r="A6450" t="s">
        <v>14194</v>
      </c>
      <c r="B6450" t="s">
        <v>7426</v>
      </c>
      <c r="C6450" t="str">
        <f>HYPERLINK("https://nematode.unl.edu/meschluc7.jpg")</f>
        <v>https://nematode.unl.edu/meschluc7.jpg</v>
      </c>
      <c r="D6450" t="s">
        <v>43</v>
      </c>
      <c r="G6450" t="s">
        <v>28</v>
      </c>
      <c r="J6450" t="s">
        <v>1432</v>
      </c>
      <c r="M6450" t="s">
        <v>1214</v>
      </c>
      <c r="N6450" t="s">
        <v>1214</v>
      </c>
      <c r="O6450" t="s">
        <v>23</v>
      </c>
      <c r="P6450" t="s">
        <v>24</v>
      </c>
      <c r="Q6450" t="s">
        <v>642</v>
      </c>
      <c r="R6450" t="s">
        <v>1214</v>
      </c>
    </row>
    <row r="6451" spans="1:18" x14ac:dyDescent="0.25">
      <c r="A6451" t="s">
        <v>14171</v>
      </c>
      <c r="B6451" t="s">
        <v>7427</v>
      </c>
      <c r="C6451" t="str">
        <f>HYPERLINK("https://nematode.unl.edu/meschluc8.jpg")</f>
        <v>https://nematode.unl.edu/meschluc8.jpg</v>
      </c>
      <c r="D6451" t="s">
        <v>43</v>
      </c>
      <c r="G6451" t="s">
        <v>224</v>
      </c>
      <c r="M6451" t="s">
        <v>1214</v>
      </c>
      <c r="N6451" t="s">
        <v>1214</v>
      </c>
      <c r="O6451" t="s">
        <v>23</v>
      </c>
      <c r="P6451" t="s">
        <v>24</v>
      </c>
      <c r="Q6451" t="s">
        <v>642</v>
      </c>
      <c r="R6451" t="s">
        <v>1214</v>
      </c>
    </row>
    <row r="6452" spans="1:18" x14ac:dyDescent="0.25">
      <c r="A6452" t="s">
        <v>14195</v>
      </c>
      <c r="B6452" t="s">
        <v>7428</v>
      </c>
      <c r="C6452" t="str">
        <f>HYPERLINK("https://nematode.unl.edu/meschluc9.jpg")</f>
        <v>https://nematode.unl.edu/meschluc9.jpg</v>
      </c>
      <c r="D6452" t="s">
        <v>43</v>
      </c>
      <c r="G6452" t="s">
        <v>28</v>
      </c>
      <c r="I6452" t="s">
        <v>41</v>
      </c>
      <c r="J6452" t="s">
        <v>1432</v>
      </c>
      <c r="M6452" t="s">
        <v>1214</v>
      </c>
      <c r="N6452" t="s">
        <v>1214</v>
      </c>
      <c r="O6452" t="s">
        <v>23</v>
      </c>
      <c r="P6452" t="s">
        <v>24</v>
      </c>
      <c r="Q6452" t="s">
        <v>642</v>
      </c>
      <c r="R6452" t="s">
        <v>1214</v>
      </c>
    </row>
    <row r="6453" spans="1:18" x14ac:dyDescent="0.25">
      <c r="A6453" t="s">
        <v>14127</v>
      </c>
      <c r="B6453" t="s">
        <v>7429</v>
      </c>
      <c r="C6453" t="str">
        <f>HYPERLINK("https://nematode.unl.edu/meschluck2.jpg")</f>
        <v>https://nematode.unl.edu/meschluck2.jpg</v>
      </c>
      <c r="D6453" t="s">
        <v>43</v>
      </c>
      <c r="G6453" t="s">
        <v>44</v>
      </c>
      <c r="I6453" t="s">
        <v>19</v>
      </c>
      <c r="J6453" t="s">
        <v>1432</v>
      </c>
      <c r="L6453" t="s">
        <v>7430</v>
      </c>
      <c r="M6453" t="s">
        <v>1214</v>
      </c>
      <c r="N6453" t="s">
        <v>1214</v>
      </c>
      <c r="O6453" t="s">
        <v>23</v>
      </c>
      <c r="P6453" t="s">
        <v>24</v>
      </c>
      <c r="Q6453" t="s">
        <v>642</v>
      </c>
      <c r="R6453" t="s">
        <v>1214</v>
      </c>
    </row>
    <row r="6454" spans="1:18" x14ac:dyDescent="0.25">
      <c r="A6454" t="s">
        <v>14073</v>
      </c>
      <c r="B6454" t="s">
        <v>7431</v>
      </c>
      <c r="C6454" t="str">
        <f>HYPERLINK("https://nematode.unl.edu/meschluck3.jpg")</f>
        <v>https://nematode.unl.edu/meschluck3.jpg</v>
      </c>
      <c r="D6454" t="s">
        <v>43</v>
      </c>
      <c r="G6454" t="s">
        <v>34</v>
      </c>
      <c r="H6454" t="s">
        <v>18</v>
      </c>
      <c r="J6454" t="s">
        <v>1432</v>
      </c>
      <c r="M6454" t="s">
        <v>1214</v>
      </c>
      <c r="N6454" t="s">
        <v>1214</v>
      </c>
      <c r="O6454" t="s">
        <v>23</v>
      </c>
      <c r="P6454" t="s">
        <v>24</v>
      </c>
      <c r="Q6454" t="s">
        <v>642</v>
      </c>
      <c r="R6454" t="s">
        <v>1214</v>
      </c>
    </row>
    <row r="6455" spans="1:18" x14ac:dyDescent="0.25">
      <c r="A6455" t="s">
        <v>14196</v>
      </c>
      <c r="B6455" t="s">
        <v>7432</v>
      </c>
      <c r="C6455" t="str">
        <f>HYPERLINK("https://nematode.unl.edu/meschluck4.jpg")</f>
        <v>https://nematode.unl.edu/meschluck4.jpg</v>
      </c>
      <c r="D6455" t="s">
        <v>43</v>
      </c>
      <c r="G6455" t="s">
        <v>28</v>
      </c>
      <c r="J6455" t="s">
        <v>1432</v>
      </c>
      <c r="M6455" t="s">
        <v>1214</v>
      </c>
      <c r="N6455" t="s">
        <v>1214</v>
      </c>
      <c r="O6455" t="s">
        <v>23</v>
      </c>
      <c r="P6455" t="s">
        <v>24</v>
      </c>
      <c r="Q6455" t="s">
        <v>642</v>
      </c>
      <c r="R6455" t="s">
        <v>1214</v>
      </c>
    </row>
    <row r="6456" spans="1:18" x14ac:dyDescent="0.25">
      <c r="A6456" t="s">
        <v>14128</v>
      </c>
      <c r="B6456" t="s">
        <v>7433</v>
      </c>
      <c r="C6456" t="str">
        <f>HYPERLINK("https://nematode.unl.edu/meschluck5.jpg")</f>
        <v>https://nematode.unl.edu/meschluck5.jpg</v>
      </c>
      <c r="D6456" t="s">
        <v>43</v>
      </c>
      <c r="G6456" t="s">
        <v>44</v>
      </c>
      <c r="I6456" t="s">
        <v>41</v>
      </c>
      <c r="J6456" t="s">
        <v>1432</v>
      </c>
      <c r="M6456" t="s">
        <v>1214</v>
      </c>
      <c r="N6456" t="s">
        <v>1214</v>
      </c>
      <c r="O6456" t="s">
        <v>23</v>
      </c>
      <c r="P6456" t="s">
        <v>24</v>
      </c>
      <c r="Q6456" t="s">
        <v>642</v>
      </c>
      <c r="R6456" t="s">
        <v>1214</v>
      </c>
    </row>
    <row r="6457" spans="1:18" x14ac:dyDescent="0.25">
      <c r="A6457" t="s">
        <v>14102</v>
      </c>
      <c r="B6457" s="1" t="s">
        <v>7434</v>
      </c>
      <c r="C6457" s="1" t="str">
        <f>HYPERLINK("https://nematode.unl.edu/meschluck6.jpg")</f>
        <v>https://nematode.unl.edu/meschluck6.jpg</v>
      </c>
      <c r="D6457" t="s">
        <v>43</v>
      </c>
      <c r="G6457" t="s">
        <v>7435</v>
      </c>
      <c r="J6457" t="s">
        <v>1432</v>
      </c>
      <c r="L6457" t="s">
        <v>7430</v>
      </c>
      <c r="M6457" t="s">
        <v>1214</v>
      </c>
      <c r="N6457" t="s">
        <v>1214</v>
      </c>
      <c r="O6457" t="s">
        <v>23</v>
      </c>
      <c r="P6457" t="s">
        <v>24</v>
      </c>
      <c r="Q6457" t="s">
        <v>642</v>
      </c>
      <c r="R6457" t="s">
        <v>1214</v>
      </c>
    </row>
    <row r="6458" spans="1:18" x14ac:dyDescent="0.25">
      <c r="A6458" t="s">
        <v>14363</v>
      </c>
      <c r="B6458" t="s">
        <v>8006</v>
      </c>
      <c r="C6458" t="str">
        <f>HYPERLINK("https://nematode.unl.edu/mescu10.jpg")</f>
        <v>https://nematode.unl.edu/mescu10.jpg</v>
      </c>
      <c r="D6458" t="s">
        <v>43</v>
      </c>
      <c r="G6458" t="s">
        <v>34</v>
      </c>
      <c r="H6458" t="s">
        <v>18</v>
      </c>
      <c r="I6458" t="s">
        <v>19</v>
      </c>
      <c r="M6458" t="s">
        <v>1233</v>
      </c>
      <c r="N6458" t="s">
        <v>1233</v>
      </c>
      <c r="O6458" t="s">
        <v>23</v>
      </c>
      <c r="P6458" t="s">
        <v>24</v>
      </c>
      <c r="Q6458" t="s">
        <v>642</v>
      </c>
      <c r="R6458" t="s">
        <v>1214</v>
      </c>
    </row>
    <row r="6459" spans="1:18" x14ac:dyDescent="0.25">
      <c r="A6459" t="s">
        <v>14692</v>
      </c>
      <c r="B6459" t="s">
        <v>8007</v>
      </c>
      <c r="C6459" t="str">
        <f>HYPERLINK("https://nematode.unl.edu/mescu11.jpg")</f>
        <v>https://nematode.unl.edu/mescu11.jpg</v>
      </c>
      <c r="D6459" t="s">
        <v>43</v>
      </c>
      <c r="G6459" t="s">
        <v>28</v>
      </c>
      <c r="J6459" t="s">
        <v>20</v>
      </c>
      <c r="L6459" t="s">
        <v>64</v>
      </c>
      <c r="M6459" t="s">
        <v>1233</v>
      </c>
      <c r="N6459" t="s">
        <v>1233</v>
      </c>
      <c r="O6459" t="s">
        <v>23</v>
      </c>
      <c r="P6459" t="s">
        <v>24</v>
      </c>
      <c r="Q6459" t="s">
        <v>642</v>
      </c>
      <c r="R6459" t="s">
        <v>1214</v>
      </c>
    </row>
    <row r="6460" spans="1:18" x14ac:dyDescent="0.25">
      <c r="A6460" t="s">
        <v>14516</v>
      </c>
      <c r="B6460" t="s">
        <v>8008</v>
      </c>
      <c r="C6460" t="str">
        <f>HYPERLINK("https://nematode.unl.edu/mescu13.jpg")</f>
        <v>https://nematode.unl.edu/mescu13.jpg</v>
      </c>
      <c r="D6460" t="s">
        <v>16</v>
      </c>
      <c r="G6460" t="s">
        <v>44</v>
      </c>
      <c r="I6460" t="s">
        <v>516</v>
      </c>
      <c r="J6460" t="s">
        <v>20</v>
      </c>
      <c r="L6460" t="s">
        <v>85</v>
      </c>
      <c r="M6460" t="s">
        <v>1233</v>
      </c>
      <c r="N6460" t="s">
        <v>1233</v>
      </c>
      <c r="O6460" t="s">
        <v>23</v>
      </c>
      <c r="P6460" t="s">
        <v>24</v>
      </c>
      <c r="Q6460" t="s">
        <v>642</v>
      </c>
      <c r="R6460" t="s">
        <v>1214</v>
      </c>
    </row>
    <row r="6461" spans="1:18" x14ac:dyDescent="0.25">
      <c r="A6461" t="s">
        <v>14517</v>
      </c>
      <c r="B6461" t="s">
        <v>8009</v>
      </c>
      <c r="C6461" t="str">
        <f>HYPERLINK("https://nematode.unl.edu/mescu14.jpg")</f>
        <v>https://nematode.unl.edu/mescu14.jpg</v>
      </c>
      <c r="D6461" t="s">
        <v>43</v>
      </c>
      <c r="G6461" t="s">
        <v>44</v>
      </c>
      <c r="I6461" t="s">
        <v>516</v>
      </c>
      <c r="J6461" t="s">
        <v>20</v>
      </c>
      <c r="L6461" t="s">
        <v>85</v>
      </c>
      <c r="M6461" t="s">
        <v>1233</v>
      </c>
      <c r="N6461" t="s">
        <v>1233</v>
      </c>
      <c r="O6461" t="s">
        <v>23</v>
      </c>
      <c r="P6461" t="s">
        <v>24</v>
      </c>
      <c r="Q6461" t="s">
        <v>642</v>
      </c>
      <c r="R6461" t="s">
        <v>1214</v>
      </c>
    </row>
    <row r="6462" spans="1:18" x14ac:dyDescent="0.25">
      <c r="A6462" t="s">
        <v>14237</v>
      </c>
      <c r="B6462" t="s">
        <v>8010</v>
      </c>
      <c r="C6462" t="str">
        <f>HYPERLINK("https://nematode.unl.edu/mescu15.jpg")</f>
        <v>https://nematode.unl.edu/mescu15.jpg</v>
      </c>
      <c r="D6462" t="s">
        <v>16</v>
      </c>
      <c r="G6462" t="s">
        <v>96</v>
      </c>
      <c r="H6462" t="s">
        <v>18</v>
      </c>
      <c r="I6462" t="s">
        <v>19</v>
      </c>
      <c r="J6462" t="s">
        <v>20</v>
      </c>
      <c r="L6462" t="s">
        <v>85</v>
      </c>
      <c r="M6462" t="s">
        <v>1233</v>
      </c>
      <c r="N6462" t="s">
        <v>1233</v>
      </c>
      <c r="O6462" t="s">
        <v>23</v>
      </c>
      <c r="P6462" t="s">
        <v>24</v>
      </c>
      <c r="Q6462" t="s">
        <v>642</v>
      </c>
      <c r="R6462" t="s">
        <v>1214</v>
      </c>
    </row>
    <row r="6463" spans="1:18" x14ac:dyDescent="0.25">
      <c r="A6463" t="s">
        <v>14556</v>
      </c>
      <c r="B6463" t="s">
        <v>8011</v>
      </c>
      <c r="C6463" t="str">
        <f>HYPERLINK("https://nematode.unl.edu/mescu16.jpg")</f>
        <v>https://nematode.unl.edu/mescu16.jpg</v>
      </c>
      <c r="D6463" t="s">
        <v>16</v>
      </c>
      <c r="G6463" t="s">
        <v>181</v>
      </c>
      <c r="I6463" t="s">
        <v>19</v>
      </c>
      <c r="J6463" t="s">
        <v>20</v>
      </c>
      <c r="L6463" t="s">
        <v>85</v>
      </c>
      <c r="M6463" t="s">
        <v>1233</v>
      </c>
      <c r="N6463" t="s">
        <v>1233</v>
      </c>
      <c r="O6463" t="s">
        <v>23</v>
      </c>
      <c r="P6463" t="s">
        <v>24</v>
      </c>
      <c r="Q6463" t="s">
        <v>642</v>
      </c>
      <c r="R6463" t="s">
        <v>1214</v>
      </c>
    </row>
    <row r="6464" spans="1:18" x14ac:dyDescent="0.25">
      <c r="A6464" t="s">
        <v>14238</v>
      </c>
      <c r="B6464" t="s">
        <v>8012</v>
      </c>
      <c r="C6464" t="str">
        <f>HYPERLINK("https://nematode.unl.edu/mescu17.jpg")</f>
        <v>https://nematode.unl.edu/mescu17.jpg</v>
      </c>
      <c r="D6464" t="s">
        <v>16</v>
      </c>
      <c r="G6464" t="s">
        <v>96</v>
      </c>
      <c r="H6464" t="s">
        <v>18</v>
      </c>
      <c r="I6464" t="s">
        <v>19</v>
      </c>
      <c r="J6464" t="s">
        <v>20</v>
      </c>
      <c r="L6464" t="s">
        <v>85</v>
      </c>
      <c r="M6464" t="s">
        <v>1233</v>
      </c>
      <c r="N6464" t="s">
        <v>1233</v>
      </c>
      <c r="O6464" t="s">
        <v>23</v>
      </c>
      <c r="P6464" t="s">
        <v>24</v>
      </c>
      <c r="Q6464" t="s">
        <v>642</v>
      </c>
      <c r="R6464" t="s">
        <v>1214</v>
      </c>
    </row>
    <row r="6465" spans="1:18" x14ac:dyDescent="0.25">
      <c r="A6465" t="s">
        <v>14557</v>
      </c>
      <c r="B6465" t="s">
        <v>8013</v>
      </c>
      <c r="C6465" t="str">
        <f>HYPERLINK("https://nematode.unl.edu/mescu18.jpg")</f>
        <v>https://nematode.unl.edu/mescu18.jpg</v>
      </c>
      <c r="D6465" t="s">
        <v>16</v>
      </c>
      <c r="G6465" t="s">
        <v>181</v>
      </c>
      <c r="I6465" t="s">
        <v>19</v>
      </c>
      <c r="J6465" t="s">
        <v>20</v>
      </c>
      <c r="L6465" t="s">
        <v>85</v>
      </c>
      <c r="M6465" t="s">
        <v>1233</v>
      </c>
      <c r="N6465" t="s">
        <v>1233</v>
      </c>
      <c r="O6465" t="s">
        <v>23</v>
      </c>
      <c r="P6465" t="s">
        <v>24</v>
      </c>
      <c r="Q6465" t="s">
        <v>642</v>
      </c>
      <c r="R6465" t="s">
        <v>1214</v>
      </c>
    </row>
    <row r="6466" spans="1:18" x14ac:dyDescent="0.25">
      <c r="A6466" t="s">
        <v>14239</v>
      </c>
      <c r="B6466" t="s">
        <v>8014</v>
      </c>
      <c r="C6466" t="str">
        <f>HYPERLINK("https://nematode.unl.edu/mescu19.jpg")</f>
        <v>https://nematode.unl.edu/mescu19.jpg</v>
      </c>
      <c r="D6466" t="s">
        <v>16</v>
      </c>
      <c r="G6466" t="s">
        <v>96</v>
      </c>
      <c r="H6466" t="s">
        <v>18</v>
      </c>
      <c r="I6466" t="s">
        <v>19</v>
      </c>
      <c r="J6466" t="s">
        <v>20</v>
      </c>
      <c r="L6466" t="s">
        <v>85</v>
      </c>
      <c r="M6466" t="s">
        <v>1233</v>
      </c>
      <c r="N6466" t="s">
        <v>1233</v>
      </c>
      <c r="O6466" t="s">
        <v>23</v>
      </c>
      <c r="P6466" t="s">
        <v>24</v>
      </c>
      <c r="Q6466" t="s">
        <v>642</v>
      </c>
      <c r="R6466" t="s">
        <v>1214</v>
      </c>
    </row>
    <row r="6467" spans="1:18" x14ac:dyDescent="0.25">
      <c r="A6467" t="s">
        <v>14518</v>
      </c>
      <c r="B6467" t="s">
        <v>8015</v>
      </c>
      <c r="C6467" t="str">
        <f>HYPERLINK("https://nematode.unl.edu/mescu2.jpg")</f>
        <v>https://nematode.unl.edu/mescu2.jpg</v>
      </c>
      <c r="D6467" t="s">
        <v>43</v>
      </c>
      <c r="G6467" t="s">
        <v>44</v>
      </c>
      <c r="I6467" t="s">
        <v>45</v>
      </c>
      <c r="J6467" t="s">
        <v>20</v>
      </c>
      <c r="L6467" t="s">
        <v>64</v>
      </c>
      <c r="M6467" t="s">
        <v>1233</v>
      </c>
      <c r="N6467" t="s">
        <v>1233</v>
      </c>
      <c r="O6467" t="s">
        <v>23</v>
      </c>
      <c r="P6467" t="s">
        <v>24</v>
      </c>
      <c r="Q6467" t="s">
        <v>642</v>
      </c>
      <c r="R6467" t="s">
        <v>1214</v>
      </c>
    </row>
    <row r="6468" spans="1:18" x14ac:dyDescent="0.25">
      <c r="A6468" t="s">
        <v>14558</v>
      </c>
      <c r="B6468" t="s">
        <v>8016</v>
      </c>
      <c r="C6468" t="str">
        <f>HYPERLINK("https://nematode.unl.edu/mescu20.jpg")</f>
        <v>https://nematode.unl.edu/mescu20.jpg</v>
      </c>
      <c r="D6468" t="s">
        <v>16</v>
      </c>
      <c r="G6468" t="s">
        <v>181</v>
      </c>
      <c r="I6468" t="s">
        <v>19</v>
      </c>
      <c r="J6468" t="s">
        <v>20</v>
      </c>
      <c r="L6468" t="s">
        <v>85</v>
      </c>
      <c r="M6468" t="s">
        <v>1233</v>
      </c>
      <c r="N6468" t="s">
        <v>1233</v>
      </c>
      <c r="O6468" t="s">
        <v>23</v>
      </c>
      <c r="P6468" t="s">
        <v>24</v>
      </c>
      <c r="Q6468" t="s">
        <v>642</v>
      </c>
      <c r="R6468" t="s">
        <v>1214</v>
      </c>
    </row>
    <row r="6469" spans="1:18" x14ac:dyDescent="0.25">
      <c r="A6469" t="s">
        <v>14240</v>
      </c>
      <c r="B6469" t="s">
        <v>8017</v>
      </c>
      <c r="C6469" t="str">
        <f>HYPERLINK("https://nematode.unl.edu/mescu21.jpg")</f>
        <v>https://nematode.unl.edu/mescu21.jpg</v>
      </c>
      <c r="D6469" t="s">
        <v>16</v>
      </c>
      <c r="G6469" t="s">
        <v>96</v>
      </c>
      <c r="H6469" t="s">
        <v>18</v>
      </c>
      <c r="I6469" t="s">
        <v>19</v>
      </c>
      <c r="J6469" t="s">
        <v>20</v>
      </c>
      <c r="L6469" t="s">
        <v>85</v>
      </c>
      <c r="M6469" t="s">
        <v>1233</v>
      </c>
      <c r="N6469" t="s">
        <v>1233</v>
      </c>
      <c r="O6469" t="s">
        <v>23</v>
      </c>
      <c r="P6469" t="s">
        <v>24</v>
      </c>
      <c r="Q6469" t="s">
        <v>642</v>
      </c>
      <c r="R6469" t="s">
        <v>1214</v>
      </c>
    </row>
    <row r="6470" spans="1:18" x14ac:dyDescent="0.25">
      <c r="A6470" t="s">
        <v>14559</v>
      </c>
      <c r="B6470" t="s">
        <v>8018</v>
      </c>
      <c r="C6470" t="str">
        <f>HYPERLINK("https://nematode.unl.edu/mescu22.jpg")</f>
        <v>https://nematode.unl.edu/mescu22.jpg</v>
      </c>
      <c r="D6470" t="s">
        <v>16</v>
      </c>
      <c r="G6470" t="s">
        <v>181</v>
      </c>
      <c r="I6470" t="s">
        <v>19</v>
      </c>
      <c r="J6470" t="s">
        <v>20</v>
      </c>
      <c r="L6470" t="s">
        <v>85</v>
      </c>
      <c r="M6470" t="s">
        <v>1233</v>
      </c>
      <c r="N6470" t="s">
        <v>1233</v>
      </c>
      <c r="O6470" t="s">
        <v>23</v>
      </c>
      <c r="P6470" t="s">
        <v>24</v>
      </c>
      <c r="Q6470" t="s">
        <v>642</v>
      </c>
      <c r="R6470" t="s">
        <v>1214</v>
      </c>
    </row>
    <row r="6471" spans="1:18" x14ac:dyDescent="0.25">
      <c r="A6471" t="s">
        <v>14364</v>
      </c>
      <c r="B6471" t="s">
        <v>8019</v>
      </c>
      <c r="C6471" t="str">
        <f>HYPERLINK("https://nematode.unl.edu/mescu23.jpg")</f>
        <v>https://nematode.unl.edu/mescu23.jpg</v>
      </c>
      <c r="D6471" t="s">
        <v>16</v>
      </c>
      <c r="G6471" t="s">
        <v>34</v>
      </c>
      <c r="H6471" t="s">
        <v>18</v>
      </c>
      <c r="J6471" t="s">
        <v>20</v>
      </c>
      <c r="L6471" t="s">
        <v>85</v>
      </c>
      <c r="M6471" t="s">
        <v>1233</v>
      </c>
      <c r="N6471" t="s">
        <v>1233</v>
      </c>
      <c r="O6471" t="s">
        <v>23</v>
      </c>
      <c r="P6471" t="s">
        <v>24</v>
      </c>
      <c r="Q6471" t="s">
        <v>642</v>
      </c>
      <c r="R6471" t="s">
        <v>1214</v>
      </c>
    </row>
    <row r="6472" spans="1:18" x14ac:dyDescent="0.25">
      <c r="A6472" t="s">
        <v>14693</v>
      </c>
      <c r="B6472" t="s">
        <v>8020</v>
      </c>
      <c r="C6472" t="str">
        <f>HYPERLINK("https://nematode.unl.edu/mescu24.jpg")</f>
        <v>https://nematode.unl.edu/mescu24.jpg</v>
      </c>
      <c r="D6472" t="s">
        <v>16</v>
      </c>
      <c r="G6472" t="s">
        <v>28</v>
      </c>
      <c r="I6472" t="s">
        <v>19</v>
      </c>
      <c r="J6472" t="s">
        <v>20</v>
      </c>
      <c r="L6472" t="s">
        <v>85</v>
      </c>
      <c r="M6472" t="s">
        <v>1233</v>
      </c>
      <c r="N6472" t="s">
        <v>1233</v>
      </c>
      <c r="O6472" t="s">
        <v>23</v>
      </c>
      <c r="P6472" t="s">
        <v>24</v>
      </c>
      <c r="Q6472" t="s">
        <v>642</v>
      </c>
      <c r="R6472" t="s">
        <v>1214</v>
      </c>
    </row>
    <row r="6473" spans="1:18" x14ac:dyDescent="0.25">
      <c r="A6473" t="s">
        <v>14519</v>
      </c>
      <c r="B6473" t="s">
        <v>8021</v>
      </c>
      <c r="C6473" t="str">
        <f>HYPERLINK("https://nematode.unl.edu/mescu25.jpg")</f>
        <v>https://nematode.unl.edu/mescu25.jpg</v>
      </c>
      <c r="D6473" t="s">
        <v>16</v>
      </c>
      <c r="G6473" t="s">
        <v>44</v>
      </c>
      <c r="I6473" t="s">
        <v>19</v>
      </c>
      <c r="J6473" t="s">
        <v>20</v>
      </c>
      <c r="L6473" t="s">
        <v>85</v>
      </c>
      <c r="M6473" t="s">
        <v>1233</v>
      </c>
      <c r="N6473" t="s">
        <v>1233</v>
      </c>
      <c r="O6473" t="s">
        <v>23</v>
      </c>
      <c r="P6473" t="s">
        <v>24</v>
      </c>
      <c r="Q6473" t="s">
        <v>642</v>
      </c>
      <c r="R6473" t="s">
        <v>1214</v>
      </c>
    </row>
    <row r="6474" spans="1:18" x14ac:dyDescent="0.25">
      <c r="A6474" t="s">
        <v>14520</v>
      </c>
      <c r="B6474" t="s">
        <v>8022</v>
      </c>
      <c r="C6474" t="str">
        <f>HYPERLINK("https://nematode.unl.edu/mescu3.jpg")</f>
        <v>https://nematode.unl.edu/mescu3.jpg</v>
      </c>
      <c r="D6474" t="s">
        <v>43</v>
      </c>
      <c r="G6474" t="s">
        <v>44</v>
      </c>
      <c r="I6474" t="s">
        <v>45</v>
      </c>
      <c r="J6474" t="s">
        <v>20</v>
      </c>
      <c r="L6474" t="s">
        <v>85</v>
      </c>
      <c r="M6474" t="s">
        <v>1233</v>
      </c>
      <c r="N6474" t="s">
        <v>1233</v>
      </c>
      <c r="O6474" t="s">
        <v>23</v>
      </c>
      <c r="P6474" t="s">
        <v>24</v>
      </c>
      <c r="Q6474" t="s">
        <v>642</v>
      </c>
      <c r="R6474" t="s">
        <v>1214</v>
      </c>
    </row>
    <row r="6475" spans="1:18" x14ac:dyDescent="0.25">
      <c r="A6475" t="s">
        <v>14694</v>
      </c>
      <c r="B6475" t="s">
        <v>8023</v>
      </c>
      <c r="C6475" t="str">
        <f>HYPERLINK("https://nematode.unl.edu/mescu4.jpg")</f>
        <v>https://nematode.unl.edu/mescu4.jpg</v>
      </c>
      <c r="D6475" t="s">
        <v>43</v>
      </c>
      <c r="G6475" t="s">
        <v>28</v>
      </c>
      <c r="J6475" t="s">
        <v>20</v>
      </c>
      <c r="L6475" t="s">
        <v>85</v>
      </c>
      <c r="M6475" t="s">
        <v>1233</v>
      </c>
      <c r="N6475" t="s">
        <v>1233</v>
      </c>
      <c r="O6475" t="s">
        <v>23</v>
      </c>
      <c r="P6475" t="s">
        <v>24</v>
      </c>
      <c r="Q6475" t="s">
        <v>642</v>
      </c>
      <c r="R6475" t="s">
        <v>1214</v>
      </c>
    </row>
    <row r="6476" spans="1:18" x14ac:dyDescent="0.25">
      <c r="A6476" t="s">
        <v>14365</v>
      </c>
      <c r="B6476" t="s">
        <v>8024</v>
      </c>
      <c r="C6476" t="str">
        <f>HYPERLINK("https://nematode.unl.edu/mescu5.jpg")</f>
        <v>https://nematode.unl.edu/mescu5.jpg</v>
      </c>
      <c r="D6476" t="s">
        <v>43</v>
      </c>
      <c r="G6476" t="s">
        <v>34</v>
      </c>
      <c r="H6476" t="s">
        <v>18</v>
      </c>
      <c r="I6476" t="s">
        <v>19</v>
      </c>
      <c r="J6476" t="s">
        <v>20</v>
      </c>
      <c r="L6476" t="s">
        <v>85</v>
      </c>
      <c r="M6476" t="s">
        <v>1233</v>
      </c>
      <c r="N6476" t="s">
        <v>1233</v>
      </c>
      <c r="O6476" t="s">
        <v>23</v>
      </c>
      <c r="P6476" t="s">
        <v>24</v>
      </c>
      <c r="Q6476" t="s">
        <v>642</v>
      </c>
      <c r="R6476" t="s">
        <v>1214</v>
      </c>
    </row>
    <row r="6477" spans="1:18" x14ac:dyDescent="0.25">
      <c r="A6477" t="s">
        <v>14366</v>
      </c>
      <c r="B6477" t="s">
        <v>8025</v>
      </c>
      <c r="C6477" t="str">
        <f>HYPERLINK("https://nematode.unl.edu/mescu6.jpg")</f>
        <v>https://nematode.unl.edu/mescu6.jpg</v>
      </c>
      <c r="D6477" t="s">
        <v>43</v>
      </c>
      <c r="G6477" t="s">
        <v>34</v>
      </c>
      <c r="H6477" t="s">
        <v>18</v>
      </c>
      <c r="J6477" t="s">
        <v>20</v>
      </c>
      <c r="L6477" t="s">
        <v>64</v>
      </c>
      <c r="M6477" t="s">
        <v>1233</v>
      </c>
      <c r="N6477" t="s">
        <v>1233</v>
      </c>
      <c r="O6477" t="s">
        <v>23</v>
      </c>
      <c r="P6477" t="s">
        <v>24</v>
      </c>
      <c r="Q6477" t="s">
        <v>642</v>
      </c>
      <c r="R6477" t="s">
        <v>1214</v>
      </c>
    </row>
    <row r="6478" spans="1:18" x14ac:dyDescent="0.25">
      <c r="A6478" t="s">
        <v>14521</v>
      </c>
      <c r="B6478" t="s">
        <v>8026</v>
      </c>
      <c r="C6478" t="str">
        <f>HYPERLINK("https://nematode.unl.edu/mescu7.jpg")</f>
        <v>https://nematode.unl.edu/mescu7.jpg</v>
      </c>
      <c r="D6478" t="s">
        <v>16</v>
      </c>
      <c r="G6478" t="s">
        <v>44</v>
      </c>
      <c r="I6478" t="s">
        <v>45</v>
      </c>
      <c r="J6478" t="s">
        <v>20</v>
      </c>
      <c r="L6478" t="s">
        <v>64</v>
      </c>
      <c r="M6478" t="s">
        <v>1233</v>
      </c>
      <c r="N6478" t="s">
        <v>1233</v>
      </c>
      <c r="O6478" t="s">
        <v>23</v>
      </c>
      <c r="P6478" t="s">
        <v>24</v>
      </c>
      <c r="Q6478" t="s">
        <v>642</v>
      </c>
      <c r="R6478" t="s">
        <v>1214</v>
      </c>
    </row>
    <row r="6479" spans="1:18" x14ac:dyDescent="0.25">
      <c r="A6479" t="s">
        <v>14367</v>
      </c>
      <c r="B6479" t="s">
        <v>8027</v>
      </c>
      <c r="C6479" t="str">
        <f>HYPERLINK("https://nematode.unl.edu/mescu8.jpg")</f>
        <v>https://nematode.unl.edu/mescu8.jpg</v>
      </c>
      <c r="D6479" t="s">
        <v>16</v>
      </c>
      <c r="G6479" t="s">
        <v>34</v>
      </c>
      <c r="H6479" t="s">
        <v>18</v>
      </c>
      <c r="I6479" t="s">
        <v>19</v>
      </c>
      <c r="J6479" t="s">
        <v>20</v>
      </c>
      <c r="L6479" t="s">
        <v>64</v>
      </c>
      <c r="M6479" t="s">
        <v>1233</v>
      </c>
      <c r="N6479" t="s">
        <v>1233</v>
      </c>
      <c r="O6479" t="s">
        <v>23</v>
      </c>
      <c r="P6479" t="s">
        <v>24</v>
      </c>
      <c r="Q6479" t="s">
        <v>642</v>
      </c>
      <c r="R6479" t="s">
        <v>1214</v>
      </c>
    </row>
    <row r="6480" spans="1:18" x14ac:dyDescent="0.25">
      <c r="A6480" t="s">
        <v>14368</v>
      </c>
      <c r="B6480" t="s">
        <v>8028</v>
      </c>
      <c r="C6480" t="str">
        <f>HYPERLINK("https://nematode.unl.edu/mescu9.jpg")</f>
        <v>https://nematode.unl.edu/mescu9.jpg</v>
      </c>
      <c r="D6480" t="s">
        <v>16</v>
      </c>
      <c r="G6480" t="s">
        <v>34</v>
      </c>
      <c r="H6480" t="s">
        <v>18</v>
      </c>
      <c r="I6480" t="s">
        <v>19</v>
      </c>
      <c r="M6480" t="s">
        <v>1233</v>
      </c>
      <c r="N6480" t="s">
        <v>1233</v>
      </c>
      <c r="O6480" t="s">
        <v>23</v>
      </c>
      <c r="P6480" t="s">
        <v>24</v>
      </c>
      <c r="Q6480" t="s">
        <v>642</v>
      </c>
      <c r="R6480" t="s">
        <v>1214</v>
      </c>
    </row>
    <row r="6481" spans="1:18" x14ac:dyDescent="0.25">
      <c r="A6481" t="s">
        <v>14241</v>
      </c>
      <c r="B6481" t="s">
        <v>8029</v>
      </c>
      <c r="C6481" t="str">
        <f>HYPERLINK("https://nematode.unl.edu/mescub1.jpg")</f>
        <v>https://nematode.unl.edu/mescub1.jpg</v>
      </c>
      <c r="D6481" t="s">
        <v>43</v>
      </c>
      <c r="G6481" t="s">
        <v>96</v>
      </c>
      <c r="H6481" t="s">
        <v>18</v>
      </c>
      <c r="I6481" t="s">
        <v>19</v>
      </c>
      <c r="J6481" t="s">
        <v>20</v>
      </c>
      <c r="M6481" t="s">
        <v>1233</v>
      </c>
      <c r="N6481" t="s">
        <v>1233</v>
      </c>
      <c r="O6481" t="s">
        <v>23</v>
      </c>
      <c r="P6481" t="s">
        <v>24</v>
      </c>
      <c r="Q6481" t="s">
        <v>642</v>
      </c>
      <c r="R6481" t="s">
        <v>1214</v>
      </c>
    </row>
    <row r="6482" spans="1:18" x14ac:dyDescent="0.25">
      <c r="A6482" t="s">
        <v>14560</v>
      </c>
      <c r="B6482" t="s">
        <v>8030</v>
      </c>
      <c r="C6482" t="str">
        <f>HYPERLINK("https://nematode.unl.edu/mescub2.jpg")</f>
        <v>https://nematode.unl.edu/mescub2.jpg</v>
      </c>
      <c r="D6482" t="s">
        <v>43</v>
      </c>
      <c r="G6482" t="s">
        <v>181</v>
      </c>
      <c r="I6482" t="s">
        <v>19</v>
      </c>
      <c r="J6482" t="s">
        <v>20</v>
      </c>
      <c r="M6482" t="s">
        <v>1233</v>
      </c>
      <c r="N6482" t="s">
        <v>1233</v>
      </c>
      <c r="O6482" t="s">
        <v>23</v>
      </c>
      <c r="P6482" t="s">
        <v>24</v>
      </c>
      <c r="Q6482" t="s">
        <v>642</v>
      </c>
      <c r="R6482" t="s">
        <v>1214</v>
      </c>
    </row>
    <row r="6483" spans="1:18" x14ac:dyDescent="0.25">
      <c r="A6483" t="s">
        <v>15284</v>
      </c>
      <c r="B6483" t="s">
        <v>8589</v>
      </c>
      <c r="C6483" t="str">
        <f>HYPERLINK("https://nematode.unl.edu/mesculo1.jpg")</f>
        <v>https://nematode.unl.edu/mesculo1.jpg</v>
      </c>
      <c r="D6483" t="s">
        <v>43</v>
      </c>
      <c r="G6483" t="s">
        <v>44</v>
      </c>
      <c r="I6483" t="s">
        <v>19</v>
      </c>
      <c r="J6483" t="s">
        <v>3952</v>
      </c>
      <c r="L6483" t="s">
        <v>8590</v>
      </c>
      <c r="M6483" t="s">
        <v>8559</v>
      </c>
      <c r="N6483" t="s">
        <v>8559</v>
      </c>
      <c r="O6483" t="s">
        <v>23</v>
      </c>
      <c r="P6483" t="s">
        <v>24</v>
      </c>
      <c r="Q6483" t="s">
        <v>642</v>
      </c>
      <c r="R6483" t="s">
        <v>1214</v>
      </c>
    </row>
    <row r="6484" spans="1:18" x14ac:dyDescent="0.25">
      <c r="A6484" t="s">
        <v>15416</v>
      </c>
      <c r="B6484" t="s">
        <v>8591</v>
      </c>
      <c r="C6484" t="str">
        <f>HYPERLINK("https://nematode.unl.edu/mesculo2.jpg")</f>
        <v>https://nematode.unl.edu/mesculo2.jpg</v>
      </c>
      <c r="D6484" t="s">
        <v>43</v>
      </c>
      <c r="G6484" t="s">
        <v>51</v>
      </c>
      <c r="I6484" t="s">
        <v>41</v>
      </c>
      <c r="M6484" t="s">
        <v>8559</v>
      </c>
      <c r="N6484" t="s">
        <v>8559</v>
      </c>
      <c r="O6484" t="s">
        <v>23</v>
      </c>
      <c r="P6484" t="s">
        <v>24</v>
      </c>
      <c r="Q6484" t="s">
        <v>642</v>
      </c>
      <c r="R6484" t="s">
        <v>1214</v>
      </c>
    </row>
    <row r="6485" spans="1:18" x14ac:dyDescent="0.25">
      <c r="A6485" t="s">
        <v>15285</v>
      </c>
      <c r="B6485" t="s">
        <v>8592</v>
      </c>
      <c r="C6485" t="str">
        <f>HYPERLINK("https://nematode.unl.edu/mesculo3.jpg")</f>
        <v>https://nematode.unl.edu/mesculo3.jpg</v>
      </c>
      <c r="D6485" t="s">
        <v>43</v>
      </c>
      <c r="G6485" t="s">
        <v>44</v>
      </c>
      <c r="I6485" t="s">
        <v>516</v>
      </c>
      <c r="J6485" t="s">
        <v>3952</v>
      </c>
      <c r="L6485" t="s">
        <v>8590</v>
      </c>
      <c r="M6485" t="s">
        <v>8559</v>
      </c>
      <c r="N6485" t="s">
        <v>8559</v>
      </c>
      <c r="O6485" t="s">
        <v>23</v>
      </c>
      <c r="P6485" t="s">
        <v>24</v>
      </c>
      <c r="Q6485" t="s">
        <v>642</v>
      </c>
      <c r="R6485" t="s">
        <v>1214</v>
      </c>
    </row>
    <row r="6486" spans="1:18" x14ac:dyDescent="0.25">
      <c r="A6486" t="s">
        <v>15218</v>
      </c>
      <c r="B6486" t="s">
        <v>8593</v>
      </c>
      <c r="C6486" t="str">
        <f>HYPERLINK("https://nematode.unl.edu/mesculo4.jpg")</f>
        <v>https://nematode.unl.edu/mesculo4.jpg</v>
      </c>
      <c r="D6486" t="s">
        <v>43</v>
      </c>
      <c r="G6486" t="s">
        <v>34</v>
      </c>
      <c r="H6486" t="s">
        <v>18</v>
      </c>
      <c r="J6486" t="s">
        <v>3952</v>
      </c>
      <c r="M6486" t="s">
        <v>8559</v>
      </c>
      <c r="N6486" t="s">
        <v>8559</v>
      </c>
      <c r="O6486" t="s">
        <v>23</v>
      </c>
      <c r="P6486" t="s">
        <v>24</v>
      </c>
      <c r="Q6486" t="s">
        <v>642</v>
      </c>
      <c r="R6486" t="s">
        <v>1214</v>
      </c>
    </row>
    <row r="6487" spans="1:18" x14ac:dyDescent="0.25">
      <c r="A6487" t="s">
        <v>15373</v>
      </c>
      <c r="B6487" t="s">
        <v>8594</v>
      </c>
      <c r="C6487" t="str">
        <f>HYPERLINK("https://nematode.unl.edu/mesculo5.jpg")</f>
        <v>https://nematode.unl.edu/mesculo5.jpg</v>
      </c>
      <c r="D6487" t="s">
        <v>43</v>
      </c>
      <c r="G6487" t="s">
        <v>28</v>
      </c>
      <c r="M6487" t="s">
        <v>8559</v>
      </c>
      <c r="N6487" t="s">
        <v>8559</v>
      </c>
      <c r="O6487" t="s">
        <v>23</v>
      </c>
      <c r="P6487" t="s">
        <v>24</v>
      </c>
      <c r="Q6487" t="s">
        <v>642</v>
      </c>
      <c r="R6487" t="s">
        <v>1214</v>
      </c>
    </row>
    <row r="6488" spans="1:18" x14ac:dyDescent="0.25">
      <c r="A6488" t="s">
        <v>14522</v>
      </c>
      <c r="B6488" t="s">
        <v>8031</v>
      </c>
      <c r="C6488" t="str">
        <f>HYPERLINK("https://nematode.unl.edu/mescumt1.jpg")</f>
        <v>https://nematode.unl.edu/mescumt1.jpg</v>
      </c>
      <c r="D6488" t="s">
        <v>43</v>
      </c>
      <c r="G6488" t="s">
        <v>44</v>
      </c>
      <c r="I6488" t="s">
        <v>19</v>
      </c>
      <c r="J6488" t="s">
        <v>8032</v>
      </c>
      <c r="L6488" t="s">
        <v>4584</v>
      </c>
      <c r="M6488" t="s">
        <v>1233</v>
      </c>
      <c r="N6488" t="s">
        <v>1233</v>
      </c>
      <c r="O6488" t="s">
        <v>23</v>
      </c>
      <c r="P6488" t="s">
        <v>24</v>
      </c>
      <c r="Q6488" t="s">
        <v>642</v>
      </c>
      <c r="R6488" t="s">
        <v>1214</v>
      </c>
    </row>
    <row r="6489" spans="1:18" x14ac:dyDescent="0.25">
      <c r="A6489" t="s">
        <v>14242</v>
      </c>
      <c r="B6489" t="s">
        <v>8033</v>
      </c>
      <c r="C6489" t="str">
        <f>HYPERLINK("https://nematode.unl.edu/mescumt2.jpg")</f>
        <v>https://nematode.unl.edu/mescumt2.jpg</v>
      </c>
      <c r="D6489" t="s">
        <v>43</v>
      </c>
      <c r="G6489" t="s">
        <v>96</v>
      </c>
      <c r="H6489" t="s">
        <v>18</v>
      </c>
      <c r="I6489" t="s">
        <v>41</v>
      </c>
      <c r="J6489" t="s">
        <v>4000</v>
      </c>
      <c r="M6489" t="s">
        <v>1233</v>
      </c>
      <c r="N6489" t="s">
        <v>1233</v>
      </c>
      <c r="O6489" t="s">
        <v>23</v>
      </c>
      <c r="P6489" t="s">
        <v>24</v>
      </c>
      <c r="Q6489" t="s">
        <v>642</v>
      </c>
      <c r="R6489" t="s">
        <v>1214</v>
      </c>
    </row>
    <row r="6490" spans="1:18" x14ac:dyDescent="0.25">
      <c r="A6490" t="s">
        <v>14695</v>
      </c>
      <c r="B6490" t="s">
        <v>8034</v>
      </c>
      <c r="C6490" t="str">
        <f>HYPERLINK("https://nematode.unl.edu/mescumt3.jpg")</f>
        <v>https://nematode.unl.edu/mescumt3.jpg</v>
      </c>
      <c r="D6490" t="s">
        <v>43</v>
      </c>
      <c r="G6490" t="s">
        <v>28</v>
      </c>
      <c r="I6490" t="s">
        <v>41</v>
      </c>
      <c r="J6490" t="s">
        <v>4000</v>
      </c>
      <c r="M6490" t="s">
        <v>1233</v>
      </c>
      <c r="N6490" t="s">
        <v>1233</v>
      </c>
      <c r="O6490" t="s">
        <v>23</v>
      </c>
      <c r="P6490" t="s">
        <v>24</v>
      </c>
      <c r="Q6490" t="s">
        <v>642</v>
      </c>
      <c r="R6490" t="s">
        <v>1214</v>
      </c>
    </row>
    <row r="6491" spans="1:18" x14ac:dyDescent="0.25">
      <c r="A6491" t="s">
        <v>14523</v>
      </c>
      <c r="B6491" t="s">
        <v>8035</v>
      </c>
      <c r="C6491" t="str">
        <f>HYPERLINK("https://nematode.unl.edu/mescumt4.jpg")</f>
        <v>https://nematode.unl.edu/mescumt4.jpg</v>
      </c>
      <c r="D6491" t="s">
        <v>43</v>
      </c>
      <c r="G6491" t="s">
        <v>44</v>
      </c>
      <c r="I6491" t="s">
        <v>41</v>
      </c>
      <c r="J6491" t="s">
        <v>4000</v>
      </c>
      <c r="M6491" t="s">
        <v>1233</v>
      </c>
      <c r="N6491" t="s">
        <v>1233</v>
      </c>
      <c r="O6491" t="s">
        <v>23</v>
      </c>
      <c r="P6491" t="s">
        <v>24</v>
      </c>
      <c r="Q6491" t="s">
        <v>642</v>
      </c>
      <c r="R6491" t="s">
        <v>1214</v>
      </c>
    </row>
    <row r="6492" spans="1:18" x14ac:dyDescent="0.25">
      <c r="A6492" t="s">
        <v>19959</v>
      </c>
      <c r="B6492" t="s">
        <v>8864</v>
      </c>
      <c r="C6492" t="str">
        <f>HYPERLINK("https://nematode.unl.edu/mesim1.jpg")</f>
        <v>https://nematode.unl.edu/mesim1.jpg</v>
      </c>
      <c r="D6492" t="s">
        <v>43</v>
      </c>
      <c r="G6492" t="s">
        <v>34</v>
      </c>
      <c r="H6492" t="s">
        <v>18</v>
      </c>
      <c r="J6492" t="s">
        <v>20</v>
      </c>
      <c r="M6492" t="s">
        <v>8865</v>
      </c>
      <c r="N6492" t="s">
        <v>8865</v>
      </c>
      <c r="O6492" t="s">
        <v>73</v>
      </c>
      <c r="P6492" t="s">
        <v>81</v>
      </c>
      <c r="Q6492" t="s">
        <v>489</v>
      </c>
      <c r="R6492" t="s">
        <v>8805</v>
      </c>
    </row>
    <row r="6493" spans="1:18" x14ac:dyDescent="0.25">
      <c r="A6493" t="s">
        <v>19958</v>
      </c>
      <c r="B6493" t="s">
        <v>8866</v>
      </c>
      <c r="C6493" t="str">
        <f>HYPERLINK("https://nematode.unl.edu/mesim2.jpg")</f>
        <v>https://nematode.unl.edu/mesim2.jpg</v>
      </c>
      <c r="D6493" t="s">
        <v>43</v>
      </c>
      <c r="G6493" t="s">
        <v>17</v>
      </c>
      <c r="H6493" t="s">
        <v>18</v>
      </c>
      <c r="I6493" t="s">
        <v>19</v>
      </c>
      <c r="J6493" t="s">
        <v>20</v>
      </c>
      <c r="M6493" t="s">
        <v>8865</v>
      </c>
      <c r="N6493" t="s">
        <v>8865</v>
      </c>
      <c r="O6493" t="s">
        <v>73</v>
      </c>
      <c r="P6493" t="s">
        <v>81</v>
      </c>
      <c r="Q6493" t="s">
        <v>489</v>
      </c>
      <c r="R6493" t="s">
        <v>8805</v>
      </c>
    </row>
    <row r="6494" spans="1:18" x14ac:dyDescent="0.25">
      <c r="A6494" t="s">
        <v>19962</v>
      </c>
      <c r="B6494" t="s">
        <v>8867</v>
      </c>
      <c r="C6494" t="str">
        <f>HYPERLINK("https://nematode.unl.edu/mesim3.jpg")</f>
        <v>https://nematode.unl.edu/mesim3.jpg</v>
      </c>
      <c r="D6494" t="s">
        <v>43</v>
      </c>
      <c r="G6494" t="s">
        <v>51</v>
      </c>
      <c r="I6494" t="s">
        <v>516</v>
      </c>
      <c r="J6494" t="s">
        <v>20</v>
      </c>
      <c r="L6494" t="s">
        <v>64</v>
      </c>
      <c r="M6494" t="s">
        <v>8865</v>
      </c>
      <c r="N6494" t="s">
        <v>8865</v>
      </c>
      <c r="O6494" t="s">
        <v>73</v>
      </c>
      <c r="P6494" t="s">
        <v>81</v>
      </c>
      <c r="Q6494" t="s">
        <v>489</v>
      </c>
      <c r="R6494" t="s">
        <v>8805</v>
      </c>
    </row>
    <row r="6495" spans="1:18" x14ac:dyDescent="0.25">
      <c r="A6495" t="s">
        <v>19961</v>
      </c>
      <c r="B6495" t="s">
        <v>8868</v>
      </c>
      <c r="C6495" t="str">
        <f>HYPERLINK("https://nematode.unl.edu/mesim4.jpg")</f>
        <v>https://nematode.unl.edu/mesim4.jpg</v>
      </c>
      <c r="D6495" t="s">
        <v>43</v>
      </c>
      <c r="G6495" t="s">
        <v>28</v>
      </c>
      <c r="I6495" t="s">
        <v>19</v>
      </c>
      <c r="J6495" t="s">
        <v>20</v>
      </c>
      <c r="M6495" t="s">
        <v>8865</v>
      </c>
      <c r="N6495" t="s">
        <v>8865</v>
      </c>
      <c r="O6495" t="s">
        <v>73</v>
      </c>
      <c r="P6495" t="s">
        <v>81</v>
      </c>
      <c r="Q6495" t="s">
        <v>489</v>
      </c>
      <c r="R6495" t="s">
        <v>8805</v>
      </c>
    </row>
    <row r="6496" spans="1:18" x14ac:dyDescent="0.25">
      <c r="A6496" t="s">
        <v>19960</v>
      </c>
      <c r="B6496" t="s">
        <v>8869</v>
      </c>
      <c r="C6496" t="str">
        <f>HYPERLINK("https://nematode.unl.edu/mesimcmp.jpg")</f>
        <v>https://nematode.unl.edu/mesimcmp.jpg</v>
      </c>
      <c r="G6496" t="s">
        <v>108</v>
      </c>
      <c r="M6496" t="s">
        <v>8865</v>
      </c>
      <c r="N6496" t="s">
        <v>8865</v>
      </c>
      <c r="O6496" t="s">
        <v>73</v>
      </c>
      <c r="P6496" t="s">
        <v>81</v>
      </c>
      <c r="Q6496" t="s">
        <v>489</v>
      </c>
      <c r="R6496" t="s">
        <v>8805</v>
      </c>
    </row>
    <row r="6497" spans="1:18" x14ac:dyDescent="0.25">
      <c r="A6497" t="s">
        <v>14003</v>
      </c>
      <c r="B6497" t="s">
        <v>6998</v>
      </c>
      <c r="C6497" t="str">
        <f>HYPERLINK("https://nematode.unl.edu/mesinc1.jpg")</f>
        <v>https://nematode.unl.edu/mesinc1.jpg</v>
      </c>
      <c r="D6497" t="s">
        <v>43</v>
      </c>
      <c r="G6497" t="s">
        <v>44</v>
      </c>
      <c r="I6497" t="s">
        <v>516</v>
      </c>
      <c r="J6497" t="s">
        <v>4152</v>
      </c>
      <c r="M6497" t="s">
        <v>6999</v>
      </c>
      <c r="N6497" t="s">
        <v>6999</v>
      </c>
      <c r="O6497" t="s">
        <v>23</v>
      </c>
      <c r="P6497" t="s">
        <v>24</v>
      </c>
      <c r="Q6497" t="s">
        <v>642</v>
      </c>
      <c r="R6497" t="s">
        <v>6940</v>
      </c>
    </row>
    <row r="6498" spans="1:18" x14ac:dyDescent="0.25">
      <c r="A6498" t="s">
        <v>14004</v>
      </c>
      <c r="B6498" t="s">
        <v>7000</v>
      </c>
      <c r="C6498" t="str">
        <f>HYPERLINK("https://nematode.unl.edu/mesinc2.jpg")</f>
        <v>https://nematode.unl.edu/mesinc2.jpg</v>
      </c>
      <c r="D6498" t="s">
        <v>77</v>
      </c>
      <c r="G6498" t="s">
        <v>44</v>
      </c>
      <c r="I6498" t="s">
        <v>529</v>
      </c>
      <c r="J6498" t="s">
        <v>4152</v>
      </c>
      <c r="M6498" t="s">
        <v>6999</v>
      </c>
      <c r="N6498" t="s">
        <v>6999</v>
      </c>
      <c r="O6498" t="s">
        <v>23</v>
      </c>
      <c r="P6498" t="s">
        <v>24</v>
      </c>
      <c r="Q6498" t="s">
        <v>642</v>
      </c>
      <c r="R6498" t="s">
        <v>6940</v>
      </c>
    </row>
    <row r="6499" spans="1:18" x14ac:dyDescent="0.25">
      <c r="A6499" t="s">
        <v>14005</v>
      </c>
      <c r="B6499" t="s">
        <v>7001</v>
      </c>
      <c r="C6499" t="str">
        <f>HYPERLINK("https://nematode.unl.edu/mesinc3.jpg")</f>
        <v>https://nematode.unl.edu/mesinc3.jpg</v>
      </c>
      <c r="D6499" t="s">
        <v>43</v>
      </c>
      <c r="G6499" t="s">
        <v>44</v>
      </c>
      <c r="I6499" t="s">
        <v>19</v>
      </c>
      <c r="J6499" t="s">
        <v>4152</v>
      </c>
      <c r="M6499" t="s">
        <v>6999</v>
      </c>
      <c r="N6499" t="s">
        <v>6999</v>
      </c>
      <c r="O6499" t="s">
        <v>23</v>
      </c>
      <c r="P6499" t="s">
        <v>24</v>
      </c>
      <c r="Q6499" t="s">
        <v>642</v>
      </c>
      <c r="R6499" t="s">
        <v>6940</v>
      </c>
    </row>
    <row r="6500" spans="1:18" x14ac:dyDescent="0.25">
      <c r="A6500" t="s">
        <v>14002</v>
      </c>
      <c r="B6500" t="s">
        <v>7002</v>
      </c>
      <c r="C6500" t="str">
        <f>HYPERLINK("https://nematode.unl.edu/mesinc4.jpg")</f>
        <v>https://nematode.unl.edu/mesinc4.jpg</v>
      </c>
      <c r="D6500" t="s">
        <v>43</v>
      </c>
      <c r="G6500" t="s">
        <v>34</v>
      </c>
      <c r="H6500" t="s">
        <v>18</v>
      </c>
      <c r="I6500" t="s">
        <v>41</v>
      </c>
      <c r="M6500" t="s">
        <v>6999</v>
      </c>
      <c r="N6500" t="s">
        <v>6999</v>
      </c>
      <c r="O6500" t="s">
        <v>23</v>
      </c>
      <c r="P6500" t="s">
        <v>24</v>
      </c>
      <c r="Q6500" t="s">
        <v>642</v>
      </c>
      <c r="R6500" t="s">
        <v>6940</v>
      </c>
    </row>
    <row r="6501" spans="1:18" x14ac:dyDescent="0.25">
      <c r="A6501" t="s">
        <v>14006</v>
      </c>
      <c r="B6501" t="s">
        <v>7003</v>
      </c>
      <c r="C6501" t="str">
        <f>HYPERLINK("https://nematode.unl.edu/mesinc5.jpg")</f>
        <v>https://nematode.unl.edu/mesinc5.jpg</v>
      </c>
      <c r="D6501" t="s">
        <v>43</v>
      </c>
      <c r="G6501" t="s">
        <v>7004</v>
      </c>
      <c r="I6501" t="s">
        <v>529</v>
      </c>
      <c r="J6501" t="s">
        <v>4152</v>
      </c>
      <c r="M6501" t="s">
        <v>6999</v>
      </c>
      <c r="N6501" t="s">
        <v>6999</v>
      </c>
      <c r="O6501" t="s">
        <v>23</v>
      </c>
      <c r="P6501" t="s">
        <v>24</v>
      </c>
      <c r="Q6501" t="s">
        <v>642</v>
      </c>
      <c r="R6501" t="s">
        <v>6940</v>
      </c>
    </row>
    <row r="6502" spans="1:18" x14ac:dyDescent="0.25">
      <c r="A6502" t="s">
        <v>14007</v>
      </c>
      <c r="B6502" t="s">
        <v>7005</v>
      </c>
      <c r="C6502" t="str">
        <f>HYPERLINK("https://nematode.unl.edu/mesinc6.jpg")</f>
        <v>https://nematode.unl.edu/mesinc6.jpg</v>
      </c>
      <c r="D6502" t="s">
        <v>43</v>
      </c>
      <c r="G6502" t="s">
        <v>28</v>
      </c>
      <c r="I6502" t="s">
        <v>41</v>
      </c>
      <c r="M6502" t="s">
        <v>6999</v>
      </c>
      <c r="N6502" t="s">
        <v>6999</v>
      </c>
      <c r="O6502" t="s">
        <v>23</v>
      </c>
      <c r="P6502" t="s">
        <v>24</v>
      </c>
      <c r="Q6502" t="s">
        <v>642</v>
      </c>
      <c r="R6502" t="s">
        <v>6940</v>
      </c>
    </row>
    <row r="6503" spans="1:18" x14ac:dyDescent="0.25">
      <c r="A6503" t="s">
        <v>14008</v>
      </c>
      <c r="B6503" t="s">
        <v>7006</v>
      </c>
      <c r="C6503" t="str">
        <f>HYPERLINK("https://nematode.unl.edu/mesinc7.jpg")</f>
        <v>https://nematode.unl.edu/mesinc7.jpg</v>
      </c>
      <c r="D6503" t="s">
        <v>43</v>
      </c>
      <c r="G6503" t="s">
        <v>28</v>
      </c>
      <c r="M6503" t="s">
        <v>6999</v>
      </c>
      <c r="N6503" t="s">
        <v>6999</v>
      </c>
      <c r="O6503" t="s">
        <v>23</v>
      </c>
      <c r="P6503" t="s">
        <v>24</v>
      </c>
      <c r="Q6503" t="s">
        <v>642</v>
      </c>
      <c r="R6503" t="s">
        <v>6940</v>
      </c>
    </row>
    <row r="6504" spans="1:18" x14ac:dyDescent="0.25">
      <c r="A6504" t="s">
        <v>14129</v>
      </c>
      <c r="B6504" t="s">
        <v>7436</v>
      </c>
      <c r="C6504" t="str">
        <f>HYPERLINK("https://nematode.unl.edu/mesoaps1.jpg")</f>
        <v>https://nematode.unl.edu/mesoaps1.jpg</v>
      </c>
      <c r="D6504" t="s">
        <v>43</v>
      </c>
      <c r="G6504" t="s">
        <v>44</v>
      </c>
      <c r="I6504" t="s">
        <v>516</v>
      </c>
      <c r="J6504" t="s">
        <v>7437</v>
      </c>
      <c r="K6504" t="s">
        <v>22849</v>
      </c>
      <c r="L6504" t="s">
        <v>7438</v>
      </c>
      <c r="M6504" t="s">
        <v>1214</v>
      </c>
      <c r="N6504" t="s">
        <v>1214</v>
      </c>
      <c r="O6504" t="s">
        <v>23</v>
      </c>
      <c r="P6504" t="s">
        <v>24</v>
      </c>
      <c r="Q6504" t="s">
        <v>642</v>
      </c>
      <c r="R6504" t="s">
        <v>1214</v>
      </c>
    </row>
    <row r="6505" spans="1:18" x14ac:dyDescent="0.25">
      <c r="A6505" t="s">
        <v>14130</v>
      </c>
      <c r="B6505" t="s">
        <v>7439</v>
      </c>
      <c r="C6505" t="str">
        <f>HYPERLINK("https://nematode.unl.edu/mesoaps10.jpg")</f>
        <v>https://nematode.unl.edu/mesoaps10.jpg</v>
      </c>
      <c r="D6505" t="s">
        <v>16</v>
      </c>
      <c r="G6505" t="s">
        <v>44</v>
      </c>
      <c r="I6505" t="s">
        <v>516</v>
      </c>
      <c r="J6505" t="s">
        <v>7437</v>
      </c>
      <c r="K6505" t="s">
        <v>22849</v>
      </c>
      <c r="L6505" t="s">
        <v>7438</v>
      </c>
      <c r="M6505" t="s">
        <v>1214</v>
      </c>
      <c r="N6505" t="s">
        <v>1214</v>
      </c>
      <c r="O6505" t="s">
        <v>23</v>
      </c>
      <c r="P6505" t="s">
        <v>24</v>
      </c>
      <c r="Q6505" t="s">
        <v>642</v>
      </c>
      <c r="R6505" t="s">
        <v>1214</v>
      </c>
    </row>
    <row r="6506" spans="1:18" x14ac:dyDescent="0.25">
      <c r="A6506" t="s">
        <v>14074</v>
      </c>
      <c r="B6506" t="s">
        <v>7440</v>
      </c>
      <c r="C6506" t="str">
        <f>HYPERLINK("https://nematode.unl.edu/mesoaps11.jpg")</f>
        <v>https://nematode.unl.edu/mesoaps11.jpg</v>
      </c>
      <c r="D6506" t="s">
        <v>16</v>
      </c>
      <c r="G6506" t="s">
        <v>34</v>
      </c>
      <c r="H6506" t="s">
        <v>18</v>
      </c>
      <c r="I6506" t="s">
        <v>41</v>
      </c>
      <c r="M6506" t="s">
        <v>1214</v>
      </c>
      <c r="N6506" t="s">
        <v>1214</v>
      </c>
      <c r="O6506" t="s">
        <v>23</v>
      </c>
      <c r="P6506" t="s">
        <v>24</v>
      </c>
      <c r="Q6506" t="s">
        <v>642</v>
      </c>
      <c r="R6506" t="s">
        <v>1214</v>
      </c>
    </row>
    <row r="6507" spans="1:18" x14ac:dyDescent="0.25">
      <c r="A6507" t="s">
        <v>14197</v>
      </c>
      <c r="B6507" t="s">
        <v>7441</v>
      </c>
      <c r="C6507" t="str">
        <f>HYPERLINK("https://nematode.unl.edu/mesoaps12.jpg")</f>
        <v>https://nematode.unl.edu/mesoaps12.jpg</v>
      </c>
      <c r="D6507" t="s">
        <v>16</v>
      </c>
      <c r="G6507" t="s">
        <v>28</v>
      </c>
      <c r="M6507" t="s">
        <v>1214</v>
      </c>
      <c r="N6507" t="s">
        <v>1214</v>
      </c>
      <c r="O6507" t="s">
        <v>23</v>
      </c>
      <c r="P6507" t="s">
        <v>24</v>
      </c>
      <c r="Q6507" t="s">
        <v>642</v>
      </c>
      <c r="R6507" t="s">
        <v>1214</v>
      </c>
    </row>
    <row r="6508" spans="1:18" x14ac:dyDescent="0.25">
      <c r="A6508" t="s">
        <v>14131</v>
      </c>
      <c r="B6508" t="s">
        <v>7442</v>
      </c>
      <c r="C6508" t="str">
        <f>HYPERLINK("https://nematode.unl.edu/mesoaps13.jpg")</f>
        <v>https://nematode.unl.edu/mesoaps13.jpg</v>
      </c>
      <c r="D6508" t="s">
        <v>16</v>
      </c>
      <c r="G6508" t="s">
        <v>44</v>
      </c>
      <c r="I6508" t="s">
        <v>41</v>
      </c>
      <c r="M6508" t="s">
        <v>1214</v>
      </c>
      <c r="N6508" t="s">
        <v>1214</v>
      </c>
      <c r="O6508" t="s">
        <v>23</v>
      </c>
      <c r="P6508" t="s">
        <v>24</v>
      </c>
      <c r="Q6508" t="s">
        <v>642</v>
      </c>
      <c r="R6508" t="s">
        <v>1214</v>
      </c>
    </row>
    <row r="6509" spans="1:18" x14ac:dyDescent="0.25">
      <c r="A6509" t="s">
        <v>14075</v>
      </c>
      <c r="B6509" t="s">
        <v>7443</v>
      </c>
      <c r="C6509" t="str">
        <f>HYPERLINK("https://nematode.unl.edu/mesoaps2.jpg")</f>
        <v>https://nematode.unl.edu/mesoaps2.jpg</v>
      </c>
      <c r="D6509" t="s">
        <v>43</v>
      </c>
      <c r="G6509" t="s">
        <v>34</v>
      </c>
      <c r="H6509" t="s">
        <v>18</v>
      </c>
      <c r="M6509" t="s">
        <v>1214</v>
      </c>
      <c r="N6509" t="s">
        <v>1214</v>
      </c>
      <c r="O6509" t="s">
        <v>23</v>
      </c>
      <c r="P6509" t="s">
        <v>24</v>
      </c>
      <c r="Q6509" t="s">
        <v>642</v>
      </c>
      <c r="R6509" t="s">
        <v>1214</v>
      </c>
    </row>
    <row r="6510" spans="1:18" x14ac:dyDescent="0.25">
      <c r="A6510" t="s">
        <v>14198</v>
      </c>
      <c r="B6510" t="s">
        <v>7444</v>
      </c>
      <c r="C6510" t="str">
        <f>HYPERLINK("https://nematode.unl.edu/mesoaps3.jpg")</f>
        <v>https://nematode.unl.edu/mesoaps3.jpg</v>
      </c>
      <c r="D6510" t="s">
        <v>43</v>
      </c>
      <c r="G6510" t="s">
        <v>28</v>
      </c>
      <c r="M6510" t="s">
        <v>1214</v>
      </c>
      <c r="N6510" t="s">
        <v>1214</v>
      </c>
      <c r="O6510" t="s">
        <v>23</v>
      </c>
      <c r="P6510" t="s">
        <v>24</v>
      </c>
      <c r="Q6510" t="s">
        <v>642</v>
      </c>
      <c r="R6510" t="s">
        <v>1214</v>
      </c>
    </row>
    <row r="6511" spans="1:18" x14ac:dyDescent="0.25">
      <c r="A6511" t="s">
        <v>14199</v>
      </c>
      <c r="B6511" t="s">
        <v>7445</v>
      </c>
      <c r="C6511" t="str">
        <f>HYPERLINK("https://nematode.unl.edu/mesoaps4.jpg")</f>
        <v>https://nematode.unl.edu/mesoaps4.jpg</v>
      </c>
      <c r="G6511" t="s">
        <v>28</v>
      </c>
      <c r="M6511" t="s">
        <v>1214</v>
      </c>
      <c r="N6511" t="s">
        <v>1214</v>
      </c>
      <c r="O6511" t="s">
        <v>23</v>
      </c>
      <c r="P6511" t="s">
        <v>24</v>
      </c>
      <c r="Q6511" t="s">
        <v>642</v>
      </c>
      <c r="R6511" t="s">
        <v>1214</v>
      </c>
    </row>
    <row r="6512" spans="1:18" x14ac:dyDescent="0.25">
      <c r="A6512" t="s">
        <v>14132</v>
      </c>
      <c r="B6512" t="s">
        <v>7446</v>
      </c>
      <c r="C6512" t="str">
        <f>HYPERLINK("https://nematode.unl.edu/mesoaps5.jpg")</f>
        <v>https://nematode.unl.edu/mesoaps5.jpg</v>
      </c>
      <c r="D6512" t="s">
        <v>43</v>
      </c>
      <c r="G6512" t="s">
        <v>44</v>
      </c>
      <c r="M6512" t="s">
        <v>1214</v>
      </c>
      <c r="N6512" t="s">
        <v>1214</v>
      </c>
      <c r="O6512" t="s">
        <v>23</v>
      </c>
      <c r="P6512" t="s">
        <v>24</v>
      </c>
      <c r="Q6512" t="s">
        <v>642</v>
      </c>
      <c r="R6512" t="s">
        <v>1214</v>
      </c>
    </row>
    <row r="6513" spans="1:18" x14ac:dyDescent="0.25">
      <c r="A6513" t="s">
        <v>14133</v>
      </c>
      <c r="B6513" t="s">
        <v>7447</v>
      </c>
      <c r="C6513" t="str">
        <f>HYPERLINK("https://nematode.unl.edu/mesoaps6.jpg")</f>
        <v>https://nematode.unl.edu/mesoaps6.jpg</v>
      </c>
      <c r="D6513" t="s">
        <v>43</v>
      </c>
      <c r="G6513" t="s">
        <v>44</v>
      </c>
      <c r="I6513" t="s">
        <v>516</v>
      </c>
      <c r="J6513" t="s">
        <v>7437</v>
      </c>
      <c r="K6513" t="s">
        <v>22849</v>
      </c>
      <c r="L6513" t="s">
        <v>7438</v>
      </c>
      <c r="M6513" t="s">
        <v>1214</v>
      </c>
      <c r="N6513" t="s">
        <v>1214</v>
      </c>
      <c r="O6513" t="s">
        <v>23</v>
      </c>
      <c r="P6513" t="s">
        <v>24</v>
      </c>
      <c r="Q6513" t="s">
        <v>642</v>
      </c>
      <c r="R6513" t="s">
        <v>1214</v>
      </c>
    </row>
    <row r="6514" spans="1:18" x14ac:dyDescent="0.25">
      <c r="A6514" t="s">
        <v>14076</v>
      </c>
      <c r="B6514" t="s">
        <v>7448</v>
      </c>
      <c r="C6514" t="str">
        <f>HYPERLINK("https://nematode.unl.edu/mesoaps7.jpg")</f>
        <v>https://nematode.unl.edu/mesoaps7.jpg</v>
      </c>
      <c r="D6514" t="s">
        <v>43</v>
      </c>
      <c r="G6514" t="s">
        <v>34</v>
      </c>
      <c r="H6514" t="s">
        <v>18</v>
      </c>
      <c r="M6514" t="s">
        <v>1214</v>
      </c>
      <c r="N6514" t="s">
        <v>1214</v>
      </c>
      <c r="O6514" t="s">
        <v>23</v>
      </c>
      <c r="P6514" t="s">
        <v>24</v>
      </c>
      <c r="Q6514" t="s">
        <v>642</v>
      </c>
      <c r="R6514" t="s">
        <v>1214</v>
      </c>
    </row>
    <row r="6515" spans="1:18" x14ac:dyDescent="0.25">
      <c r="A6515" t="s">
        <v>14200</v>
      </c>
      <c r="B6515" t="s">
        <v>7449</v>
      </c>
      <c r="C6515" t="str">
        <f>HYPERLINK("https://nematode.unl.edu/mesoaps8.jpg")</f>
        <v>https://nematode.unl.edu/mesoaps8.jpg</v>
      </c>
      <c r="D6515" t="s">
        <v>43</v>
      </c>
      <c r="G6515" t="s">
        <v>28</v>
      </c>
      <c r="I6515" t="s">
        <v>41</v>
      </c>
      <c r="M6515" t="s">
        <v>1214</v>
      </c>
      <c r="N6515" t="s">
        <v>1214</v>
      </c>
      <c r="O6515" t="s">
        <v>23</v>
      </c>
      <c r="P6515" t="s">
        <v>24</v>
      </c>
      <c r="Q6515" t="s">
        <v>642</v>
      </c>
      <c r="R6515" t="s">
        <v>1214</v>
      </c>
    </row>
    <row r="6516" spans="1:18" x14ac:dyDescent="0.25">
      <c r="A6516" t="s">
        <v>14201</v>
      </c>
      <c r="B6516" t="s">
        <v>7450</v>
      </c>
      <c r="C6516" t="str">
        <f>HYPERLINK("https://nematode.unl.edu/mesoaps9.jpg")</f>
        <v>https://nematode.unl.edu/mesoaps9.jpg</v>
      </c>
      <c r="D6516" t="s">
        <v>43</v>
      </c>
      <c r="G6516" t="s">
        <v>28</v>
      </c>
      <c r="I6516" t="s">
        <v>41</v>
      </c>
      <c r="M6516" t="s">
        <v>1214</v>
      </c>
      <c r="N6516" t="s">
        <v>1214</v>
      </c>
      <c r="O6516" t="s">
        <v>23</v>
      </c>
      <c r="P6516" t="s">
        <v>24</v>
      </c>
      <c r="Q6516" t="s">
        <v>642</v>
      </c>
      <c r="R6516" t="s">
        <v>1214</v>
      </c>
    </row>
    <row r="6517" spans="1:18" x14ac:dyDescent="0.25">
      <c r="A6517" t="s">
        <v>14134</v>
      </c>
      <c r="B6517" t="s">
        <v>7451</v>
      </c>
      <c r="C6517" t="str">
        <f>HYPERLINK("https://nematode.unl.edu/mesoboc1.jpg")</f>
        <v>https://nematode.unl.edu/mesoboc1.jpg</v>
      </c>
      <c r="D6517" t="s">
        <v>43</v>
      </c>
      <c r="G6517" t="s">
        <v>44</v>
      </c>
      <c r="I6517" t="s">
        <v>19</v>
      </c>
      <c r="J6517" t="s">
        <v>1627</v>
      </c>
      <c r="L6517" t="s">
        <v>7452</v>
      </c>
      <c r="M6517" t="s">
        <v>1214</v>
      </c>
      <c r="N6517" t="s">
        <v>1214</v>
      </c>
      <c r="O6517" t="s">
        <v>23</v>
      </c>
      <c r="P6517" t="s">
        <v>24</v>
      </c>
      <c r="Q6517" t="s">
        <v>642</v>
      </c>
      <c r="R6517" t="s">
        <v>1214</v>
      </c>
    </row>
    <row r="6518" spans="1:18" x14ac:dyDescent="0.25">
      <c r="A6518" t="s">
        <v>14135</v>
      </c>
      <c r="B6518" t="s">
        <v>7453</v>
      </c>
      <c r="C6518" t="str">
        <f>HYPERLINK("https://nematode.unl.edu/mesoboc2.jpg")</f>
        <v>https://nematode.unl.edu/mesoboc2.jpg</v>
      </c>
      <c r="D6518" t="s">
        <v>43</v>
      </c>
      <c r="G6518" t="s">
        <v>44</v>
      </c>
      <c r="I6518" t="s">
        <v>41</v>
      </c>
      <c r="J6518" t="s">
        <v>1627</v>
      </c>
      <c r="L6518" t="s">
        <v>7452</v>
      </c>
      <c r="M6518" t="s">
        <v>1214</v>
      </c>
      <c r="N6518" t="s">
        <v>1214</v>
      </c>
      <c r="O6518" t="s">
        <v>23</v>
      </c>
      <c r="P6518" t="s">
        <v>24</v>
      </c>
      <c r="Q6518" t="s">
        <v>642</v>
      </c>
      <c r="R6518" t="s">
        <v>1214</v>
      </c>
    </row>
    <row r="6519" spans="1:18" x14ac:dyDescent="0.25">
      <c r="A6519" t="s">
        <v>14179</v>
      </c>
      <c r="B6519" t="s">
        <v>7454</v>
      </c>
      <c r="C6519" t="str">
        <f>HYPERLINK("https://nematode.unl.edu/mesoboc3.jpg")</f>
        <v>https://nematode.unl.edu/mesoboc3.jpg</v>
      </c>
      <c r="D6519" t="s">
        <v>43</v>
      </c>
      <c r="G6519" t="s">
        <v>181</v>
      </c>
      <c r="I6519" t="s">
        <v>41</v>
      </c>
      <c r="M6519" t="s">
        <v>1214</v>
      </c>
      <c r="N6519" t="s">
        <v>1214</v>
      </c>
      <c r="O6519" t="s">
        <v>23</v>
      </c>
      <c r="P6519" t="s">
        <v>24</v>
      </c>
      <c r="Q6519" t="s">
        <v>642</v>
      </c>
      <c r="R6519" t="s">
        <v>1214</v>
      </c>
    </row>
    <row r="6520" spans="1:18" x14ac:dyDescent="0.25">
      <c r="A6520" t="s">
        <v>14060</v>
      </c>
      <c r="B6520" t="s">
        <v>7455</v>
      </c>
      <c r="C6520" t="str">
        <f>HYPERLINK("https://nematode.unl.edu/mesoboc4.jpg")</f>
        <v>https://nematode.unl.edu/mesoboc4.jpg</v>
      </c>
      <c r="D6520" t="s">
        <v>43</v>
      </c>
      <c r="G6520" t="s">
        <v>96</v>
      </c>
      <c r="H6520" t="s">
        <v>18</v>
      </c>
      <c r="I6520" t="s">
        <v>41</v>
      </c>
      <c r="M6520" t="s">
        <v>1214</v>
      </c>
      <c r="N6520" t="s">
        <v>1214</v>
      </c>
      <c r="O6520" t="s">
        <v>23</v>
      </c>
      <c r="P6520" t="s">
        <v>24</v>
      </c>
      <c r="Q6520" t="s">
        <v>642</v>
      </c>
      <c r="R6520" t="s">
        <v>1214</v>
      </c>
    </row>
    <row r="6521" spans="1:18" x14ac:dyDescent="0.25">
      <c r="A6521" t="s">
        <v>14136</v>
      </c>
      <c r="B6521" t="s">
        <v>7456</v>
      </c>
      <c r="C6521" t="str">
        <f>HYPERLINK("https://nematode.unl.edu/mesoboc5.jpg")</f>
        <v>https://nematode.unl.edu/mesoboc5.jpg</v>
      </c>
      <c r="D6521" t="s">
        <v>43</v>
      </c>
      <c r="G6521" t="s">
        <v>44</v>
      </c>
      <c r="I6521" t="s">
        <v>19</v>
      </c>
      <c r="J6521" t="s">
        <v>1627</v>
      </c>
      <c r="L6521" t="s">
        <v>7452</v>
      </c>
      <c r="M6521" t="s">
        <v>1214</v>
      </c>
      <c r="N6521" t="s">
        <v>1214</v>
      </c>
      <c r="O6521" t="s">
        <v>23</v>
      </c>
      <c r="P6521" t="s">
        <v>24</v>
      </c>
      <c r="Q6521" t="s">
        <v>642</v>
      </c>
      <c r="R6521" t="s">
        <v>1214</v>
      </c>
    </row>
    <row r="6522" spans="1:18" x14ac:dyDescent="0.25">
      <c r="A6522" t="s">
        <v>14137</v>
      </c>
      <c r="B6522" t="s">
        <v>7457</v>
      </c>
      <c r="C6522" t="str">
        <f>HYPERLINK("https://nematode.unl.edu/mesoboc6.jpg")</f>
        <v>https://nematode.unl.edu/mesoboc6.jpg</v>
      </c>
      <c r="D6522" t="s">
        <v>43</v>
      </c>
      <c r="G6522" t="s">
        <v>44</v>
      </c>
      <c r="I6522" t="s">
        <v>529</v>
      </c>
      <c r="J6522" t="s">
        <v>1627</v>
      </c>
      <c r="L6522" t="s">
        <v>7452</v>
      </c>
      <c r="M6522" t="s">
        <v>1214</v>
      </c>
      <c r="N6522" t="s">
        <v>1214</v>
      </c>
      <c r="O6522" t="s">
        <v>23</v>
      </c>
      <c r="P6522" t="s">
        <v>24</v>
      </c>
      <c r="Q6522" t="s">
        <v>642</v>
      </c>
      <c r="R6522" t="s">
        <v>1214</v>
      </c>
    </row>
    <row r="6523" spans="1:18" x14ac:dyDescent="0.25">
      <c r="A6523" t="s">
        <v>14105</v>
      </c>
      <c r="B6523" t="s">
        <v>7458</v>
      </c>
      <c r="C6523" t="str">
        <f>HYPERLINK("https://nematode.unl.edu/mesoboc7.jpg")</f>
        <v>https://nematode.unl.edu/mesoboc7.jpg</v>
      </c>
      <c r="D6523" t="s">
        <v>43</v>
      </c>
      <c r="G6523" t="s">
        <v>3942</v>
      </c>
      <c r="I6523" t="s">
        <v>41</v>
      </c>
      <c r="J6523" t="s">
        <v>1627</v>
      </c>
      <c r="L6523" t="s">
        <v>7452</v>
      </c>
      <c r="M6523" t="s">
        <v>1214</v>
      </c>
      <c r="N6523" t="s">
        <v>1214</v>
      </c>
      <c r="O6523" t="s">
        <v>23</v>
      </c>
      <c r="P6523" t="s">
        <v>24</v>
      </c>
      <c r="Q6523" t="s">
        <v>642</v>
      </c>
      <c r="R6523" t="s">
        <v>1214</v>
      </c>
    </row>
    <row r="6524" spans="1:18" x14ac:dyDescent="0.25">
      <c r="A6524" t="s">
        <v>14106</v>
      </c>
      <c r="B6524" t="s">
        <v>7459</v>
      </c>
      <c r="C6524" t="str">
        <f>HYPERLINK("https://nematode.unl.edu/mesoboc8.jpg")</f>
        <v>https://nematode.unl.edu/mesoboc8.jpg</v>
      </c>
      <c r="D6524" t="s">
        <v>43</v>
      </c>
      <c r="G6524" t="s">
        <v>3942</v>
      </c>
      <c r="I6524" t="s">
        <v>41</v>
      </c>
      <c r="J6524" t="s">
        <v>1627</v>
      </c>
      <c r="L6524" t="s">
        <v>7452</v>
      </c>
      <c r="M6524" t="s">
        <v>1214</v>
      </c>
      <c r="N6524" t="s">
        <v>1214</v>
      </c>
      <c r="O6524" t="s">
        <v>23</v>
      </c>
      <c r="P6524" t="s">
        <v>24</v>
      </c>
      <c r="Q6524" t="s">
        <v>642</v>
      </c>
      <c r="R6524" t="s">
        <v>1214</v>
      </c>
    </row>
    <row r="6525" spans="1:18" x14ac:dyDescent="0.25">
      <c r="A6525" t="s">
        <v>14524</v>
      </c>
      <c r="B6525" t="s">
        <v>8036</v>
      </c>
      <c r="C6525" t="str">
        <f>HYPERLINK("https://nematode.unl.edu/mesobok1.jpg")</f>
        <v>https://nematode.unl.edu/mesobok1.jpg</v>
      </c>
      <c r="D6525" t="s">
        <v>43</v>
      </c>
      <c r="G6525" t="s">
        <v>44</v>
      </c>
      <c r="I6525" t="s">
        <v>19</v>
      </c>
      <c r="J6525" t="s">
        <v>1627</v>
      </c>
      <c r="M6525" t="s">
        <v>1233</v>
      </c>
      <c r="N6525" t="s">
        <v>1233</v>
      </c>
      <c r="O6525" t="s">
        <v>23</v>
      </c>
      <c r="P6525" t="s">
        <v>24</v>
      </c>
      <c r="Q6525" t="s">
        <v>642</v>
      </c>
      <c r="R6525" t="s">
        <v>1214</v>
      </c>
    </row>
    <row r="6526" spans="1:18" x14ac:dyDescent="0.25">
      <c r="A6526" t="s">
        <v>14369</v>
      </c>
      <c r="B6526" t="s">
        <v>8037</v>
      </c>
      <c r="C6526" t="str">
        <f>HYPERLINK("https://nematode.unl.edu/mesobok2.jpg")</f>
        <v>https://nematode.unl.edu/mesobok2.jpg</v>
      </c>
      <c r="D6526" t="s">
        <v>43</v>
      </c>
      <c r="G6526" t="s">
        <v>34</v>
      </c>
      <c r="H6526" t="s">
        <v>18</v>
      </c>
      <c r="I6526" t="s">
        <v>41</v>
      </c>
      <c r="M6526" t="s">
        <v>1233</v>
      </c>
      <c r="N6526" t="s">
        <v>1233</v>
      </c>
      <c r="O6526" t="s">
        <v>23</v>
      </c>
      <c r="P6526" t="s">
        <v>24</v>
      </c>
      <c r="Q6526" t="s">
        <v>642</v>
      </c>
      <c r="R6526" t="s">
        <v>1214</v>
      </c>
    </row>
    <row r="6527" spans="1:18" x14ac:dyDescent="0.25">
      <c r="A6527" t="s">
        <v>14696</v>
      </c>
      <c r="B6527" t="s">
        <v>8038</v>
      </c>
      <c r="C6527" t="str">
        <f>HYPERLINK("https://nematode.unl.edu/mesobok3.jpg")</f>
        <v>https://nematode.unl.edu/mesobok3.jpg</v>
      </c>
      <c r="D6527" t="s">
        <v>43</v>
      </c>
      <c r="G6527" t="s">
        <v>28</v>
      </c>
      <c r="I6527" t="s">
        <v>41</v>
      </c>
      <c r="M6527" t="s">
        <v>1233</v>
      </c>
      <c r="N6527" t="s">
        <v>1233</v>
      </c>
      <c r="O6527" t="s">
        <v>23</v>
      </c>
      <c r="P6527" t="s">
        <v>24</v>
      </c>
      <c r="Q6527" t="s">
        <v>642</v>
      </c>
      <c r="R6527" t="s">
        <v>1214</v>
      </c>
    </row>
    <row r="6528" spans="1:18" x14ac:dyDescent="0.25">
      <c r="A6528" t="s">
        <v>14525</v>
      </c>
      <c r="B6528" t="s">
        <v>8039</v>
      </c>
      <c r="C6528" t="str">
        <f>HYPERLINK("https://nematode.unl.edu/mesobok4.jpg")</f>
        <v>https://nematode.unl.edu/mesobok4.jpg</v>
      </c>
      <c r="D6528" t="s">
        <v>43</v>
      </c>
      <c r="G6528" t="s">
        <v>44</v>
      </c>
      <c r="I6528" t="s">
        <v>19</v>
      </c>
      <c r="J6528" t="s">
        <v>1627</v>
      </c>
      <c r="M6528" t="s">
        <v>1233</v>
      </c>
      <c r="N6528" t="s">
        <v>1233</v>
      </c>
      <c r="O6528" t="s">
        <v>23</v>
      </c>
      <c r="P6528" t="s">
        <v>24</v>
      </c>
      <c r="Q6528" t="s">
        <v>642</v>
      </c>
      <c r="R6528" t="s">
        <v>1214</v>
      </c>
    </row>
    <row r="6529" spans="1:18" x14ac:dyDescent="0.25">
      <c r="A6529" t="s">
        <v>14370</v>
      </c>
      <c r="B6529" t="s">
        <v>8040</v>
      </c>
      <c r="C6529" t="str">
        <f>HYPERLINK("https://nematode.unl.edu/mesobok5.jpg")</f>
        <v>https://nematode.unl.edu/mesobok5.jpg</v>
      </c>
      <c r="D6529" t="s">
        <v>43</v>
      </c>
      <c r="G6529" t="s">
        <v>34</v>
      </c>
      <c r="H6529" t="s">
        <v>18</v>
      </c>
      <c r="M6529" t="s">
        <v>1233</v>
      </c>
      <c r="N6529" t="s">
        <v>1233</v>
      </c>
      <c r="O6529" t="s">
        <v>23</v>
      </c>
      <c r="P6529" t="s">
        <v>24</v>
      </c>
      <c r="Q6529" t="s">
        <v>642</v>
      </c>
      <c r="R6529" t="s">
        <v>1214</v>
      </c>
    </row>
    <row r="6530" spans="1:18" x14ac:dyDescent="0.25">
      <c r="A6530" t="s">
        <v>14697</v>
      </c>
      <c r="B6530" t="s">
        <v>8041</v>
      </c>
      <c r="C6530" t="str">
        <f>HYPERLINK("https://nematode.unl.edu/mesobok6.jpg")</f>
        <v>https://nematode.unl.edu/mesobok6.jpg</v>
      </c>
      <c r="D6530" t="s">
        <v>43</v>
      </c>
      <c r="G6530" t="s">
        <v>28</v>
      </c>
      <c r="I6530" t="s">
        <v>41</v>
      </c>
      <c r="M6530" t="s">
        <v>1233</v>
      </c>
      <c r="N6530" t="s">
        <v>1233</v>
      </c>
      <c r="O6530" t="s">
        <v>23</v>
      </c>
      <c r="P6530" t="s">
        <v>24</v>
      </c>
      <c r="Q6530" t="s">
        <v>642</v>
      </c>
      <c r="R6530" t="s">
        <v>1214</v>
      </c>
    </row>
    <row r="6531" spans="1:18" x14ac:dyDescent="0.25">
      <c r="A6531" t="s">
        <v>14526</v>
      </c>
      <c r="B6531" t="s">
        <v>8042</v>
      </c>
      <c r="C6531" t="str">
        <f>HYPERLINK("https://nematode.unl.edu/mesobok7.jpg")</f>
        <v>https://nematode.unl.edu/mesobok7.jpg</v>
      </c>
      <c r="D6531" t="s">
        <v>16</v>
      </c>
      <c r="G6531" t="s">
        <v>44</v>
      </c>
      <c r="I6531" t="s">
        <v>19</v>
      </c>
      <c r="J6531" t="s">
        <v>1627</v>
      </c>
      <c r="M6531" t="s">
        <v>1233</v>
      </c>
      <c r="N6531" t="s">
        <v>1233</v>
      </c>
      <c r="O6531" t="s">
        <v>23</v>
      </c>
      <c r="P6531" t="s">
        <v>24</v>
      </c>
      <c r="Q6531" t="s">
        <v>642</v>
      </c>
      <c r="R6531" t="s">
        <v>1214</v>
      </c>
    </row>
    <row r="6532" spans="1:18" x14ac:dyDescent="0.25">
      <c r="A6532" t="s">
        <v>14371</v>
      </c>
      <c r="B6532" t="s">
        <v>8043</v>
      </c>
      <c r="C6532" t="str">
        <f>HYPERLINK("https://nematode.unl.edu/mesobok8.jpg")</f>
        <v>https://nematode.unl.edu/mesobok8.jpg</v>
      </c>
      <c r="D6532" t="s">
        <v>16</v>
      </c>
      <c r="G6532" t="s">
        <v>34</v>
      </c>
      <c r="H6532" t="s">
        <v>18</v>
      </c>
      <c r="I6532" t="s">
        <v>41</v>
      </c>
      <c r="M6532" t="s">
        <v>1233</v>
      </c>
      <c r="N6532" t="s">
        <v>1233</v>
      </c>
      <c r="O6532" t="s">
        <v>23</v>
      </c>
      <c r="P6532" t="s">
        <v>24</v>
      </c>
      <c r="Q6532" t="s">
        <v>642</v>
      </c>
      <c r="R6532" t="s">
        <v>1214</v>
      </c>
    </row>
    <row r="6533" spans="1:18" x14ac:dyDescent="0.25">
      <c r="A6533" t="s">
        <v>14698</v>
      </c>
      <c r="B6533" t="s">
        <v>8044</v>
      </c>
      <c r="C6533" t="str">
        <f>HYPERLINK("https://nematode.unl.edu/mesobok9.jpg")</f>
        <v>https://nematode.unl.edu/mesobok9.jpg</v>
      </c>
      <c r="D6533" t="s">
        <v>16</v>
      </c>
      <c r="G6533" t="s">
        <v>28</v>
      </c>
      <c r="I6533" t="s">
        <v>41</v>
      </c>
      <c r="M6533" t="s">
        <v>1233</v>
      </c>
      <c r="N6533" t="s">
        <v>1233</v>
      </c>
      <c r="O6533" t="s">
        <v>23</v>
      </c>
      <c r="P6533" t="s">
        <v>24</v>
      </c>
      <c r="Q6533" t="s">
        <v>642</v>
      </c>
      <c r="R6533" t="s">
        <v>1214</v>
      </c>
    </row>
    <row r="6534" spans="1:18" x14ac:dyDescent="0.25">
      <c r="A6534" t="s">
        <v>14138</v>
      </c>
      <c r="B6534" t="s">
        <v>7460</v>
      </c>
      <c r="C6534" t="str">
        <f>HYPERLINK("https://nematode.unl.edu/mesoc1.jpg")</f>
        <v>https://nematode.unl.edu/mesoc1.jpg</v>
      </c>
      <c r="D6534" t="s">
        <v>43</v>
      </c>
      <c r="G6534" t="s">
        <v>44</v>
      </c>
      <c r="I6534" t="s">
        <v>91</v>
      </c>
      <c r="J6534" t="s">
        <v>20</v>
      </c>
      <c r="L6534" t="s">
        <v>921</v>
      </c>
      <c r="M6534" t="s">
        <v>1214</v>
      </c>
      <c r="N6534" t="s">
        <v>1214</v>
      </c>
      <c r="O6534" t="s">
        <v>23</v>
      </c>
      <c r="P6534" t="s">
        <v>24</v>
      </c>
      <c r="Q6534" t="s">
        <v>642</v>
      </c>
      <c r="R6534" t="s">
        <v>1214</v>
      </c>
    </row>
    <row r="6535" spans="1:18" x14ac:dyDescent="0.25">
      <c r="A6535" t="s">
        <v>14077</v>
      </c>
      <c r="B6535" t="s">
        <v>7461</v>
      </c>
      <c r="C6535" t="str">
        <f>HYPERLINK("https://nematode.unl.edu/mesoc2.jpg")</f>
        <v>https://nematode.unl.edu/mesoc2.jpg</v>
      </c>
      <c r="D6535" t="s">
        <v>43</v>
      </c>
      <c r="G6535" t="s">
        <v>34</v>
      </c>
      <c r="H6535" t="s">
        <v>18</v>
      </c>
      <c r="I6535" t="s">
        <v>91</v>
      </c>
      <c r="J6535" t="s">
        <v>20</v>
      </c>
      <c r="L6535" t="s">
        <v>921</v>
      </c>
      <c r="M6535" t="s">
        <v>1214</v>
      </c>
      <c r="N6535" t="s">
        <v>1214</v>
      </c>
      <c r="O6535" t="s">
        <v>23</v>
      </c>
      <c r="P6535" t="s">
        <v>24</v>
      </c>
      <c r="Q6535" t="s">
        <v>642</v>
      </c>
      <c r="R6535" t="s">
        <v>1214</v>
      </c>
    </row>
    <row r="6536" spans="1:18" x14ac:dyDescent="0.25">
      <c r="A6536" t="s">
        <v>14139</v>
      </c>
      <c r="B6536" t="s">
        <v>7462</v>
      </c>
      <c r="C6536" t="str">
        <f>HYPERLINK("https://nematode.unl.edu/mesocriche1.jpg")</f>
        <v>https://nematode.unl.edu/mesocriche1.jpg</v>
      </c>
      <c r="D6536" t="s">
        <v>43</v>
      </c>
      <c r="G6536" t="s">
        <v>44</v>
      </c>
      <c r="I6536" t="s">
        <v>19</v>
      </c>
      <c r="J6536" t="s">
        <v>6188</v>
      </c>
      <c r="L6536" t="s">
        <v>7463</v>
      </c>
      <c r="M6536" t="s">
        <v>1214</v>
      </c>
      <c r="N6536" t="s">
        <v>1214</v>
      </c>
      <c r="O6536" t="s">
        <v>23</v>
      </c>
      <c r="P6536" t="s">
        <v>24</v>
      </c>
      <c r="Q6536" t="s">
        <v>642</v>
      </c>
      <c r="R6536" t="s">
        <v>1214</v>
      </c>
    </row>
    <row r="6537" spans="1:18" x14ac:dyDescent="0.25">
      <c r="A6537" t="s">
        <v>15341</v>
      </c>
      <c r="B6537" t="s">
        <v>8595</v>
      </c>
      <c r="C6537" t="str">
        <f>HYPERLINK("https://nematode.unl.edu/mesocriche10.jpg")</f>
        <v>https://nematode.unl.edu/mesocriche10.jpg</v>
      </c>
      <c r="D6537" t="s">
        <v>43</v>
      </c>
      <c r="G6537" t="s">
        <v>224</v>
      </c>
      <c r="J6537" t="s">
        <v>4654</v>
      </c>
      <c r="M6537" t="s">
        <v>8559</v>
      </c>
      <c r="N6537" t="s">
        <v>8559</v>
      </c>
      <c r="O6537" t="s">
        <v>23</v>
      </c>
      <c r="P6537" t="s">
        <v>24</v>
      </c>
      <c r="Q6537" t="s">
        <v>642</v>
      </c>
      <c r="R6537" t="s">
        <v>1214</v>
      </c>
    </row>
    <row r="6538" spans="1:18" x14ac:dyDescent="0.25">
      <c r="A6538" t="s">
        <v>15286</v>
      </c>
      <c r="B6538" t="s">
        <v>8596</v>
      </c>
      <c r="C6538" t="str">
        <f>HYPERLINK("https://nematode.unl.edu/mesocriche11.jpg")</f>
        <v>https://nematode.unl.edu/mesocriche11.jpg</v>
      </c>
      <c r="D6538" t="s">
        <v>16</v>
      </c>
      <c r="G6538" t="s">
        <v>44</v>
      </c>
      <c r="I6538" t="s">
        <v>19</v>
      </c>
      <c r="J6538" t="s">
        <v>6188</v>
      </c>
      <c r="L6538" t="s">
        <v>7463</v>
      </c>
      <c r="M6538" t="s">
        <v>8559</v>
      </c>
      <c r="N6538" t="s">
        <v>8559</v>
      </c>
      <c r="O6538" t="s">
        <v>23</v>
      </c>
      <c r="P6538" t="s">
        <v>24</v>
      </c>
      <c r="Q6538" t="s">
        <v>642</v>
      </c>
      <c r="R6538" t="s">
        <v>1214</v>
      </c>
    </row>
    <row r="6539" spans="1:18" x14ac:dyDescent="0.25">
      <c r="A6539" t="s">
        <v>15219</v>
      </c>
      <c r="B6539" t="s">
        <v>8597</v>
      </c>
      <c r="C6539" t="str">
        <f>HYPERLINK("https://nematode.unl.edu/mesocriche12.jpg")</f>
        <v>https://nematode.unl.edu/mesocriche12.jpg</v>
      </c>
      <c r="D6539" t="s">
        <v>16</v>
      </c>
      <c r="G6539" t="s">
        <v>34</v>
      </c>
      <c r="H6539" t="s">
        <v>18</v>
      </c>
      <c r="I6539" t="s">
        <v>41</v>
      </c>
      <c r="J6539" t="s">
        <v>4654</v>
      </c>
      <c r="M6539" t="s">
        <v>8559</v>
      </c>
      <c r="N6539" t="s">
        <v>8559</v>
      </c>
      <c r="O6539" t="s">
        <v>23</v>
      </c>
      <c r="P6539" t="s">
        <v>24</v>
      </c>
      <c r="Q6539" t="s">
        <v>642</v>
      </c>
      <c r="R6539" t="s">
        <v>1214</v>
      </c>
    </row>
    <row r="6540" spans="1:18" x14ac:dyDescent="0.25">
      <c r="A6540" t="s">
        <v>15220</v>
      </c>
      <c r="B6540" t="s">
        <v>8598</v>
      </c>
      <c r="C6540" t="str">
        <f>HYPERLINK("https://nematode.unl.edu/mesocriche13.jpg")</f>
        <v>https://nematode.unl.edu/mesocriche13.jpg</v>
      </c>
      <c r="D6540" t="s">
        <v>16</v>
      </c>
      <c r="G6540" t="s">
        <v>34</v>
      </c>
      <c r="H6540" t="s">
        <v>18</v>
      </c>
      <c r="J6540" t="s">
        <v>4654</v>
      </c>
      <c r="M6540" t="s">
        <v>8559</v>
      </c>
      <c r="N6540" t="s">
        <v>8559</v>
      </c>
      <c r="O6540" t="s">
        <v>23</v>
      </c>
      <c r="P6540" t="s">
        <v>24</v>
      </c>
      <c r="Q6540" t="s">
        <v>642</v>
      </c>
      <c r="R6540" t="s">
        <v>1214</v>
      </c>
    </row>
    <row r="6541" spans="1:18" x14ac:dyDescent="0.25">
      <c r="A6541" t="s">
        <v>15342</v>
      </c>
      <c r="B6541" t="s">
        <v>8599</v>
      </c>
      <c r="C6541" t="str">
        <f>HYPERLINK("https://nematode.unl.edu/mesocriche14.jpg")</f>
        <v>https://nematode.unl.edu/mesocriche14.jpg</v>
      </c>
      <c r="D6541" t="s">
        <v>16</v>
      </c>
      <c r="G6541" t="s">
        <v>224</v>
      </c>
      <c r="I6541" t="s">
        <v>41</v>
      </c>
      <c r="J6541" t="s">
        <v>4654</v>
      </c>
      <c r="M6541" t="s">
        <v>8559</v>
      </c>
      <c r="N6541" t="s">
        <v>8559</v>
      </c>
      <c r="O6541" t="s">
        <v>23</v>
      </c>
      <c r="P6541" t="s">
        <v>24</v>
      </c>
      <c r="Q6541" t="s">
        <v>642</v>
      </c>
      <c r="R6541" t="s">
        <v>1214</v>
      </c>
    </row>
    <row r="6542" spans="1:18" x14ac:dyDescent="0.25">
      <c r="A6542" t="s">
        <v>15374</v>
      </c>
      <c r="B6542" t="s">
        <v>8600</v>
      </c>
      <c r="C6542" t="str">
        <f>HYPERLINK("https://nematode.unl.edu/mesocriche15.jpg")</f>
        <v>https://nematode.unl.edu/mesocriche15.jpg</v>
      </c>
      <c r="D6542" t="s">
        <v>16</v>
      </c>
      <c r="G6542" t="s">
        <v>28</v>
      </c>
      <c r="I6542" t="s">
        <v>41</v>
      </c>
      <c r="J6542" t="s">
        <v>4654</v>
      </c>
      <c r="M6542" t="s">
        <v>8559</v>
      </c>
      <c r="N6542" t="s">
        <v>8559</v>
      </c>
      <c r="O6542" t="s">
        <v>23</v>
      </c>
      <c r="P6542" t="s">
        <v>24</v>
      </c>
      <c r="Q6542" t="s">
        <v>642</v>
      </c>
      <c r="R6542" t="s">
        <v>1214</v>
      </c>
    </row>
    <row r="6543" spans="1:18" x14ac:dyDescent="0.25">
      <c r="A6543" t="s">
        <v>13973</v>
      </c>
      <c r="B6543" t="s">
        <v>6980</v>
      </c>
      <c r="C6543" t="str">
        <f>HYPERLINK("https://nematode.unl.edu/mesocriche16.jpg")</f>
        <v>https://nematode.unl.edu/mesocriche16.jpg</v>
      </c>
      <c r="D6543" t="s">
        <v>77</v>
      </c>
      <c r="G6543" t="s">
        <v>44</v>
      </c>
      <c r="I6543" t="s">
        <v>19</v>
      </c>
      <c r="J6543" t="s">
        <v>6188</v>
      </c>
      <c r="M6543" t="s">
        <v>6940</v>
      </c>
      <c r="N6543" t="s">
        <v>6940</v>
      </c>
      <c r="O6543" t="s">
        <v>23</v>
      </c>
      <c r="P6543" t="s">
        <v>24</v>
      </c>
      <c r="Q6543" t="s">
        <v>642</v>
      </c>
      <c r="R6543" t="s">
        <v>6940</v>
      </c>
    </row>
    <row r="6544" spans="1:18" x14ac:dyDescent="0.25">
      <c r="A6544" t="s">
        <v>13962</v>
      </c>
      <c r="B6544" t="s">
        <v>6981</v>
      </c>
      <c r="C6544" t="str">
        <f>HYPERLINK("https://nematode.unl.edu/mesocriche17.jpg")</f>
        <v>https://nematode.unl.edu/mesocriche17.jpg</v>
      </c>
      <c r="D6544" t="s">
        <v>77</v>
      </c>
      <c r="G6544" t="s">
        <v>34</v>
      </c>
      <c r="H6544" t="s">
        <v>18</v>
      </c>
      <c r="J6544" t="s">
        <v>4654</v>
      </c>
      <c r="M6544" t="s">
        <v>6940</v>
      </c>
      <c r="N6544" t="s">
        <v>6940</v>
      </c>
      <c r="O6544" t="s">
        <v>23</v>
      </c>
      <c r="P6544" t="s">
        <v>24</v>
      </c>
      <c r="Q6544" t="s">
        <v>642</v>
      </c>
      <c r="R6544" t="s">
        <v>6940</v>
      </c>
    </row>
    <row r="6545" spans="1:18" x14ac:dyDescent="0.25">
      <c r="A6545" t="s">
        <v>13963</v>
      </c>
      <c r="B6545" t="s">
        <v>6982</v>
      </c>
      <c r="C6545" t="str">
        <f>HYPERLINK("https://nematode.unl.edu/mesocriche18.jpg")</f>
        <v>https://nematode.unl.edu/mesocriche18.jpg</v>
      </c>
      <c r="D6545" t="s">
        <v>77</v>
      </c>
      <c r="G6545" t="s">
        <v>34</v>
      </c>
      <c r="H6545" t="s">
        <v>18</v>
      </c>
      <c r="I6545" t="s">
        <v>41</v>
      </c>
      <c r="J6545" t="s">
        <v>4654</v>
      </c>
      <c r="M6545" t="s">
        <v>6940</v>
      </c>
      <c r="N6545" t="s">
        <v>6940</v>
      </c>
      <c r="O6545" t="s">
        <v>23</v>
      </c>
      <c r="P6545" t="s">
        <v>24</v>
      </c>
      <c r="Q6545" t="s">
        <v>642</v>
      </c>
      <c r="R6545" t="s">
        <v>6940</v>
      </c>
    </row>
    <row r="6546" spans="1:18" x14ac:dyDescent="0.25">
      <c r="A6546" t="s">
        <v>13996</v>
      </c>
      <c r="B6546" t="s">
        <v>6983</v>
      </c>
      <c r="C6546" t="str">
        <f>HYPERLINK("https://nematode.unl.edu/mesocriche19.jpg")</f>
        <v>https://nematode.unl.edu/mesocriche19.jpg</v>
      </c>
      <c r="D6546" t="s">
        <v>77</v>
      </c>
      <c r="G6546" t="s">
        <v>28</v>
      </c>
      <c r="I6546" t="s">
        <v>41</v>
      </c>
      <c r="J6546" t="s">
        <v>4654</v>
      </c>
      <c r="M6546" t="s">
        <v>6940</v>
      </c>
      <c r="N6546" t="s">
        <v>6940</v>
      </c>
      <c r="O6546" t="s">
        <v>23</v>
      </c>
      <c r="P6546" t="s">
        <v>24</v>
      </c>
      <c r="Q6546" t="s">
        <v>642</v>
      </c>
      <c r="R6546" t="s">
        <v>6940</v>
      </c>
    </row>
    <row r="6547" spans="1:18" x14ac:dyDescent="0.25">
      <c r="A6547" t="s">
        <v>15221</v>
      </c>
      <c r="B6547" t="s">
        <v>8601</v>
      </c>
      <c r="C6547" t="str">
        <f>HYPERLINK("https://nematode.unl.edu/mesocriche2.jpg")</f>
        <v>https://nematode.unl.edu/mesocriche2.jpg</v>
      </c>
      <c r="D6547" t="s">
        <v>43</v>
      </c>
      <c r="G6547" t="s">
        <v>34</v>
      </c>
      <c r="H6547" t="s">
        <v>18</v>
      </c>
      <c r="J6547" t="s">
        <v>4654</v>
      </c>
      <c r="M6547" t="s">
        <v>8559</v>
      </c>
      <c r="N6547" t="s">
        <v>8559</v>
      </c>
      <c r="O6547" t="s">
        <v>23</v>
      </c>
      <c r="P6547" t="s">
        <v>24</v>
      </c>
      <c r="Q6547" t="s">
        <v>642</v>
      </c>
      <c r="R6547" t="s">
        <v>1214</v>
      </c>
    </row>
    <row r="6548" spans="1:18" x14ac:dyDescent="0.25">
      <c r="A6548" t="s">
        <v>13997</v>
      </c>
      <c r="B6548" t="s">
        <v>6984</v>
      </c>
      <c r="C6548" t="str">
        <f>HYPERLINK("https://nematode.unl.edu/mesocriche20.jpg")</f>
        <v>https://nematode.unl.edu/mesocriche20.jpg</v>
      </c>
      <c r="D6548" t="s">
        <v>77</v>
      </c>
      <c r="G6548" t="s">
        <v>28</v>
      </c>
      <c r="I6548" t="s">
        <v>41</v>
      </c>
      <c r="J6548" t="s">
        <v>4654</v>
      </c>
      <c r="M6548" t="s">
        <v>6940</v>
      </c>
      <c r="N6548" t="s">
        <v>6940</v>
      </c>
      <c r="O6548" t="s">
        <v>23</v>
      </c>
      <c r="P6548" t="s">
        <v>24</v>
      </c>
      <c r="Q6548" t="s">
        <v>642</v>
      </c>
      <c r="R6548" t="s">
        <v>6940</v>
      </c>
    </row>
    <row r="6549" spans="1:18" x14ac:dyDescent="0.25">
      <c r="A6549" t="s">
        <v>13974</v>
      </c>
      <c r="B6549" t="s">
        <v>6985</v>
      </c>
      <c r="C6549" t="str">
        <f>HYPERLINK("https://nematode.unl.edu/mesocriche21.jpg")</f>
        <v>https://nematode.unl.edu/mesocriche21.jpg</v>
      </c>
      <c r="D6549" t="s">
        <v>77</v>
      </c>
      <c r="G6549" t="s">
        <v>44</v>
      </c>
      <c r="I6549" t="s">
        <v>41</v>
      </c>
      <c r="J6549" t="s">
        <v>4654</v>
      </c>
      <c r="M6549" t="s">
        <v>6940</v>
      </c>
      <c r="N6549" t="s">
        <v>6940</v>
      </c>
      <c r="O6549" t="s">
        <v>23</v>
      </c>
      <c r="P6549" t="s">
        <v>24</v>
      </c>
      <c r="Q6549" t="s">
        <v>642</v>
      </c>
      <c r="R6549" t="s">
        <v>6940</v>
      </c>
    </row>
    <row r="6550" spans="1:18" x14ac:dyDescent="0.25">
      <c r="A6550" t="s">
        <v>15375</v>
      </c>
      <c r="B6550" t="s">
        <v>8602</v>
      </c>
      <c r="C6550" t="str">
        <f>HYPERLINK("https://nematode.unl.edu/mesocriche3.jpg")</f>
        <v>https://nematode.unl.edu/mesocriche3.jpg</v>
      </c>
      <c r="D6550" t="s">
        <v>43</v>
      </c>
      <c r="G6550" t="s">
        <v>28</v>
      </c>
      <c r="I6550" t="s">
        <v>41</v>
      </c>
      <c r="J6550" t="s">
        <v>4654</v>
      </c>
      <c r="M6550" t="s">
        <v>8559</v>
      </c>
      <c r="N6550" t="s">
        <v>8559</v>
      </c>
      <c r="O6550" t="s">
        <v>23</v>
      </c>
      <c r="P6550" t="s">
        <v>24</v>
      </c>
      <c r="Q6550" t="s">
        <v>642</v>
      </c>
      <c r="R6550" t="s">
        <v>1214</v>
      </c>
    </row>
    <row r="6551" spans="1:18" x14ac:dyDescent="0.25">
      <c r="A6551" t="s">
        <v>15287</v>
      </c>
      <c r="B6551" t="s">
        <v>8603</v>
      </c>
      <c r="C6551" t="str">
        <f>HYPERLINK("https://nematode.unl.edu/mesocriche4.jpg")</f>
        <v>https://nematode.unl.edu/mesocriche4.jpg</v>
      </c>
      <c r="D6551" t="s">
        <v>16</v>
      </c>
      <c r="G6551" t="s">
        <v>44</v>
      </c>
      <c r="I6551" t="s">
        <v>19</v>
      </c>
      <c r="J6551" t="s">
        <v>6188</v>
      </c>
      <c r="L6551" t="s">
        <v>6270</v>
      </c>
      <c r="M6551" t="s">
        <v>8559</v>
      </c>
      <c r="N6551" t="s">
        <v>8559</v>
      </c>
      <c r="O6551" t="s">
        <v>23</v>
      </c>
      <c r="P6551" t="s">
        <v>24</v>
      </c>
      <c r="Q6551" t="s">
        <v>642</v>
      </c>
      <c r="R6551" t="s">
        <v>1214</v>
      </c>
    </row>
    <row r="6552" spans="1:18" x14ac:dyDescent="0.25">
      <c r="A6552" t="s">
        <v>15199</v>
      </c>
      <c r="B6552" t="s">
        <v>8604</v>
      </c>
      <c r="C6552" t="str">
        <f>HYPERLINK("https://nematode.unl.edu/mesocriche5.jpg")</f>
        <v>https://nematode.unl.edu/mesocriche5.jpg</v>
      </c>
      <c r="D6552" t="s">
        <v>16</v>
      </c>
      <c r="G6552" t="s">
        <v>96</v>
      </c>
      <c r="H6552" t="s">
        <v>18</v>
      </c>
      <c r="I6552" t="s">
        <v>19</v>
      </c>
      <c r="J6552" t="s">
        <v>4654</v>
      </c>
      <c r="M6552" t="s">
        <v>8559</v>
      </c>
      <c r="N6552" t="s">
        <v>8559</v>
      </c>
      <c r="O6552" t="s">
        <v>23</v>
      </c>
      <c r="P6552" t="s">
        <v>24</v>
      </c>
      <c r="Q6552" t="s">
        <v>642</v>
      </c>
      <c r="R6552" t="s">
        <v>1214</v>
      </c>
    </row>
    <row r="6553" spans="1:18" x14ac:dyDescent="0.25">
      <c r="A6553" t="s">
        <v>15222</v>
      </c>
      <c r="B6553" t="s">
        <v>8605</v>
      </c>
      <c r="C6553" t="str">
        <f>HYPERLINK("https://nematode.unl.edu/mesocriche6.jpg")</f>
        <v>https://nematode.unl.edu/mesocriche6.jpg</v>
      </c>
      <c r="D6553" t="s">
        <v>43</v>
      </c>
      <c r="G6553" t="s">
        <v>34</v>
      </c>
      <c r="H6553" t="s">
        <v>18</v>
      </c>
      <c r="I6553" t="s">
        <v>41</v>
      </c>
      <c r="J6553" t="s">
        <v>4654</v>
      </c>
      <c r="M6553" t="s">
        <v>8559</v>
      </c>
      <c r="N6553" t="s">
        <v>8559</v>
      </c>
      <c r="O6553" t="s">
        <v>23</v>
      </c>
      <c r="P6553" t="s">
        <v>24</v>
      </c>
      <c r="Q6553" t="s">
        <v>642</v>
      </c>
      <c r="R6553" t="s">
        <v>1214</v>
      </c>
    </row>
    <row r="6554" spans="1:18" x14ac:dyDescent="0.25">
      <c r="A6554" t="s">
        <v>15376</v>
      </c>
      <c r="B6554" t="s">
        <v>8606</v>
      </c>
      <c r="C6554" t="str">
        <f>HYPERLINK("https://nematode.unl.edu/mesocriche7.jpg")</f>
        <v>https://nematode.unl.edu/mesocriche7.jpg</v>
      </c>
      <c r="D6554" t="s">
        <v>16</v>
      </c>
      <c r="G6554" t="s">
        <v>28</v>
      </c>
      <c r="I6554" t="s">
        <v>41</v>
      </c>
      <c r="J6554" t="s">
        <v>4654</v>
      </c>
      <c r="M6554" t="s">
        <v>8559</v>
      </c>
      <c r="N6554" t="s">
        <v>8559</v>
      </c>
      <c r="O6554" t="s">
        <v>23</v>
      </c>
      <c r="P6554" t="s">
        <v>24</v>
      </c>
      <c r="Q6554" t="s">
        <v>642</v>
      </c>
      <c r="R6554" t="s">
        <v>1214</v>
      </c>
    </row>
    <row r="6555" spans="1:18" x14ac:dyDescent="0.25">
      <c r="A6555" t="s">
        <v>15288</v>
      </c>
      <c r="B6555" t="s">
        <v>8607</v>
      </c>
      <c r="C6555" t="str">
        <f>HYPERLINK("https://nematode.unl.edu/mesocriche8.jpg")</f>
        <v>https://nematode.unl.edu/mesocriche8.jpg</v>
      </c>
      <c r="D6555" t="s">
        <v>16</v>
      </c>
      <c r="G6555" t="s">
        <v>44</v>
      </c>
      <c r="I6555" t="s">
        <v>41</v>
      </c>
      <c r="J6555" t="s">
        <v>4654</v>
      </c>
      <c r="M6555" t="s">
        <v>8559</v>
      </c>
      <c r="N6555" t="s">
        <v>8559</v>
      </c>
      <c r="O6555" t="s">
        <v>23</v>
      </c>
      <c r="P6555" t="s">
        <v>24</v>
      </c>
      <c r="Q6555" t="s">
        <v>642</v>
      </c>
      <c r="R6555" t="s">
        <v>1214</v>
      </c>
    </row>
    <row r="6556" spans="1:18" x14ac:dyDescent="0.25">
      <c r="A6556" t="s">
        <v>15377</v>
      </c>
      <c r="B6556" t="s">
        <v>8608</v>
      </c>
      <c r="C6556" t="str">
        <f>HYPERLINK("https://nematode.unl.edu/mesocriche9.jpg")</f>
        <v>https://nematode.unl.edu/mesocriche9.jpg</v>
      </c>
      <c r="D6556" t="s">
        <v>16</v>
      </c>
      <c r="G6556" t="s">
        <v>28</v>
      </c>
      <c r="I6556" t="s">
        <v>41</v>
      </c>
      <c r="J6556" t="s">
        <v>4654</v>
      </c>
      <c r="M6556" t="s">
        <v>8559</v>
      </c>
      <c r="N6556" t="s">
        <v>8559</v>
      </c>
      <c r="O6556" t="s">
        <v>23</v>
      </c>
      <c r="P6556" t="s">
        <v>24</v>
      </c>
      <c r="Q6556" t="s">
        <v>642</v>
      </c>
      <c r="R6556" t="s">
        <v>1214</v>
      </c>
    </row>
    <row r="6557" spans="1:18" x14ac:dyDescent="0.25">
      <c r="A6557" t="s">
        <v>14851</v>
      </c>
      <c r="B6557" t="s">
        <v>8189</v>
      </c>
      <c r="C6557" t="str">
        <f>HYPERLINK("https://nematode.unl.edu/mesocrin1.jpg")</f>
        <v>https://nematode.unl.edu/mesocrin1.jpg</v>
      </c>
      <c r="D6557" t="s">
        <v>43</v>
      </c>
      <c r="G6557" t="s">
        <v>44</v>
      </c>
      <c r="I6557" t="s">
        <v>19</v>
      </c>
      <c r="J6557" t="s">
        <v>46</v>
      </c>
      <c r="L6557" t="s">
        <v>4297</v>
      </c>
      <c r="M6557" t="s">
        <v>8133</v>
      </c>
      <c r="N6557" t="s">
        <v>8133</v>
      </c>
      <c r="O6557" t="s">
        <v>23</v>
      </c>
      <c r="P6557" t="s">
        <v>24</v>
      </c>
      <c r="Q6557" t="s">
        <v>642</v>
      </c>
      <c r="R6557" t="s">
        <v>1214</v>
      </c>
    </row>
    <row r="6558" spans="1:18" x14ac:dyDescent="0.25">
      <c r="A6558" t="s">
        <v>14898</v>
      </c>
      <c r="B6558" t="s">
        <v>8190</v>
      </c>
      <c r="C6558" t="str">
        <f>HYPERLINK("https://nematode.unl.edu/mesocrin10.jpg")</f>
        <v>https://nematode.unl.edu/mesocrin10.jpg</v>
      </c>
      <c r="D6558" t="s">
        <v>43</v>
      </c>
      <c r="G6558" t="s">
        <v>28</v>
      </c>
      <c r="I6558" t="s">
        <v>41</v>
      </c>
      <c r="J6558" t="s">
        <v>46</v>
      </c>
      <c r="M6558" t="s">
        <v>8133</v>
      </c>
      <c r="N6558" t="s">
        <v>8133</v>
      </c>
      <c r="O6558" t="s">
        <v>23</v>
      </c>
      <c r="P6558" t="s">
        <v>24</v>
      </c>
      <c r="Q6558" t="s">
        <v>642</v>
      </c>
      <c r="R6558" t="s">
        <v>1214</v>
      </c>
    </row>
    <row r="6559" spans="1:18" x14ac:dyDescent="0.25">
      <c r="A6559" t="s">
        <v>14852</v>
      </c>
      <c r="B6559" t="s">
        <v>8191</v>
      </c>
      <c r="C6559" t="str">
        <f>HYPERLINK("https://nematode.unl.edu/mesocrin11.jpg")</f>
        <v>https://nematode.unl.edu/mesocrin11.jpg</v>
      </c>
      <c r="D6559" t="s">
        <v>43</v>
      </c>
      <c r="G6559" t="s">
        <v>44</v>
      </c>
      <c r="I6559" t="s">
        <v>516</v>
      </c>
      <c r="J6559" t="s">
        <v>46</v>
      </c>
      <c r="L6559" t="s">
        <v>4297</v>
      </c>
      <c r="M6559" t="s">
        <v>8133</v>
      </c>
      <c r="N6559" t="s">
        <v>8133</v>
      </c>
      <c r="O6559" t="s">
        <v>23</v>
      </c>
      <c r="P6559" t="s">
        <v>24</v>
      </c>
      <c r="Q6559" t="s">
        <v>642</v>
      </c>
      <c r="R6559" t="s">
        <v>1214</v>
      </c>
    </row>
    <row r="6560" spans="1:18" x14ac:dyDescent="0.25">
      <c r="A6560" t="s">
        <v>14806</v>
      </c>
      <c r="B6560" t="s">
        <v>8192</v>
      </c>
      <c r="C6560" t="str">
        <f>HYPERLINK("https://nematode.unl.edu/mesocrin12.jpg")</f>
        <v>https://nematode.unl.edu/mesocrin12.jpg</v>
      </c>
      <c r="D6560" t="s">
        <v>43</v>
      </c>
      <c r="G6560" t="s">
        <v>34</v>
      </c>
      <c r="H6560" t="s">
        <v>18</v>
      </c>
      <c r="I6560" t="s">
        <v>41</v>
      </c>
      <c r="J6560" t="s">
        <v>46</v>
      </c>
      <c r="M6560" t="s">
        <v>8133</v>
      </c>
      <c r="N6560" t="s">
        <v>8133</v>
      </c>
      <c r="O6560" t="s">
        <v>23</v>
      </c>
      <c r="P6560" t="s">
        <v>24</v>
      </c>
      <c r="Q6560" t="s">
        <v>642</v>
      </c>
      <c r="R6560" t="s">
        <v>1214</v>
      </c>
    </row>
    <row r="6561" spans="1:18" x14ac:dyDescent="0.25">
      <c r="A6561" t="s">
        <v>14807</v>
      </c>
      <c r="B6561" t="s">
        <v>8193</v>
      </c>
      <c r="C6561" t="str">
        <f>HYPERLINK("https://nematode.unl.edu/mesocrin13.jpg")</f>
        <v>https://nematode.unl.edu/mesocrin13.jpg</v>
      </c>
      <c r="D6561" t="s">
        <v>43</v>
      </c>
      <c r="G6561" t="s">
        <v>34</v>
      </c>
      <c r="H6561" t="s">
        <v>18</v>
      </c>
      <c r="J6561" t="s">
        <v>46</v>
      </c>
      <c r="M6561" t="s">
        <v>8133</v>
      </c>
      <c r="N6561" t="s">
        <v>8133</v>
      </c>
      <c r="O6561" t="s">
        <v>23</v>
      </c>
      <c r="P6561" t="s">
        <v>24</v>
      </c>
      <c r="Q6561" t="s">
        <v>642</v>
      </c>
      <c r="R6561" t="s">
        <v>1214</v>
      </c>
    </row>
    <row r="6562" spans="1:18" x14ac:dyDescent="0.25">
      <c r="A6562" t="s">
        <v>14853</v>
      </c>
      <c r="B6562" t="s">
        <v>8194</v>
      </c>
      <c r="C6562" t="str">
        <f>HYPERLINK("https://nematode.unl.edu/mesocrin14.jpg")</f>
        <v>https://nematode.unl.edu/mesocrin14.jpg</v>
      </c>
      <c r="D6562" t="s">
        <v>16</v>
      </c>
      <c r="G6562" t="s">
        <v>44</v>
      </c>
      <c r="I6562" t="s">
        <v>19</v>
      </c>
      <c r="J6562" t="s">
        <v>46</v>
      </c>
      <c r="L6562" t="s">
        <v>4297</v>
      </c>
      <c r="M6562" t="s">
        <v>8133</v>
      </c>
      <c r="N6562" t="s">
        <v>8133</v>
      </c>
      <c r="O6562" t="s">
        <v>23</v>
      </c>
      <c r="P6562" t="s">
        <v>24</v>
      </c>
      <c r="Q6562" t="s">
        <v>642</v>
      </c>
      <c r="R6562" t="s">
        <v>1214</v>
      </c>
    </row>
    <row r="6563" spans="1:18" x14ac:dyDescent="0.25">
      <c r="A6563" t="s">
        <v>14899</v>
      </c>
      <c r="B6563" t="s">
        <v>8195</v>
      </c>
      <c r="C6563" t="str">
        <f>HYPERLINK("https://nematode.unl.edu/mesocrin15.jpg")</f>
        <v>https://nematode.unl.edu/mesocrin15.jpg</v>
      </c>
      <c r="D6563" t="s">
        <v>16</v>
      </c>
      <c r="G6563" t="s">
        <v>28</v>
      </c>
      <c r="I6563" t="s">
        <v>41</v>
      </c>
      <c r="J6563" t="s">
        <v>46</v>
      </c>
      <c r="M6563" t="s">
        <v>8133</v>
      </c>
      <c r="N6563" t="s">
        <v>8133</v>
      </c>
      <c r="O6563" t="s">
        <v>23</v>
      </c>
      <c r="P6563" t="s">
        <v>24</v>
      </c>
      <c r="Q6563" t="s">
        <v>642</v>
      </c>
      <c r="R6563" t="s">
        <v>1214</v>
      </c>
    </row>
    <row r="6564" spans="1:18" x14ac:dyDescent="0.25">
      <c r="A6564" t="s">
        <v>14900</v>
      </c>
      <c r="B6564" t="s">
        <v>8196</v>
      </c>
      <c r="C6564" t="str">
        <f>HYPERLINK("https://nematode.unl.edu/mesocrin16.jpg")</f>
        <v>https://nematode.unl.edu/mesocrin16.jpg</v>
      </c>
      <c r="D6564" t="s">
        <v>16</v>
      </c>
      <c r="G6564" t="s">
        <v>28</v>
      </c>
      <c r="I6564" t="s">
        <v>41</v>
      </c>
      <c r="J6564" t="s">
        <v>46</v>
      </c>
      <c r="M6564" t="s">
        <v>8133</v>
      </c>
      <c r="N6564" t="s">
        <v>8133</v>
      </c>
      <c r="O6564" t="s">
        <v>23</v>
      </c>
      <c r="P6564" t="s">
        <v>24</v>
      </c>
      <c r="Q6564" t="s">
        <v>642</v>
      </c>
      <c r="R6564" t="s">
        <v>1214</v>
      </c>
    </row>
    <row r="6565" spans="1:18" x14ac:dyDescent="0.25">
      <c r="A6565" t="s">
        <v>14854</v>
      </c>
      <c r="B6565" t="s">
        <v>8197</v>
      </c>
      <c r="C6565" t="str">
        <f>HYPERLINK("https://nematode.unl.edu/mesocrin17.jpg")</f>
        <v>https://nematode.unl.edu/mesocrin17.jpg</v>
      </c>
      <c r="D6565" t="s">
        <v>43</v>
      </c>
      <c r="G6565" t="s">
        <v>44</v>
      </c>
      <c r="I6565" t="s">
        <v>19</v>
      </c>
      <c r="J6565" t="s">
        <v>46</v>
      </c>
      <c r="M6565" t="s">
        <v>8133</v>
      </c>
      <c r="N6565" t="s">
        <v>8133</v>
      </c>
      <c r="O6565" t="s">
        <v>23</v>
      </c>
      <c r="P6565" t="s">
        <v>24</v>
      </c>
      <c r="Q6565" t="s">
        <v>642</v>
      </c>
      <c r="R6565" t="s">
        <v>1214</v>
      </c>
    </row>
    <row r="6566" spans="1:18" x14ac:dyDescent="0.25">
      <c r="A6566" t="s">
        <v>14808</v>
      </c>
      <c r="B6566" t="s">
        <v>8198</v>
      </c>
      <c r="C6566" t="str">
        <f>HYPERLINK("https://nematode.unl.edu/mesocrin18.jpg")</f>
        <v>https://nematode.unl.edu/mesocrin18.jpg</v>
      </c>
      <c r="D6566" t="s">
        <v>43</v>
      </c>
      <c r="G6566" t="s">
        <v>34</v>
      </c>
      <c r="H6566" t="s">
        <v>18</v>
      </c>
      <c r="I6566" t="s">
        <v>41</v>
      </c>
      <c r="M6566" t="s">
        <v>8133</v>
      </c>
      <c r="N6566" t="s">
        <v>8133</v>
      </c>
      <c r="O6566" t="s">
        <v>23</v>
      </c>
      <c r="P6566" t="s">
        <v>24</v>
      </c>
      <c r="Q6566" t="s">
        <v>642</v>
      </c>
      <c r="R6566" t="s">
        <v>1214</v>
      </c>
    </row>
    <row r="6567" spans="1:18" x14ac:dyDescent="0.25">
      <c r="A6567" t="s">
        <v>14901</v>
      </c>
      <c r="B6567" t="s">
        <v>8199</v>
      </c>
      <c r="C6567" t="str">
        <f>HYPERLINK("https://nematode.unl.edu/mesocrin19.jpg")</f>
        <v>https://nematode.unl.edu/mesocrin19.jpg</v>
      </c>
      <c r="D6567" t="s">
        <v>43</v>
      </c>
      <c r="G6567" t="s">
        <v>28</v>
      </c>
      <c r="I6567" t="s">
        <v>41</v>
      </c>
      <c r="M6567" t="s">
        <v>8133</v>
      </c>
      <c r="N6567" t="s">
        <v>8133</v>
      </c>
      <c r="O6567" t="s">
        <v>23</v>
      </c>
      <c r="P6567" t="s">
        <v>24</v>
      </c>
      <c r="Q6567" t="s">
        <v>642</v>
      </c>
      <c r="R6567" t="s">
        <v>1214</v>
      </c>
    </row>
    <row r="6568" spans="1:18" x14ac:dyDescent="0.25">
      <c r="A6568" t="s">
        <v>14855</v>
      </c>
      <c r="B6568" t="s">
        <v>8200</v>
      </c>
      <c r="C6568" t="str">
        <f>HYPERLINK("https://nematode.unl.edu/mesocrin2.jpg")</f>
        <v>https://nematode.unl.edu/mesocrin2.jpg</v>
      </c>
      <c r="D6568" t="s">
        <v>43</v>
      </c>
      <c r="G6568" t="s">
        <v>44</v>
      </c>
      <c r="I6568" t="s">
        <v>19</v>
      </c>
      <c r="J6568" t="s">
        <v>46</v>
      </c>
      <c r="L6568" t="s">
        <v>4297</v>
      </c>
      <c r="M6568" t="s">
        <v>8133</v>
      </c>
      <c r="N6568" t="s">
        <v>8133</v>
      </c>
      <c r="O6568" t="s">
        <v>23</v>
      </c>
      <c r="P6568" t="s">
        <v>24</v>
      </c>
      <c r="Q6568" t="s">
        <v>642</v>
      </c>
      <c r="R6568" t="s">
        <v>1214</v>
      </c>
    </row>
    <row r="6569" spans="1:18" x14ac:dyDescent="0.25">
      <c r="A6569" t="s">
        <v>14856</v>
      </c>
      <c r="B6569" t="s">
        <v>8201</v>
      </c>
      <c r="C6569" t="str">
        <f>HYPERLINK("https://nematode.unl.edu/mesocrin20.jpg")</f>
        <v>https://nematode.unl.edu/mesocrin20.jpg</v>
      </c>
      <c r="D6569" t="s">
        <v>43</v>
      </c>
      <c r="G6569" t="s">
        <v>44</v>
      </c>
      <c r="I6569" t="s">
        <v>516</v>
      </c>
      <c r="J6569" t="s">
        <v>46</v>
      </c>
      <c r="M6569" t="s">
        <v>8133</v>
      </c>
      <c r="N6569" t="s">
        <v>8133</v>
      </c>
      <c r="O6569" t="s">
        <v>23</v>
      </c>
      <c r="P6569" t="s">
        <v>24</v>
      </c>
      <c r="Q6569" t="s">
        <v>642</v>
      </c>
      <c r="R6569" t="s">
        <v>1214</v>
      </c>
    </row>
    <row r="6570" spans="1:18" x14ac:dyDescent="0.25">
      <c r="A6570" t="s">
        <v>14809</v>
      </c>
      <c r="B6570" t="s">
        <v>8202</v>
      </c>
      <c r="C6570" t="str">
        <f>HYPERLINK("https://nematode.unl.edu/mesocrin21.jpg")</f>
        <v>https://nematode.unl.edu/mesocrin21.jpg</v>
      </c>
      <c r="D6570" t="s">
        <v>43</v>
      </c>
      <c r="G6570" t="s">
        <v>34</v>
      </c>
      <c r="H6570" t="s">
        <v>18</v>
      </c>
      <c r="I6570" t="s">
        <v>41</v>
      </c>
      <c r="M6570" t="s">
        <v>8133</v>
      </c>
      <c r="N6570" t="s">
        <v>8133</v>
      </c>
      <c r="O6570" t="s">
        <v>23</v>
      </c>
      <c r="P6570" t="s">
        <v>24</v>
      </c>
      <c r="Q6570" t="s">
        <v>642</v>
      </c>
      <c r="R6570" t="s">
        <v>1214</v>
      </c>
    </row>
    <row r="6571" spans="1:18" x14ac:dyDescent="0.25">
      <c r="A6571" t="s">
        <v>14902</v>
      </c>
      <c r="B6571" t="s">
        <v>8203</v>
      </c>
      <c r="C6571" t="str">
        <f>HYPERLINK("https://nematode.unl.edu/mesocrin22.jpg")</f>
        <v>https://nematode.unl.edu/mesocrin22.jpg</v>
      </c>
      <c r="D6571" t="s">
        <v>43</v>
      </c>
      <c r="G6571" t="s">
        <v>28</v>
      </c>
      <c r="I6571" t="s">
        <v>41</v>
      </c>
      <c r="M6571" t="s">
        <v>8133</v>
      </c>
      <c r="N6571" t="s">
        <v>8133</v>
      </c>
      <c r="O6571" t="s">
        <v>23</v>
      </c>
      <c r="P6571" t="s">
        <v>24</v>
      </c>
      <c r="Q6571" t="s">
        <v>642</v>
      </c>
      <c r="R6571" t="s">
        <v>1214</v>
      </c>
    </row>
    <row r="6572" spans="1:18" x14ac:dyDescent="0.25">
      <c r="A6572" t="s">
        <v>14927</v>
      </c>
      <c r="B6572" t="s">
        <v>8204</v>
      </c>
      <c r="C6572" t="str">
        <f>HYPERLINK("https://nematode.unl.edu/mesocrin23.jpg")</f>
        <v>https://nematode.unl.edu/mesocrin23.jpg</v>
      </c>
      <c r="D6572" t="s">
        <v>43</v>
      </c>
      <c r="G6572" t="s">
        <v>51</v>
      </c>
      <c r="I6572" t="s">
        <v>41</v>
      </c>
      <c r="M6572" t="s">
        <v>8133</v>
      </c>
      <c r="N6572" t="s">
        <v>8133</v>
      </c>
      <c r="O6572" t="s">
        <v>23</v>
      </c>
      <c r="P6572" t="s">
        <v>24</v>
      </c>
      <c r="Q6572" t="s">
        <v>642</v>
      </c>
      <c r="R6572" t="s">
        <v>1214</v>
      </c>
    </row>
    <row r="6573" spans="1:18" x14ac:dyDescent="0.25">
      <c r="A6573" t="s">
        <v>14857</v>
      </c>
      <c r="B6573" t="s">
        <v>8205</v>
      </c>
      <c r="C6573" t="str">
        <f>HYPERLINK("https://nematode.unl.edu/mesocrin24.jpg")</f>
        <v>https://nematode.unl.edu/mesocrin24.jpg</v>
      </c>
      <c r="D6573" t="s">
        <v>43</v>
      </c>
      <c r="G6573" t="s">
        <v>44</v>
      </c>
      <c r="I6573" t="s">
        <v>19</v>
      </c>
      <c r="J6573" t="s">
        <v>46</v>
      </c>
      <c r="M6573" t="s">
        <v>8133</v>
      </c>
      <c r="N6573" t="s">
        <v>8133</v>
      </c>
      <c r="O6573" t="s">
        <v>23</v>
      </c>
      <c r="P6573" t="s">
        <v>24</v>
      </c>
      <c r="Q6573" t="s">
        <v>642</v>
      </c>
      <c r="R6573" t="s">
        <v>1214</v>
      </c>
    </row>
    <row r="6574" spans="1:18" x14ac:dyDescent="0.25">
      <c r="A6574" t="s">
        <v>14810</v>
      </c>
      <c r="B6574" t="s">
        <v>8206</v>
      </c>
      <c r="C6574" t="str">
        <f>HYPERLINK("https://nematode.unl.edu/mesocrin25.jpg")</f>
        <v>https://nematode.unl.edu/mesocrin25.jpg</v>
      </c>
      <c r="D6574" t="s">
        <v>43</v>
      </c>
      <c r="G6574" t="s">
        <v>34</v>
      </c>
      <c r="H6574" t="s">
        <v>18</v>
      </c>
      <c r="I6574" t="s">
        <v>41</v>
      </c>
      <c r="M6574" t="s">
        <v>8133</v>
      </c>
      <c r="N6574" t="s">
        <v>8133</v>
      </c>
      <c r="O6574" t="s">
        <v>23</v>
      </c>
      <c r="P6574" t="s">
        <v>24</v>
      </c>
      <c r="Q6574" t="s">
        <v>642</v>
      </c>
      <c r="R6574" t="s">
        <v>1214</v>
      </c>
    </row>
    <row r="6575" spans="1:18" x14ac:dyDescent="0.25">
      <c r="A6575" t="s">
        <v>14903</v>
      </c>
      <c r="B6575" t="s">
        <v>8207</v>
      </c>
      <c r="C6575" t="str">
        <f>HYPERLINK("https://nematode.unl.edu/mesocrin26.jpg")</f>
        <v>https://nematode.unl.edu/mesocrin26.jpg</v>
      </c>
      <c r="D6575" t="s">
        <v>43</v>
      </c>
      <c r="G6575" t="s">
        <v>28</v>
      </c>
      <c r="I6575" t="s">
        <v>41</v>
      </c>
      <c r="M6575" t="s">
        <v>8133</v>
      </c>
      <c r="N6575" t="s">
        <v>8133</v>
      </c>
      <c r="O6575" t="s">
        <v>23</v>
      </c>
      <c r="P6575" t="s">
        <v>24</v>
      </c>
      <c r="Q6575" t="s">
        <v>642</v>
      </c>
      <c r="R6575" t="s">
        <v>1214</v>
      </c>
    </row>
    <row r="6576" spans="1:18" x14ac:dyDescent="0.25">
      <c r="A6576" t="s">
        <v>14811</v>
      </c>
      <c r="B6576" t="s">
        <v>8208</v>
      </c>
      <c r="C6576" t="str">
        <f>HYPERLINK("https://nematode.unl.edu/mesocrin3.jpg")</f>
        <v>https://nematode.unl.edu/mesocrin3.jpg</v>
      </c>
      <c r="D6576" t="s">
        <v>43</v>
      </c>
      <c r="G6576" t="s">
        <v>34</v>
      </c>
      <c r="H6576" t="s">
        <v>18</v>
      </c>
      <c r="I6576" t="s">
        <v>41</v>
      </c>
      <c r="J6576" t="s">
        <v>46</v>
      </c>
      <c r="M6576" t="s">
        <v>8133</v>
      </c>
      <c r="N6576" t="s">
        <v>8133</v>
      </c>
      <c r="O6576" t="s">
        <v>23</v>
      </c>
      <c r="P6576" t="s">
        <v>24</v>
      </c>
      <c r="Q6576" t="s">
        <v>642</v>
      </c>
      <c r="R6576" t="s">
        <v>1214</v>
      </c>
    </row>
    <row r="6577" spans="1:18" x14ac:dyDescent="0.25">
      <c r="A6577" t="s">
        <v>14858</v>
      </c>
      <c r="B6577" t="s">
        <v>8209</v>
      </c>
      <c r="C6577" t="str">
        <f>HYPERLINK("https://nematode.unl.edu/mesocrin32.jpg")</f>
        <v>https://nematode.unl.edu/mesocrin32.jpg</v>
      </c>
      <c r="D6577" t="s">
        <v>43</v>
      </c>
      <c r="G6577" t="s">
        <v>44</v>
      </c>
      <c r="I6577" t="s">
        <v>19</v>
      </c>
      <c r="J6577" t="s">
        <v>46</v>
      </c>
      <c r="M6577" t="s">
        <v>8133</v>
      </c>
      <c r="N6577" t="s">
        <v>8133</v>
      </c>
      <c r="O6577" t="s">
        <v>23</v>
      </c>
      <c r="P6577" t="s">
        <v>24</v>
      </c>
      <c r="Q6577" t="s">
        <v>642</v>
      </c>
      <c r="R6577" t="s">
        <v>1214</v>
      </c>
    </row>
    <row r="6578" spans="1:18" x14ac:dyDescent="0.25">
      <c r="A6578" t="s">
        <v>14859</v>
      </c>
      <c r="B6578" t="s">
        <v>8210</v>
      </c>
      <c r="C6578" t="str">
        <f>HYPERLINK("https://nematode.unl.edu/mesocrin33.jpg")</f>
        <v>https://nematode.unl.edu/mesocrin33.jpg</v>
      </c>
      <c r="D6578" t="s">
        <v>43</v>
      </c>
      <c r="G6578" t="s">
        <v>44</v>
      </c>
      <c r="I6578" t="s">
        <v>516</v>
      </c>
      <c r="J6578" t="s">
        <v>46</v>
      </c>
      <c r="M6578" t="s">
        <v>8133</v>
      </c>
      <c r="N6578" t="s">
        <v>8133</v>
      </c>
      <c r="O6578" t="s">
        <v>23</v>
      </c>
      <c r="P6578" t="s">
        <v>24</v>
      </c>
      <c r="Q6578" t="s">
        <v>642</v>
      </c>
      <c r="R6578" t="s">
        <v>1214</v>
      </c>
    </row>
    <row r="6579" spans="1:18" x14ac:dyDescent="0.25">
      <c r="A6579" t="s">
        <v>14812</v>
      </c>
      <c r="B6579" t="s">
        <v>8211</v>
      </c>
      <c r="C6579" t="str">
        <f>HYPERLINK("https://nematode.unl.edu/mesocrin34.jpg")</f>
        <v>https://nematode.unl.edu/mesocrin34.jpg</v>
      </c>
      <c r="D6579" t="s">
        <v>43</v>
      </c>
      <c r="G6579" t="s">
        <v>34</v>
      </c>
      <c r="H6579" t="s">
        <v>18</v>
      </c>
      <c r="M6579" t="s">
        <v>8133</v>
      </c>
      <c r="N6579" t="s">
        <v>8133</v>
      </c>
      <c r="O6579" t="s">
        <v>23</v>
      </c>
      <c r="P6579" t="s">
        <v>24</v>
      </c>
      <c r="Q6579" t="s">
        <v>642</v>
      </c>
      <c r="R6579" t="s">
        <v>1214</v>
      </c>
    </row>
    <row r="6580" spans="1:18" x14ac:dyDescent="0.25">
      <c r="A6580" t="s">
        <v>14904</v>
      </c>
      <c r="B6580" t="s">
        <v>8212</v>
      </c>
      <c r="C6580" t="str">
        <f>HYPERLINK("https://nematode.unl.edu/mesocrin35.jpg")</f>
        <v>https://nematode.unl.edu/mesocrin35.jpg</v>
      </c>
      <c r="D6580" t="s">
        <v>43</v>
      </c>
      <c r="G6580" t="s">
        <v>28</v>
      </c>
      <c r="M6580" t="s">
        <v>8133</v>
      </c>
      <c r="N6580" t="s">
        <v>8133</v>
      </c>
      <c r="O6580" t="s">
        <v>23</v>
      </c>
      <c r="P6580" t="s">
        <v>24</v>
      </c>
      <c r="Q6580" t="s">
        <v>642</v>
      </c>
      <c r="R6580" t="s">
        <v>1214</v>
      </c>
    </row>
    <row r="6581" spans="1:18" x14ac:dyDescent="0.25">
      <c r="A6581" t="s">
        <v>14860</v>
      </c>
      <c r="B6581" t="s">
        <v>8213</v>
      </c>
      <c r="C6581" t="str">
        <f>HYPERLINK("https://nematode.unl.edu/mesocrin36.jpg")</f>
        <v>https://nematode.unl.edu/mesocrin36.jpg</v>
      </c>
      <c r="D6581" t="s">
        <v>43</v>
      </c>
      <c r="G6581" t="s">
        <v>44</v>
      </c>
      <c r="I6581" t="s">
        <v>516</v>
      </c>
      <c r="J6581" t="s">
        <v>46</v>
      </c>
      <c r="M6581" t="s">
        <v>8133</v>
      </c>
      <c r="N6581" t="s">
        <v>8133</v>
      </c>
      <c r="O6581" t="s">
        <v>23</v>
      </c>
      <c r="P6581" t="s">
        <v>24</v>
      </c>
      <c r="Q6581" t="s">
        <v>642</v>
      </c>
      <c r="R6581" t="s">
        <v>1214</v>
      </c>
    </row>
    <row r="6582" spans="1:18" x14ac:dyDescent="0.25">
      <c r="A6582" t="s">
        <v>14813</v>
      </c>
      <c r="B6582" t="s">
        <v>8214</v>
      </c>
      <c r="C6582" t="str">
        <f>HYPERLINK("https://nematode.unl.edu/mesocrin37.jpg")</f>
        <v>https://nematode.unl.edu/mesocrin37.jpg</v>
      </c>
      <c r="D6582" t="s">
        <v>43</v>
      </c>
      <c r="G6582" t="s">
        <v>34</v>
      </c>
      <c r="H6582" t="s">
        <v>18</v>
      </c>
      <c r="I6582" t="s">
        <v>41</v>
      </c>
      <c r="M6582" t="s">
        <v>8133</v>
      </c>
      <c r="N6582" t="s">
        <v>8133</v>
      </c>
      <c r="O6582" t="s">
        <v>23</v>
      </c>
      <c r="P6582" t="s">
        <v>24</v>
      </c>
      <c r="Q6582" t="s">
        <v>642</v>
      </c>
      <c r="R6582" t="s">
        <v>1214</v>
      </c>
    </row>
    <row r="6583" spans="1:18" x14ac:dyDescent="0.25">
      <c r="A6583" t="s">
        <v>14814</v>
      </c>
      <c r="B6583" t="s">
        <v>8215</v>
      </c>
      <c r="C6583" t="str">
        <f>HYPERLINK("https://nematode.unl.edu/mesocrin38.jpg")</f>
        <v>https://nematode.unl.edu/mesocrin38.jpg</v>
      </c>
      <c r="D6583" t="s">
        <v>43</v>
      </c>
      <c r="G6583" t="s">
        <v>34</v>
      </c>
      <c r="H6583" t="s">
        <v>18</v>
      </c>
      <c r="I6583" t="s">
        <v>41</v>
      </c>
      <c r="M6583" t="s">
        <v>8133</v>
      </c>
      <c r="N6583" t="s">
        <v>8133</v>
      </c>
      <c r="O6583" t="s">
        <v>23</v>
      </c>
      <c r="P6583" t="s">
        <v>24</v>
      </c>
      <c r="Q6583" t="s">
        <v>642</v>
      </c>
      <c r="R6583" t="s">
        <v>1214</v>
      </c>
    </row>
    <row r="6584" spans="1:18" x14ac:dyDescent="0.25">
      <c r="A6584" t="s">
        <v>14905</v>
      </c>
      <c r="B6584" t="s">
        <v>8216</v>
      </c>
      <c r="C6584" t="str">
        <f>HYPERLINK("https://nematode.unl.edu/mesocrin39.jpg")</f>
        <v>https://nematode.unl.edu/mesocrin39.jpg</v>
      </c>
      <c r="D6584" t="s">
        <v>43</v>
      </c>
      <c r="G6584" t="s">
        <v>28</v>
      </c>
      <c r="M6584" t="s">
        <v>8133</v>
      </c>
      <c r="N6584" t="s">
        <v>8133</v>
      </c>
      <c r="O6584" t="s">
        <v>23</v>
      </c>
      <c r="P6584" t="s">
        <v>24</v>
      </c>
      <c r="Q6584" t="s">
        <v>642</v>
      </c>
      <c r="R6584" t="s">
        <v>1214</v>
      </c>
    </row>
    <row r="6585" spans="1:18" x14ac:dyDescent="0.25">
      <c r="A6585" t="s">
        <v>14906</v>
      </c>
      <c r="B6585" t="s">
        <v>8217</v>
      </c>
      <c r="C6585" t="str">
        <f>HYPERLINK("https://nematode.unl.edu/mesocrin4.jpg")</f>
        <v>https://nematode.unl.edu/mesocrin4.jpg</v>
      </c>
      <c r="D6585" t="s">
        <v>43</v>
      </c>
      <c r="G6585" t="s">
        <v>28</v>
      </c>
      <c r="I6585" t="s">
        <v>41</v>
      </c>
      <c r="J6585" t="s">
        <v>46</v>
      </c>
      <c r="M6585" t="s">
        <v>8133</v>
      </c>
      <c r="N6585" t="s">
        <v>8133</v>
      </c>
      <c r="O6585" t="s">
        <v>23</v>
      </c>
      <c r="P6585" t="s">
        <v>24</v>
      </c>
      <c r="Q6585" t="s">
        <v>642</v>
      </c>
      <c r="R6585" t="s">
        <v>1214</v>
      </c>
    </row>
    <row r="6586" spans="1:18" x14ac:dyDescent="0.25">
      <c r="A6586" t="s">
        <v>14861</v>
      </c>
      <c r="B6586" t="s">
        <v>8218</v>
      </c>
      <c r="C6586" t="str">
        <f>HYPERLINK("https://nematode.unl.edu/mesocrin40.jpg")</f>
        <v>https://nematode.unl.edu/mesocrin40.jpg</v>
      </c>
      <c r="D6586" t="s">
        <v>43</v>
      </c>
      <c r="G6586" t="s">
        <v>44</v>
      </c>
      <c r="I6586" t="s">
        <v>19</v>
      </c>
      <c r="J6586" t="s">
        <v>46</v>
      </c>
      <c r="M6586" t="s">
        <v>8133</v>
      </c>
      <c r="N6586" t="s">
        <v>8133</v>
      </c>
      <c r="O6586" t="s">
        <v>23</v>
      </c>
      <c r="P6586" t="s">
        <v>24</v>
      </c>
      <c r="Q6586" t="s">
        <v>642</v>
      </c>
      <c r="R6586" t="s">
        <v>1214</v>
      </c>
    </row>
    <row r="6587" spans="1:18" x14ac:dyDescent="0.25">
      <c r="A6587" t="s">
        <v>14815</v>
      </c>
      <c r="B6587" t="s">
        <v>8219</v>
      </c>
      <c r="C6587" t="str">
        <f>HYPERLINK("https://nematode.unl.edu/mesocrin41.jpg")</f>
        <v>https://nematode.unl.edu/mesocrin41.jpg</v>
      </c>
      <c r="D6587" t="s">
        <v>43</v>
      </c>
      <c r="G6587" t="s">
        <v>34</v>
      </c>
      <c r="H6587" t="s">
        <v>18</v>
      </c>
      <c r="M6587" t="s">
        <v>8133</v>
      </c>
      <c r="N6587" t="s">
        <v>8133</v>
      </c>
      <c r="O6587" t="s">
        <v>23</v>
      </c>
      <c r="P6587" t="s">
        <v>24</v>
      </c>
      <c r="Q6587" t="s">
        <v>642</v>
      </c>
      <c r="R6587" t="s">
        <v>1214</v>
      </c>
    </row>
    <row r="6588" spans="1:18" x14ac:dyDescent="0.25">
      <c r="A6588" t="s">
        <v>14907</v>
      </c>
      <c r="B6588" t="s">
        <v>8220</v>
      </c>
      <c r="C6588" t="str">
        <f>HYPERLINK("https://nematode.unl.edu/mesocrin42.jpg")</f>
        <v>https://nematode.unl.edu/mesocrin42.jpg</v>
      </c>
      <c r="D6588" t="s">
        <v>43</v>
      </c>
      <c r="G6588" t="s">
        <v>28</v>
      </c>
      <c r="M6588" t="s">
        <v>8133</v>
      </c>
      <c r="N6588" t="s">
        <v>8133</v>
      </c>
      <c r="O6588" t="s">
        <v>23</v>
      </c>
      <c r="P6588" t="s">
        <v>24</v>
      </c>
      <c r="Q6588" t="s">
        <v>642</v>
      </c>
      <c r="R6588" t="s">
        <v>1214</v>
      </c>
    </row>
    <row r="6589" spans="1:18" x14ac:dyDescent="0.25">
      <c r="A6589" t="s">
        <v>14928</v>
      </c>
      <c r="B6589" t="s">
        <v>8221</v>
      </c>
      <c r="C6589" t="str">
        <f>HYPERLINK("https://nematode.unl.edu/mesocrin43.jpg")</f>
        <v>https://nematode.unl.edu/mesocrin43.jpg</v>
      </c>
      <c r="D6589" t="s">
        <v>43</v>
      </c>
      <c r="G6589" t="s">
        <v>51</v>
      </c>
      <c r="M6589" t="s">
        <v>8133</v>
      </c>
      <c r="N6589" t="s">
        <v>8133</v>
      </c>
      <c r="O6589" t="s">
        <v>23</v>
      </c>
      <c r="P6589" t="s">
        <v>24</v>
      </c>
      <c r="Q6589" t="s">
        <v>642</v>
      </c>
      <c r="R6589" t="s">
        <v>1214</v>
      </c>
    </row>
    <row r="6590" spans="1:18" x14ac:dyDescent="0.25">
      <c r="A6590" t="s">
        <v>14862</v>
      </c>
      <c r="B6590" t="s">
        <v>8222</v>
      </c>
      <c r="C6590" t="str">
        <f>HYPERLINK("https://nematode.unl.edu/mesocrin44.jpg")</f>
        <v>https://nematode.unl.edu/mesocrin44.jpg</v>
      </c>
      <c r="D6590" t="s">
        <v>43</v>
      </c>
      <c r="G6590" t="s">
        <v>44</v>
      </c>
      <c r="I6590" t="s">
        <v>516</v>
      </c>
      <c r="J6590" t="s">
        <v>46</v>
      </c>
      <c r="M6590" t="s">
        <v>8133</v>
      </c>
      <c r="N6590" t="s">
        <v>8133</v>
      </c>
      <c r="O6590" t="s">
        <v>23</v>
      </c>
      <c r="P6590" t="s">
        <v>24</v>
      </c>
      <c r="Q6590" t="s">
        <v>642</v>
      </c>
      <c r="R6590" t="s">
        <v>1214</v>
      </c>
    </row>
    <row r="6591" spans="1:18" x14ac:dyDescent="0.25">
      <c r="A6591" t="s">
        <v>14816</v>
      </c>
      <c r="B6591" t="s">
        <v>8223</v>
      </c>
      <c r="C6591" t="str">
        <f>HYPERLINK("https://nematode.unl.edu/mesocrin45.jpg")</f>
        <v>https://nematode.unl.edu/mesocrin45.jpg</v>
      </c>
      <c r="D6591" t="s">
        <v>43</v>
      </c>
      <c r="G6591" t="s">
        <v>34</v>
      </c>
      <c r="H6591" t="s">
        <v>18</v>
      </c>
      <c r="M6591" t="s">
        <v>8133</v>
      </c>
      <c r="N6591" t="s">
        <v>8133</v>
      </c>
      <c r="O6591" t="s">
        <v>23</v>
      </c>
      <c r="P6591" t="s">
        <v>24</v>
      </c>
      <c r="Q6591" t="s">
        <v>642</v>
      </c>
      <c r="R6591" t="s">
        <v>1214</v>
      </c>
    </row>
    <row r="6592" spans="1:18" x14ac:dyDescent="0.25">
      <c r="A6592" t="s">
        <v>14908</v>
      </c>
      <c r="B6592" t="s">
        <v>8224</v>
      </c>
      <c r="C6592" t="str">
        <f>HYPERLINK("https://nematode.unl.edu/mesocrin46.jpg")</f>
        <v>https://nematode.unl.edu/mesocrin46.jpg</v>
      </c>
      <c r="D6592" t="s">
        <v>43</v>
      </c>
      <c r="G6592" t="s">
        <v>28</v>
      </c>
      <c r="I6592" t="s">
        <v>41</v>
      </c>
      <c r="M6592" t="s">
        <v>8133</v>
      </c>
      <c r="N6592" t="s">
        <v>8133</v>
      </c>
      <c r="O6592" t="s">
        <v>23</v>
      </c>
      <c r="P6592" t="s">
        <v>24</v>
      </c>
      <c r="Q6592" t="s">
        <v>642</v>
      </c>
      <c r="R6592" t="s">
        <v>1214</v>
      </c>
    </row>
    <row r="6593" spans="1:18" x14ac:dyDescent="0.25">
      <c r="A6593" t="s">
        <v>14929</v>
      </c>
      <c r="B6593" t="s">
        <v>8225</v>
      </c>
      <c r="C6593" t="str">
        <f>HYPERLINK("https://nematode.unl.edu/mesocrin47.jpg")</f>
        <v>https://nematode.unl.edu/mesocrin47.jpg</v>
      </c>
      <c r="D6593" t="s">
        <v>43</v>
      </c>
      <c r="G6593" t="s">
        <v>51</v>
      </c>
      <c r="I6593" t="s">
        <v>41</v>
      </c>
      <c r="M6593" t="s">
        <v>8133</v>
      </c>
      <c r="N6593" t="s">
        <v>8133</v>
      </c>
      <c r="O6593" t="s">
        <v>23</v>
      </c>
      <c r="P6593" t="s">
        <v>24</v>
      </c>
      <c r="Q6593" t="s">
        <v>642</v>
      </c>
      <c r="R6593" t="s">
        <v>1214</v>
      </c>
    </row>
    <row r="6594" spans="1:18" x14ac:dyDescent="0.25">
      <c r="A6594" t="s">
        <v>14863</v>
      </c>
      <c r="B6594" t="s">
        <v>8226</v>
      </c>
      <c r="C6594" t="str">
        <f>HYPERLINK("https://nematode.unl.edu/mesocrin48.jpg")</f>
        <v>https://nematode.unl.edu/mesocrin48.jpg</v>
      </c>
      <c r="D6594" t="s">
        <v>43</v>
      </c>
      <c r="G6594" t="s">
        <v>44</v>
      </c>
      <c r="I6594" t="s">
        <v>41</v>
      </c>
      <c r="M6594" t="s">
        <v>8133</v>
      </c>
      <c r="N6594" t="s">
        <v>8133</v>
      </c>
      <c r="O6594" t="s">
        <v>23</v>
      </c>
      <c r="P6594" t="s">
        <v>24</v>
      </c>
      <c r="Q6594" t="s">
        <v>642</v>
      </c>
      <c r="R6594" t="s">
        <v>1214</v>
      </c>
    </row>
    <row r="6595" spans="1:18" x14ac:dyDescent="0.25">
      <c r="A6595" t="s">
        <v>14864</v>
      </c>
      <c r="B6595" t="s">
        <v>8227</v>
      </c>
      <c r="C6595" t="str">
        <f>HYPERLINK("https://nematode.unl.edu/mesocrin49.jpg")</f>
        <v>https://nematode.unl.edu/mesocrin49.jpg</v>
      </c>
      <c r="D6595" t="s">
        <v>43</v>
      </c>
      <c r="G6595" t="s">
        <v>44</v>
      </c>
      <c r="I6595" t="s">
        <v>19</v>
      </c>
      <c r="J6595" t="s">
        <v>46</v>
      </c>
      <c r="M6595" t="s">
        <v>8133</v>
      </c>
      <c r="N6595" t="s">
        <v>8133</v>
      </c>
      <c r="O6595" t="s">
        <v>23</v>
      </c>
      <c r="P6595" t="s">
        <v>24</v>
      </c>
      <c r="Q6595" t="s">
        <v>642</v>
      </c>
      <c r="R6595" t="s">
        <v>1214</v>
      </c>
    </row>
    <row r="6596" spans="1:18" x14ac:dyDescent="0.25">
      <c r="A6596" t="s">
        <v>14817</v>
      </c>
      <c r="B6596" t="s">
        <v>8228</v>
      </c>
      <c r="C6596" t="str">
        <f>HYPERLINK("https://nematode.unl.edu/mesocrin5.jpg")</f>
        <v>https://nematode.unl.edu/mesocrin5.jpg</v>
      </c>
      <c r="D6596" t="s">
        <v>43</v>
      </c>
      <c r="G6596" t="s">
        <v>34</v>
      </c>
      <c r="H6596" t="s">
        <v>18</v>
      </c>
      <c r="I6596" t="s">
        <v>41</v>
      </c>
      <c r="J6596" t="s">
        <v>46</v>
      </c>
      <c r="M6596" t="s">
        <v>8133</v>
      </c>
      <c r="N6596" t="s">
        <v>8133</v>
      </c>
      <c r="O6596" t="s">
        <v>23</v>
      </c>
      <c r="P6596" t="s">
        <v>24</v>
      </c>
      <c r="Q6596" t="s">
        <v>642</v>
      </c>
      <c r="R6596" t="s">
        <v>1214</v>
      </c>
    </row>
    <row r="6597" spans="1:18" x14ac:dyDescent="0.25">
      <c r="A6597" t="s">
        <v>14818</v>
      </c>
      <c r="B6597" t="s">
        <v>8229</v>
      </c>
      <c r="C6597" t="str">
        <f>HYPERLINK("https://nematode.unl.edu/mesocrin50.jpg")</f>
        <v>https://nematode.unl.edu/mesocrin50.jpg</v>
      </c>
      <c r="D6597" t="s">
        <v>43</v>
      </c>
      <c r="G6597" t="s">
        <v>34</v>
      </c>
      <c r="H6597" t="s">
        <v>18</v>
      </c>
      <c r="M6597" t="s">
        <v>8133</v>
      </c>
      <c r="N6597" t="s">
        <v>8133</v>
      </c>
      <c r="O6597" t="s">
        <v>23</v>
      </c>
      <c r="P6597" t="s">
        <v>24</v>
      </c>
      <c r="Q6597" t="s">
        <v>642</v>
      </c>
      <c r="R6597" t="s">
        <v>1214</v>
      </c>
    </row>
    <row r="6598" spans="1:18" x14ac:dyDescent="0.25">
      <c r="A6598" t="s">
        <v>14909</v>
      </c>
      <c r="B6598" t="s">
        <v>8230</v>
      </c>
      <c r="C6598" t="str">
        <f>HYPERLINK("https://nematode.unl.edu/mesocrin51.jpg")</f>
        <v>https://nematode.unl.edu/mesocrin51.jpg</v>
      </c>
      <c r="D6598" t="s">
        <v>43</v>
      </c>
      <c r="G6598" t="s">
        <v>28</v>
      </c>
      <c r="I6598" t="s">
        <v>41</v>
      </c>
      <c r="M6598" t="s">
        <v>8133</v>
      </c>
      <c r="N6598" t="s">
        <v>8133</v>
      </c>
      <c r="O6598" t="s">
        <v>23</v>
      </c>
      <c r="P6598" t="s">
        <v>24</v>
      </c>
      <c r="Q6598" t="s">
        <v>642</v>
      </c>
      <c r="R6598" t="s">
        <v>1214</v>
      </c>
    </row>
    <row r="6599" spans="1:18" x14ac:dyDescent="0.25">
      <c r="A6599" t="s">
        <v>14910</v>
      </c>
      <c r="B6599" t="s">
        <v>8231</v>
      </c>
      <c r="C6599" t="str">
        <f>HYPERLINK("https://nematode.unl.edu/mesocrin52.jpg")</f>
        <v>https://nematode.unl.edu/mesocrin52.jpg</v>
      </c>
      <c r="D6599" t="s">
        <v>43</v>
      </c>
      <c r="G6599" t="s">
        <v>28</v>
      </c>
      <c r="I6599" t="s">
        <v>41</v>
      </c>
      <c r="M6599" t="s">
        <v>8133</v>
      </c>
      <c r="N6599" t="s">
        <v>8133</v>
      </c>
      <c r="O6599" t="s">
        <v>23</v>
      </c>
      <c r="P6599" t="s">
        <v>24</v>
      </c>
      <c r="Q6599" t="s">
        <v>642</v>
      </c>
      <c r="R6599" t="s">
        <v>1214</v>
      </c>
    </row>
    <row r="6600" spans="1:18" x14ac:dyDescent="0.25">
      <c r="A6600" t="s">
        <v>14865</v>
      </c>
      <c r="B6600" t="s">
        <v>8232</v>
      </c>
      <c r="C6600" t="str">
        <f>HYPERLINK("https://nematode.unl.edu/mesocrin53.jpg")</f>
        <v>https://nematode.unl.edu/mesocrin53.jpg</v>
      </c>
      <c r="D6600" t="s">
        <v>43</v>
      </c>
      <c r="G6600" t="s">
        <v>44</v>
      </c>
      <c r="I6600" t="s">
        <v>19</v>
      </c>
      <c r="J6600" t="s">
        <v>46</v>
      </c>
      <c r="M6600" t="s">
        <v>8133</v>
      </c>
      <c r="N6600" t="s">
        <v>8133</v>
      </c>
      <c r="O6600" t="s">
        <v>23</v>
      </c>
      <c r="P6600" t="s">
        <v>24</v>
      </c>
      <c r="Q6600" t="s">
        <v>642</v>
      </c>
      <c r="R6600" t="s">
        <v>1214</v>
      </c>
    </row>
    <row r="6601" spans="1:18" x14ac:dyDescent="0.25">
      <c r="A6601" t="s">
        <v>14819</v>
      </c>
      <c r="B6601" t="s">
        <v>8233</v>
      </c>
      <c r="C6601" t="str">
        <f>HYPERLINK("https://nematode.unl.edu/mesocrin54.jpg")</f>
        <v>https://nematode.unl.edu/mesocrin54.jpg</v>
      </c>
      <c r="D6601" t="s">
        <v>43</v>
      </c>
      <c r="G6601" t="s">
        <v>34</v>
      </c>
      <c r="H6601" t="s">
        <v>18</v>
      </c>
      <c r="I6601" t="s">
        <v>41</v>
      </c>
      <c r="M6601" t="s">
        <v>8133</v>
      </c>
      <c r="N6601" t="s">
        <v>8133</v>
      </c>
      <c r="O6601" t="s">
        <v>23</v>
      </c>
      <c r="P6601" t="s">
        <v>24</v>
      </c>
      <c r="Q6601" t="s">
        <v>642</v>
      </c>
      <c r="R6601" t="s">
        <v>1214</v>
      </c>
    </row>
    <row r="6602" spans="1:18" x14ac:dyDescent="0.25">
      <c r="A6602" t="s">
        <v>14911</v>
      </c>
      <c r="B6602" t="s">
        <v>8234</v>
      </c>
      <c r="C6602" t="str">
        <f>HYPERLINK("https://nematode.unl.edu/mesocrin55.jpg")</f>
        <v>https://nematode.unl.edu/mesocrin55.jpg</v>
      </c>
      <c r="D6602" t="s">
        <v>43</v>
      </c>
      <c r="G6602" t="s">
        <v>28</v>
      </c>
      <c r="M6602" t="s">
        <v>8133</v>
      </c>
      <c r="N6602" t="s">
        <v>8133</v>
      </c>
      <c r="O6602" t="s">
        <v>23</v>
      </c>
      <c r="P6602" t="s">
        <v>24</v>
      </c>
      <c r="Q6602" t="s">
        <v>642</v>
      </c>
      <c r="R6602" t="s">
        <v>1214</v>
      </c>
    </row>
    <row r="6603" spans="1:18" x14ac:dyDescent="0.25">
      <c r="A6603" t="s">
        <v>14820</v>
      </c>
      <c r="B6603" t="s">
        <v>8235</v>
      </c>
      <c r="C6603" t="str">
        <f>HYPERLINK("https://nematode.unl.edu/mesocrin56.jpg")</f>
        <v>https://nematode.unl.edu/mesocrin56.jpg</v>
      </c>
      <c r="D6603" t="s">
        <v>43</v>
      </c>
      <c r="G6603" t="s">
        <v>34</v>
      </c>
      <c r="H6603" t="s">
        <v>18</v>
      </c>
      <c r="I6603" t="s">
        <v>41</v>
      </c>
      <c r="M6603" t="s">
        <v>8133</v>
      </c>
      <c r="N6603" t="s">
        <v>8133</v>
      </c>
      <c r="O6603" t="s">
        <v>23</v>
      </c>
      <c r="P6603" t="s">
        <v>24</v>
      </c>
      <c r="Q6603" t="s">
        <v>642</v>
      </c>
      <c r="R6603" t="s">
        <v>1214</v>
      </c>
    </row>
    <row r="6604" spans="1:18" x14ac:dyDescent="0.25">
      <c r="A6604" t="s">
        <v>14912</v>
      </c>
      <c r="B6604" t="s">
        <v>8236</v>
      </c>
      <c r="C6604" t="str">
        <f>HYPERLINK("https://nematode.unl.edu/mesocrin57.jpg")</f>
        <v>https://nematode.unl.edu/mesocrin57.jpg</v>
      </c>
      <c r="D6604" t="s">
        <v>43</v>
      </c>
      <c r="G6604" t="s">
        <v>28</v>
      </c>
      <c r="M6604" t="s">
        <v>8133</v>
      </c>
      <c r="N6604" t="s">
        <v>8133</v>
      </c>
      <c r="O6604" t="s">
        <v>23</v>
      </c>
      <c r="P6604" t="s">
        <v>24</v>
      </c>
      <c r="Q6604" t="s">
        <v>642</v>
      </c>
      <c r="R6604" t="s">
        <v>1214</v>
      </c>
    </row>
    <row r="6605" spans="1:18" x14ac:dyDescent="0.25">
      <c r="A6605" t="s">
        <v>14866</v>
      </c>
      <c r="B6605" t="s">
        <v>8237</v>
      </c>
      <c r="C6605" t="str">
        <f>HYPERLINK("https://nematode.unl.edu/mesocrin58.jpg")</f>
        <v>https://nematode.unl.edu/mesocrin58.jpg</v>
      </c>
      <c r="D6605" t="s">
        <v>43</v>
      </c>
      <c r="G6605" t="s">
        <v>44</v>
      </c>
      <c r="I6605" t="s">
        <v>19</v>
      </c>
      <c r="J6605" t="s">
        <v>46</v>
      </c>
      <c r="M6605" t="s">
        <v>8133</v>
      </c>
      <c r="N6605" t="s">
        <v>8133</v>
      </c>
      <c r="O6605" t="s">
        <v>23</v>
      </c>
      <c r="P6605" t="s">
        <v>24</v>
      </c>
      <c r="Q6605" t="s">
        <v>642</v>
      </c>
      <c r="R6605" t="s">
        <v>1214</v>
      </c>
    </row>
    <row r="6606" spans="1:18" x14ac:dyDescent="0.25">
      <c r="A6606" t="s">
        <v>14867</v>
      </c>
      <c r="B6606" t="s">
        <v>8238</v>
      </c>
      <c r="C6606" t="str">
        <f>HYPERLINK("https://nematode.unl.edu/mesocrin59.jpg")</f>
        <v>https://nematode.unl.edu/mesocrin59.jpg</v>
      </c>
      <c r="D6606" t="s">
        <v>43</v>
      </c>
      <c r="G6606" t="s">
        <v>44</v>
      </c>
      <c r="I6606" t="s">
        <v>41</v>
      </c>
      <c r="M6606" t="s">
        <v>8133</v>
      </c>
      <c r="N6606" t="s">
        <v>8133</v>
      </c>
      <c r="O6606" t="s">
        <v>23</v>
      </c>
      <c r="P6606" t="s">
        <v>24</v>
      </c>
      <c r="Q6606" t="s">
        <v>642</v>
      </c>
      <c r="R6606" t="s">
        <v>1214</v>
      </c>
    </row>
    <row r="6607" spans="1:18" x14ac:dyDescent="0.25">
      <c r="A6607" t="s">
        <v>14821</v>
      </c>
      <c r="B6607" t="s">
        <v>8239</v>
      </c>
      <c r="C6607" t="str">
        <f>HYPERLINK("https://nematode.unl.edu/mesocrin6.jpg")</f>
        <v>https://nematode.unl.edu/mesocrin6.jpg</v>
      </c>
      <c r="D6607" t="s">
        <v>43</v>
      </c>
      <c r="G6607" t="s">
        <v>34</v>
      </c>
      <c r="H6607" t="s">
        <v>18</v>
      </c>
      <c r="I6607" t="s">
        <v>41</v>
      </c>
      <c r="J6607" t="s">
        <v>46</v>
      </c>
      <c r="M6607" t="s">
        <v>8133</v>
      </c>
      <c r="N6607" t="s">
        <v>8133</v>
      </c>
      <c r="O6607" t="s">
        <v>23</v>
      </c>
      <c r="P6607" t="s">
        <v>24</v>
      </c>
      <c r="Q6607" t="s">
        <v>642</v>
      </c>
      <c r="R6607" t="s">
        <v>1214</v>
      </c>
    </row>
    <row r="6608" spans="1:18" x14ac:dyDescent="0.25">
      <c r="A6608" t="s">
        <v>14794</v>
      </c>
      <c r="B6608" t="s">
        <v>8240</v>
      </c>
      <c r="C6608" t="str">
        <f>HYPERLINK("https://nematode.unl.edu/mesocrin60.jpg")</f>
        <v>https://nematode.unl.edu/mesocrin60.jpg</v>
      </c>
      <c r="D6608" t="s">
        <v>43</v>
      </c>
      <c r="G6608" t="s">
        <v>96</v>
      </c>
      <c r="H6608" t="s">
        <v>18</v>
      </c>
      <c r="I6608" t="s">
        <v>19</v>
      </c>
      <c r="M6608" t="s">
        <v>8133</v>
      </c>
      <c r="N6608" t="s">
        <v>8133</v>
      </c>
      <c r="O6608" t="s">
        <v>23</v>
      </c>
      <c r="P6608" t="s">
        <v>24</v>
      </c>
      <c r="Q6608" t="s">
        <v>642</v>
      </c>
      <c r="R6608" t="s">
        <v>1214</v>
      </c>
    </row>
    <row r="6609" spans="1:18" x14ac:dyDescent="0.25">
      <c r="A6609" t="s">
        <v>14887</v>
      </c>
      <c r="B6609" t="s">
        <v>8241</v>
      </c>
      <c r="C6609" t="str">
        <f>HYPERLINK("https://nematode.unl.edu/mesocrin61.jpg")</f>
        <v>https://nematode.unl.edu/mesocrin61.jpg</v>
      </c>
      <c r="D6609" t="s">
        <v>43</v>
      </c>
      <c r="G6609" t="s">
        <v>181</v>
      </c>
      <c r="I6609" t="s">
        <v>19</v>
      </c>
      <c r="M6609" t="s">
        <v>8133</v>
      </c>
      <c r="N6609" t="s">
        <v>8133</v>
      </c>
      <c r="O6609" t="s">
        <v>23</v>
      </c>
      <c r="P6609" t="s">
        <v>24</v>
      </c>
      <c r="Q6609" t="s">
        <v>642</v>
      </c>
      <c r="R6609" t="s">
        <v>1214</v>
      </c>
    </row>
    <row r="6610" spans="1:18" x14ac:dyDescent="0.25">
      <c r="A6610" t="s">
        <v>14822</v>
      </c>
      <c r="B6610" t="s">
        <v>8242</v>
      </c>
      <c r="C6610" t="str">
        <f>HYPERLINK("https://nematode.unl.edu/mesocrin62.jpg")</f>
        <v>https://nematode.unl.edu/mesocrin62.jpg</v>
      </c>
      <c r="D6610" t="s">
        <v>43</v>
      </c>
      <c r="G6610" t="s">
        <v>34</v>
      </c>
      <c r="H6610" t="s">
        <v>18</v>
      </c>
      <c r="I6610" t="s">
        <v>41</v>
      </c>
      <c r="M6610" t="s">
        <v>8133</v>
      </c>
      <c r="N6610" t="s">
        <v>8133</v>
      </c>
      <c r="O6610" t="s">
        <v>23</v>
      </c>
      <c r="P6610" t="s">
        <v>24</v>
      </c>
      <c r="Q6610" t="s">
        <v>642</v>
      </c>
      <c r="R6610" t="s">
        <v>1214</v>
      </c>
    </row>
    <row r="6611" spans="1:18" x14ac:dyDescent="0.25">
      <c r="A6611" t="s">
        <v>14913</v>
      </c>
      <c r="B6611" t="s">
        <v>8243</v>
      </c>
      <c r="C6611" t="str">
        <f>HYPERLINK("https://nematode.unl.edu/mesocrin63.jpg")</f>
        <v>https://nematode.unl.edu/mesocrin63.jpg</v>
      </c>
      <c r="D6611" t="s">
        <v>43</v>
      </c>
      <c r="G6611" t="s">
        <v>28</v>
      </c>
      <c r="I6611" t="s">
        <v>41</v>
      </c>
      <c r="M6611" t="s">
        <v>8133</v>
      </c>
      <c r="N6611" t="s">
        <v>8133</v>
      </c>
      <c r="O6611" t="s">
        <v>23</v>
      </c>
      <c r="P6611" t="s">
        <v>24</v>
      </c>
      <c r="Q6611" t="s">
        <v>642</v>
      </c>
      <c r="R6611" t="s">
        <v>1214</v>
      </c>
    </row>
    <row r="6612" spans="1:18" x14ac:dyDescent="0.25">
      <c r="A6612" t="s">
        <v>14868</v>
      </c>
      <c r="B6612" t="s">
        <v>8244</v>
      </c>
      <c r="C6612" t="str">
        <f>HYPERLINK("https://nematode.unl.edu/mesocrin64.jpg")</f>
        <v>https://nematode.unl.edu/mesocrin64.jpg</v>
      </c>
      <c r="D6612" t="s">
        <v>43</v>
      </c>
      <c r="G6612" t="s">
        <v>44</v>
      </c>
      <c r="I6612" t="s">
        <v>516</v>
      </c>
      <c r="J6612" t="s">
        <v>46</v>
      </c>
      <c r="M6612" t="s">
        <v>8133</v>
      </c>
      <c r="N6612" t="s">
        <v>8133</v>
      </c>
      <c r="O6612" t="s">
        <v>23</v>
      </c>
      <c r="P6612" t="s">
        <v>24</v>
      </c>
      <c r="Q6612" t="s">
        <v>642</v>
      </c>
      <c r="R6612" t="s">
        <v>1214</v>
      </c>
    </row>
    <row r="6613" spans="1:18" x14ac:dyDescent="0.25">
      <c r="A6613" t="s">
        <v>14823</v>
      </c>
      <c r="B6613" t="s">
        <v>8245</v>
      </c>
      <c r="C6613" t="str">
        <f>HYPERLINK("https://nematode.unl.edu/mesocrin65.jpg")</f>
        <v>https://nematode.unl.edu/mesocrin65.jpg</v>
      </c>
      <c r="D6613" t="s">
        <v>43</v>
      </c>
      <c r="G6613" t="s">
        <v>34</v>
      </c>
      <c r="H6613" t="s">
        <v>18</v>
      </c>
      <c r="I6613" t="s">
        <v>41</v>
      </c>
      <c r="M6613" t="s">
        <v>8133</v>
      </c>
      <c r="N6613" t="s">
        <v>8133</v>
      </c>
      <c r="O6613" t="s">
        <v>23</v>
      </c>
      <c r="P6613" t="s">
        <v>24</v>
      </c>
      <c r="Q6613" t="s">
        <v>642</v>
      </c>
      <c r="R6613" t="s">
        <v>1214</v>
      </c>
    </row>
    <row r="6614" spans="1:18" x14ac:dyDescent="0.25">
      <c r="A6614" t="s">
        <v>14914</v>
      </c>
      <c r="B6614" t="s">
        <v>8246</v>
      </c>
      <c r="C6614" t="str">
        <f>HYPERLINK("https://nematode.unl.edu/mesocrin66.jpg")</f>
        <v>https://nematode.unl.edu/mesocrin66.jpg</v>
      </c>
      <c r="D6614" t="s">
        <v>43</v>
      </c>
      <c r="G6614" t="s">
        <v>28</v>
      </c>
      <c r="I6614" t="s">
        <v>41</v>
      </c>
      <c r="M6614" t="s">
        <v>8133</v>
      </c>
      <c r="N6614" t="s">
        <v>8133</v>
      </c>
      <c r="O6614" t="s">
        <v>23</v>
      </c>
      <c r="P6614" t="s">
        <v>24</v>
      </c>
      <c r="Q6614" t="s">
        <v>642</v>
      </c>
      <c r="R6614" t="s">
        <v>1214</v>
      </c>
    </row>
    <row r="6615" spans="1:18" x14ac:dyDescent="0.25">
      <c r="A6615" t="s">
        <v>14869</v>
      </c>
      <c r="B6615" t="s">
        <v>8247</v>
      </c>
      <c r="C6615" t="str">
        <f>HYPERLINK("https://nematode.unl.edu/mesocrin67.jpg")</f>
        <v>https://nematode.unl.edu/mesocrin67.jpg</v>
      </c>
      <c r="D6615" t="s">
        <v>43</v>
      </c>
      <c r="G6615" t="s">
        <v>44</v>
      </c>
      <c r="M6615" t="s">
        <v>8133</v>
      </c>
      <c r="N6615" t="s">
        <v>8133</v>
      </c>
      <c r="O6615" t="s">
        <v>23</v>
      </c>
      <c r="P6615" t="s">
        <v>24</v>
      </c>
      <c r="Q6615" t="s">
        <v>642</v>
      </c>
      <c r="R6615" t="s">
        <v>1214</v>
      </c>
    </row>
    <row r="6616" spans="1:18" x14ac:dyDescent="0.25">
      <c r="A6616" t="s">
        <v>14870</v>
      </c>
      <c r="B6616" t="s">
        <v>8248</v>
      </c>
      <c r="C6616" t="str">
        <f>HYPERLINK("https://nematode.unl.edu/mesocrin68.jpg")</f>
        <v>https://nematode.unl.edu/mesocrin68.jpg</v>
      </c>
      <c r="D6616" t="s">
        <v>43</v>
      </c>
      <c r="G6616" t="s">
        <v>44</v>
      </c>
      <c r="I6616" t="s">
        <v>19</v>
      </c>
      <c r="J6616" t="s">
        <v>46</v>
      </c>
      <c r="M6616" t="s">
        <v>8133</v>
      </c>
      <c r="N6616" t="s">
        <v>8133</v>
      </c>
      <c r="O6616" t="s">
        <v>23</v>
      </c>
      <c r="P6616" t="s">
        <v>24</v>
      </c>
      <c r="Q6616" t="s">
        <v>642</v>
      </c>
      <c r="R6616" t="s">
        <v>1214</v>
      </c>
    </row>
    <row r="6617" spans="1:18" x14ac:dyDescent="0.25">
      <c r="A6617" t="s">
        <v>14824</v>
      </c>
      <c r="B6617" t="s">
        <v>8249</v>
      </c>
      <c r="C6617" t="str">
        <f>HYPERLINK("https://nematode.unl.edu/mesocrin69.jpg")</f>
        <v>https://nematode.unl.edu/mesocrin69.jpg</v>
      </c>
      <c r="D6617" t="s">
        <v>43</v>
      </c>
      <c r="G6617" t="s">
        <v>34</v>
      </c>
      <c r="H6617" t="s">
        <v>18</v>
      </c>
      <c r="I6617" t="s">
        <v>41</v>
      </c>
      <c r="M6617" t="s">
        <v>8133</v>
      </c>
      <c r="N6617" t="s">
        <v>8133</v>
      </c>
      <c r="O6617" t="s">
        <v>23</v>
      </c>
      <c r="P6617" t="s">
        <v>24</v>
      </c>
      <c r="Q6617" t="s">
        <v>642</v>
      </c>
      <c r="R6617" t="s">
        <v>1214</v>
      </c>
    </row>
    <row r="6618" spans="1:18" x14ac:dyDescent="0.25">
      <c r="A6618" t="s">
        <v>14915</v>
      </c>
      <c r="B6618" t="s">
        <v>8250</v>
      </c>
      <c r="C6618" t="str">
        <f>HYPERLINK("https://nematode.unl.edu/mesocrin7.jpg")</f>
        <v>https://nematode.unl.edu/mesocrin7.jpg</v>
      </c>
      <c r="D6618" t="s">
        <v>43</v>
      </c>
      <c r="G6618" t="s">
        <v>28</v>
      </c>
      <c r="I6618" t="s">
        <v>41</v>
      </c>
      <c r="J6618" t="s">
        <v>46</v>
      </c>
      <c r="M6618" t="s">
        <v>8133</v>
      </c>
      <c r="N6618" t="s">
        <v>8133</v>
      </c>
      <c r="O6618" t="s">
        <v>23</v>
      </c>
      <c r="P6618" t="s">
        <v>24</v>
      </c>
      <c r="Q6618" t="s">
        <v>642</v>
      </c>
      <c r="R6618" t="s">
        <v>1214</v>
      </c>
    </row>
    <row r="6619" spans="1:18" x14ac:dyDescent="0.25">
      <c r="A6619" t="s">
        <v>14930</v>
      </c>
      <c r="B6619" t="s">
        <v>8251</v>
      </c>
      <c r="C6619" t="str">
        <f>HYPERLINK("https://nematode.unl.edu/mesocrin70.jpg")</f>
        <v>https://nematode.unl.edu/mesocrin70.jpg</v>
      </c>
      <c r="D6619" t="s">
        <v>43</v>
      </c>
      <c r="G6619" t="s">
        <v>51</v>
      </c>
      <c r="I6619" t="s">
        <v>19</v>
      </c>
      <c r="M6619" t="s">
        <v>8133</v>
      </c>
      <c r="N6619" t="s">
        <v>8133</v>
      </c>
      <c r="O6619" t="s">
        <v>23</v>
      </c>
      <c r="P6619" t="s">
        <v>24</v>
      </c>
      <c r="Q6619" t="s">
        <v>642</v>
      </c>
      <c r="R6619" t="s">
        <v>1214</v>
      </c>
    </row>
    <row r="6620" spans="1:18" x14ac:dyDescent="0.25">
      <c r="A6620" t="s">
        <v>14931</v>
      </c>
      <c r="B6620" t="s">
        <v>8252</v>
      </c>
      <c r="C6620" t="str">
        <f>HYPERLINK("https://nematode.unl.edu/mesocrin71.jpg")</f>
        <v>https://nematode.unl.edu/mesocrin71.jpg</v>
      </c>
      <c r="D6620" t="s">
        <v>43</v>
      </c>
      <c r="G6620" t="s">
        <v>51</v>
      </c>
      <c r="I6620" t="s">
        <v>41</v>
      </c>
      <c r="M6620" t="s">
        <v>8133</v>
      </c>
      <c r="N6620" t="s">
        <v>8133</v>
      </c>
      <c r="O6620" t="s">
        <v>23</v>
      </c>
      <c r="P6620" t="s">
        <v>24</v>
      </c>
      <c r="Q6620" t="s">
        <v>642</v>
      </c>
      <c r="R6620" t="s">
        <v>1214</v>
      </c>
    </row>
    <row r="6621" spans="1:18" x14ac:dyDescent="0.25">
      <c r="A6621" t="s">
        <v>14871</v>
      </c>
      <c r="B6621" t="s">
        <v>8253</v>
      </c>
      <c r="C6621" t="str">
        <f>HYPERLINK("https://nematode.unl.edu/mesocrin72.jpg")</f>
        <v>https://nematode.unl.edu/mesocrin72.jpg</v>
      </c>
      <c r="D6621" t="s">
        <v>43</v>
      </c>
      <c r="G6621" t="s">
        <v>44</v>
      </c>
      <c r="I6621" t="s">
        <v>19</v>
      </c>
      <c r="J6621" t="s">
        <v>46</v>
      </c>
      <c r="M6621" t="s">
        <v>8133</v>
      </c>
      <c r="N6621" t="s">
        <v>8133</v>
      </c>
      <c r="O6621" t="s">
        <v>23</v>
      </c>
      <c r="P6621" t="s">
        <v>24</v>
      </c>
      <c r="Q6621" t="s">
        <v>642</v>
      </c>
      <c r="R6621" t="s">
        <v>1214</v>
      </c>
    </row>
    <row r="6622" spans="1:18" x14ac:dyDescent="0.25">
      <c r="A6622" t="s">
        <v>14825</v>
      </c>
      <c r="B6622" t="s">
        <v>8254</v>
      </c>
      <c r="C6622" t="str">
        <f>HYPERLINK("https://nematode.unl.edu/mesocrin73.jpg")</f>
        <v>https://nematode.unl.edu/mesocrin73.jpg</v>
      </c>
      <c r="D6622" t="s">
        <v>43</v>
      </c>
      <c r="G6622" t="s">
        <v>34</v>
      </c>
      <c r="H6622" t="s">
        <v>18</v>
      </c>
      <c r="I6622" t="s">
        <v>41</v>
      </c>
      <c r="M6622" t="s">
        <v>8133</v>
      </c>
      <c r="N6622" t="s">
        <v>8133</v>
      </c>
      <c r="O6622" t="s">
        <v>23</v>
      </c>
      <c r="P6622" t="s">
        <v>24</v>
      </c>
      <c r="Q6622" t="s">
        <v>642</v>
      </c>
      <c r="R6622" t="s">
        <v>1214</v>
      </c>
    </row>
    <row r="6623" spans="1:18" x14ac:dyDescent="0.25">
      <c r="A6623" t="s">
        <v>14916</v>
      </c>
      <c r="B6623" t="s">
        <v>8255</v>
      </c>
      <c r="C6623" t="str">
        <f>HYPERLINK("https://nematode.unl.edu/mesocrin74.jpg")</f>
        <v>https://nematode.unl.edu/mesocrin74.jpg</v>
      </c>
      <c r="D6623" t="s">
        <v>43</v>
      </c>
      <c r="G6623" t="s">
        <v>28</v>
      </c>
      <c r="I6623" t="s">
        <v>41</v>
      </c>
      <c r="M6623" t="s">
        <v>8133</v>
      </c>
      <c r="N6623" t="s">
        <v>8133</v>
      </c>
      <c r="O6623" t="s">
        <v>23</v>
      </c>
      <c r="P6623" t="s">
        <v>24</v>
      </c>
      <c r="Q6623" t="s">
        <v>642</v>
      </c>
      <c r="R6623" t="s">
        <v>1214</v>
      </c>
    </row>
    <row r="6624" spans="1:18" x14ac:dyDescent="0.25">
      <c r="A6624" t="s">
        <v>14872</v>
      </c>
      <c r="B6624" t="s">
        <v>8256</v>
      </c>
      <c r="C6624" t="str">
        <f>HYPERLINK("https://nematode.unl.edu/mesocrin75.jpg")</f>
        <v>https://nematode.unl.edu/mesocrin75.jpg</v>
      </c>
      <c r="D6624" t="s">
        <v>43</v>
      </c>
      <c r="G6624" t="s">
        <v>44</v>
      </c>
      <c r="I6624" t="s">
        <v>41</v>
      </c>
      <c r="M6624" t="s">
        <v>8133</v>
      </c>
      <c r="N6624" t="s">
        <v>8133</v>
      </c>
      <c r="O6624" t="s">
        <v>23</v>
      </c>
      <c r="P6624" t="s">
        <v>24</v>
      </c>
      <c r="Q6624" t="s">
        <v>642</v>
      </c>
      <c r="R6624" t="s">
        <v>1214</v>
      </c>
    </row>
    <row r="6625" spans="1:18" x14ac:dyDescent="0.25">
      <c r="A6625" t="s">
        <v>14873</v>
      </c>
      <c r="B6625" t="s">
        <v>8257</v>
      </c>
      <c r="C6625" t="str">
        <f>HYPERLINK("https://nematode.unl.edu/mesocrin76.jpg")</f>
        <v>https://nematode.unl.edu/mesocrin76.jpg</v>
      </c>
      <c r="D6625" t="s">
        <v>43</v>
      </c>
      <c r="G6625" t="s">
        <v>44</v>
      </c>
      <c r="I6625" t="s">
        <v>19</v>
      </c>
      <c r="J6625" t="s">
        <v>46</v>
      </c>
      <c r="M6625" t="s">
        <v>8133</v>
      </c>
      <c r="N6625" t="s">
        <v>8133</v>
      </c>
      <c r="O6625" t="s">
        <v>23</v>
      </c>
      <c r="P6625" t="s">
        <v>24</v>
      </c>
      <c r="Q6625" t="s">
        <v>642</v>
      </c>
      <c r="R6625" t="s">
        <v>1214</v>
      </c>
    </row>
    <row r="6626" spans="1:18" x14ac:dyDescent="0.25">
      <c r="A6626" t="s">
        <v>14826</v>
      </c>
      <c r="B6626" t="s">
        <v>8258</v>
      </c>
      <c r="C6626" t="str">
        <f>HYPERLINK("https://nematode.unl.edu/mesocrin77.jpg")</f>
        <v>https://nematode.unl.edu/mesocrin77.jpg</v>
      </c>
      <c r="D6626" t="s">
        <v>43</v>
      </c>
      <c r="G6626" t="s">
        <v>34</v>
      </c>
      <c r="H6626" t="s">
        <v>18</v>
      </c>
      <c r="I6626" t="s">
        <v>41</v>
      </c>
      <c r="M6626" t="s">
        <v>8133</v>
      </c>
      <c r="N6626" t="s">
        <v>8133</v>
      </c>
      <c r="O6626" t="s">
        <v>23</v>
      </c>
      <c r="P6626" t="s">
        <v>24</v>
      </c>
      <c r="Q6626" t="s">
        <v>642</v>
      </c>
      <c r="R6626" t="s">
        <v>1214</v>
      </c>
    </row>
    <row r="6627" spans="1:18" x14ac:dyDescent="0.25">
      <c r="A6627" t="s">
        <v>14917</v>
      </c>
      <c r="B6627" t="s">
        <v>8259</v>
      </c>
      <c r="C6627" t="str">
        <f>HYPERLINK("https://nematode.unl.edu/mesocrin78.jpg")</f>
        <v>https://nematode.unl.edu/mesocrin78.jpg</v>
      </c>
      <c r="D6627" t="s">
        <v>43</v>
      </c>
      <c r="G6627" t="s">
        <v>28</v>
      </c>
      <c r="I6627" t="s">
        <v>41</v>
      </c>
      <c r="M6627" t="s">
        <v>8133</v>
      </c>
      <c r="N6627" t="s">
        <v>8133</v>
      </c>
      <c r="O6627" t="s">
        <v>23</v>
      </c>
      <c r="P6627" t="s">
        <v>24</v>
      </c>
      <c r="Q6627" t="s">
        <v>642</v>
      </c>
      <c r="R6627" t="s">
        <v>1214</v>
      </c>
    </row>
    <row r="6628" spans="1:18" x14ac:dyDescent="0.25">
      <c r="A6628" t="s">
        <v>14874</v>
      </c>
      <c r="B6628" t="s">
        <v>8260</v>
      </c>
      <c r="C6628" t="str">
        <f>HYPERLINK("https://nematode.unl.edu/mesocrin79.jpg")</f>
        <v>https://nematode.unl.edu/mesocrin79.jpg</v>
      </c>
      <c r="D6628" t="s">
        <v>43</v>
      </c>
      <c r="G6628" t="s">
        <v>44</v>
      </c>
      <c r="M6628" t="s">
        <v>8133</v>
      </c>
      <c r="N6628" t="s">
        <v>8133</v>
      </c>
      <c r="O6628" t="s">
        <v>23</v>
      </c>
      <c r="P6628" t="s">
        <v>24</v>
      </c>
      <c r="Q6628" t="s">
        <v>642</v>
      </c>
      <c r="R6628" t="s">
        <v>1214</v>
      </c>
    </row>
    <row r="6629" spans="1:18" x14ac:dyDescent="0.25">
      <c r="A6629" t="s">
        <v>14932</v>
      </c>
      <c r="B6629" t="s">
        <v>8261</v>
      </c>
      <c r="C6629" t="str">
        <f>HYPERLINK("https://nematode.unl.edu/mesocrin8.jpg")</f>
        <v>https://nematode.unl.edu/mesocrin8.jpg</v>
      </c>
      <c r="D6629" t="s">
        <v>43</v>
      </c>
      <c r="G6629" t="s">
        <v>51</v>
      </c>
      <c r="I6629" t="s">
        <v>41</v>
      </c>
      <c r="J6629" t="s">
        <v>46</v>
      </c>
      <c r="M6629" t="s">
        <v>8133</v>
      </c>
      <c r="N6629" t="s">
        <v>8133</v>
      </c>
      <c r="O6629" t="s">
        <v>23</v>
      </c>
      <c r="P6629" t="s">
        <v>24</v>
      </c>
      <c r="Q6629" t="s">
        <v>642</v>
      </c>
      <c r="R6629" t="s">
        <v>1214</v>
      </c>
    </row>
    <row r="6630" spans="1:18" x14ac:dyDescent="0.25">
      <c r="A6630" t="s">
        <v>14875</v>
      </c>
      <c r="B6630" t="s">
        <v>8262</v>
      </c>
      <c r="C6630" t="str">
        <f>HYPERLINK("https://nematode.unl.edu/mesocrin80.jpg")</f>
        <v>https://nematode.unl.edu/mesocrin80.jpg</v>
      </c>
      <c r="D6630" t="s">
        <v>43</v>
      </c>
      <c r="G6630" t="s">
        <v>44</v>
      </c>
      <c r="I6630" t="s">
        <v>19</v>
      </c>
      <c r="J6630" t="s">
        <v>46</v>
      </c>
      <c r="M6630" t="s">
        <v>8133</v>
      </c>
      <c r="N6630" t="s">
        <v>8133</v>
      </c>
      <c r="O6630" t="s">
        <v>23</v>
      </c>
      <c r="P6630" t="s">
        <v>24</v>
      </c>
      <c r="Q6630" t="s">
        <v>642</v>
      </c>
      <c r="R6630" t="s">
        <v>1214</v>
      </c>
    </row>
    <row r="6631" spans="1:18" x14ac:dyDescent="0.25">
      <c r="A6631" t="s">
        <v>14827</v>
      </c>
      <c r="B6631" t="s">
        <v>8263</v>
      </c>
      <c r="C6631" t="str">
        <f>HYPERLINK("https://nematode.unl.edu/mesocrin81.jpg")</f>
        <v>https://nematode.unl.edu/mesocrin81.jpg</v>
      </c>
      <c r="D6631" t="s">
        <v>43</v>
      </c>
      <c r="G6631" t="s">
        <v>34</v>
      </c>
      <c r="H6631" t="s">
        <v>18</v>
      </c>
      <c r="I6631" t="s">
        <v>41</v>
      </c>
      <c r="M6631" t="s">
        <v>8133</v>
      </c>
      <c r="N6631" t="s">
        <v>8133</v>
      </c>
      <c r="O6631" t="s">
        <v>23</v>
      </c>
      <c r="P6631" t="s">
        <v>24</v>
      </c>
      <c r="Q6631" t="s">
        <v>642</v>
      </c>
      <c r="R6631" t="s">
        <v>1214</v>
      </c>
    </row>
    <row r="6632" spans="1:18" x14ac:dyDescent="0.25">
      <c r="A6632" t="s">
        <v>14918</v>
      </c>
      <c r="B6632" t="s">
        <v>8264</v>
      </c>
      <c r="C6632" t="str">
        <f>HYPERLINK("https://nematode.unl.edu/mesocrin82.jpg")</f>
        <v>https://nematode.unl.edu/mesocrin82.jpg</v>
      </c>
      <c r="D6632" t="s">
        <v>43</v>
      </c>
      <c r="G6632" t="s">
        <v>28</v>
      </c>
      <c r="I6632" t="s">
        <v>41</v>
      </c>
      <c r="M6632" t="s">
        <v>8133</v>
      </c>
      <c r="N6632" t="s">
        <v>8133</v>
      </c>
      <c r="O6632" t="s">
        <v>23</v>
      </c>
      <c r="P6632" t="s">
        <v>24</v>
      </c>
      <c r="Q6632" t="s">
        <v>642</v>
      </c>
      <c r="R6632" t="s">
        <v>1214</v>
      </c>
    </row>
    <row r="6633" spans="1:18" x14ac:dyDescent="0.25">
      <c r="A6633" t="s">
        <v>14876</v>
      </c>
      <c r="B6633" t="s">
        <v>8265</v>
      </c>
      <c r="C6633" t="str">
        <f>HYPERLINK("https://nematode.unl.edu/mesocrin83.jpg")</f>
        <v>https://nematode.unl.edu/mesocrin83.jpg</v>
      </c>
      <c r="D6633" t="s">
        <v>43</v>
      </c>
      <c r="G6633" t="s">
        <v>44</v>
      </c>
      <c r="I6633" t="s">
        <v>19</v>
      </c>
      <c r="M6633" t="s">
        <v>8133</v>
      </c>
      <c r="N6633" t="s">
        <v>8133</v>
      </c>
      <c r="O6633" t="s">
        <v>23</v>
      </c>
      <c r="P6633" t="s">
        <v>24</v>
      </c>
      <c r="Q6633" t="s">
        <v>642</v>
      </c>
      <c r="R6633" t="s">
        <v>1214</v>
      </c>
    </row>
    <row r="6634" spans="1:18" x14ac:dyDescent="0.25">
      <c r="A6634" t="s">
        <v>14877</v>
      </c>
      <c r="B6634" t="s">
        <v>8266</v>
      </c>
      <c r="C6634" t="str">
        <f>HYPERLINK("https://nematode.unl.edu/mesocrin84.jpg")</f>
        <v>https://nematode.unl.edu/mesocrin84.jpg</v>
      </c>
      <c r="D6634" t="s">
        <v>43</v>
      </c>
      <c r="G6634" t="s">
        <v>44</v>
      </c>
      <c r="I6634" t="s">
        <v>41</v>
      </c>
      <c r="M6634" t="s">
        <v>8133</v>
      </c>
      <c r="N6634" t="s">
        <v>8133</v>
      </c>
      <c r="O6634" t="s">
        <v>23</v>
      </c>
      <c r="P6634" t="s">
        <v>24</v>
      </c>
      <c r="Q6634" t="s">
        <v>642</v>
      </c>
      <c r="R6634" t="s">
        <v>1214</v>
      </c>
    </row>
    <row r="6635" spans="1:18" x14ac:dyDescent="0.25">
      <c r="A6635" t="s">
        <v>14878</v>
      </c>
      <c r="B6635" t="s">
        <v>8267</v>
      </c>
      <c r="C6635" t="str">
        <f>HYPERLINK("https://nematode.unl.edu/mesocrin85.jpg")</f>
        <v>https://nematode.unl.edu/mesocrin85.jpg</v>
      </c>
      <c r="D6635" t="s">
        <v>16</v>
      </c>
      <c r="G6635" t="s">
        <v>44</v>
      </c>
      <c r="I6635" t="s">
        <v>19</v>
      </c>
      <c r="J6635" t="s">
        <v>46</v>
      </c>
      <c r="M6635" t="s">
        <v>8133</v>
      </c>
      <c r="N6635" t="s">
        <v>8133</v>
      </c>
      <c r="O6635" t="s">
        <v>23</v>
      </c>
      <c r="P6635" t="s">
        <v>24</v>
      </c>
      <c r="Q6635" t="s">
        <v>642</v>
      </c>
      <c r="R6635" t="s">
        <v>1214</v>
      </c>
    </row>
    <row r="6636" spans="1:18" x14ac:dyDescent="0.25">
      <c r="A6636" t="s">
        <v>14828</v>
      </c>
      <c r="B6636" t="s">
        <v>8268</v>
      </c>
      <c r="C6636" t="str">
        <f>HYPERLINK("https://nematode.unl.edu/mesocrin86.jpg")</f>
        <v>https://nematode.unl.edu/mesocrin86.jpg</v>
      </c>
      <c r="D6636" t="s">
        <v>16</v>
      </c>
      <c r="G6636" t="s">
        <v>34</v>
      </c>
      <c r="H6636" t="s">
        <v>18</v>
      </c>
      <c r="I6636" t="s">
        <v>41</v>
      </c>
      <c r="M6636" t="s">
        <v>8133</v>
      </c>
      <c r="N6636" t="s">
        <v>8133</v>
      </c>
      <c r="O6636" t="s">
        <v>23</v>
      </c>
      <c r="P6636" t="s">
        <v>24</v>
      </c>
      <c r="Q6636" t="s">
        <v>642</v>
      </c>
      <c r="R6636" t="s">
        <v>1214</v>
      </c>
    </row>
    <row r="6637" spans="1:18" x14ac:dyDescent="0.25">
      <c r="A6637" t="s">
        <v>14919</v>
      </c>
      <c r="B6637" t="s">
        <v>8269</v>
      </c>
      <c r="C6637" t="str">
        <f>HYPERLINK("https://nematode.unl.edu/mesocrin87.jpg")</f>
        <v>https://nematode.unl.edu/mesocrin87.jpg</v>
      </c>
      <c r="D6637" t="s">
        <v>16</v>
      </c>
      <c r="G6637" t="s">
        <v>28</v>
      </c>
      <c r="I6637" t="s">
        <v>41</v>
      </c>
      <c r="M6637" t="s">
        <v>8133</v>
      </c>
      <c r="N6637" t="s">
        <v>8133</v>
      </c>
      <c r="O6637" t="s">
        <v>23</v>
      </c>
      <c r="P6637" t="s">
        <v>24</v>
      </c>
      <c r="Q6637" t="s">
        <v>642</v>
      </c>
      <c r="R6637" t="s">
        <v>1214</v>
      </c>
    </row>
    <row r="6638" spans="1:18" x14ac:dyDescent="0.25">
      <c r="A6638" t="s">
        <v>14879</v>
      </c>
      <c r="B6638" t="s">
        <v>8270</v>
      </c>
      <c r="C6638" t="str">
        <f>HYPERLINK("https://nematode.unl.edu/mesocrin88.jpg")</f>
        <v>https://nematode.unl.edu/mesocrin88.jpg</v>
      </c>
      <c r="D6638" t="s">
        <v>16</v>
      </c>
      <c r="G6638" t="s">
        <v>44</v>
      </c>
      <c r="I6638" t="s">
        <v>516</v>
      </c>
      <c r="J6638" t="s">
        <v>46</v>
      </c>
      <c r="L6638" t="s">
        <v>8271</v>
      </c>
      <c r="M6638" t="s">
        <v>8133</v>
      </c>
      <c r="N6638" t="s">
        <v>8133</v>
      </c>
      <c r="O6638" t="s">
        <v>23</v>
      </c>
      <c r="P6638" t="s">
        <v>24</v>
      </c>
      <c r="Q6638" t="s">
        <v>642</v>
      </c>
      <c r="R6638" t="s">
        <v>1214</v>
      </c>
    </row>
    <row r="6639" spans="1:18" x14ac:dyDescent="0.25">
      <c r="A6639" t="s">
        <v>14829</v>
      </c>
      <c r="B6639" t="s">
        <v>8272</v>
      </c>
      <c r="C6639" t="str">
        <f>HYPERLINK("https://nematode.unl.edu/mesocrin89.jpg")</f>
        <v>https://nematode.unl.edu/mesocrin89.jpg</v>
      </c>
      <c r="D6639" t="s">
        <v>16</v>
      </c>
      <c r="G6639" t="s">
        <v>34</v>
      </c>
      <c r="H6639" t="s">
        <v>18</v>
      </c>
      <c r="M6639" t="s">
        <v>8133</v>
      </c>
      <c r="N6639" t="s">
        <v>8133</v>
      </c>
      <c r="O6639" t="s">
        <v>23</v>
      </c>
      <c r="P6639" t="s">
        <v>24</v>
      </c>
      <c r="Q6639" t="s">
        <v>642</v>
      </c>
      <c r="R6639" t="s">
        <v>1214</v>
      </c>
    </row>
    <row r="6640" spans="1:18" x14ac:dyDescent="0.25">
      <c r="A6640" t="s">
        <v>14830</v>
      </c>
      <c r="B6640" t="s">
        <v>8273</v>
      </c>
      <c r="C6640" t="str">
        <f>HYPERLINK("https://nematode.unl.edu/mesocrin9.jpg")</f>
        <v>https://nematode.unl.edu/mesocrin9.jpg</v>
      </c>
      <c r="D6640" t="s">
        <v>43</v>
      </c>
      <c r="G6640" t="s">
        <v>34</v>
      </c>
      <c r="H6640" t="s">
        <v>18</v>
      </c>
      <c r="I6640" t="s">
        <v>41</v>
      </c>
      <c r="J6640" t="s">
        <v>46</v>
      </c>
      <c r="M6640" t="s">
        <v>8133</v>
      </c>
      <c r="N6640" t="s">
        <v>8133</v>
      </c>
      <c r="O6640" t="s">
        <v>23</v>
      </c>
      <c r="P6640" t="s">
        <v>24</v>
      </c>
      <c r="Q6640" t="s">
        <v>642</v>
      </c>
      <c r="R6640" t="s">
        <v>1214</v>
      </c>
    </row>
    <row r="6641" spans="1:18" x14ac:dyDescent="0.25">
      <c r="A6641" t="s">
        <v>14920</v>
      </c>
      <c r="B6641" t="s">
        <v>8274</v>
      </c>
      <c r="C6641" t="str">
        <f>HYPERLINK("https://nematode.unl.edu/mesocrin90.jpg")</f>
        <v>https://nematode.unl.edu/mesocrin90.jpg</v>
      </c>
      <c r="D6641" t="s">
        <v>16</v>
      </c>
      <c r="G6641" t="s">
        <v>28</v>
      </c>
      <c r="M6641" t="s">
        <v>8133</v>
      </c>
      <c r="N6641" t="s">
        <v>8133</v>
      </c>
      <c r="O6641" t="s">
        <v>23</v>
      </c>
      <c r="P6641" t="s">
        <v>24</v>
      </c>
      <c r="Q6641" t="s">
        <v>642</v>
      </c>
      <c r="R6641" t="s">
        <v>1214</v>
      </c>
    </row>
    <row r="6642" spans="1:18" x14ac:dyDescent="0.25">
      <c r="A6642" t="s">
        <v>14880</v>
      </c>
      <c r="B6642" t="s">
        <v>8275</v>
      </c>
      <c r="C6642" t="str">
        <f>HYPERLINK("https://nematode.unl.edu/mesocrin91.jpg")</f>
        <v>https://nematode.unl.edu/mesocrin91.jpg</v>
      </c>
      <c r="D6642" t="s">
        <v>16</v>
      </c>
      <c r="G6642" t="s">
        <v>44</v>
      </c>
      <c r="I6642" t="s">
        <v>19</v>
      </c>
      <c r="J6642" t="s">
        <v>46</v>
      </c>
      <c r="L6642" t="s">
        <v>8271</v>
      </c>
      <c r="M6642" t="s">
        <v>8133</v>
      </c>
      <c r="N6642" t="s">
        <v>8133</v>
      </c>
      <c r="O6642" t="s">
        <v>23</v>
      </c>
      <c r="P6642" t="s">
        <v>24</v>
      </c>
      <c r="Q6642" t="s">
        <v>642</v>
      </c>
      <c r="R6642" t="s">
        <v>1214</v>
      </c>
    </row>
    <row r="6643" spans="1:18" x14ac:dyDescent="0.25">
      <c r="A6643" t="s">
        <v>14831</v>
      </c>
      <c r="B6643" t="s">
        <v>8276</v>
      </c>
      <c r="C6643" t="str">
        <f>HYPERLINK("https://nematode.unl.edu/mesocrin92.jpg")</f>
        <v>https://nematode.unl.edu/mesocrin92.jpg</v>
      </c>
      <c r="D6643" t="s">
        <v>16</v>
      </c>
      <c r="G6643" t="s">
        <v>34</v>
      </c>
      <c r="H6643" t="s">
        <v>18</v>
      </c>
      <c r="M6643" t="s">
        <v>8133</v>
      </c>
      <c r="N6643" t="s">
        <v>8133</v>
      </c>
      <c r="O6643" t="s">
        <v>23</v>
      </c>
      <c r="P6643" t="s">
        <v>24</v>
      </c>
      <c r="Q6643" t="s">
        <v>642</v>
      </c>
      <c r="R6643" t="s">
        <v>1214</v>
      </c>
    </row>
    <row r="6644" spans="1:18" x14ac:dyDescent="0.25">
      <c r="A6644" t="s">
        <v>14921</v>
      </c>
      <c r="B6644" t="s">
        <v>8277</v>
      </c>
      <c r="C6644" t="str">
        <f>HYPERLINK("https://nematode.unl.edu/mesocrin93.jpg")</f>
        <v>https://nematode.unl.edu/mesocrin93.jpg</v>
      </c>
      <c r="D6644" t="s">
        <v>16</v>
      </c>
      <c r="G6644" t="s">
        <v>28</v>
      </c>
      <c r="I6644" t="s">
        <v>41</v>
      </c>
      <c r="M6644" t="s">
        <v>8133</v>
      </c>
      <c r="N6644" t="s">
        <v>8133</v>
      </c>
      <c r="O6644" t="s">
        <v>23</v>
      </c>
      <c r="P6644" t="s">
        <v>24</v>
      </c>
      <c r="Q6644" t="s">
        <v>642</v>
      </c>
      <c r="R6644" t="s">
        <v>1214</v>
      </c>
    </row>
    <row r="6645" spans="1:18" x14ac:dyDescent="0.25">
      <c r="A6645" t="s">
        <v>14527</v>
      </c>
      <c r="B6645" t="s">
        <v>8045</v>
      </c>
      <c r="C6645" t="str">
        <f>HYPERLINK("https://nematode.unl.edu/mesocsod1.jpg")</f>
        <v>https://nematode.unl.edu/mesocsod1.jpg</v>
      </c>
      <c r="D6645" t="s">
        <v>43</v>
      </c>
      <c r="G6645" t="s">
        <v>44</v>
      </c>
      <c r="I6645" t="s">
        <v>19</v>
      </c>
      <c r="J6645" t="s">
        <v>8046</v>
      </c>
      <c r="L6645" t="s">
        <v>6372</v>
      </c>
      <c r="M6645" t="s">
        <v>1233</v>
      </c>
      <c r="N6645" t="s">
        <v>1233</v>
      </c>
      <c r="O6645" t="s">
        <v>23</v>
      </c>
      <c r="P6645" t="s">
        <v>24</v>
      </c>
      <c r="Q6645" t="s">
        <v>642</v>
      </c>
      <c r="R6645" t="s">
        <v>1214</v>
      </c>
    </row>
    <row r="6646" spans="1:18" x14ac:dyDescent="0.25">
      <c r="A6646" t="s">
        <v>14372</v>
      </c>
      <c r="B6646" t="s">
        <v>8047</v>
      </c>
      <c r="C6646" t="str">
        <f>HYPERLINK("https://nematode.unl.edu/mesocsod2.jpg")</f>
        <v>https://nematode.unl.edu/mesocsod2.jpg</v>
      </c>
      <c r="D6646" t="s">
        <v>43</v>
      </c>
      <c r="G6646" t="s">
        <v>34</v>
      </c>
      <c r="H6646" t="s">
        <v>18</v>
      </c>
      <c r="M6646" t="s">
        <v>1233</v>
      </c>
      <c r="N6646" t="s">
        <v>1233</v>
      </c>
      <c r="O6646" t="s">
        <v>23</v>
      </c>
      <c r="P6646" t="s">
        <v>24</v>
      </c>
      <c r="Q6646" t="s">
        <v>642</v>
      </c>
      <c r="R6646" t="s">
        <v>1214</v>
      </c>
    </row>
    <row r="6647" spans="1:18" x14ac:dyDescent="0.25">
      <c r="A6647" t="s">
        <v>14699</v>
      </c>
      <c r="B6647" t="s">
        <v>8048</v>
      </c>
      <c r="C6647" t="str">
        <f>HYPERLINK("https://nematode.unl.edu/mesocsod3.jpg")</f>
        <v>https://nematode.unl.edu/mesocsod3.jpg</v>
      </c>
      <c r="D6647" t="s">
        <v>43</v>
      </c>
      <c r="G6647" t="s">
        <v>28</v>
      </c>
      <c r="I6647" t="s">
        <v>41</v>
      </c>
      <c r="M6647" t="s">
        <v>1233</v>
      </c>
      <c r="N6647" t="s">
        <v>1233</v>
      </c>
      <c r="O6647" t="s">
        <v>23</v>
      </c>
      <c r="P6647" t="s">
        <v>24</v>
      </c>
      <c r="Q6647" t="s">
        <v>642</v>
      </c>
      <c r="R6647" t="s">
        <v>1214</v>
      </c>
    </row>
    <row r="6648" spans="1:18" x14ac:dyDescent="0.25">
      <c r="A6648" t="s">
        <v>14729</v>
      </c>
      <c r="B6648" t="s">
        <v>8049</v>
      </c>
      <c r="C6648" t="str">
        <f>HYPERLINK("https://nematode.unl.edu/mesocsod4.jpg")</f>
        <v>https://nematode.unl.edu/mesocsod4.jpg</v>
      </c>
      <c r="D6648" t="s">
        <v>43</v>
      </c>
      <c r="G6648" t="s">
        <v>51</v>
      </c>
      <c r="M6648" t="s">
        <v>1233</v>
      </c>
      <c r="N6648" t="s">
        <v>1233</v>
      </c>
      <c r="O6648" t="s">
        <v>23</v>
      </c>
      <c r="P6648" t="s">
        <v>24</v>
      </c>
      <c r="Q6648" t="s">
        <v>642</v>
      </c>
      <c r="R6648" t="s">
        <v>1214</v>
      </c>
    </row>
    <row r="6649" spans="1:18" x14ac:dyDescent="0.25">
      <c r="A6649" t="s">
        <v>14140</v>
      </c>
      <c r="B6649" t="s">
        <v>7464</v>
      </c>
      <c r="C6649" t="str">
        <f>HYPERLINK("https://nematode.unl.edu/mesocumd1.jpg")</f>
        <v>https://nematode.unl.edu/mesocumd1.jpg</v>
      </c>
      <c r="D6649" t="s">
        <v>43</v>
      </c>
      <c r="G6649" t="s">
        <v>44</v>
      </c>
      <c r="I6649" t="s">
        <v>19</v>
      </c>
      <c r="J6649" t="s">
        <v>4106</v>
      </c>
      <c r="L6649" t="s">
        <v>7465</v>
      </c>
      <c r="M6649" t="s">
        <v>1214</v>
      </c>
      <c r="N6649" t="s">
        <v>1214</v>
      </c>
      <c r="O6649" t="s">
        <v>23</v>
      </c>
      <c r="P6649" t="s">
        <v>24</v>
      </c>
      <c r="Q6649" t="s">
        <v>642</v>
      </c>
      <c r="R6649" t="s">
        <v>1214</v>
      </c>
    </row>
    <row r="6650" spans="1:18" x14ac:dyDescent="0.25">
      <c r="A6650" t="s">
        <v>14141</v>
      </c>
      <c r="B6650" t="s">
        <v>7466</v>
      </c>
      <c r="C6650" t="str">
        <f>HYPERLINK("https://nematode.unl.edu/mesocumd2.jpg")</f>
        <v>https://nematode.unl.edu/mesocumd2.jpg</v>
      </c>
      <c r="D6650" t="s">
        <v>43</v>
      </c>
      <c r="G6650" t="s">
        <v>44</v>
      </c>
      <c r="I6650" t="s">
        <v>19</v>
      </c>
      <c r="J6650" t="s">
        <v>4106</v>
      </c>
      <c r="L6650" t="s">
        <v>7465</v>
      </c>
      <c r="M6650" t="s">
        <v>1214</v>
      </c>
      <c r="N6650" t="s">
        <v>1214</v>
      </c>
      <c r="O6650" t="s">
        <v>23</v>
      </c>
      <c r="P6650" t="s">
        <v>24</v>
      </c>
      <c r="Q6650" t="s">
        <v>642</v>
      </c>
      <c r="R6650" t="s">
        <v>1214</v>
      </c>
    </row>
    <row r="6651" spans="1:18" x14ac:dyDescent="0.25">
      <c r="A6651" t="s">
        <v>14078</v>
      </c>
      <c r="B6651" t="s">
        <v>7467</v>
      </c>
      <c r="C6651" t="str">
        <f>HYPERLINK("https://nematode.unl.edu/mesocumd3.jpg")</f>
        <v>https://nematode.unl.edu/mesocumd3.jpg</v>
      </c>
      <c r="D6651" t="s">
        <v>43</v>
      </c>
      <c r="G6651" t="s">
        <v>34</v>
      </c>
      <c r="H6651" t="s">
        <v>18</v>
      </c>
      <c r="I6651" t="s">
        <v>41</v>
      </c>
      <c r="L6651" t="s">
        <v>64</v>
      </c>
      <c r="M6651" t="s">
        <v>1214</v>
      </c>
      <c r="N6651" t="s">
        <v>1214</v>
      </c>
      <c r="O6651" t="s">
        <v>23</v>
      </c>
      <c r="P6651" t="s">
        <v>24</v>
      </c>
      <c r="Q6651" t="s">
        <v>642</v>
      </c>
      <c r="R6651" t="s">
        <v>1214</v>
      </c>
    </row>
    <row r="6652" spans="1:18" x14ac:dyDescent="0.25">
      <c r="A6652" t="s">
        <v>14202</v>
      </c>
      <c r="B6652" t="s">
        <v>7468</v>
      </c>
      <c r="C6652" t="str">
        <f>HYPERLINK("https://nematode.unl.edu/mesocumd4.jpg")</f>
        <v>https://nematode.unl.edu/mesocumd4.jpg</v>
      </c>
      <c r="D6652" t="s">
        <v>43</v>
      </c>
      <c r="G6652" t="s">
        <v>28</v>
      </c>
      <c r="L6652" t="s">
        <v>64</v>
      </c>
      <c r="M6652" t="s">
        <v>1214</v>
      </c>
      <c r="N6652" t="s">
        <v>1214</v>
      </c>
      <c r="O6652" t="s">
        <v>23</v>
      </c>
      <c r="P6652" t="s">
        <v>24</v>
      </c>
      <c r="Q6652" t="s">
        <v>642</v>
      </c>
      <c r="R6652" t="s">
        <v>1214</v>
      </c>
    </row>
    <row r="6653" spans="1:18" x14ac:dyDescent="0.25">
      <c r="A6653" t="s">
        <v>14180</v>
      </c>
      <c r="B6653" t="s">
        <v>7469</v>
      </c>
      <c r="C6653" t="str">
        <f>HYPERLINK("https://nematode.unl.edu/mesocumd5.jpg")</f>
        <v>https://nematode.unl.edu/mesocumd5.jpg</v>
      </c>
      <c r="D6653" t="s">
        <v>43</v>
      </c>
      <c r="G6653" t="s">
        <v>181</v>
      </c>
      <c r="I6653" t="s">
        <v>41</v>
      </c>
      <c r="L6653" t="s">
        <v>64</v>
      </c>
      <c r="M6653" t="s">
        <v>1214</v>
      </c>
      <c r="N6653" t="s">
        <v>1214</v>
      </c>
      <c r="O6653" t="s">
        <v>23</v>
      </c>
      <c r="P6653" t="s">
        <v>24</v>
      </c>
      <c r="Q6653" t="s">
        <v>642</v>
      </c>
      <c r="R6653" t="s">
        <v>1214</v>
      </c>
    </row>
    <row r="6654" spans="1:18" x14ac:dyDescent="0.25">
      <c r="A6654" t="s">
        <v>14142</v>
      </c>
      <c r="B6654" t="s">
        <v>7470</v>
      </c>
      <c r="C6654" t="str">
        <f>HYPERLINK("https://nematode.unl.edu/mesocumd6.jpg")</f>
        <v>https://nematode.unl.edu/mesocumd6.jpg</v>
      </c>
      <c r="D6654" t="s">
        <v>43</v>
      </c>
      <c r="G6654" t="s">
        <v>44</v>
      </c>
      <c r="I6654" t="s">
        <v>41</v>
      </c>
      <c r="L6654" t="s">
        <v>64</v>
      </c>
      <c r="M6654" t="s">
        <v>1214</v>
      </c>
      <c r="N6654" t="s">
        <v>1214</v>
      </c>
      <c r="O6654" t="s">
        <v>23</v>
      </c>
      <c r="P6654" t="s">
        <v>24</v>
      </c>
      <c r="Q6654" t="s">
        <v>642</v>
      </c>
      <c r="R6654" t="s">
        <v>1214</v>
      </c>
    </row>
    <row r="6655" spans="1:18" x14ac:dyDescent="0.25">
      <c r="A6655" t="s">
        <v>14143</v>
      </c>
      <c r="B6655" t="s">
        <v>7471</v>
      </c>
      <c r="C6655" t="str">
        <f>HYPERLINK("https://nematode.unl.edu/mesocumd7.jpg")</f>
        <v>https://nematode.unl.edu/mesocumd7.jpg</v>
      </c>
      <c r="D6655" t="s">
        <v>43</v>
      </c>
      <c r="G6655" t="s">
        <v>44</v>
      </c>
      <c r="I6655" t="s">
        <v>41</v>
      </c>
      <c r="L6655" t="s">
        <v>64</v>
      </c>
      <c r="M6655" t="s">
        <v>1214</v>
      </c>
      <c r="N6655" t="s">
        <v>1214</v>
      </c>
      <c r="O6655" t="s">
        <v>23</v>
      </c>
      <c r="P6655" t="s">
        <v>24</v>
      </c>
      <c r="Q6655" t="s">
        <v>642</v>
      </c>
      <c r="R6655" t="s">
        <v>1214</v>
      </c>
    </row>
    <row r="6656" spans="1:18" x14ac:dyDescent="0.25">
      <c r="A6656" t="s">
        <v>14528</v>
      </c>
      <c r="B6656" t="s">
        <v>8050</v>
      </c>
      <c r="C6656" t="str">
        <f>HYPERLINK("https://nematode.unl.edu/mesocur1.jpg")</f>
        <v>https://nematode.unl.edu/mesocur1.jpg</v>
      </c>
      <c r="D6656" t="s">
        <v>43</v>
      </c>
      <c r="G6656" t="s">
        <v>44</v>
      </c>
      <c r="I6656" t="s">
        <v>45</v>
      </c>
      <c r="J6656" t="s">
        <v>116</v>
      </c>
      <c r="L6656" t="s">
        <v>85</v>
      </c>
      <c r="M6656" t="s">
        <v>1233</v>
      </c>
      <c r="N6656" t="s">
        <v>1233</v>
      </c>
      <c r="O6656" t="s">
        <v>23</v>
      </c>
      <c r="P6656" t="s">
        <v>24</v>
      </c>
      <c r="Q6656" t="s">
        <v>642</v>
      </c>
      <c r="R6656" t="s">
        <v>1214</v>
      </c>
    </row>
    <row r="6657" spans="1:18" x14ac:dyDescent="0.25">
      <c r="A6657" t="s">
        <v>14529</v>
      </c>
      <c r="B6657" t="s">
        <v>8051</v>
      </c>
      <c r="C6657" t="str">
        <f>HYPERLINK("https://nematode.unl.edu/mesocur10.jpg")</f>
        <v>https://nematode.unl.edu/mesocur10.jpg</v>
      </c>
      <c r="D6657" t="s">
        <v>43</v>
      </c>
      <c r="G6657" t="s">
        <v>44</v>
      </c>
      <c r="I6657" t="s">
        <v>45</v>
      </c>
      <c r="J6657" t="s">
        <v>116</v>
      </c>
      <c r="L6657" t="s">
        <v>105</v>
      </c>
      <c r="M6657" t="s">
        <v>1233</v>
      </c>
      <c r="N6657" t="s">
        <v>1233</v>
      </c>
      <c r="O6657" t="s">
        <v>23</v>
      </c>
      <c r="P6657" t="s">
        <v>24</v>
      </c>
      <c r="Q6657" t="s">
        <v>642</v>
      </c>
      <c r="R6657" t="s">
        <v>1214</v>
      </c>
    </row>
    <row r="6658" spans="1:18" x14ac:dyDescent="0.25">
      <c r="A6658" t="s">
        <v>14373</v>
      </c>
      <c r="B6658" t="s">
        <v>8052</v>
      </c>
      <c r="C6658" t="str">
        <f>HYPERLINK("https://nematode.unl.edu/mesocur11.jpg")</f>
        <v>https://nematode.unl.edu/mesocur11.jpg</v>
      </c>
      <c r="D6658" t="s">
        <v>43</v>
      </c>
      <c r="G6658" t="s">
        <v>34</v>
      </c>
      <c r="H6658" t="s">
        <v>18</v>
      </c>
      <c r="I6658" t="s">
        <v>19</v>
      </c>
      <c r="L6658" t="s">
        <v>105</v>
      </c>
      <c r="M6658" t="s">
        <v>1233</v>
      </c>
      <c r="N6658" t="s">
        <v>1233</v>
      </c>
      <c r="O6658" t="s">
        <v>23</v>
      </c>
      <c r="P6658" t="s">
        <v>24</v>
      </c>
      <c r="Q6658" t="s">
        <v>642</v>
      </c>
      <c r="R6658" t="s">
        <v>1214</v>
      </c>
    </row>
    <row r="6659" spans="1:18" x14ac:dyDescent="0.25">
      <c r="A6659" t="s">
        <v>14700</v>
      </c>
      <c r="B6659" t="s">
        <v>8053</v>
      </c>
      <c r="C6659" t="str">
        <f>HYPERLINK("https://nematode.unl.edu/mesocur12.jpg")</f>
        <v>https://nematode.unl.edu/mesocur12.jpg</v>
      </c>
      <c r="D6659" t="s">
        <v>43</v>
      </c>
      <c r="G6659" t="s">
        <v>28</v>
      </c>
      <c r="L6659" t="s">
        <v>105</v>
      </c>
      <c r="M6659" t="s">
        <v>1233</v>
      </c>
      <c r="N6659" t="s">
        <v>1233</v>
      </c>
      <c r="O6659" t="s">
        <v>23</v>
      </c>
      <c r="P6659" t="s">
        <v>24</v>
      </c>
      <c r="Q6659" t="s">
        <v>642</v>
      </c>
      <c r="R6659" t="s">
        <v>1214</v>
      </c>
    </row>
    <row r="6660" spans="1:18" x14ac:dyDescent="0.25">
      <c r="A6660" t="s">
        <v>14530</v>
      </c>
      <c r="B6660" t="s">
        <v>8054</v>
      </c>
      <c r="C6660" t="str">
        <f>HYPERLINK("https://nematode.unl.edu/mesocur13.jpg")</f>
        <v>https://nematode.unl.edu/mesocur13.jpg</v>
      </c>
      <c r="D6660" t="s">
        <v>43</v>
      </c>
      <c r="G6660" t="s">
        <v>44</v>
      </c>
      <c r="I6660" t="s">
        <v>45</v>
      </c>
      <c r="J6660" t="s">
        <v>116</v>
      </c>
      <c r="L6660" t="s">
        <v>105</v>
      </c>
      <c r="M6660" t="s">
        <v>1233</v>
      </c>
      <c r="N6660" t="s">
        <v>1233</v>
      </c>
      <c r="O6660" t="s">
        <v>23</v>
      </c>
      <c r="P6660" t="s">
        <v>24</v>
      </c>
      <c r="Q6660" t="s">
        <v>642</v>
      </c>
      <c r="R6660" t="s">
        <v>1214</v>
      </c>
    </row>
    <row r="6661" spans="1:18" x14ac:dyDescent="0.25">
      <c r="A6661" t="s">
        <v>14374</v>
      </c>
      <c r="B6661" t="s">
        <v>8055</v>
      </c>
      <c r="C6661" t="str">
        <f>HYPERLINK("https://nematode.unl.edu/mesocur14.jpg")</f>
        <v>https://nematode.unl.edu/mesocur14.jpg</v>
      </c>
      <c r="D6661" t="s">
        <v>77</v>
      </c>
      <c r="G6661" t="s">
        <v>34</v>
      </c>
      <c r="H6661" t="s">
        <v>18</v>
      </c>
      <c r="I6661" t="s">
        <v>41</v>
      </c>
      <c r="L6661" t="s">
        <v>85</v>
      </c>
      <c r="M6661" t="s">
        <v>1233</v>
      </c>
      <c r="N6661" t="s">
        <v>1233</v>
      </c>
      <c r="O6661" t="s">
        <v>23</v>
      </c>
      <c r="P6661" t="s">
        <v>24</v>
      </c>
      <c r="Q6661" t="s">
        <v>642</v>
      </c>
      <c r="R6661" t="s">
        <v>1214</v>
      </c>
    </row>
    <row r="6662" spans="1:18" x14ac:dyDescent="0.25">
      <c r="A6662" t="s">
        <v>14701</v>
      </c>
      <c r="B6662" t="s">
        <v>8056</v>
      </c>
      <c r="C6662" t="str">
        <f>HYPERLINK("https://nematode.unl.edu/mesocur15.jpg")</f>
        <v>https://nematode.unl.edu/mesocur15.jpg</v>
      </c>
      <c r="D6662" t="s">
        <v>43</v>
      </c>
      <c r="G6662" t="s">
        <v>28</v>
      </c>
      <c r="L6662" t="s">
        <v>105</v>
      </c>
      <c r="M6662" t="s">
        <v>1233</v>
      </c>
      <c r="N6662" t="s">
        <v>1233</v>
      </c>
      <c r="O6662" t="s">
        <v>23</v>
      </c>
      <c r="P6662" t="s">
        <v>24</v>
      </c>
      <c r="Q6662" t="s">
        <v>642</v>
      </c>
      <c r="R6662" t="s">
        <v>1214</v>
      </c>
    </row>
    <row r="6663" spans="1:18" x14ac:dyDescent="0.25">
      <c r="A6663" t="s">
        <v>14375</v>
      </c>
      <c r="B6663" t="s">
        <v>8057</v>
      </c>
      <c r="C6663" t="str">
        <f>HYPERLINK("https://nematode.unl.edu/mesocur2.jpg")</f>
        <v>https://nematode.unl.edu/mesocur2.jpg</v>
      </c>
      <c r="D6663" t="s">
        <v>43</v>
      </c>
      <c r="G6663" t="s">
        <v>34</v>
      </c>
      <c r="H6663" t="s">
        <v>18</v>
      </c>
      <c r="I6663" t="s">
        <v>19</v>
      </c>
      <c r="L6663" t="s">
        <v>85</v>
      </c>
      <c r="M6663" t="s">
        <v>1233</v>
      </c>
      <c r="N6663" t="s">
        <v>1233</v>
      </c>
      <c r="O6663" t="s">
        <v>23</v>
      </c>
      <c r="P6663" t="s">
        <v>24</v>
      </c>
      <c r="Q6663" t="s">
        <v>642</v>
      </c>
      <c r="R6663" t="s">
        <v>1214</v>
      </c>
    </row>
    <row r="6664" spans="1:18" x14ac:dyDescent="0.25">
      <c r="A6664" t="s">
        <v>14702</v>
      </c>
      <c r="B6664" t="s">
        <v>8058</v>
      </c>
      <c r="C6664" t="str">
        <f>HYPERLINK("https://nematode.unl.edu/mesocur3.jpg")</f>
        <v>https://nematode.unl.edu/mesocur3.jpg</v>
      </c>
      <c r="D6664" t="s">
        <v>43</v>
      </c>
      <c r="G6664" t="s">
        <v>28</v>
      </c>
      <c r="I6664" t="s">
        <v>19</v>
      </c>
      <c r="J6664" t="s">
        <v>116</v>
      </c>
      <c r="L6664" t="s">
        <v>85</v>
      </c>
      <c r="M6664" t="s">
        <v>1233</v>
      </c>
      <c r="N6664" t="s">
        <v>1233</v>
      </c>
      <c r="O6664" t="s">
        <v>23</v>
      </c>
      <c r="P6664" t="s">
        <v>24</v>
      </c>
      <c r="Q6664" t="s">
        <v>642</v>
      </c>
      <c r="R6664" t="s">
        <v>1214</v>
      </c>
    </row>
    <row r="6665" spans="1:18" x14ac:dyDescent="0.25">
      <c r="A6665" t="s">
        <v>14531</v>
      </c>
      <c r="B6665" t="s">
        <v>8059</v>
      </c>
      <c r="C6665" t="str">
        <f>HYPERLINK("https://nematode.unl.edu/mesocur4.jpg")</f>
        <v>https://nematode.unl.edu/mesocur4.jpg</v>
      </c>
      <c r="D6665" t="s">
        <v>77</v>
      </c>
      <c r="G6665" t="s">
        <v>44</v>
      </c>
      <c r="I6665" t="s">
        <v>45</v>
      </c>
      <c r="J6665" t="s">
        <v>116</v>
      </c>
      <c r="L6665" t="s">
        <v>85</v>
      </c>
      <c r="M6665" t="s">
        <v>1233</v>
      </c>
      <c r="N6665" t="s">
        <v>1233</v>
      </c>
      <c r="O6665" t="s">
        <v>23</v>
      </c>
      <c r="P6665" t="s">
        <v>24</v>
      </c>
      <c r="Q6665" t="s">
        <v>642</v>
      </c>
      <c r="R6665" t="s">
        <v>1214</v>
      </c>
    </row>
    <row r="6666" spans="1:18" x14ac:dyDescent="0.25">
      <c r="A6666" t="s">
        <v>14376</v>
      </c>
      <c r="B6666" t="s">
        <v>8060</v>
      </c>
      <c r="C6666" t="str">
        <f>HYPERLINK("https://nematode.unl.edu/mesocur5.jpg")</f>
        <v>https://nematode.unl.edu/mesocur5.jpg</v>
      </c>
      <c r="D6666" t="s">
        <v>77</v>
      </c>
      <c r="G6666" t="s">
        <v>34</v>
      </c>
      <c r="H6666" t="s">
        <v>18</v>
      </c>
      <c r="I6666" t="s">
        <v>19</v>
      </c>
      <c r="L6666" t="s">
        <v>85</v>
      </c>
      <c r="M6666" t="s">
        <v>1233</v>
      </c>
      <c r="N6666" t="s">
        <v>1233</v>
      </c>
      <c r="O6666" t="s">
        <v>23</v>
      </c>
      <c r="P6666" t="s">
        <v>24</v>
      </c>
      <c r="Q6666" t="s">
        <v>642</v>
      </c>
      <c r="R6666" t="s">
        <v>1214</v>
      </c>
    </row>
    <row r="6667" spans="1:18" x14ac:dyDescent="0.25">
      <c r="A6667" t="s">
        <v>14703</v>
      </c>
      <c r="B6667" t="s">
        <v>8061</v>
      </c>
      <c r="C6667" t="str">
        <f>HYPERLINK("https://nematode.unl.edu/mesocur6.jpg")</f>
        <v>https://nematode.unl.edu/mesocur6.jpg</v>
      </c>
      <c r="D6667" t="s">
        <v>77</v>
      </c>
      <c r="G6667" t="s">
        <v>28</v>
      </c>
      <c r="I6667" t="s">
        <v>19</v>
      </c>
      <c r="L6667" t="s">
        <v>85</v>
      </c>
      <c r="M6667" t="s">
        <v>1233</v>
      </c>
      <c r="N6667" t="s">
        <v>1233</v>
      </c>
      <c r="O6667" t="s">
        <v>23</v>
      </c>
      <c r="P6667" t="s">
        <v>24</v>
      </c>
      <c r="Q6667" t="s">
        <v>642</v>
      </c>
      <c r="R6667" t="s">
        <v>1214</v>
      </c>
    </row>
    <row r="6668" spans="1:18" x14ac:dyDescent="0.25">
      <c r="A6668" t="s">
        <v>14377</v>
      </c>
      <c r="B6668" t="s">
        <v>8062</v>
      </c>
      <c r="C6668" t="str">
        <f>HYPERLINK("https://nematode.unl.edu/mesocur7.jpg")</f>
        <v>https://nematode.unl.edu/mesocur7.jpg</v>
      </c>
      <c r="D6668" t="s">
        <v>43</v>
      </c>
      <c r="G6668" t="s">
        <v>34</v>
      </c>
      <c r="H6668" t="s">
        <v>18</v>
      </c>
      <c r="L6668" t="s">
        <v>105</v>
      </c>
      <c r="M6668" t="s">
        <v>1233</v>
      </c>
      <c r="N6668" t="s">
        <v>1233</v>
      </c>
      <c r="O6668" t="s">
        <v>23</v>
      </c>
      <c r="P6668" t="s">
        <v>24</v>
      </c>
      <c r="Q6668" t="s">
        <v>642</v>
      </c>
      <c r="R6668" t="s">
        <v>1214</v>
      </c>
    </row>
    <row r="6669" spans="1:18" x14ac:dyDescent="0.25">
      <c r="A6669" t="s">
        <v>14544</v>
      </c>
      <c r="B6669" t="s">
        <v>8063</v>
      </c>
      <c r="C6669" t="str">
        <f>HYPERLINK("https://nematode.unl.edu/mesocur8.jpg")</f>
        <v>https://nematode.unl.edu/mesocur8.jpg</v>
      </c>
      <c r="D6669" t="s">
        <v>77</v>
      </c>
      <c r="G6669" t="s">
        <v>53</v>
      </c>
      <c r="I6669" t="s">
        <v>529</v>
      </c>
      <c r="J6669" t="s">
        <v>116</v>
      </c>
      <c r="L6669" t="s">
        <v>85</v>
      </c>
      <c r="M6669" t="s">
        <v>1233</v>
      </c>
      <c r="N6669" t="s">
        <v>1233</v>
      </c>
      <c r="O6669" t="s">
        <v>23</v>
      </c>
      <c r="P6669" t="s">
        <v>24</v>
      </c>
      <c r="Q6669" t="s">
        <v>642</v>
      </c>
      <c r="R6669" t="s">
        <v>1214</v>
      </c>
    </row>
    <row r="6670" spans="1:18" x14ac:dyDescent="0.25">
      <c r="A6670" t="s">
        <v>14704</v>
      </c>
      <c r="B6670" t="s">
        <v>8064</v>
      </c>
      <c r="C6670" t="str">
        <f>HYPERLINK("https://nematode.unl.edu/mesocur9.jpg")</f>
        <v>https://nematode.unl.edu/mesocur9.jpg</v>
      </c>
      <c r="D6670" t="s">
        <v>77</v>
      </c>
      <c r="G6670" t="s">
        <v>28</v>
      </c>
      <c r="I6670" t="s">
        <v>41</v>
      </c>
      <c r="L6670" t="s">
        <v>85</v>
      </c>
      <c r="M6670" t="s">
        <v>1233</v>
      </c>
      <c r="N6670" t="s">
        <v>1233</v>
      </c>
      <c r="O6670" t="s">
        <v>23</v>
      </c>
      <c r="P6670" t="s">
        <v>24</v>
      </c>
      <c r="Q6670" t="s">
        <v>642</v>
      </c>
      <c r="R6670" t="s">
        <v>1214</v>
      </c>
    </row>
    <row r="6671" spans="1:18" x14ac:dyDescent="0.25">
      <c r="A6671" t="s">
        <v>14532</v>
      </c>
      <c r="B6671" t="s">
        <v>8065</v>
      </c>
      <c r="C6671" t="str">
        <f>HYPERLINK("https://nematode.unl.edu/mesocwy1.jpg")</f>
        <v>https://nematode.unl.edu/mesocwy1.jpg</v>
      </c>
      <c r="D6671" t="s">
        <v>43</v>
      </c>
      <c r="G6671" t="s">
        <v>44</v>
      </c>
      <c r="I6671" t="s">
        <v>19</v>
      </c>
      <c r="J6671" t="s">
        <v>8066</v>
      </c>
      <c r="K6671" t="s">
        <v>22860</v>
      </c>
      <c r="L6671" t="s">
        <v>4584</v>
      </c>
      <c r="M6671" t="s">
        <v>1233</v>
      </c>
      <c r="N6671" t="s">
        <v>1233</v>
      </c>
      <c r="O6671" t="s">
        <v>23</v>
      </c>
      <c r="P6671" t="s">
        <v>24</v>
      </c>
      <c r="Q6671" t="s">
        <v>642</v>
      </c>
      <c r="R6671" t="s">
        <v>1214</v>
      </c>
    </row>
    <row r="6672" spans="1:18" x14ac:dyDescent="0.25">
      <c r="A6672" t="s">
        <v>14243</v>
      </c>
      <c r="B6672" t="s">
        <v>8067</v>
      </c>
      <c r="C6672" t="str">
        <f>HYPERLINK("https://nematode.unl.edu/mesocwy2.jpg")</f>
        <v>https://nematode.unl.edu/mesocwy2.jpg</v>
      </c>
      <c r="D6672" t="s">
        <v>43</v>
      </c>
      <c r="G6672" t="s">
        <v>96</v>
      </c>
      <c r="H6672" t="s">
        <v>18</v>
      </c>
      <c r="I6672" t="s">
        <v>41</v>
      </c>
      <c r="M6672" t="s">
        <v>1233</v>
      </c>
      <c r="N6672" t="s">
        <v>1233</v>
      </c>
      <c r="O6672" t="s">
        <v>23</v>
      </c>
      <c r="P6672" t="s">
        <v>24</v>
      </c>
      <c r="Q6672" t="s">
        <v>642</v>
      </c>
      <c r="R6672" t="s">
        <v>1214</v>
      </c>
    </row>
    <row r="6673" spans="1:18" x14ac:dyDescent="0.25">
      <c r="A6673" t="s">
        <v>14705</v>
      </c>
      <c r="B6673" t="s">
        <v>8068</v>
      </c>
      <c r="C6673" t="str">
        <f>HYPERLINK("https://nematode.unl.edu/mesocwy3.jpg")</f>
        <v>https://nematode.unl.edu/mesocwy3.jpg</v>
      </c>
      <c r="D6673" t="s">
        <v>43</v>
      </c>
      <c r="G6673" t="s">
        <v>28</v>
      </c>
      <c r="I6673" t="s">
        <v>41</v>
      </c>
      <c r="M6673" t="s">
        <v>1233</v>
      </c>
      <c r="N6673" t="s">
        <v>1233</v>
      </c>
      <c r="O6673" t="s">
        <v>23</v>
      </c>
      <c r="P6673" t="s">
        <v>24</v>
      </c>
      <c r="Q6673" t="s">
        <v>642</v>
      </c>
      <c r="R6673" t="s">
        <v>1214</v>
      </c>
    </row>
    <row r="6674" spans="1:18" x14ac:dyDescent="0.25">
      <c r="A6674" t="s">
        <v>19905</v>
      </c>
      <c r="B6674" t="s">
        <v>8804</v>
      </c>
      <c r="C6674" t="str">
        <f>HYPERLINK("https://nematode.unl.edu/mesod1.jpg")</f>
        <v>https://nematode.unl.edu/mesod1.jpg</v>
      </c>
      <c r="D6674" t="s">
        <v>43</v>
      </c>
      <c r="G6674" t="s">
        <v>34</v>
      </c>
      <c r="H6674" t="s">
        <v>18</v>
      </c>
      <c r="I6674" t="s">
        <v>19</v>
      </c>
      <c r="M6674" t="s">
        <v>8805</v>
      </c>
      <c r="N6674" t="s">
        <v>8805</v>
      </c>
      <c r="O6674" t="s">
        <v>73</v>
      </c>
      <c r="P6674" t="s">
        <v>81</v>
      </c>
      <c r="Q6674" t="s">
        <v>489</v>
      </c>
      <c r="R6674" t="s">
        <v>8805</v>
      </c>
    </row>
    <row r="6675" spans="1:18" x14ac:dyDescent="0.25">
      <c r="A6675" t="s">
        <v>19907</v>
      </c>
      <c r="B6675" t="s">
        <v>8806</v>
      </c>
      <c r="C6675" t="str">
        <f>HYPERLINK("https://nematode.unl.edu/mesod2.jpg")</f>
        <v>https://nematode.unl.edu/mesod2.jpg</v>
      </c>
      <c r="D6675" t="s">
        <v>43</v>
      </c>
      <c r="G6675" t="s">
        <v>87</v>
      </c>
      <c r="I6675" t="s">
        <v>19</v>
      </c>
      <c r="M6675" t="s">
        <v>8805</v>
      </c>
      <c r="N6675" t="s">
        <v>8805</v>
      </c>
      <c r="O6675" t="s">
        <v>73</v>
      </c>
      <c r="P6675" t="s">
        <v>81</v>
      </c>
      <c r="Q6675" t="s">
        <v>489</v>
      </c>
      <c r="R6675" t="s">
        <v>8805</v>
      </c>
    </row>
    <row r="6676" spans="1:18" x14ac:dyDescent="0.25">
      <c r="A6676" t="s">
        <v>19911</v>
      </c>
      <c r="B6676" t="s">
        <v>8807</v>
      </c>
      <c r="C6676" t="str">
        <f>HYPERLINK("https://nematode.unl.edu/mesod3.jpg")</f>
        <v>https://nematode.unl.edu/mesod3.jpg</v>
      </c>
      <c r="D6676" t="s">
        <v>43</v>
      </c>
      <c r="G6676" t="s">
        <v>51</v>
      </c>
      <c r="M6676" t="s">
        <v>8805</v>
      </c>
      <c r="N6676" t="s">
        <v>8805</v>
      </c>
      <c r="O6676" t="s">
        <v>73</v>
      </c>
      <c r="P6676" t="s">
        <v>81</v>
      </c>
      <c r="Q6676" t="s">
        <v>489</v>
      </c>
      <c r="R6676" t="s">
        <v>8805</v>
      </c>
    </row>
    <row r="6677" spans="1:18" x14ac:dyDescent="0.25">
      <c r="A6677" t="s">
        <v>19909</v>
      </c>
      <c r="B6677" t="s">
        <v>8808</v>
      </c>
      <c r="C6677" t="str">
        <f>HYPERLINK("https://nematode.unl.edu/mesod4.jpg")</f>
        <v>https://nematode.unl.edu/mesod4.jpg</v>
      </c>
      <c r="D6677" t="s">
        <v>43</v>
      </c>
      <c r="G6677" t="s">
        <v>28</v>
      </c>
      <c r="M6677" t="s">
        <v>8805</v>
      </c>
      <c r="N6677" t="s">
        <v>8805</v>
      </c>
      <c r="O6677" t="s">
        <v>73</v>
      </c>
      <c r="P6677" t="s">
        <v>81</v>
      </c>
      <c r="Q6677" t="s">
        <v>489</v>
      </c>
      <c r="R6677" t="s">
        <v>8805</v>
      </c>
    </row>
    <row r="6678" spans="1:18" x14ac:dyDescent="0.25">
      <c r="A6678" t="s">
        <v>19906</v>
      </c>
      <c r="B6678" t="s">
        <v>8809</v>
      </c>
      <c r="C6678" t="str">
        <f>HYPERLINK("https://nematode.unl.edu/mesod5.jpg")</f>
        <v>https://nematode.unl.edu/mesod5.jpg</v>
      </c>
      <c r="D6678" t="s">
        <v>77</v>
      </c>
      <c r="G6678" t="s">
        <v>34</v>
      </c>
      <c r="H6678" t="s">
        <v>18</v>
      </c>
      <c r="I6678" t="s">
        <v>19</v>
      </c>
      <c r="J6678" t="s">
        <v>267</v>
      </c>
      <c r="M6678" t="s">
        <v>8805</v>
      </c>
      <c r="N6678" t="s">
        <v>8805</v>
      </c>
      <c r="O6678" t="s">
        <v>73</v>
      </c>
      <c r="P6678" t="s">
        <v>81</v>
      </c>
      <c r="Q6678" t="s">
        <v>489</v>
      </c>
      <c r="R6678" t="s">
        <v>8805</v>
      </c>
    </row>
    <row r="6679" spans="1:18" x14ac:dyDescent="0.25">
      <c r="A6679" t="s">
        <v>19910</v>
      </c>
      <c r="B6679" t="s">
        <v>8810</v>
      </c>
      <c r="C6679" t="str">
        <f>HYPERLINK("https://nematode.unl.edu/mesod6.jpg")</f>
        <v>https://nematode.unl.edu/mesod6.jpg</v>
      </c>
      <c r="D6679" t="s">
        <v>77</v>
      </c>
      <c r="G6679" t="s">
        <v>28</v>
      </c>
      <c r="I6679" t="s">
        <v>19</v>
      </c>
      <c r="J6679" t="s">
        <v>267</v>
      </c>
      <c r="M6679" t="s">
        <v>8805</v>
      </c>
      <c r="N6679" t="s">
        <v>8805</v>
      </c>
      <c r="O6679" t="s">
        <v>73</v>
      </c>
      <c r="P6679" t="s">
        <v>81</v>
      </c>
      <c r="Q6679" t="s">
        <v>489</v>
      </c>
      <c r="R6679" t="s">
        <v>8805</v>
      </c>
    </row>
    <row r="6680" spans="1:18" x14ac:dyDescent="0.25">
      <c r="A6680" t="s">
        <v>19908</v>
      </c>
      <c r="B6680" t="s">
        <v>8811</v>
      </c>
      <c r="C6680" t="str">
        <f>HYPERLINK("https://nematode.unl.edu/mesod7.jpg")</f>
        <v>https://nematode.unl.edu/mesod7.jpg</v>
      </c>
      <c r="G6680" t="s">
        <v>230</v>
      </c>
      <c r="I6680" t="s">
        <v>19</v>
      </c>
      <c r="J6680" t="s">
        <v>267</v>
      </c>
      <c r="M6680" t="s">
        <v>8805</v>
      </c>
      <c r="N6680" t="s">
        <v>8805</v>
      </c>
      <c r="O6680" t="s">
        <v>73</v>
      </c>
      <c r="P6680" t="s">
        <v>81</v>
      </c>
      <c r="Q6680" t="s">
        <v>489</v>
      </c>
      <c r="R6680" t="s">
        <v>8805</v>
      </c>
    </row>
    <row r="6681" spans="1:18" x14ac:dyDescent="0.25">
      <c r="A6681" t="s">
        <v>14735</v>
      </c>
      <c r="B6681" t="s">
        <v>8093</v>
      </c>
      <c r="C6681" t="str">
        <f>HYPERLINK("https://nematode.unl.edu/mesodisc1.jpg")</f>
        <v>https://nematode.unl.edu/mesodisc1.jpg</v>
      </c>
      <c r="D6681" t="s">
        <v>43</v>
      </c>
      <c r="G6681" t="s">
        <v>96</v>
      </c>
      <c r="H6681" t="s">
        <v>18</v>
      </c>
      <c r="I6681" t="s">
        <v>19</v>
      </c>
      <c r="J6681" t="s">
        <v>7595</v>
      </c>
      <c r="K6681" t="s">
        <v>22865</v>
      </c>
      <c r="L6681" t="s">
        <v>7625</v>
      </c>
      <c r="M6681" t="s">
        <v>8072</v>
      </c>
      <c r="N6681" t="s">
        <v>8072</v>
      </c>
      <c r="O6681" t="s">
        <v>23</v>
      </c>
      <c r="P6681" t="s">
        <v>24</v>
      </c>
      <c r="Q6681" t="s">
        <v>642</v>
      </c>
      <c r="R6681" t="s">
        <v>1214</v>
      </c>
    </row>
    <row r="6682" spans="1:18" x14ac:dyDescent="0.25">
      <c r="A6682" t="s">
        <v>14736</v>
      </c>
      <c r="B6682" t="s">
        <v>8094</v>
      </c>
      <c r="C6682" t="str">
        <f>HYPERLINK("https://nematode.unl.edu/mesodisc10.jpg")</f>
        <v>https://nematode.unl.edu/mesodisc10.jpg</v>
      </c>
      <c r="D6682" t="s">
        <v>43</v>
      </c>
      <c r="G6682" t="s">
        <v>96</v>
      </c>
      <c r="H6682" t="s">
        <v>18</v>
      </c>
      <c r="I6682" t="s">
        <v>41</v>
      </c>
      <c r="M6682" t="s">
        <v>8072</v>
      </c>
      <c r="N6682" t="s">
        <v>8072</v>
      </c>
      <c r="O6682" t="s">
        <v>23</v>
      </c>
      <c r="P6682" t="s">
        <v>24</v>
      </c>
      <c r="Q6682" t="s">
        <v>642</v>
      </c>
      <c r="R6682" t="s">
        <v>1214</v>
      </c>
    </row>
    <row r="6683" spans="1:18" x14ac:dyDescent="0.25">
      <c r="A6683" t="s">
        <v>14774</v>
      </c>
      <c r="B6683" t="s">
        <v>8095</v>
      </c>
      <c r="C6683" t="str">
        <f>HYPERLINK("https://nematode.unl.edu/mesodisc11.jpg")</f>
        <v>https://nematode.unl.edu/mesodisc11.jpg</v>
      </c>
      <c r="D6683" t="s">
        <v>43</v>
      </c>
      <c r="G6683" t="s">
        <v>181</v>
      </c>
      <c r="I6683" t="s">
        <v>41</v>
      </c>
      <c r="J6683" t="s">
        <v>7595</v>
      </c>
      <c r="K6683" t="s">
        <v>22865</v>
      </c>
      <c r="L6683" t="s">
        <v>7625</v>
      </c>
      <c r="M6683" t="s">
        <v>8072</v>
      </c>
      <c r="N6683" t="s">
        <v>8072</v>
      </c>
      <c r="O6683" t="s">
        <v>23</v>
      </c>
      <c r="P6683" t="s">
        <v>24</v>
      </c>
      <c r="Q6683" t="s">
        <v>642</v>
      </c>
      <c r="R6683" t="s">
        <v>1214</v>
      </c>
    </row>
    <row r="6684" spans="1:18" x14ac:dyDescent="0.25">
      <c r="A6684" t="s">
        <v>14750</v>
      </c>
      <c r="B6684" t="s">
        <v>8096</v>
      </c>
      <c r="C6684" t="str">
        <f>HYPERLINK("https://nematode.unl.edu/mesodisc12.jpg")</f>
        <v>https://nematode.unl.edu/mesodisc12.jpg</v>
      </c>
      <c r="D6684" t="s">
        <v>43</v>
      </c>
      <c r="G6684" t="s">
        <v>34</v>
      </c>
      <c r="H6684" t="s">
        <v>18</v>
      </c>
      <c r="I6684" t="s">
        <v>41</v>
      </c>
      <c r="J6684" t="s">
        <v>7595</v>
      </c>
      <c r="K6684" t="s">
        <v>22865</v>
      </c>
      <c r="L6684" t="s">
        <v>7625</v>
      </c>
      <c r="M6684" t="s">
        <v>8072</v>
      </c>
      <c r="N6684" t="s">
        <v>8072</v>
      </c>
      <c r="O6684" t="s">
        <v>23</v>
      </c>
      <c r="P6684" t="s">
        <v>24</v>
      </c>
      <c r="Q6684" t="s">
        <v>642</v>
      </c>
      <c r="R6684" t="s">
        <v>1214</v>
      </c>
    </row>
    <row r="6685" spans="1:18" x14ac:dyDescent="0.25">
      <c r="A6685" t="s">
        <v>14765</v>
      </c>
      <c r="B6685" t="s">
        <v>8097</v>
      </c>
      <c r="C6685" t="str">
        <f>HYPERLINK("https://nematode.unl.edu/mesodisc13.jpg")</f>
        <v>https://nematode.unl.edu/mesodisc13.jpg</v>
      </c>
      <c r="D6685" t="s">
        <v>43</v>
      </c>
      <c r="G6685" t="s">
        <v>44</v>
      </c>
      <c r="I6685" t="s">
        <v>516</v>
      </c>
      <c r="J6685" t="s">
        <v>7595</v>
      </c>
      <c r="K6685" t="s">
        <v>22865</v>
      </c>
      <c r="L6685" t="s">
        <v>7625</v>
      </c>
      <c r="M6685" t="s">
        <v>8072</v>
      </c>
      <c r="N6685" t="s">
        <v>8072</v>
      </c>
      <c r="O6685" t="s">
        <v>23</v>
      </c>
      <c r="P6685" t="s">
        <v>24</v>
      </c>
      <c r="Q6685" t="s">
        <v>642</v>
      </c>
      <c r="R6685" t="s">
        <v>1214</v>
      </c>
    </row>
    <row r="6686" spans="1:18" x14ac:dyDescent="0.25">
      <c r="A6686" t="s">
        <v>14751</v>
      </c>
      <c r="B6686" t="s">
        <v>8098</v>
      </c>
      <c r="C6686" t="str">
        <f>HYPERLINK("https://nematode.unl.edu/mesodisc14.jpg")</f>
        <v>https://nematode.unl.edu/mesodisc14.jpg</v>
      </c>
      <c r="D6686" t="s">
        <v>43</v>
      </c>
      <c r="G6686" t="s">
        <v>34</v>
      </c>
      <c r="H6686" t="s">
        <v>18</v>
      </c>
      <c r="I6686" t="s">
        <v>41</v>
      </c>
      <c r="J6686" t="s">
        <v>7595</v>
      </c>
      <c r="K6686" t="s">
        <v>22865</v>
      </c>
      <c r="L6686" t="s">
        <v>7625</v>
      </c>
      <c r="M6686" t="s">
        <v>8072</v>
      </c>
      <c r="N6686" t="s">
        <v>8072</v>
      </c>
      <c r="O6686" t="s">
        <v>23</v>
      </c>
      <c r="P6686" t="s">
        <v>24</v>
      </c>
      <c r="Q6686" t="s">
        <v>642</v>
      </c>
      <c r="R6686" t="s">
        <v>1214</v>
      </c>
    </row>
    <row r="6687" spans="1:18" x14ac:dyDescent="0.25">
      <c r="A6687" t="s">
        <v>14752</v>
      </c>
      <c r="B6687" t="s">
        <v>8099</v>
      </c>
      <c r="C6687" t="str">
        <f>HYPERLINK("https://nematode.unl.edu/mesodisc15.jpg")</f>
        <v>https://nematode.unl.edu/mesodisc15.jpg</v>
      </c>
      <c r="D6687" t="s">
        <v>43</v>
      </c>
      <c r="G6687" t="s">
        <v>34</v>
      </c>
      <c r="H6687" t="s">
        <v>18</v>
      </c>
      <c r="J6687" t="s">
        <v>7595</v>
      </c>
      <c r="K6687" t="s">
        <v>22865</v>
      </c>
      <c r="L6687" t="s">
        <v>7625</v>
      </c>
      <c r="M6687" t="s">
        <v>8072</v>
      </c>
      <c r="N6687" t="s">
        <v>8072</v>
      </c>
      <c r="O6687" t="s">
        <v>23</v>
      </c>
      <c r="P6687" t="s">
        <v>24</v>
      </c>
      <c r="Q6687" t="s">
        <v>642</v>
      </c>
      <c r="R6687" t="s">
        <v>1214</v>
      </c>
    </row>
    <row r="6688" spans="1:18" x14ac:dyDescent="0.25">
      <c r="A6688" t="s">
        <v>14753</v>
      </c>
      <c r="B6688" t="s">
        <v>8100</v>
      </c>
      <c r="C6688" t="str">
        <f>HYPERLINK("https://nematode.unl.edu/mesodisc16.jpg")</f>
        <v>https://nematode.unl.edu/mesodisc16.jpg</v>
      </c>
      <c r="D6688" t="s">
        <v>43</v>
      </c>
      <c r="G6688" t="s">
        <v>34</v>
      </c>
      <c r="H6688" t="s">
        <v>18</v>
      </c>
      <c r="I6688" t="s">
        <v>41</v>
      </c>
      <c r="J6688" t="s">
        <v>7595</v>
      </c>
      <c r="K6688" t="s">
        <v>22865</v>
      </c>
      <c r="L6688" t="s">
        <v>7625</v>
      </c>
      <c r="M6688" t="s">
        <v>8072</v>
      </c>
      <c r="N6688" t="s">
        <v>8072</v>
      </c>
      <c r="O6688" t="s">
        <v>23</v>
      </c>
      <c r="P6688" t="s">
        <v>24</v>
      </c>
      <c r="Q6688" t="s">
        <v>642</v>
      </c>
      <c r="R6688" t="s">
        <v>1214</v>
      </c>
    </row>
    <row r="6689" spans="1:18" x14ac:dyDescent="0.25">
      <c r="A6689" t="s">
        <v>14775</v>
      </c>
      <c r="B6689" t="s">
        <v>8101</v>
      </c>
      <c r="C6689" t="str">
        <f>HYPERLINK("https://nematode.unl.edu/mesodisc17.jpg")</f>
        <v>https://nematode.unl.edu/mesodisc17.jpg</v>
      </c>
      <c r="D6689" t="s">
        <v>43</v>
      </c>
      <c r="G6689" t="s">
        <v>181</v>
      </c>
      <c r="I6689" t="s">
        <v>41</v>
      </c>
      <c r="J6689" t="s">
        <v>7595</v>
      </c>
      <c r="K6689" t="s">
        <v>22865</v>
      </c>
      <c r="L6689" t="s">
        <v>7625</v>
      </c>
      <c r="M6689" t="s">
        <v>8072</v>
      </c>
      <c r="N6689" t="s">
        <v>8072</v>
      </c>
      <c r="O6689" t="s">
        <v>23</v>
      </c>
      <c r="P6689" t="s">
        <v>24</v>
      </c>
      <c r="Q6689" t="s">
        <v>642</v>
      </c>
      <c r="R6689" t="s">
        <v>1214</v>
      </c>
    </row>
    <row r="6690" spans="1:18" x14ac:dyDescent="0.25">
      <c r="A6690" t="s">
        <v>14782</v>
      </c>
      <c r="B6690" t="s">
        <v>8102</v>
      </c>
      <c r="C6690" t="str">
        <f>HYPERLINK("https://nematode.unl.edu/mesodisc18.jpg")</f>
        <v>https://nematode.unl.edu/mesodisc18.jpg</v>
      </c>
      <c r="D6690" t="s">
        <v>43</v>
      </c>
      <c r="G6690" t="s">
        <v>28</v>
      </c>
      <c r="J6690" t="s">
        <v>7595</v>
      </c>
      <c r="K6690" t="s">
        <v>22865</v>
      </c>
      <c r="L6690" t="s">
        <v>7625</v>
      </c>
      <c r="M6690" t="s">
        <v>8072</v>
      </c>
      <c r="N6690" t="s">
        <v>8072</v>
      </c>
      <c r="O6690" t="s">
        <v>23</v>
      </c>
      <c r="P6690" t="s">
        <v>24</v>
      </c>
      <c r="Q6690" t="s">
        <v>642</v>
      </c>
      <c r="R6690" t="s">
        <v>1214</v>
      </c>
    </row>
    <row r="6691" spans="1:18" x14ac:dyDescent="0.25">
      <c r="A6691" t="s">
        <v>14783</v>
      </c>
      <c r="B6691" t="s">
        <v>8103</v>
      </c>
      <c r="C6691" t="str">
        <f>HYPERLINK("https://nematode.unl.edu/mesodisc19.jpg")</f>
        <v>https://nematode.unl.edu/mesodisc19.jpg</v>
      </c>
      <c r="D6691" t="s">
        <v>43</v>
      </c>
      <c r="G6691" t="s">
        <v>28</v>
      </c>
      <c r="I6691" t="s">
        <v>41</v>
      </c>
      <c r="J6691" t="s">
        <v>7595</v>
      </c>
      <c r="K6691" t="s">
        <v>22865</v>
      </c>
      <c r="L6691" t="s">
        <v>7625</v>
      </c>
      <c r="M6691" t="s">
        <v>8072</v>
      </c>
      <c r="N6691" t="s">
        <v>8072</v>
      </c>
      <c r="O6691" t="s">
        <v>23</v>
      </c>
      <c r="P6691" t="s">
        <v>24</v>
      </c>
      <c r="Q6691" t="s">
        <v>642</v>
      </c>
      <c r="R6691" t="s">
        <v>1214</v>
      </c>
    </row>
    <row r="6692" spans="1:18" x14ac:dyDescent="0.25">
      <c r="A6692" t="s">
        <v>14776</v>
      </c>
      <c r="B6692" t="s">
        <v>8104</v>
      </c>
      <c r="C6692" t="str">
        <f>HYPERLINK("https://nematode.unl.edu/mesodisc2.jpg")</f>
        <v>https://nematode.unl.edu/mesodisc2.jpg</v>
      </c>
      <c r="D6692" t="s">
        <v>43</v>
      </c>
      <c r="G6692" t="s">
        <v>181</v>
      </c>
      <c r="I6692" t="s">
        <v>19</v>
      </c>
      <c r="J6692" t="s">
        <v>7595</v>
      </c>
      <c r="K6692" t="s">
        <v>22865</v>
      </c>
      <c r="L6692" t="s">
        <v>7625</v>
      </c>
      <c r="M6692" t="s">
        <v>8072</v>
      </c>
      <c r="N6692" t="s">
        <v>8072</v>
      </c>
      <c r="O6692" t="s">
        <v>23</v>
      </c>
      <c r="P6692" t="s">
        <v>24</v>
      </c>
      <c r="Q6692" t="s">
        <v>642</v>
      </c>
      <c r="R6692" t="s">
        <v>1214</v>
      </c>
    </row>
    <row r="6693" spans="1:18" x14ac:dyDescent="0.25">
      <c r="A6693" t="s">
        <v>14766</v>
      </c>
      <c r="B6693" t="s">
        <v>8105</v>
      </c>
      <c r="C6693" t="str">
        <f>HYPERLINK("https://nematode.unl.edu/mesodisc20.jpg")</f>
        <v>https://nematode.unl.edu/mesodisc20.jpg</v>
      </c>
      <c r="D6693" t="s">
        <v>16</v>
      </c>
      <c r="G6693" t="s">
        <v>44</v>
      </c>
      <c r="I6693" t="s">
        <v>19</v>
      </c>
      <c r="J6693" t="s">
        <v>7595</v>
      </c>
      <c r="K6693" t="s">
        <v>22865</v>
      </c>
      <c r="L6693" t="s">
        <v>7625</v>
      </c>
      <c r="M6693" t="s">
        <v>8072</v>
      </c>
      <c r="N6693" t="s">
        <v>8072</v>
      </c>
      <c r="O6693" t="s">
        <v>23</v>
      </c>
      <c r="P6693" t="s">
        <v>24</v>
      </c>
      <c r="Q6693" t="s">
        <v>642</v>
      </c>
      <c r="R6693" t="s">
        <v>1214</v>
      </c>
    </row>
    <row r="6694" spans="1:18" x14ac:dyDescent="0.25">
      <c r="A6694" t="s">
        <v>14754</v>
      </c>
      <c r="B6694" t="s">
        <v>8106</v>
      </c>
      <c r="C6694" t="str">
        <f>HYPERLINK("https://nematode.unl.edu/mesodisc21.jpg")</f>
        <v>https://nematode.unl.edu/mesodisc21.jpg</v>
      </c>
      <c r="D6694" t="s">
        <v>16</v>
      </c>
      <c r="G6694" t="s">
        <v>34</v>
      </c>
      <c r="H6694" t="s">
        <v>18</v>
      </c>
      <c r="J6694" t="s">
        <v>7595</v>
      </c>
      <c r="K6694" t="s">
        <v>22865</v>
      </c>
      <c r="L6694" t="s">
        <v>7625</v>
      </c>
      <c r="M6694" t="s">
        <v>8072</v>
      </c>
      <c r="N6694" t="s">
        <v>8072</v>
      </c>
      <c r="O6694" t="s">
        <v>23</v>
      </c>
      <c r="P6694" t="s">
        <v>24</v>
      </c>
      <c r="Q6694" t="s">
        <v>642</v>
      </c>
      <c r="R6694" t="s">
        <v>1214</v>
      </c>
    </row>
    <row r="6695" spans="1:18" x14ac:dyDescent="0.25">
      <c r="A6695" t="s">
        <v>14784</v>
      </c>
      <c r="B6695" t="s">
        <v>8107</v>
      </c>
      <c r="C6695" t="str">
        <f>HYPERLINK("https://nematode.unl.edu/mesodisc22.jpg")</f>
        <v>https://nematode.unl.edu/mesodisc22.jpg</v>
      </c>
      <c r="D6695" t="s">
        <v>16</v>
      </c>
      <c r="G6695" t="s">
        <v>28</v>
      </c>
      <c r="I6695" t="s">
        <v>41</v>
      </c>
      <c r="J6695" t="s">
        <v>7595</v>
      </c>
      <c r="K6695" t="s">
        <v>22865</v>
      </c>
      <c r="L6695" t="s">
        <v>7625</v>
      </c>
      <c r="M6695" t="s">
        <v>8072</v>
      </c>
      <c r="N6695" t="s">
        <v>8072</v>
      </c>
      <c r="O6695" t="s">
        <v>23</v>
      </c>
      <c r="P6695" t="s">
        <v>24</v>
      </c>
      <c r="Q6695" t="s">
        <v>642</v>
      </c>
      <c r="R6695" t="s">
        <v>1214</v>
      </c>
    </row>
    <row r="6696" spans="1:18" x14ac:dyDescent="0.25">
      <c r="A6696" t="s">
        <v>14767</v>
      </c>
      <c r="B6696" t="s">
        <v>8108</v>
      </c>
      <c r="C6696" t="str">
        <f>HYPERLINK("https://nematode.unl.edu/mesodisc23.jpg")</f>
        <v>https://nematode.unl.edu/mesodisc23.jpg</v>
      </c>
      <c r="D6696" t="s">
        <v>43</v>
      </c>
      <c r="G6696" t="s">
        <v>44</v>
      </c>
      <c r="I6696" t="s">
        <v>516</v>
      </c>
      <c r="J6696" t="s">
        <v>7595</v>
      </c>
      <c r="K6696" t="s">
        <v>22865</v>
      </c>
      <c r="L6696" t="s">
        <v>7625</v>
      </c>
      <c r="M6696" t="s">
        <v>8072</v>
      </c>
      <c r="N6696" t="s">
        <v>8072</v>
      </c>
      <c r="O6696" t="s">
        <v>23</v>
      </c>
      <c r="P6696" t="s">
        <v>24</v>
      </c>
      <c r="Q6696" t="s">
        <v>642</v>
      </c>
      <c r="R6696" t="s">
        <v>1214</v>
      </c>
    </row>
    <row r="6697" spans="1:18" x14ac:dyDescent="0.25">
      <c r="A6697" t="s">
        <v>14755</v>
      </c>
      <c r="B6697" t="s">
        <v>8109</v>
      </c>
      <c r="C6697" t="str">
        <f>HYPERLINK("https://nematode.unl.edu/mesodisc24.jpg")</f>
        <v>https://nematode.unl.edu/mesodisc24.jpg</v>
      </c>
      <c r="D6697" t="s">
        <v>43</v>
      </c>
      <c r="G6697" t="s">
        <v>34</v>
      </c>
      <c r="H6697" t="s">
        <v>18</v>
      </c>
      <c r="I6697" t="s">
        <v>41</v>
      </c>
      <c r="J6697" t="s">
        <v>7595</v>
      </c>
      <c r="K6697" t="s">
        <v>22865</v>
      </c>
      <c r="L6697" t="s">
        <v>7625</v>
      </c>
      <c r="M6697" t="s">
        <v>8072</v>
      </c>
      <c r="N6697" t="s">
        <v>8072</v>
      </c>
      <c r="O6697" t="s">
        <v>23</v>
      </c>
      <c r="P6697" t="s">
        <v>24</v>
      </c>
      <c r="Q6697" t="s">
        <v>642</v>
      </c>
      <c r="R6697" t="s">
        <v>1214</v>
      </c>
    </row>
    <row r="6698" spans="1:18" x14ac:dyDescent="0.25">
      <c r="A6698" t="s">
        <v>14756</v>
      </c>
      <c r="B6698" t="s">
        <v>8110</v>
      </c>
      <c r="C6698" t="str">
        <f>HYPERLINK("https://nematode.unl.edu/mesodisc25.jpg")</f>
        <v>https://nematode.unl.edu/mesodisc25.jpg</v>
      </c>
      <c r="D6698" t="s">
        <v>43</v>
      </c>
      <c r="G6698" t="s">
        <v>34</v>
      </c>
      <c r="H6698" t="s">
        <v>18</v>
      </c>
      <c r="I6698" t="s">
        <v>41</v>
      </c>
      <c r="J6698" t="s">
        <v>7595</v>
      </c>
      <c r="K6698" t="s">
        <v>22865</v>
      </c>
      <c r="L6698" t="s">
        <v>7625</v>
      </c>
      <c r="M6698" t="s">
        <v>8072</v>
      </c>
      <c r="N6698" t="s">
        <v>8072</v>
      </c>
      <c r="O6698" t="s">
        <v>23</v>
      </c>
      <c r="P6698" t="s">
        <v>24</v>
      </c>
      <c r="Q6698" t="s">
        <v>642</v>
      </c>
      <c r="R6698" t="s">
        <v>1214</v>
      </c>
    </row>
    <row r="6699" spans="1:18" x14ac:dyDescent="0.25">
      <c r="A6699" t="s">
        <v>14785</v>
      </c>
      <c r="B6699" t="s">
        <v>8111</v>
      </c>
      <c r="C6699" t="str">
        <f>HYPERLINK("https://nematode.unl.edu/mesodisc26.jpg")</f>
        <v>https://nematode.unl.edu/mesodisc26.jpg</v>
      </c>
      <c r="D6699" t="s">
        <v>43</v>
      </c>
      <c r="G6699" t="s">
        <v>28</v>
      </c>
      <c r="I6699" t="s">
        <v>41</v>
      </c>
      <c r="J6699" t="s">
        <v>7595</v>
      </c>
      <c r="K6699" t="s">
        <v>22865</v>
      </c>
      <c r="L6699" t="s">
        <v>7625</v>
      </c>
      <c r="M6699" t="s">
        <v>8072</v>
      </c>
      <c r="N6699" t="s">
        <v>8072</v>
      </c>
      <c r="O6699" t="s">
        <v>23</v>
      </c>
      <c r="P6699" t="s">
        <v>24</v>
      </c>
      <c r="Q6699" t="s">
        <v>642</v>
      </c>
      <c r="R6699" t="s">
        <v>1214</v>
      </c>
    </row>
    <row r="6700" spans="1:18" x14ac:dyDescent="0.25">
      <c r="A6700" t="s">
        <v>14768</v>
      </c>
      <c r="B6700" t="s">
        <v>8112</v>
      </c>
      <c r="C6700" t="str">
        <f>HYPERLINK("https://nematode.unl.edu/mesodisc27.jpg")</f>
        <v>https://nematode.unl.edu/mesodisc27.jpg</v>
      </c>
      <c r="D6700" t="s">
        <v>43</v>
      </c>
      <c r="G6700" t="s">
        <v>44</v>
      </c>
      <c r="I6700" t="s">
        <v>19</v>
      </c>
      <c r="J6700" t="s">
        <v>7595</v>
      </c>
      <c r="K6700" t="s">
        <v>22865</v>
      </c>
      <c r="L6700" t="s">
        <v>7625</v>
      </c>
      <c r="M6700" t="s">
        <v>8072</v>
      </c>
      <c r="N6700" t="s">
        <v>8072</v>
      </c>
      <c r="O6700" t="s">
        <v>23</v>
      </c>
      <c r="P6700" t="s">
        <v>24</v>
      </c>
      <c r="Q6700" t="s">
        <v>642</v>
      </c>
      <c r="R6700" t="s">
        <v>1214</v>
      </c>
    </row>
    <row r="6701" spans="1:18" x14ac:dyDescent="0.25">
      <c r="A6701" t="s">
        <v>14737</v>
      </c>
      <c r="B6701" t="s">
        <v>8113</v>
      </c>
      <c r="C6701" t="str">
        <f>HYPERLINK("https://nematode.unl.edu/mesodisc28.jpg")</f>
        <v>https://nematode.unl.edu/mesodisc28.jpg</v>
      </c>
      <c r="D6701" t="s">
        <v>43</v>
      </c>
      <c r="G6701" t="s">
        <v>96</v>
      </c>
      <c r="H6701" t="s">
        <v>18</v>
      </c>
      <c r="I6701" t="s">
        <v>41</v>
      </c>
      <c r="J6701" t="s">
        <v>7595</v>
      </c>
      <c r="K6701" t="s">
        <v>22865</v>
      </c>
      <c r="L6701" t="s">
        <v>7625</v>
      </c>
      <c r="M6701" t="s">
        <v>8072</v>
      </c>
      <c r="N6701" t="s">
        <v>8072</v>
      </c>
      <c r="O6701" t="s">
        <v>23</v>
      </c>
      <c r="P6701" t="s">
        <v>24</v>
      </c>
      <c r="Q6701" t="s">
        <v>642</v>
      </c>
      <c r="R6701" t="s">
        <v>1214</v>
      </c>
    </row>
    <row r="6702" spans="1:18" x14ac:dyDescent="0.25">
      <c r="A6702" t="s">
        <v>14759</v>
      </c>
      <c r="B6702" t="s">
        <v>8114</v>
      </c>
      <c r="C6702" t="str">
        <f>HYPERLINK("https://nematode.unl.edu/mesodisc29.jpg")</f>
        <v>https://nematode.unl.edu/mesodisc29.jpg</v>
      </c>
      <c r="D6702" t="s">
        <v>43</v>
      </c>
      <c r="G6702" t="s">
        <v>1258</v>
      </c>
      <c r="I6702" t="s">
        <v>41</v>
      </c>
      <c r="J6702" t="s">
        <v>7595</v>
      </c>
      <c r="K6702" t="s">
        <v>22865</v>
      </c>
      <c r="L6702" t="s">
        <v>7625</v>
      </c>
      <c r="M6702" t="s">
        <v>8072</v>
      </c>
      <c r="N6702" t="s">
        <v>8072</v>
      </c>
      <c r="O6702" t="s">
        <v>23</v>
      </c>
      <c r="P6702" t="s">
        <v>24</v>
      </c>
      <c r="Q6702" t="s">
        <v>642</v>
      </c>
      <c r="R6702" t="s">
        <v>1214</v>
      </c>
    </row>
    <row r="6703" spans="1:18" x14ac:dyDescent="0.25">
      <c r="A6703" t="s">
        <v>14738</v>
      </c>
      <c r="B6703" t="s">
        <v>8115</v>
      </c>
      <c r="C6703" t="str">
        <f>HYPERLINK("https://nematode.unl.edu/mesodisc3.jpg")</f>
        <v>https://nematode.unl.edu/mesodisc3.jpg</v>
      </c>
      <c r="D6703" t="s">
        <v>43</v>
      </c>
      <c r="G6703" t="s">
        <v>96</v>
      </c>
      <c r="H6703" t="s">
        <v>18</v>
      </c>
      <c r="J6703" t="s">
        <v>7595</v>
      </c>
      <c r="K6703" t="s">
        <v>22865</v>
      </c>
      <c r="L6703" t="s">
        <v>7625</v>
      </c>
      <c r="M6703" t="s">
        <v>8072</v>
      </c>
      <c r="N6703" t="s">
        <v>8072</v>
      </c>
      <c r="O6703" t="s">
        <v>23</v>
      </c>
      <c r="P6703" t="s">
        <v>24</v>
      </c>
      <c r="Q6703" t="s">
        <v>642</v>
      </c>
      <c r="R6703" t="s">
        <v>1214</v>
      </c>
    </row>
    <row r="6704" spans="1:18" x14ac:dyDescent="0.25">
      <c r="A6704" t="s">
        <v>14777</v>
      </c>
      <c r="B6704" t="s">
        <v>8116</v>
      </c>
      <c r="C6704" t="str">
        <f>HYPERLINK("https://nematode.unl.edu/mesodisc30.jpg")</f>
        <v>https://nematode.unl.edu/mesodisc30.jpg</v>
      </c>
      <c r="D6704" t="s">
        <v>43</v>
      </c>
      <c r="G6704" t="s">
        <v>181</v>
      </c>
      <c r="J6704" t="s">
        <v>7595</v>
      </c>
      <c r="K6704" t="s">
        <v>22865</v>
      </c>
      <c r="L6704" t="s">
        <v>7625</v>
      </c>
      <c r="M6704" t="s">
        <v>8072</v>
      </c>
      <c r="N6704" t="s">
        <v>8072</v>
      </c>
      <c r="O6704" t="s">
        <v>23</v>
      </c>
      <c r="P6704" t="s">
        <v>24</v>
      </c>
      <c r="Q6704" t="s">
        <v>642</v>
      </c>
      <c r="R6704" t="s">
        <v>1214</v>
      </c>
    </row>
    <row r="6705" spans="1:18" x14ac:dyDescent="0.25">
      <c r="A6705" t="s">
        <v>14757</v>
      </c>
      <c r="B6705" t="s">
        <v>8117</v>
      </c>
      <c r="C6705" t="str">
        <f>HYPERLINK("https://nematode.unl.edu/mesodisc31.jpg")</f>
        <v>https://nematode.unl.edu/mesodisc31.jpg</v>
      </c>
      <c r="D6705" t="s">
        <v>16</v>
      </c>
      <c r="G6705" t="s">
        <v>34</v>
      </c>
      <c r="H6705" t="s">
        <v>18</v>
      </c>
      <c r="I6705" t="s">
        <v>41</v>
      </c>
      <c r="J6705" t="s">
        <v>7595</v>
      </c>
      <c r="K6705" t="s">
        <v>22865</v>
      </c>
      <c r="L6705" t="s">
        <v>7625</v>
      </c>
      <c r="M6705" t="s">
        <v>8072</v>
      </c>
      <c r="N6705" t="s">
        <v>8072</v>
      </c>
      <c r="O6705" t="s">
        <v>23</v>
      </c>
      <c r="P6705" t="s">
        <v>24</v>
      </c>
      <c r="Q6705" t="s">
        <v>642</v>
      </c>
      <c r="R6705" t="s">
        <v>1214</v>
      </c>
    </row>
    <row r="6706" spans="1:18" x14ac:dyDescent="0.25">
      <c r="A6706" t="s">
        <v>14786</v>
      </c>
      <c r="B6706" t="s">
        <v>8118</v>
      </c>
      <c r="C6706" t="str">
        <f>HYPERLINK("https://nematode.unl.edu/mesodisc32.jpg")</f>
        <v>https://nematode.unl.edu/mesodisc32.jpg</v>
      </c>
      <c r="D6706" t="s">
        <v>16</v>
      </c>
      <c r="G6706" t="s">
        <v>28</v>
      </c>
      <c r="I6706" t="s">
        <v>41</v>
      </c>
      <c r="J6706" t="s">
        <v>7595</v>
      </c>
      <c r="K6706" t="s">
        <v>22865</v>
      </c>
      <c r="L6706" t="s">
        <v>7625</v>
      </c>
      <c r="M6706" t="s">
        <v>8072</v>
      </c>
      <c r="N6706" t="s">
        <v>8072</v>
      </c>
      <c r="O6706" t="s">
        <v>23</v>
      </c>
      <c r="P6706" t="s">
        <v>24</v>
      </c>
      <c r="Q6706" t="s">
        <v>642</v>
      </c>
      <c r="R6706" t="s">
        <v>1214</v>
      </c>
    </row>
    <row r="6707" spans="1:18" x14ac:dyDescent="0.25">
      <c r="A6707" t="s">
        <v>14741</v>
      </c>
      <c r="B6707" t="s">
        <v>8119</v>
      </c>
      <c r="C6707" t="str">
        <f>HYPERLINK("https://nematode.unl.edu/mesodisc33.jpg")</f>
        <v>https://nematode.unl.edu/mesodisc33.jpg</v>
      </c>
      <c r="D6707" t="s">
        <v>16</v>
      </c>
      <c r="G6707" t="s">
        <v>8120</v>
      </c>
      <c r="H6707" t="s">
        <v>18</v>
      </c>
      <c r="I6707" t="s">
        <v>41</v>
      </c>
      <c r="J6707" t="s">
        <v>7595</v>
      </c>
      <c r="K6707" t="s">
        <v>22865</v>
      </c>
      <c r="L6707" t="s">
        <v>7625</v>
      </c>
      <c r="M6707" t="s">
        <v>8072</v>
      </c>
      <c r="N6707" t="s">
        <v>8072</v>
      </c>
      <c r="O6707" t="s">
        <v>23</v>
      </c>
      <c r="P6707" t="s">
        <v>24</v>
      </c>
      <c r="Q6707" t="s">
        <v>642</v>
      </c>
      <c r="R6707" t="s">
        <v>1214</v>
      </c>
    </row>
    <row r="6708" spans="1:18" x14ac:dyDescent="0.25">
      <c r="A6708" t="s">
        <v>14739</v>
      </c>
      <c r="B6708" t="s">
        <v>8121</v>
      </c>
      <c r="C6708" t="str">
        <f>HYPERLINK("https://nematode.unl.edu/mesodisc34.jpg")</f>
        <v>https://nematode.unl.edu/mesodisc34.jpg</v>
      </c>
      <c r="D6708" t="s">
        <v>16</v>
      </c>
      <c r="G6708" t="s">
        <v>96</v>
      </c>
      <c r="H6708" t="s">
        <v>18</v>
      </c>
      <c r="I6708" t="s">
        <v>41</v>
      </c>
      <c r="J6708" t="s">
        <v>7595</v>
      </c>
      <c r="K6708" t="s">
        <v>22865</v>
      </c>
      <c r="L6708" t="s">
        <v>7625</v>
      </c>
      <c r="M6708" t="s">
        <v>8072</v>
      </c>
      <c r="N6708" t="s">
        <v>8072</v>
      </c>
      <c r="O6708" t="s">
        <v>23</v>
      </c>
      <c r="P6708" t="s">
        <v>24</v>
      </c>
      <c r="Q6708" t="s">
        <v>642</v>
      </c>
      <c r="R6708" t="s">
        <v>1214</v>
      </c>
    </row>
    <row r="6709" spans="1:18" x14ac:dyDescent="0.25">
      <c r="A6709" t="s">
        <v>14787</v>
      </c>
      <c r="B6709" t="s">
        <v>8122</v>
      </c>
      <c r="C6709" t="str">
        <f>HYPERLINK("https://nematode.unl.edu/mesodisc35.jpg")</f>
        <v>https://nematode.unl.edu/mesodisc35.jpg</v>
      </c>
      <c r="D6709" t="s">
        <v>16</v>
      </c>
      <c r="G6709" t="s">
        <v>28</v>
      </c>
      <c r="I6709" t="s">
        <v>41</v>
      </c>
      <c r="J6709" t="s">
        <v>7595</v>
      </c>
      <c r="K6709" t="s">
        <v>22865</v>
      </c>
      <c r="L6709" t="s">
        <v>7625</v>
      </c>
      <c r="M6709" t="s">
        <v>8072</v>
      </c>
      <c r="N6709" t="s">
        <v>8072</v>
      </c>
      <c r="O6709" t="s">
        <v>23</v>
      </c>
      <c r="P6709" t="s">
        <v>24</v>
      </c>
      <c r="Q6709" t="s">
        <v>642</v>
      </c>
      <c r="R6709" t="s">
        <v>1214</v>
      </c>
    </row>
    <row r="6710" spans="1:18" x14ac:dyDescent="0.25">
      <c r="A6710" t="s">
        <v>14769</v>
      </c>
      <c r="B6710" t="s">
        <v>8123</v>
      </c>
      <c r="C6710" t="str">
        <f>HYPERLINK("https://nematode.unl.edu/mesodisc36.jpg")</f>
        <v>https://nematode.unl.edu/mesodisc36.jpg</v>
      </c>
      <c r="D6710" t="s">
        <v>16</v>
      </c>
      <c r="G6710" t="s">
        <v>44</v>
      </c>
      <c r="I6710" t="s">
        <v>19</v>
      </c>
      <c r="J6710" t="s">
        <v>7595</v>
      </c>
      <c r="K6710" t="s">
        <v>22865</v>
      </c>
      <c r="L6710" t="s">
        <v>7625</v>
      </c>
      <c r="M6710" t="s">
        <v>8072</v>
      </c>
      <c r="N6710" t="s">
        <v>8072</v>
      </c>
      <c r="O6710" t="s">
        <v>23</v>
      </c>
      <c r="P6710" t="s">
        <v>24</v>
      </c>
      <c r="Q6710" t="s">
        <v>642</v>
      </c>
      <c r="R6710" t="s">
        <v>1214</v>
      </c>
    </row>
    <row r="6711" spans="1:18" x14ac:dyDescent="0.25">
      <c r="A6711" t="s">
        <v>14758</v>
      </c>
      <c r="B6711" t="s">
        <v>8124</v>
      </c>
      <c r="C6711" t="str">
        <f>HYPERLINK("https://nematode.unl.edu/mesodisc37.jpg")</f>
        <v>https://nematode.unl.edu/mesodisc37.jpg</v>
      </c>
      <c r="D6711" t="s">
        <v>16</v>
      </c>
      <c r="G6711" t="s">
        <v>34</v>
      </c>
      <c r="H6711" t="s">
        <v>18</v>
      </c>
      <c r="I6711" t="s">
        <v>41</v>
      </c>
      <c r="J6711" t="s">
        <v>7595</v>
      </c>
      <c r="K6711" t="s">
        <v>22865</v>
      </c>
      <c r="L6711" t="s">
        <v>7625</v>
      </c>
      <c r="M6711" t="s">
        <v>8072</v>
      </c>
      <c r="N6711" t="s">
        <v>8072</v>
      </c>
      <c r="O6711" t="s">
        <v>23</v>
      </c>
      <c r="P6711" t="s">
        <v>24</v>
      </c>
      <c r="Q6711" t="s">
        <v>642</v>
      </c>
      <c r="R6711" t="s">
        <v>1214</v>
      </c>
    </row>
    <row r="6712" spans="1:18" x14ac:dyDescent="0.25">
      <c r="A6712" t="s">
        <v>14772</v>
      </c>
      <c r="B6712" t="s">
        <v>8125</v>
      </c>
      <c r="C6712" t="str">
        <f>HYPERLINK("https://nematode.unl.edu/mesodisc38.jpg")</f>
        <v>https://nematode.unl.edu/mesodisc38.jpg</v>
      </c>
      <c r="D6712" t="s">
        <v>16</v>
      </c>
      <c r="G6712" t="s">
        <v>224</v>
      </c>
      <c r="I6712" t="s">
        <v>41</v>
      </c>
      <c r="J6712" t="s">
        <v>7595</v>
      </c>
      <c r="K6712" t="s">
        <v>22865</v>
      </c>
      <c r="L6712" t="s">
        <v>7625</v>
      </c>
      <c r="M6712" t="s">
        <v>8072</v>
      </c>
      <c r="N6712" t="s">
        <v>8072</v>
      </c>
      <c r="O6712" t="s">
        <v>23</v>
      </c>
      <c r="P6712" t="s">
        <v>24</v>
      </c>
      <c r="Q6712" t="s">
        <v>642</v>
      </c>
      <c r="R6712" t="s">
        <v>1214</v>
      </c>
    </row>
    <row r="6713" spans="1:18" x14ac:dyDescent="0.25">
      <c r="A6713" t="s">
        <v>14788</v>
      </c>
      <c r="B6713" t="s">
        <v>8126</v>
      </c>
      <c r="C6713" t="str">
        <f>HYPERLINK("https://nematode.unl.edu/mesodisc39.jpg")</f>
        <v>https://nematode.unl.edu/mesodisc39.jpg</v>
      </c>
      <c r="D6713" t="s">
        <v>16</v>
      </c>
      <c r="G6713" t="s">
        <v>28</v>
      </c>
      <c r="I6713" t="s">
        <v>41</v>
      </c>
      <c r="J6713" t="s">
        <v>7595</v>
      </c>
      <c r="K6713" t="s">
        <v>22865</v>
      </c>
      <c r="L6713" t="s">
        <v>7625</v>
      </c>
      <c r="M6713" t="s">
        <v>8072</v>
      </c>
      <c r="N6713" t="s">
        <v>8072</v>
      </c>
      <c r="O6713" t="s">
        <v>23</v>
      </c>
      <c r="P6713" t="s">
        <v>24</v>
      </c>
      <c r="Q6713" t="s">
        <v>642</v>
      </c>
      <c r="R6713" t="s">
        <v>1214</v>
      </c>
    </row>
    <row r="6714" spans="1:18" x14ac:dyDescent="0.25">
      <c r="A6714" t="s">
        <v>14791</v>
      </c>
      <c r="B6714" t="s">
        <v>8127</v>
      </c>
      <c r="C6714" t="str">
        <f>HYPERLINK("https://nematode.unl.edu/mesodisc4.jpg")</f>
        <v>https://nematode.unl.edu/mesodisc4.jpg</v>
      </c>
      <c r="D6714" t="s">
        <v>43</v>
      </c>
      <c r="G6714" t="s">
        <v>51</v>
      </c>
      <c r="J6714" t="s">
        <v>7595</v>
      </c>
      <c r="K6714" t="s">
        <v>22865</v>
      </c>
      <c r="L6714" t="s">
        <v>7625</v>
      </c>
      <c r="M6714" t="s">
        <v>8072</v>
      </c>
      <c r="N6714" t="s">
        <v>8072</v>
      </c>
      <c r="O6714" t="s">
        <v>23</v>
      </c>
      <c r="P6714" t="s">
        <v>24</v>
      </c>
      <c r="Q6714" t="s">
        <v>642</v>
      </c>
      <c r="R6714" t="s">
        <v>1214</v>
      </c>
    </row>
    <row r="6715" spans="1:18" x14ac:dyDescent="0.25">
      <c r="A6715" t="s">
        <v>14740</v>
      </c>
      <c r="B6715" t="s">
        <v>8128</v>
      </c>
      <c r="C6715" t="str">
        <f>HYPERLINK("https://nematode.unl.edu/mesodisc5.jpg")</f>
        <v>https://nematode.unl.edu/mesodisc5.jpg</v>
      </c>
      <c r="D6715" t="s">
        <v>43</v>
      </c>
      <c r="G6715" t="s">
        <v>96</v>
      </c>
      <c r="H6715" t="s">
        <v>18</v>
      </c>
      <c r="I6715" t="s">
        <v>41</v>
      </c>
      <c r="M6715" t="s">
        <v>8072</v>
      </c>
      <c r="N6715" t="s">
        <v>8072</v>
      </c>
      <c r="O6715" t="s">
        <v>23</v>
      </c>
      <c r="P6715" t="s">
        <v>24</v>
      </c>
      <c r="Q6715" t="s">
        <v>642</v>
      </c>
      <c r="R6715" t="s">
        <v>1214</v>
      </c>
    </row>
    <row r="6716" spans="1:18" x14ac:dyDescent="0.25">
      <c r="A6716" t="s">
        <v>14778</v>
      </c>
      <c r="B6716" t="s">
        <v>8129</v>
      </c>
      <c r="C6716" t="str">
        <f>HYPERLINK("https://nematode.unl.edu/mesodisc6.jpg")</f>
        <v>https://nematode.unl.edu/mesodisc6.jpg</v>
      </c>
      <c r="D6716" t="s">
        <v>43</v>
      </c>
      <c r="G6716" t="s">
        <v>181</v>
      </c>
      <c r="J6716" t="s">
        <v>7595</v>
      </c>
      <c r="K6716" t="s">
        <v>22865</v>
      </c>
      <c r="L6716" t="s">
        <v>7625</v>
      </c>
      <c r="M6716" t="s">
        <v>8072</v>
      </c>
      <c r="N6716" t="s">
        <v>8072</v>
      </c>
      <c r="O6716" t="s">
        <v>23</v>
      </c>
      <c r="P6716" t="s">
        <v>24</v>
      </c>
      <c r="Q6716" t="s">
        <v>642</v>
      </c>
      <c r="R6716" t="s">
        <v>1214</v>
      </c>
    </row>
    <row r="6717" spans="1:18" x14ac:dyDescent="0.25">
      <c r="A6717" t="s">
        <v>14773</v>
      </c>
      <c r="B6717" t="s">
        <v>8130</v>
      </c>
      <c r="C6717" t="str">
        <f>HYPERLINK("https://nematode.unl.edu/mesodisc7.jpg")</f>
        <v>https://nematode.unl.edu/mesodisc7.jpg</v>
      </c>
      <c r="D6717" t="s">
        <v>43</v>
      </c>
      <c r="G6717" t="s">
        <v>3931</v>
      </c>
      <c r="I6717" t="s">
        <v>41</v>
      </c>
      <c r="J6717" t="s">
        <v>7595</v>
      </c>
      <c r="K6717" t="s">
        <v>22865</v>
      </c>
      <c r="L6717" t="s">
        <v>7625</v>
      </c>
      <c r="M6717" t="s">
        <v>8072</v>
      </c>
      <c r="N6717" t="s">
        <v>8072</v>
      </c>
      <c r="O6717" t="s">
        <v>23</v>
      </c>
      <c r="P6717" t="s">
        <v>24</v>
      </c>
      <c r="Q6717" t="s">
        <v>642</v>
      </c>
      <c r="R6717" t="s">
        <v>1214</v>
      </c>
    </row>
    <row r="6718" spans="1:18" x14ac:dyDescent="0.25">
      <c r="A6718" t="s">
        <v>14770</v>
      </c>
      <c r="B6718" t="s">
        <v>8131</v>
      </c>
      <c r="C6718" t="str">
        <f>HYPERLINK("https://nematode.unl.edu/mesodisc9.jpg")</f>
        <v>https://nematode.unl.edu/mesodisc9.jpg</v>
      </c>
      <c r="D6718" t="s">
        <v>43</v>
      </c>
      <c r="G6718" t="s">
        <v>44</v>
      </c>
      <c r="I6718" t="s">
        <v>19</v>
      </c>
      <c r="J6718" t="s">
        <v>7595</v>
      </c>
      <c r="K6718" t="s">
        <v>22865</v>
      </c>
      <c r="L6718" t="s">
        <v>7625</v>
      </c>
      <c r="M6718" t="s">
        <v>8072</v>
      </c>
      <c r="N6718" t="s">
        <v>8072</v>
      </c>
      <c r="O6718" t="s">
        <v>23</v>
      </c>
      <c r="P6718" t="s">
        <v>24</v>
      </c>
      <c r="Q6718" t="s">
        <v>642</v>
      </c>
      <c r="R6718" t="s">
        <v>1214</v>
      </c>
    </row>
    <row r="6719" spans="1:18" x14ac:dyDescent="0.25">
      <c r="A6719" t="s">
        <v>14144</v>
      </c>
      <c r="B6719" t="s">
        <v>7472</v>
      </c>
      <c r="C6719" t="str">
        <f>HYPERLINK("https://nematode.unl.edu/mesodoos1.jpg")</f>
        <v>https://nematode.unl.edu/mesodoos1.jpg</v>
      </c>
      <c r="D6719" t="s">
        <v>16</v>
      </c>
      <c r="G6719" t="s">
        <v>44</v>
      </c>
      <c r="I6719" t="s">
        <v>19</v>
      </c>
      <c r="J6719" t="s">
        <v>6265</v>
      </c>
      <c r="M6719" t="s">
        <v>1214</v>
      </c>
      <c r="N6719" t="s">
        <v>1214</v>
      </c>
      <c r="O6719" t="s">
        <v>23</v>
      </c>
      <c r="P6719" t="s">
        <v>24</v>
      </c>
      <c r="Q6719" t="s">
        <v>642</v>
      </c>
      <c r="R6719" t="s">
        <v>1214</v>
      </c>
    </row>
    <row r="6720" spans="1:18" x14ac:dyDescent="0.25">
      <c r="A6720" t="s">
        <v>14079</v>
      </c>
      <c r="B6720" t="s">
        <v>7473</v>
      </c>
      <c r="C6720" t="str">
        <f>HYPERLINK("https://nematode.unl.edu/mesodoos2.jpg")</f>
        <v>https://nematode.unl.edu/mesodoos2.jpg</v>
      </c>
      <c r="D6720" t="s">
        <v>16</v>
      </c>
      <c r="G6720" t="s">
        <v>34</v>
      </c>
      <c r="H6720" t="s">
        <v>18</v>
      </c>
      <c r="I6720" t="s">
        <v>41</v>
      </c>
      <c r="M6720" t="s">
        <v>1214</v>
      </c>
      <c r="N6720" t="s">
        <v>1214</v>
      </c>
      <c r="O6720" t="s">
        <v>23</v>
      </c>
      <c r="P6720" t="s">
        <v>24</v>
      </c>
      <c r="Q6720" t="s">
        <v>642</v>
      </c>
      <c r="R6720" t="s">
        <v>1214</v>
      </c>
    </row>
    <row r="6721" spans="1:18" x14ac:dyDescent="0.25">
      <c r="A6721" t="s">
        <v>14145</v>
      </c>
      <c r="B6721" t="s">
        <v>7474</v>
      </c>
      <c r="C6721" t="str">
        <f>HYPERLINK("https://nematode.unl.edu/mesoflor1.jpg")</f>
        <v>https://nematode.unl.edu/mesoflor1.jpg</v>
      </c>
      <c r="D6721" t="s">
        <v>16</v>
      </c>
      <c r="G6721" t="s">
        <v>44</v>
      </c>
      <c r="I6721" t="s">
        <v>19</v>
      </c>
      <c r="J6721" t="s">
        <v>4654</v>
      </c>
      <c r="L6721" t="s">
        <v>6285</v>
      </c>
      <c r="M6721" t="s">
        <v>1214</v>
      </c>
      <c r="N6721" t="s">
        <v>1214</v>
      </c>
      <c r="O6721" t="s">
        <v>23</v>
      </c>
      <c r="P6721" t="s">
        <v>24</v>
      </c>
      <c r="Q6721" t="s">
        <v>642</v>
      </c>
      <c r="R6721" t="s">
        <v>1214</v>
      </c>
    </row>
    <row r="6722" spans="1:18" x14ac:dyDescent="0.25">
      <c r="A6722" t="s">
        <v>14080</v>
      </c>
      <c r="B6722" t="s">
        <v>7475</v>
      </c>
      <c r="C6722" t="str">
        <f>HYPERLINK("https://nematode.unl.edu/mesoflor2.jpg")</f>
        <v>https://nematode.unl.edu/mesoflor2.jpg</v>
      </c>
      <c r="D6722" t="s">
        <v>16</v>
      </c>
      <c r="G6722" t="s">
        <v>34</v>
      </c>
      <c r="H6722" t="s">
        <v>18</v>
      </c>
      <c r="I6722" t="s">
        <v>41</v>
      </c>
      <c r="M6722" t="s">
        <v>1214</v>
      </c>
      <c r="N6722" t="s">
        <v>1214</v>
      </c>
      <c r="O6722" t="s">
        <v>23</v>
      </c>
      <c r="P6722" t="s">
        <v>24</v>
      </c>
      <c r="Q6722" t="s">
        <v>642</v>
      </c>
      <c r="R6722" t="s">
        <v>1214</v>
      </c>
    </row>
    <row r="6723" spans="1:18" x14ac:dyDescent="0.25">
      <c r="A6723" t="s">
        <v>14203</v>
      </c>
      <c r="B6723" t="s">
        <v>7476</v>
      </c>
      <c r="C6723" t="str">
        <f>HYPERLINK("https://nematode.unl.edu/mesoflor3.jpg")</f>
        <v>https://nematode.unl.edu/mesoflor3.jpg</v>
      </c>
      <c r="D6723" t="s">
        <v>16</v>
      </c>
      <c r="G6723" t="s">
        <v>28</v>
      </c>
      <c r="I6723" t="s">
        <v>41</v>
      </c>
      <c r="J6723" t="s">
        <v>4654</v>
      </c>
      <c r="M6723" t="s">
        <v>1214</v>
      </c>
      <c r="N6723" t="s">
        <v>1214</v>
      </c>
      <c r="O6723" t="s">
        <v>23</v>
      </c>
      <c r="P6723" t="s">
        <v>24</v>
      </c>
      <c r="Q6723" t="s">
        <v>642</v>
      </c>
      <c r="R6723" t="s">
        <v>1214</v>
      </c>
    </row>
    <row r="6724" spans="1:18" x14ac:dyDescent="0.25">
      <c r="A6724" t="s">
        <v>14172</v>
      </c>
      <c r="B6724" t="s">
        <v>7477</v>
      </c>
      <c r="C6724" t="str">
        <f>HYPERLINK("https://nematode.unl.edu/mesoflor4.jpg")</f>
        <v>https://nematode.unl.edu/mesoflor4.jpg</v>
      </c>
      <c r="D6724" t="s">
        <v>16</v>
      </c>
      <c r="G6724" t="s">
        <v>224</v>
      </c>
      <c r="I6724" t="s">
        <v>41</v>
      </c>
      <c r="J6724" t="s">
        <v>4654</v>
      </c>
      <c r="M6724" t="s">
        <v>1214</v>
      </c>
      <c r="N6724" t="s">
        <v>1214</v>
      </c>
      <c r="O6724" t="s">
        <v>23</v>
      </c>
      <c r="P6724" t="s">
        <v>24</v>
      </c>
      <c r="Q6724" t="s">
        <v>642</v>
      </c>
      <c r="R6724" t="s">
        <v>1214</v>
      </c>
    </row>
    <row r="6725" spans="1:18" x14ac:dyDescent="0.25">
      <c r="A6725" t="s">
        <v>14146</v>
      </c>
      <c r="B6725" t="s">
        <v>7478</v>
      </c>
      <c r="C6725" t="str">
        <f>HYPERLINK("https://nematode.unl.edu/mesogbend1.jpg")</f>
        <v>https://nematode.unl.edu/mesogbend1.jpg</v>
      </c>
      <c r="D6725" t="s">
        <v>16</v>
      </c>
      <c r="G6725" t="s">
        <v>44</v>
      </c>
      <c r="I6725" t="s">
        <v>19</v>
      </c>
      <c r="J6725" t="s">
        <v>7479</v>
      </c>
      <c r="M6725" t="s">
        <v>1214</v>
      </c>
      <c r="N6725" t="s">
        <v>1214</v>
      </c>
      <c r="O6725" t="s">
        <v>23</v>
      </c>
      <c r="P6725" t="s">
        <v>24</v>
      </c>
      <c r="Q6725" t="s">
        <v>642</v>
      </c>
      <c r="R6725" t="s">
        <v>1214</v>
      </c>
    </row>
    <row r="6726" spans="1:18" x14ac:dyDescent="0.25">
      <c r="A6726" t="s">
        <v>14061</v>
      </c>
      <c r="B6726" t="s">
        <v>7480</v>
      </c>
      <c r="C6726" t="str">
        <f>HYPERLINK("https://nematode.unl.edu/mesogbend10.jpg")</f>
        <v>https://nematode.unl.edu/mesogbend10.jpg</v>
      </c>
      <c r="D6726" t="s">
        <v>43</v>
      </c>
      <c r="G6726" t="s">
        <v>96</v>
      </c>
      <c r="H6726" t="s">
        <v>18</v>
      </c>
      <c r="M6726" t="s">
        <v>1214</v>
      </c>
      <c r="N6726" t="s">
        <v>1214</v>
      </c>
      <c r="O6726" t="s">
        <v>23</v>
      </c>
      <c r="P6726" t="s">
        <v>24</v>
      </c>
      <c r="Q6726" t="s">
        <v>642</v>
      </c>
      <c r="R6726" t="s">
        <v>1214</v>
      </c>
    </row>
    <row r="6727" spans="1:18" x14ac:dyDescent="0.25">
      <c r="A6727" t="s">
        <v>14204</v>
      </c>
      <c r="B6727" t="s">
        <v>7481</v>
      </c>
      <c r="C6727" t="str">
        <f>HYPERLINK("https://nematode.unl.edu/mesogbend11.jpg")</f>
        <v>https://nematode.unl.edu/mesogbend11.jpg</v>
      </c>
      <c r="D6727" t="s">
        <v>43</v>
      </c>
      <c r="G6727" t="s">
        <v>28</v>
      </c>
      <c r="I6727" t="s">
        <v>41</v>
      </c>
      <c r="M6727" t="s">
        <v>1214</v>
      </c>
      <c r="N6727" t="s">
        <v>1214</v>
      </c>
      <c r="O6727" t="s">
        <v>23</v>
      </c>
      <c r="P6727" t="s">
        <v>24</v>
      </c>
      <c r="Q6727" t="s">
        <v>642</v>
      </c>
      <c r="R6727" t="s">
        <v>1214</v>
      </c>
    </row>
    <row r="6728" spans="1:18" x14ac:dyDescent="0.25">
      <c r="A6728" t="s">
        <v>14205</v>
      </c>
      <c r="B6728" t="s">
        <v>7482</v>
      </c>
      <c r="C6728" t="str">
        <f>HYPERLINK("https://nematode.unl.edu/mesogbend12.jpg")</f>
        <v>https://nematode.unl.edu/mesogbend12.jpg</v>
      </c>
      <c r="D6728" t="s">
        <v>43</v>
      </c>
      <c r="G6728" t="s">
        <v>28</v>
      </c>
      <c r="I6728" t="s">
        <v>41</v>
      </c>
      <c r="M6728" t="s">
        <v>1214</v>
      </c>
      <c r="N6728" t="s">
        <v>1214</v>
      </c>
      <c r="O6728" t="s">
        <v>23</v>
      </c>
      <c r="P6728" t="s">
        <v>24</v>
      </c>
      <c r="Q6728" t="s">
        <v>642</v>
      </c>
      <c r="R6728" t="s">
        <v>1214</v>
      </c>
    </row>
    <row r="6729" spans="1:18" x14ac:dyDescent="0.25">
      <c r="A6729" t="s">
        <v>14206</v>
      </c>
      <c r="B6729" t="s">
        <v>7483</v>
      </c>
      <c r="C6729" t="str">
        <f>HYPERLINK("https://nematode.unl.edu/mesogbend13.jpg")</f>
        <v>https://nematode.unl.edu/mesogbend13.jpg</v>
      </c>
      <c r="D6729" t="s">
        <v>43</v>
      </c>
      <c r="G6729" t="s">
        <v>28</v>
      </c>
      <c r="I6729" t="s">
        <v>41</v>
      </c>
      <c r="M6729" t="s">
        <v>1214</v>
      </c>
      <c r="N6729" t="s">
        <v>1214</v>
      </c>
      <c r="O6729" t="s">
        <v>23</v>
      </c>
      <c r="P6729" t="s">
        <v>24</v>
      </c>
      <c r="Q6729" t="s">
        <v>642</v>
      </c>
      <c r="R6729" t="s">
        <v>1214</v>
      </c>
    </row>
    <row r="6730" spans="1:18" x14ac:dyDescent="0.25">
      <c r="A6730" t="s">
        <v>14147</v>
      </c>
      <c r="B6730" t="s">
        <v>7484</v>
      </c>
      <c r="C6730" t="str">
        <f>HYPERLINK("https://nematode.unl.edu/mesogbend14.jpg")</f>
        <v>https://nematode.unl.edu/mesogbend14.jpg</v>
      </c>
      <c r="D6730" t="s">
        <v>43</v>
      </c>
      <c r="G6730" t="s">
        <v>44</v>
      </c>
      <c r="I6730" t="s">
        <v>41</v>
      </c>
      <c r="M6730" t="s">
        <v>1214</v>
      </c>
      <c r="N6730" t="s">
        <v>1214</v>
      </c>
      <c r="O6730" t="s">
        <v>23</v>
      </c>
      <c r="P6730" t="s">
        <v>24</v>
      </c>
      <c r="Q6730" t="s">
        <v>642</v>
      </c>
      <c r="R6730" t="s">
        <v>1214</v>
      </c>
    </row>
    <row r="6731" spans="1:18" x14ac:dyDescent="0.25">
      <c r="A6731" t="s">
        <v>14148</v>
      </c>
      <c r="B6731" t="s">
        <v>7485</v>
      </c>
      <c r="C6731" t="str">
        <f>HYPERLINK("https://nematode.unl.edu/mesogbend15.jpg")</f>
        <v>https://nematode.unl.edu/mesogbend15.jpg</v>
      </c>
      <c r="D6731" t="s">
        <v>43</v>
      </c>
      <c r="G6731" t="s">
        <v>44</v>
      </c>
      <c r="I6731" t="s">
        <v>19</v>
      </c>
      <c r="J6731" t="s">
        <v>7479</v>
      </c>
      <c r="M6731" t="s">
        <v>1214</v>
      </c>
      <c r="N6731" t="s">
        <v>1214</v>
      </c>
      <c r="O6731" t="s">
        <v>23</v>
      </c>
      <c r="P6731" t="s">
        <v>24</v>
      </c>
      <c r="Q6731" t="s">
        <v>642</v>
      </c>
      <c r="R6731" t="s">
        <v>1214</v>
      </c>
    </row>
    <row r="6732" spans="1:18" x14ac:dyDescent="0.25">
      <c r="A6732" t="s">
        <v>14081</v>
      </c>
      <c r="B6732" t="s">
        <v>7486</v>
      </c>
      <c r="C6732" t="str">
        <f>HYPERLINK("https://nematode.unl.edu/mesogbend16.jpg")</f>
        <v>https://nematode.unl.edu/mesogbend16.jpg</v>
      </c>
      <c r="D6732" t="s">
        <v>43</v>
      </c>
      <c r="G6732" t="s">
        <v>34</v>
      </c>
      <c r="H6732" t="s">
        <v>18</v>
      </c>
      <c r="I6732" t="s">
        <v>41</v>
      </c>
      <c r="M6732" t="s">
        <v>1214</v>
      </c>
      <c r="N6732" t="s">
        <v>1214</v>
      </c>
      <c r="O6732" t="s">
        <v>23</v>
      </c>
      <c r="P6732" t="s">
        <v>24</v>
      </c>
      <c r="Q6732" t="s">
        <v>642</v>
      </c>
      <c r="R6732" t="s">
        <v>1214</v>
      </c>
    </row>
    <row r="6733" spans="1:18" x14ac:dyDescent="0.25">
      <c r="A6733" t="s">
        <v>14184</v>
      </c>
      <c r="B6733" t="s">
        <v>7487</v>
      </c>
      <c r="C6733" t="str">
        <f>HYPERLINK("https://nematode.unl.edu/mesogbend17.jpg")</f>
        <v>https://nematode.unl.edu/mesogbend17.jpg</v>
      </c>
      <c r="G6733" t="s">
        <v>674</v>
      </c>
      <c r="I6733" t="s">
        <v>41</v>
      </c>
      <c r="M6733" t="s">
        <v>1214</v>
      </c>
      <c r="N6733" t="s">
        <v>1214</v>
      </c>
      <c r="O6733" t="s">
        <v>23</v>
      </c>
      <c r="P6733" t="s">
        <v>24</v>
      </c>
      <c r="Q6733" t="s">
        <v>642</v>
      </c>
      <c r="R6733" t="s">
        <v>1214</v>
      </c>
    </row>
    <row r="6734" spans="1:18" x14ac:dyDescent="0.25">
      <c r="A6734" t="s">
        <v>14207</v>
      </c>
      <c r="B6734" t="s">
        <v>7488</v>
      </c>
      <c r="C6734" t="str">
        <f>HYPERLINK("https://nematode.unl.edu/mesogbend18.jpg")</f>
        <v>https://nematode.unl.edu/mesogbend18.jpg</v>
      </c>
      <c r="D6734" t="s">
        <v>43</v>
      </c>
      <c r="G6734" t="s">
        <v>28</v>
      </c>
      <c r="M6734" t="s">
        <v>1214</v>
      </c>
      <c r="N6734" t="s">
        <v>1214</v>
      </c>
      <c r="O6734" t="s">
        <v>23</v>
      </c>
      <c r="P6734" t="s">
        <v>24</v>
      </c>
      <c r="Q6734" t="s">
        <v>642</v>
      </c>
      <c r="R6734" t="s">
        <v>1214</v>
      </c>
    </row>
    <row r="6735" spans="1:18" x14ac:dyDescent="0.25">
      <c r="A6735" t="s">
        <v>14222</v>
      </c>
      <c r="B6735" t="s">
        <v>7489</v>
      </c>
      <c r="C6735" t="str">
        <f>HYPERLINK("https://nematode.unl.edu/mesogbend19.jpg")</f>
        <v>https://nematode.unl.edu/mesogbend19.jpg</v>
      </c>
      <c r="D6735" t="s">
        <v>43</v>
      </c>
      <c r="G6735" t="s">
        <v>51</v>
      </c>
      <c r="I6735" t="s">
        <v>41</v>
      </c>
      <c r="M6735" t="s">
        <v>1214</v>
      </c>
      <c r="N6735" t="s">
        <v>1214</v>
      </c>
      <c r="O6735" t="s">
        <v>23</v>
      </c>
      <c r="P6735" t="s">
        <v>24</v>
      </c>
      <c r="Q6735" t="s">
        <v>642</v>
      </c>
      <c r="R6735" t="s">
        <v>1214</v>
      </c>
    </row>
    <row r="6736" spans="1:18" x14ac:dyDescent="0.25">
      <c r="A6736" t="s">
        <v>14082</v>
      </c>
      <c r="B6736" t="s">
        <v>7490</v>
      </c>
      <c r="C6736" t="str">
        <f>HYPERLINK("https://nematode.unl.edu/mesogbend2.jpg")</f>
        <v>https://nematode.unl.edu/mesogbend2.jpg</v>
      </c>
      <c r="D6736" t="s">
        <v>16</v>
      </c>
      <c r="G6736" t="s">
        <v>34</v>
      </c>
      <c r="H6736" t="s">
        <v>18</v>
      </c>
      <c r="I6736" t="s">
        <v>41</v>
      </c>
      <c r="M6736" t="s">
        <v>1214</v>
      </c>
      <c r="N6736" t="s">
        <v>1214</v>
      </c>
      <c r="O6736" t="s">
        <v>23</v>
      </c>
      <c r="P6736" t="s">
        <v>24</v>
      </c>
      <c r="Q6736" t="s">
        <v>642</v>
      </c>
      <c r="R6736" t="s">
        <v>1214</v>
      </c>
    </row>
    <row r="6737" spans="1:18" x14ac:dyDescent="0.25">
      <c r="A6737" t="s">
        <v>14149</v>
      </c>
      <c r="B6737" t="s">
        <v>7491</v>
      </c>
      <c r="C6737" t="str">
        <f>HYPERLINK("https://nematode.unl.edu/mesogbend20.jpg")</f>
        <v>https://nematode.unl.edu/mesogbend20.jpg</v>
      </c>
      <c r="D6737" t="s">
        <v>43</v>
      </c>
      <c r="G6737" t="s">
        <v>44</v>
      </c>
      <c r="I6737" t="s">
        <v>19</v>
      </c>
      <c r="M6737" t="s">
        <v>1214</v>
      </c>
      <c r="N6737" t="s">
        <v>1214</v>
      </c>
      <c r="O6737" t="s">
        <v>23</v>
      </c>
      <c r="P6737" t="s">
        <v>24</v>
      </c>
      <c r="Q6737" t="s">
        <v>642</v>
      </c>
      <c r="R6737" t="s">
        <v>1214</v>
      </c>
    </row>
    <row r="6738" spans="1:18" x14ac:dyDescent="0.25">
      <c r="A6738" t="s">
        <v>14176</v>
      </c>
      <c r="B6738" t="s">
        <v>7492</v>
      </c>
      <c r="C6738" t="str">
        <f>HYPERLINK("https://nematode.unl.edu/mesogbend21.jpg")</f>
        <v>https://nematode.unl.edu/mesogbend21.jpg</v>
      </c>
      <c r="D6738" t="s">
        <v>43</v>
      </c>
      <c r="G6738" t="s">
        <v>7004</v>
      </c>
      <c r="I6738" t="s">
        <v>529</v>
      </c>
      <c r="J6738" t="s">
        <v>7479</v>
      </c>
      <c r="M6738" t="s">
        <v>1214</v>
      </c>
      <c r="N6738" t="s">
        <v>1214</v>
      </c>
      <c r="O6738" t="s">
        <v>23</v>
      </c>
      <c r="P6738" t="s">
        <v>24</v>
      </c>
      <c r="Q6738" t="s">
        <v>642</v>
      </c>
      <c r="R6738" t="s">
        <v>1214</v>
      </c>
    </row>
    <row r="6739" spans="1:18" x14ac:dyDescent="0.25">
      <c r="A6739" t="s">
        <v>14083</v>
      </c>
      <c r="B6739" t="s">
        <v>7493</v>
      </c>
      <c r="C6739" t="str">
        <f>HYPERLINK("https://nematode.unl.edu/mesogbend3.jpg")</f>
        <v>https://nematode.unl.edu/mesogbend3.jpg</v>
      </c>
      <c r="D6739" t="s">
        <v>16</v>
      </c>
      <c r="G6739" t="s">
        <v>34</v>
      </c>
      <c r="H6739" t="s">
        <v>18</v>
      </c>
      <c r="M6739" t="s">
        <v>1214</v>
      </c>
      <c r="N6739" t="s">
        <v>1214</v>
      </c>
      <c r="O6739" t="s">
        <v>23</v>
      </c>
      <c r="P6739" t="s">
        <v>24</v>
      </c>
      <c r="Q6739" t="s">
        <v>642</v>
      </c>
      <c r="R6739" t="s">
        <v>1214</v>
      </c>
    </row>
    <row r="6740" spans="1:18" x14ac:dyDescent="0.25">
      <c r="A6740" t="s">
        <v>14101</v>
      </c>
      <c r="B6740" t="s">
        <v>7494</v>
      </c>
      <c r="C6740" t="str">
        <f>HYPERLINK("https://nematode.unl.edu/mesogbend4.jpg")</f>
        <v>https://nematode.unl.edu/mesogbend4.jpg</v>
      </c>
      <c r="D6740" t="s">
        <v>16</v>
      </c>
      <c r="G6740" t="s">
        <v>4059</v>
      </c>
      <c r="H6740" t="s">
        <v>18</v>
      </c>
      <c r="I6740" t="s">
        <v>41</v>
      </c>
      <c r="J6740" t="s">
        <v>7479</v>
      </c>
      <c r="M6740" t="s">
        <v>1214</v>
      </c>
      <c r="N6740" t="s">
        <v>1214</v>
      </c>
      <c r="O6740" t="s">
        <v>23</v>
      </c>
      <c r="P6740" t="s">
        <v>24</v>
      </c>
      <c r="Q6740" t="s">
        <v>642</v>
      </c>
      <c r="R6740" t="s">
        <v>1214</v>
      </c>
    </row>
    <row r="6741" spans="1:18" x14ac:dyDescent="0.25">
      <c r="A6741" t="s">
        <v>14173</v>
      </c>
      <c r="B6741" t="s">
        <v>7495</v>
      </c>
      <c r="C6741" t="str">
        <f>HYPERLINK("https://nematode.unl.edu/mesogbend5.jpg")</f>
        <v>https://nematode.unl.edu/mesogbend5.jpg</v>
      </c>
      <c r="D6741" t="s">
        <v>16</v>
      </c>
      <c r="G6741" t="s">
        <v>224</v>
      </c>
      <c r="I6741" t="s">
        <v>41</v>
      </c>
      <c r="M6741" t="s">
        <v>1214</v>
      </c>
      <c r="N6741" t="s">
        <v>1214</v>
      </c>
      <c r="O6741" t="s">
        <v>23</v>
      </c>
      <c r="P6741" t="s">
        <v>24</v>
      </c>
      <c r="Q6741" t="s">
        <v>642</v>
      </c>
      <c r="R6741" t="s">
        <v>1214</v>
      </c>
    </row>
    <row r="6742" spans="1:18" x14ac:dyDescent="0.25">
      <c r="A6742" t="s">
        <v>14208</v>
      </c>
      <c r="B6742" t="s">
        <v>7496</v>
      </c>
      <c r="C6742" t="str">
        <f>HYPERLINK("https://nematode.unl.edu/mesogbend6.jpg")</f>
        <v>https://nematode.unl.edu/mesogbend6.jpg</v>
      </c>
      <c r="D6742" t="s">
        <v>16</v>
      </c>
      <c r="G6742" t="s">
        <v>28</v>
      </c>
      <c r="M6742" t="s">
        <v>1214</v>
      </c>
      <c r="N6742" t="s">
        <v>1214</v>
      </c>
      <c r="O6742" t="s">
        <v>23</v>
      </c>
      <c r="P6742" t="s">
        <v>24</v>
      </c>
      <c r="Q6742" t="s">
        <v>642</v>
      </c>
      <c r="R6742" t="s">
        <v>1214</v>
      </c>
    </row>
    <row r="6743" spans="1:18" x14ac:dyDescent="0.25">
      <c r="A6743" t="s">
        <v>14150</v>
      </c>
      <c r="B6743" t="s">
        <v>7497</v>
      </c>
      <c r="C6743" t="str">
        <f>HYPERLINK("https://nematode.unl.edu/mesogbend7.jpg")</f>
        <v>https://nematode.unl.edu/mesogbend7.jpg</v>
      </c>
      <c r="D6743" t="s">
        <v>43</v>
      </c>
      <c r="G6743" t="s">
        <v>44</v>
      </c>
      <c r="I6743" t="s">
        <v>19</v>
      </c>
      <c r="J6743" t="s">
        <v>7479</v>
      </c>
      <c r="M6743" t="s">
        <v>1214</v>
      </c>
      <c r="N6743" t="s">
        <v>1214</v>
      </c>
      <c r="O6743" t="s">
        <v>23</v>
      </c>
      <c r="P6743" t="s">
        <v>24</v>
      </c>
      <c r="Q6743" t="s">
        <v>642</v>
      </c>
      <c r="R6743" t="s">
        <v>1214</v>
      </c>
    </row>
    <row r="6744" spans="1:18" x14ac:dyDescent="0.25">
      <c r="A6744" t="s">
        <v>14084</v>
      </c>
      <c r="B6744" t="s">
        <v>7498</v>
      </c>
      <c r="C6744" t="str">
        <f>HYPERLINK("https://nematode.unl.edu/mesogbend8.jpg")</f>
        <v>https://nematode.unl.edu/mesogbend8.jpg</v>
      </c>
      <c r="D6744" t="s">
        <v>43</v>
      </c>
      <c r="G6744" t="s">
        <v>34</v>
      </c>
      <c r="H6744" t="s">
        <v>18</v>
      </c>
      <c r="I6744" t="s">
        <v>41</v>
      </c>
      <c r="M6744" t="s">
        <v>1214</v>
      </c>
      <c r="N6744" t="s">
        <v>1214</v>
      </c>
      <c r="O6744" t="s">
        <v>23</v>
      </c>
      <c r="P6744" t="s">
        <v>24</v>
      </c>
      <c r="Q6744" t="s">
        <v>642</v>
      </c>
      <c r="R6744" t="s">
        <v>1214</v>
      </c>
    </row>
    <row r="6745" spans="1:18" x14ac:dyDescent="0.25">
      <c r="A6745" t="s">
        <v>14085</v>
      </c>
      <c r="B6745" t="s">
        <v>7499</v>
      </c>
      <c r="C6745" t="str">
        <f>HYPERLINK("https://nematode.unl.edu/mesogbend9.jpg")</f>
        <v>https://nematode.unl.edu/mesogbend9.jpg</v>
      </c>
      <c r="D6745" t="s">
        <v>43</v>
      </c>
      <c r="G6745" t="s">
        <v>34</v>
      </c>
      <c r="H6745" t="s">
        <v>18</v>
      </c>
      <c r="M6745" t="s">
        <v>1214</v>
      </c>
      <c r="N6745" t="s">
        <v>1214</v>
      </c>
      <c r="O6745" t="s">
        <v>23</v>
      </c>
      <c r="P6745" t="s">
        <v>24</v>
      </c>
      <c r="Q6745" t="s">
        <v>642</v>
      </c>
      <c r="R6745" t="s">
        <v>1214</v>
      </c>
    </row>
    <row r="6746" spans="1:18" x14ac:dyDescent="0.25">
      <c r="A6746" t="s">
        <v>15021</v>
      </c>
      <c r="B6746" t="s">
        <v>8331</v>
      </c>
      <c r="C6746" t="str">
        <f>HYPERLINK("https://nematode.unl.edu/mesohaig1.jpg")</f>
        <v>https://nematode.unl.edu/mesohaig1.jpg</v>
      </c>
      <c r="D6746" t="s">
        <v>43</v>
      </c>
      <c r="G6746" t="s">
        <v>44</v>
      </c>
      <c r="I6746" t="s">
        <v>19</v>
      </c>
      <c r="J6746" t="s">
        <v>8332</v>
      </c>
      <c r="L6746" t="s">
        <v>1087</v>
      </c>
      <c r="M6746" t="s">
        <v>8333</v>
      </c>
      <c r="N6746" t="s">
        <v>8333</v>
      </c>
      <c r="O6746" t="s">
        <v>23</v>
      </c>
      <c r="P6746" t="s">
        <v>24</v>
      </c>
      <c r="Q6746" t="s">
        <v>642</v>
      </c>
      <c r="R6746" t="s">
        <v>1214</v>
      </c>
    </row>
    <row r="6747" spans="1:18" x14ac:dyDescent="0.25">
      <c r="A6747" t="s">
        <v>14985</v>
      </c>
      <c r="B6747" t="s">
        <v>8334</v>
      </c>
      <c r="C6747" t="str">
        <f>HYPERLINK("https://nematode.unl.edu/mesohaig10.jpg")</f>
        <v>https://nematode.unl.edu/mesohaig10.jpg</v>
      </c>
      <c r="D6747" t="s">
        <v>16</v>
      </c>
      <c r="G6747" t="s">
        <v>96</v>
      </c>
      <c r="H6747" t="s">
        <v>18</v>
      </c>
      <c r="M6747" t="s">
        <v>8333</v>
      </c>
      <c r="N6747" t="s">
        <v>8333</v>
      </c>
      <c r="O6747" t="s">
        <v>23</v>
      </c>
      <c r="P6747" t="s">
        <v>24</v>
      </c>
      <c r="Q6747" t="s">
        <v>642</v>
      </c>
      <c r="R6747" t="s">
        <v>1214</v>
      </c>
    </row>
    <row r="6748" spans="1:18" x14ac:dyDescent="0.25">
      <c r="A6748" t="s">
        <v>15022</v>
      </c>
      <c r="B6748" t="s">
        <v>8335</v>
      </c>
      <c r="C6748" t="str">
        <f>HYPERLINK("https://nematode.unl.edu/mesohaig11.jpg")</f>
        <v>https://nematode.unl.edu/mesohaig11.jpg</v>
      </c>
      <c r="D6748" t="s">
        <v>43</v>
      </c>
      <c r="G6748" t="s">
        <v>44</v>
      </c>
      <c r="I6748" t="s">
        <v>516</v>
      </c>
      <c r="J6748" t="s">
        <v>8332</v>
      </c>
      <c r="L6748" t="s">
        <v>1087</v>
      </c>
      <c r="M6748" t="s">
        <v>8333</v>
      </c>
      <c r="N6748" t="s">
        <v>8333</v>
      </c>
      <c r="O6748" t="s">
        <v>23</v>
      </c>
      <c r="P6748" t="s">
        <v>24</v>
      </c>
      <c r="Q6748" t="s">
        <v>642</v>
      </c>
      <c r="R6748" t="s">
        <v>1214</v>
      </c>
    </row>
    <row r="6749" spans="1:18" x14ac:dyDescent="0.25">
      <c r="A6749" t="s">
        <v>14993</v>
      </c>
      <c r="B6749" t="s">
        <v>8336</v>
      </c>
      <c r="C6749" t="str">
        <f>HYPERLINK("https://nematode.unl.edu/mesohaig12.jpg")</f>
        <v>https://nematode.unl.edu/mesohaig12.jpg</v>
      </c>
      <c r="D6749" t="s">
        <v>43</v>
      </c>
      <c r="G6749" t="s">
        <v>34</v>
      </c>
      <c r="H6749" t="s">
        <v>18</v>
      </c>
      <c r="M6749" t="s">
        <v>8333</v>
      </c>
      <c r="N6749" t="s">
        <v>8333</v>
      </c>
      <c r="O6749" t="s">
        <v>23</v>
      </c>
      <c r="P6749" t="s">
        <v>24</v>
      </c>
      <c r="Q6749" t="s">
        <v>642</v>
      </c>
      <c r="R6749" t="s">
        <v>1214</v>
      </c>
    </row>
    <row r="6750" spans="1:18" x14ac:dyDescent="0.25">
      <c r="A6750" t="s">
        <v>15053</v>
      </c>
      <c r="B6750" t="s">
        <v>8337</v>
      </c>
      <c r="C6750" t="str">
        <f>HYPERLINK("https://nematode.unl.edu/mesohaig13.jpg")</f>
        <v>https://nematode.unl.edu/mesohaig13.jpg</v>
      </c>
      <c r="D6750" t="s">
        <v>43</v>
      </c>
      <c r="G6750" t="s">
        <v>28</v>
      </c>
      <c r="I6750" t="s">
        <v>41</v>
      </c>
      <c r="M6750" t="s">
        <v>8333</v>
      </c>
      <c r="N6750" t="s">
        <v>8333</v>
      </c>
      <c r="O6750" t="s">
        <v>23</v>
      </c>
      <c r="P6750" t="s">
        <v>24</v>
      </c>
      <c r="Q6750" t="s">
        <v>642</v>
      </c>
      <c r="R6750" t="s">
        <v>1214</v>
      </c>
    </row>
    <row r="6751" spans="1:18" x14ac:dyDescent="0.25">
      <c r="A6751" t="s">
        <v>15019</v>
      </c>
      <c r="B6751" t="s">
        <v>8338</v>
      </c>
      <c r="C6751" t="str">
        <f>HYPERLINK("https://nematode.unl.edu/mesohaig14.jpg")</f>
        <v>https://nematode.unl.edu/mesohaig14.jpg</v>
      </c>
      <c r="D6751" t="s">
        <v>43</v>
      </c>
      <c r="G6751" t="s">
        <v>1258</v>
      </c>
      <c r="I6751" t="s">
        <v>41</v>
      </c>
      <c r="J6751" t="s">
        <v>8332</v>
      </c>
      <c r="L6751" t="s">
        <v>1087</v>
      </c>
      <c r="M6751" t="s">
        <v>8333</v>
      </c>
      <c r="N6751" t="s">
        <v>8333</v>
      </c>
      <c r="O6751" t="s">
        <v>23</v>
      </c>
      <c r="P6751" t="s">
        <v>24</v>
      </c>
      <c r="Q6751" t="s">
        <v>642</v>
      </c>
      <c r="R6751" t="s">
        <v>1214</v>
      </c>
    </row>
    <row r="6752" spans="1:18" x14ac:dyDescent="0.25">
      <c r="A6752" t="s">
        <v>15054</v>
      </c>
      <c r="B6752" t="s">
        <v>8339</v>
      </c>
      <c r="C6752" t="str">
        <f>HYPERLINK("https://nematode.unl.edu/mesohaig15.jpg")</f>
        <v>https://nematode.unl.edu/mesohaig15.jpg</v>
      </c>
      <c r="D6752" t="s">
        <v>43</v>
      </c>
      <c r="G6752" t="s">
        <v>28</v>
      </c>
      <c r="I6752" t="s">
        <v>41</v>
      </c>
      <c r="M6752" t="s">
        <v>8333</v>
      </c>
      <c r="N6752" t="s">
        <v>8333</v>
      </c>
      <c r="O6752" t="s">
        <v>23</v>
      </c>
      <c r="P6752" t="s">
        <v>24</v>
      </c>
      <c r="Q6752" t="s">
        <v>642</v>
      </c>
      <c r="R6752" t="s">
        <v>1214</v>
      </c>
    </row>
    <row r="6753" spans="1:18" x14ac:dyDescent="0.25">
      <c r="A6753" t="s">
        <v>15023</v>
      </c>
      <c r="B6753" t="s">
        <v>8340</v>
      </c>
      <c r="C6753" t="str">
        <f>HYPERLINK("https://nematode.unl.edu/mesohaig16.jpg")</f>
        <v>https://nematode.unl.edu/mesohaig16.jpg</v>
      </c>
      <c r="D6753" t="s">
        <v>16</v>
      </c>
      <c r="G6753" t="s">
        <v>44</v>
      </c>
      <c r="I6753" t="s">
        <v>19</v>
      </c>
      <c r="J6753" t="s">
        <v>8332</v>
      </c>
      <c r="L6753" t="s">
        <v>1087</v>
      </c>
      <c r="M6753" t="s">
        <v>8333</v>
      </c>
      <c r="N6753" t="s">
        <v>8333</v>
      </c>
      <c r="O6753" t="s">
        <v>23</v>
      </c>
      <c r="P6753" t="s">
        <v>24</v>
      </c>
      <c r="Q6753" t="s">
        <v>642</v>
      </c>
      <c r="R6753" t="s">
        <v>1214</v>
      </c>
    </row>
    <row r="6754" spans="1:18" x14ac:dyDescent="0.25">
      <c r="A6754" t="s">
        <v>14994</v>
      </c>
      <c r="B6754" t="s">
        <v>8341</v>
      </c>
      <c r="C6754" t="str">
        <f>HYPERLINK("https://nematode.unl.edu/mesohaig17.jpg")</f>
        <v>https://nematode.unl.edu/mesohaig17.jpg</v>
      </c>
      <c r="D6754" t="s">
        <v>16</v>
      </c>
      <c r="G6754" t="s">
        <v>34</v>
      </c>
      <c r="H6754" t="s">
        <v>18</v>
      </c>
      <c r="M6754" t="s">
        <v>8333</v>
      </c>
      <c r="N6754" t="s">
        <v>8333</v>
      </c>
      <c r="O6754" t="s">
        <v>23</v>
      </c>
      <c r="P6754" t="s">
        <v>24</v>
      </c>
      <c r="Q6754" t="s">
        <v>642</v>
      </c>
      <c r="R6754" t="s">
        <v>1214</v>
      </c>
    </row>
    <row r="6755" spans="1:18" x14ac:dyDescent="0.25">
      <c r="A6755" t="s">
        <v>15024</v>
      </c>
      <c r="B6755" t="s">
        <v>8342</v>
      </c>
      <c r="C6755" t="str">
        <f>HYPERLINK("https://nematode.unl.edu/mesohaig18.jpg")</f>
        <v>https://nematode.unl.edu/mesohaig18.jpg</v>
      </c>
      <c r="D6755" t="s">
        <v>16</v>
      </c>
      <c r="G6755" t="s">
        <v>44</v>
      </c>
      <c r="I6755" t="s">
        <v>41</v>
      </c>
      <c r="M6755" t="s">
        <v>8333</v>
      </c>
      <c r="N6755" t="s">
        <v>8333</v>
      </c>
      <c r="O6755" t="s">
        <v>23</v>
      </c>
      <c r="P6755" t="s">
        <v>24</v>
      </c>
      <c r="Q6755" t="s">
        <v>642</v>
      </c>
      <c r="R6755" t="s">
        <v>1214</v>
      </c>
    </row>
    <row r="6756" spans="1:18" x14ac:dyDescent="0.25">
      <c r="A6756" t="s">
        <v>15055</v>
      </c>
      <c r="B6756" t="s">
        <v>8343</v>
      </c>
      <c r="C6756" t="str">
        <f>HYPERLINK("https://nematode.unl.edu/mesohaig19.jpg")</f>
        <v>https://nematode.unl.edu/mesohaig19.jpg</v>
      </c>
      <c r="D6756" t="s">
        <v>16</v>
      </c>
      <c r="G6756" t="s">
        <v>28</v>
      </c>
      <c r="I6756" t="s">
        <v>41</v>
      </c>
      <c r="M6756" t="s">
        <v>8333</v>
      </c>
      <c r="N6756" t="s">
        <v>8333</v>
      </c>
      <c r="O6756" t="s">
        <v>23</v>
      </c>
      <c r="P6756" t="s">
        <v>24</v>
      </c>
      <c r="Q6756" t="s">
        <v>642</v>
      </c>
      <c r="R6756" t="s">
        <v>1214</v>
      </c>
    </row>
    <row r="6757" spans="1:18" x14ac:dyDescent="0.25">
      <c r="A6757" t="s">
        <v>14995</v>
      </c>
      <c r="B6757" t="s">
        <v>8344</v>
      </c>
      <c r="C6757" t="str">
        <f>HYPERLINK("https://nematode.unl.edu/mesohaig2.jpg")</f>
        <v>https://nematode.unl.edu/mesohaig2.jpg</v>
      </c>
      <c r="D6757" t="s">
        <v>43</v>
      </c>
      <c r="G6757" t="s">
        <v>34</v>
      </c>
      <c r="H6757" t="s">
        <v>18</v>
      </c>
      <c r="I6757" t="s">
        <v>41</v>
      </c>
      <c r="M6757" t="s">
        <v>8333</v>
      </c>
      <c r="N6757" t="s">
        <v>8333</v>
      </c>
      <c r="O6757" t="s">
        <v>23</v>
      </c>
      <c r="P6757" t="s">
        <v>24</v>
      </c>
      <c r="Q6757" t="s">
        <v>642</v>
      </c>
      <c r="R6757" t="s">
        <v>1214</v>
      </c>
    </row>
    <row r="6758" spans="1:18" x14ac:dyDescent="0.25">
      <c r="A6758" t="s">
        <v>15025</v>
      </c>
      <c r="B6758" t="s">
        <v>8345</v>
      </c>
      <c r="C6758" t="str">
        <f>HYPERLINK("https://nematode.unl.edu/mesohaig20.jpg")</f>
        <v>https://nematode.unl.edu/mesohaig20.jpg</v>
      </c>
      <c r="D6758" t="s">
        <v>43</v>
      </c>
      <c r="G6758" t="s">
        <v>44</v>
      </c>
      <c r="I6758" t="s">
        <v>19</v>
      </c>
      <c r="J6758" t="s">
        <v>8332</v>
      </c>
      <c r="L6758" t="s">
        <v>1087</v>
      </c>
      <c r="M6758" t="s">
        <v>8333</v>
      </c>
      <c r="N6758" t="s">
        <v>8333</v>
      </c>
      <c r="O6758" t="s">
        <v>23</v>
      </c>
      <c r="P6758" t="s">
        <v>24</v>
      </c>
      <c r="Q6758" t="s">
        <v>642</v>
      </c>
      <c r="R6758" t="s">
        <v>1214</v>
      </c>
    </row>
    <row r="6759" spans="1:18" x14ac:dyDescent="0.25">
      <c r="A6759" t="s">
        <v>14996</v>
      </c>
      <c r="B6759" t="s">
        <v>8346</v>
      </c>
      <c r="C6759" t="str">
        <f>HYPERLINK("https://nematode.unl.edu/mesohaig21.jpg")</f>
        <v>https://nematode.unl.edu/mesohaig21.jpg</v>
      </c>
      <c r="D6759" t="s">
        <v>43</v>
      </c>
      <c r="G6759" t="s">
        <v>34</v>
      </c>
      <c r="H6759" t="s">
        <v>18</v>
      </c>
      <c r="I6759" t="s">
        <v>41</v>
      </c>
      <c r="M6759" t="s">
        <v>8333</v>
      </c>
      <c r="N6759" t="s">
        <v>8333</v>
      </c>
      <c r="O6759" t="s">
        <v>23</v>
      </c>
      <c r="P6759" t="s">
        <v>24</v>
      </c>
      <c r="Q6759" t="s">
        <v>642</v>
      </c>
      <c r="R6759" t="s">
        <v>1214</v>
      </c>
    </row>
    <row r="6760" spans="1:18" x14ac:dyDescent="0.25">
      <c r="A6760" t="s">
        <v>15026</v>
      </c>
      <c r="B6760" t="s">
        <v>8347</v>
      </c>
      <c r="C6760" t="str">
        <f>HYPERLINK("https://nematode.unl.edu/mesohaig22.jpg")</f>
        <v>https://nematode.unl.edu/mesohaig22.jpg</v>
      </c>
      <c r="D6760" t="s">
        <v>43</v>
      </c>
      <c r="G6760" t="s">
        <v>44</v>
      </c>
      <c r="I6760" t="s">
        <v>41</v>
      </c>
      <c r="M6760" t="s">
        <v>8333</v>
      </c>
      <c r="N6760" t="s">
        <v>8333</v>
      </c>
      <c r="O6760" t="s">
        <v>23</v>
      </c>
      <c r="P6760" t="s">
        <v>24</v>
      </c>
      <c r="Q6760" t="s">
        <v>642</v>
      </c>
      <c r="R6760" t="s">
        <v>1214</v>
      </c>
    </row>
    <row r="6761" spans="1:18" x14ac:dyDescent="0.25">
      <c r="A6761" t="s">
        <v>15056</v>
      </c>
      <c r="B6761" t="s">
        <v>8348</v>
      </c>
      <c r="C6761" t="str">
        <f>HYPERLINK("https://nematode.unl.edu/mesohaig23.jpg")</f>
        <v>https://nematode.unl.edu/mesohaig23.jpg</v>
      </c>
      <c r="D6761" t="s">
        <v>43</v>
      </c>
      <c r="G6761" t="s">
        <v>28</v>
      </c>
      <c r="I6761" t="s">
        <v>41</v>
      </c>
      <c r="M6761" t="s">
        <v>8333</v>
      </c>
      <c r="N6761" t="s">
        <v>8333</v>
      </c>
      <c r="O6761" t="s">
        <v>23</v>
      </c>
      <c r="P6761" t="s">
        <v>24</v>
      </c>
      <c r="Q6761" t="s">
        <v>642</v>
      </c>
      <c r="R6761" t="s">
        <v>1214</v>
      </c>
    </row>
    <row r="6762" spans="1:18" x14ac:dyDescent="0.25">
      <c r="A6762" t="s">
        <v>15057</v>
      </c>
      <c r="B6762" t="s">
        <v>8349</v>
      </c>
      <c r="C6762" t="str">
        <f>HYPERLINK("https://nematode.unl.edu/mesohaig24.jpg")</f>
        <v>https://nematode.unl.edu/mesohaig24.jpg</v>
      </c>
      <c r="D6762" t="s">
        <v>43</v>
      </c>
      <c r="G6762" t="s">
        <v>28</v>
      </c>
      <c r="I6762" t="s">
        <v>41</v>
      </c>
      <c r="M6762" t="s">
        <v>8333</v>
      </c>
      <c r="N6762" t="s">
        <v>8333</v>
      </c>
      <c r="O6762" t="s">
        <v>23</v>
      </c>
      <c r="P6762" t="s">
        <v>24</v>
      </c>
      <c r="Q6762" t="s">
        <v>642</v>
      </c>
      <c r="R6762" t="s">
        <v>1214</v>
      </c>
    </row>
    <row r="6763" spans="1:18" x14ac:dyDescent="0.25">
      <c r="A6763" t="s">
        <v>15027</v>
      </c>
      <c r="B6763" t="s">
        <v>8350</v>
      </c>
      <c r="C6763" t="str">
        <f>HYPERLINK("https://nematode.unl.edu/mesohaig25.jpg")</f>
        <v>https://nematode.unl.edu/mesohaig25.jpg</v>
      </c>
      <c r="D6763" t="s">
        <v>43</v>
      </c>
      <c r="G6763" t="s">
        <v>44</v>
      </c>
      <c r="I6763" t="s">
        <v>19</v>
      </c>
      <c r="J6763" t="s">
        <v>8332</v>
      </c>
      <c r="L6763" t="s">
        <v>1087</v>
      </c>
      <c r="M6763" t="s">
        <v>8333</v>
      </c>
      <c r="N6763" t="s">
        <v>8333</v>
      </c>
      <c r="O6763" t="s">
        <v>23</v>
      </c>
      <c r="P6763" t="s">
        <v>24</v>
      </c>
      <c r="Q6763" t="s">
        <v>642</v>
      </c>
      <c r="R6763" t="s">
        <v>1214</v>
      </c>
    </row>
    <row r="6764" spans="1:18" x14ac:dyDescent="0.25">
      <c r="A6764" t="s">
        <v>14997</v>
      </c>
      <c r="B6764" t="s">
        <v>8351</v>
      </c>
      <c r="C6764" t="str">
        <f>HYPERLINK("https://nematode.unl.edu/mesohaig26.jpg")</f>
        <v>https://nematode.unl.edu/mesohaig26.jpg</v>
      </c>
      <c r="D6764" t="s">
        <v>43</v>
      </c>
      <c r="G6764" t="s">
        <v>34</v>
      </c>
      <c r="H6764" t="s">
        <v>18</v>
      </c>
      <c r="I6764" t="s">
        <v>41</v>
      </c>
      <c r="M6764" t="s">
        <v>8333</v>
      </c>
      <c r="N6764" t="s">
        <v>8333</v>
      </c>
      <c r="O6764" t="s">
        <v>23</v>
      </c>
      <c r="P6764" t="s">
        <v>24</v>
      </c>
      <c r="Q6764" t="s">
        <v>642</v>
      </c>
      <c r="R6764" t="s">
        <v>1214</v>
      </c>
    </row>
    <row r="6765" spans="1:18" x14ac:dyDescent="0.25">
      <c r="A6765" t="s">
        <v>14998</v>
      </c>
      <c r="B6765" t="s">
        <v>8352</v>
      </c>
      <c r="C6765" t="str">
        <f>HYPERLINK("https://nematode.unl.edu/mesohaig27.jpg")</f>
        <v>https://nematode.unl.edu/mesohaig27.jpg</v>
      </c>
      <c r="D6765" t="s">
        <v>43</v>
      </c>
      <c r="G6765" t="s">
        <v>34</v>
      </c>
      <c r="H6765" t="s">
        <v>18</v>
      </c>
      <c r="I6765" t="s">
        <v>41</v>
      </c>
      <c r="M6765" t="s">
        <v>8333</v>
      </c>
      <c r="N6765" t="s">
        <v>8333</v>
      </c>
      <c r="O6765" t="s">
        <v>23</v>
      </c>
      <c r="P6765" t="s">
        <v>24</v>
      </c>
      <c r="Q6765" t="s">
        <v>642</v>
      </c>
      <c r="R6765" t="s">
        <v>1214</v>
      </c>
    </row>
    <row r="6766" spans="1:18" x14ac:dyDescent="0.25">
      <c r="A6766" t="s">
        <v>15028</v>
      </c>
      <c r="B6766" t="s">
        <v>8353</v>
      </c>
      <c r="C6766" t="str">
        <f>HYPERLINK("https://nematode.unl.edu/mesohaig28.jpg")</f>
        <v>https://nematode.unl.edu/mesohaig28.jpg</v>
      </c>
      <c r="D6766" t="s">
        <v>43</v>
      </c>
      <c r="G6766" t="s">
        <v>44</v>
      </c>
      <c r="I6766" t="s">
        <v>41</v>
      </c>
      <c r="M6766" t="s">
        <v>8333</v>
      </c>
      <c r="N6766" t="s">
        <v>8333</v>
      </c>
      <c r="O6766" t="s">
        <v>23</v>
      </c>
      <c r="P6766" t="s">
        <v>24</v>
      </c>
      <c r="Q6766" t="s">
        <v>642</v>
      </c>
      <c r="R6766" t="s">
        <v>1214</v>
      </c>
    </row>
    <row r="6767" spans="1:18" x14ac:dyDescent="0.25">
      <c r="A6767" t="s">
        <v>15058</v>
      </c>
      <c r="B6767" t="s">
        <v>8354</v>
      </c>
      <c r="C6767" t="str">
        <f>HYPERLINK("https://nematode.unl.edu/mesohaig29.jpg")</f>
        <v>https://nematode.unl.edu/mesohaig29.jpg</v>
      </c>
      <c r="D6767" t="s">
        <v>43</v>
      </c>
      <c r="G6767" t="s">
        <v>28</v>
      </c>
      <c r="I6767" t="s">
        <v>41</v>
      </c>
      <c r="M6767" t="s">
        <v>8333</v>
      </c>
      <c r="N6767" t="s">
        <v>8333</v>
      </c>
      <c r="O6767" t="s">
        <v>23</v>
      </c>
      <c r="P6767" t="s">
        <v>24</v>
      </c>
      <c r="Q6767" t="s">
        <v>642</v>
      </c>
      <c r="R6767" t="s">
        <v>1214</v>
      </c>
    </row>
    <row r="6768" spans="1:18" x14ac:dyDescent="0.25">
      <c r="A6768" t="s">
        <v>15059</v>
      </c>
      <c r="B6768" t="s">
        <v>8355</v>
      </c>
      <c r="C6768" t="str">
        <f>HYPERLINK("https://nematode.unl.edu/mesohaig3.jpg")</f>
        <v>https://nematode.unl.edu/mesohaig3.jpg</v>
      </c>
      <c r="D6768" t="s">
        <v>43</v>
      </c>
      <c r="G6768" t="s">
        <v>28</v>
      </c>
      <c r="I6768" t="s">
        <v>41</v>
      </c>
      <c r="M6768" t="s">
        <v>8333</v>
      </c>
      <c r="N6768" t="s">
        <v>8333</v>
      </c>
      <c r="O6768" t="s">
        <v>23</v>
      </c>
      <c r="P6768" t="s">
        <v>24</v>
      </c>
      <c r="Q6768" t="s">
        <v>642</v>
      </c>
      <c r="R6768" t="s">
        <v>1214</v>
      </c>
    </row>
    <row r="6769" spans="1:18" x14ac:dyDescent="0.25">
      <c r="A6769" t="s">
        <v>15077</v>
      </c>
      <c r="B6769" t="s">
        <v>8356</v>
      </c>
      <c r="C6769" t="str">
        <f>HYPERLINK("https://nematode.unl.edu/mesohaig4.jpg")</f>
        <v>https://nematode.unl.edu/mesohaig4.jpg</v>
      </c>
      <c r="D6769" t="s">
        <v>43</v>
      </c>
      <c r="G6769" t="s">
        <v>51</v>
      </c>
      <c r="I6769" t="s">
        <v>41</v>
      </c>
      <c r="M6769" t="s">
        <v>8333</v>
      </c>
      <c r="N6769" t="s">
        <v>8333</v>
      </c>
      <c r="O6769" t="s">
        <v>23</v>
      </c>
      <c r="P6769" t="s">
        <v>24</v>
      </c>
      <c r="Q6769" t="s">
        <v>642</v>
      </c>
      <c r="R6769" t="s">
        <v>1214</v>
      </c>
    </row>
    <row r="6770" spans="1:18" x14ac:dyDescent="0.25">
      <c r="A6770" t="s">
        <v>15029</v>
      </c>
      <c r="B6770" t="s">
        <v>8357</v>
      </c>
      <c r="C6770" t="str">
        <f>HYPERLINK("https://nematode.unl.edu/mesohaig5.jpg")</f>
        <v>https://nematode.unl.edu/mesohaig5.jpg</v>
      </c>
      <c r="D6770" t="s">
        <v>16</v>
      </c>
      <c r="G6770" t="s">
        <v>44</v>
      </c>
      <c r="I6770" t="s">
        <v>19</v>
      </c>
      <c r="J6770" t="s">
        <v>8332</v>
      </c>
      <c r="L6770" t="s">
        <v>1087</v>
      </c>
      <c r="M6770" t="s">
        <v>8333</v>
      </c>
      <c r="N6770" t="s">
        <v>8333</v>
      </c>
      <c r="O6770" t="s">
        <v>23</v>
      </c>
      <c r="P6770" t="s">
        <v>24</v>
      </c>
      <c r="Q6770" t="s">
        <v>642</v>
      </c>
      <c r="R6770" t="s">
        <v>1214</v>
      </c>
    </row>
    <row r="6771" spans="1:18" x14ac:dyDescent="0.25">
      <c r="A6771" t="s">
        <v>14999</v>
      </c>
      <c r="B6771" t="s">
        <v>8358</v>
      </c>
      <c r="C6771" t="str">
        <f>HYPERLINK("https://nematode.unl.edu/mesohaig6.jpg")</f>
        <v>https://nematode.unl.edu/mesohaig6.jpg</v>
      </c>
      <c r="D6771" t="s">
        <v>16</v>
      </c>
      <c r="G6771" t="s">
        <v>34</v>
      </c>
      <c r="H6771" t="s">
        <v>18</v>
      </c>
      <c r="I6771" t="s">
        <v>41</v>
      </c>
      <c r="M6771" t="s">
        <v>8333</v>
      </c>
      <c r="N6771" t="s">
        <v>8333</v>
      </c>
      <c r="O6771" t="s">
        <v>23</v>
      </c>
      <c r="P6771" t="s">
        <v>24</v>
      </c>
      <c r="Q6771" t="s">
        <v>642</v>
      </c>
      <c r="R6771" t="s">
        <v>1214</v>
      </c>
    </row>
    <row r="6772" spans="1:18" x14ac:dyDescent="0.25">
      <c r="A6772" t="s">
        <v>15060</v>
      </c>
      <c r="B6772" t="s">
        <v>8359</v>
      </c>
      <c r="C6772" t="str">
        <f>HYPERLINK("https://nematode.unl.edu/mesohaig7.jpg")</f>
        <v>https://nematode.unl.edu/mesohaig7.jpg</v>
      </c>
      <c r="D6772" t="s">
        <v>16</v>
      </c>
      <c r="G6772" t="s">
        <v>28</v>
      </c>
      <c r="I6772" t="s">
        <v>41</v>
      </c>
      <c r="M6772" t="s">
        <v>8333</v>
      </c>
      <c r="N6772" t="s">
        <v>8333</v>
      </c>
      <c r="O6772" t="s">
        <v>23</v>
      </c>
      <c r="P6772" t="s">
        <v>24</v>
      </c>
      <c r="Q6772" t="s">
        <v>642</v>
      </c>
      <c r="R6772" t="s">
        <v>1214</v>
      </c>
    </row>
    <row r="6773" spans="1:18" x14ac:dyDescent="0.25">
      <c r="A6773" t="s">
        <v>15030</v>
      </c>
      <c r="B6773" t="s">
        <v>8360</v>
      </c>
      <c r="C6773" t="str">
        <f>HYPERLINK("https://nematode.unl.edu/mesohaig8.jpg")</f>
        <v>https://nematode.unl.edu/mesohaig8.jpg</v>
      </c>
      <c r="D6773" t="s">
        <v>16</v>
      </c>
      <c r="G6773" t="s">
        <v>44</v>
      </c>
      <c r="I6773" t="s">
        <v>41</v>
      </c>
      <c r="M6773" t="s">
        <v>8333</v>
      </c>
      <c r="N6773" t="s">
        <v>8333</v>
      </c>
      <c r="O6773" t="s">
        <v>23</v>
      </c>
      <c r="P6773" t="s">
        <v>24</v>
      </c>
      <c r="Q6773" t="s">
        <v>642</v>
      </c>
      <c r="R6773" t="s">
        <v>1214</v>
      </c>
    </row>
    <row r="6774" spans="1:18" x14ac:dyDescent="0.25">
      <c r="A6774" t="s">
        <v>15050</v>
      </c>
      <c r="B6774" t="s">
        <v>8361</v>
      </c>
      <c r="C6774" t="str">
        <f>HYPERLINK("https://nematode.unl.edu/mesohaig9.jpg")</f>
        <v>https://nematode.unl.edu/mesohaig9.jpg</v>
      </c>
      <c r="D6774" t="s">
        <v>16</v>
      </c>
      <c r="G6774" t="s">
        <v>7004</v>
      </c>
      <c r="I6774" t="s">
        <v>529</v>
      </c>
      <c r="J6774" t="s">
        <v>8332</v>
      </c>
      <c r="L6774" t="s">
        <v>1087</v>
      </c>
      <c r="M6774" t="s">
        <v>8333</v>
      </c>
      <c r="N6774" t="s">
        <v>8333</v>
      </c>
      <c r="O6774" t="s">
        <v>23</v>
      </c>
      <c r="P6774" t="s">
        <v>24</v>
      </c>
      <c r="Q6774" t="s">
        <v>642</v>
      </c>
      <c r="R6774" t="s">
        <v>1214</v>
      </c>
    </row>
    <row r="6775" spans="1:18" x14ac:dyDescent="0.25">
      <c r="A6775" t="s">
        <v>19926</v>
      </c>
      <c r="B6775" t="s">
        <v>8819</v>
      </c>
      <c r="C6775" t="str">
        <f>HYPERLINK("https://nematode.unl.edu/mesolit1.jpg")</f>
        <v>https://nematode.unl.edu/mesolit1.jpg</v>
      </c>
      <c r="D6775" t="s">
        <v>43</v>
      </c>
      <c r="G6775" t="s">
        <v>51</v>
      </c>
      <c r="J6775" t="s">
        <v>127</v>
      </c>
      <c r="L6775" t="s">
        <v>131</v>
      </c>
      <c r="M6775" t="s">
        <v>8820</v>
      </c>
      <c r="N6775" t="s">
        <v>8820</v>
      </c>
      <c r="O6775" t="s">
        <v>73</v>
      </c>
      <c r="P6775" t="s">
        <v>81</v>
      </c>
      <c r="Q6775" t="s">
        <v>489</v>
      </c>
      <c r="R6775" t="s">
        <v>8805</v>
      </c>
    </row>
    <row r="6776" spans="1:18" x14ac:dyDescent="0.25">
      <c r="A6776" t="s">
        <v>19923</v>
      </c>
      <c r="B6776" t="s">
        <v>8821</v>
      </c>
      <c r="C6776" t="str">
        <f>HYPERLINK("https://nematode.unl.edu/mesolit2.jpg")</f>
        <v>https://nematode.unl.edu/mesolit2.jpg</v>
      </c>
      <c r="D6776" t="s">
        <v>43</v>
      </c>
      <c r="G6776" t="s">
        <v>28</v>
      </c>
      <c r="I6776" t="s">
        <v>137</v>
      </c>
      <c r="J6776" t="s">
        <v>127</v>
      </c>
      <c r="M6776" t="s">
        <v>8820</v>
      </c>
      <c r="N6776" t="s">
        <v>8820</v>
      </c>
      <c r="O6776" t="s">
        <v>73</v>
      </c>
      <c r="P6776" t="s">
        <v>81</v>
      </c>
      <c r="Q6776" t="s">
        <v>489</v>
      </c>
      <c r="R6776" t="s">
        <v>8805</v>
      </c>
    </row>
    <row r="6777" spans="1:18" x14ac:dyDescent="0.25">
      <c r="A6777" t="s">
        <v>19919</v>
      </c>
      <c r="B6777" t="s">
        <v>8822</v>
      </c>
      <c r="C6777" t="str">
        <f>HYPERLINK("https://nematode.unl.edu/mesolit3.jpg")</f>
        <v>https://nematode.unl.edu/mesolit3.jpg</v>
      </c>
      <c r="D6777" t="s">
        <v>43</v>
      </c>
      <c r="G6777" t="s">
        <v>34</v>
      </c>
      <c r="H6777" t="s">
        <v>18</v>
      </c>
      <c r="I6777" t="s">
        <v>19</v>
      </c>
      <c r="J6777" t="s">
        <v>127</v>
      </c>
      <c r="L6777" t="s">
        <v>131</v>
      </c>
      <c r="M6777" t="s">
        <v>8820</v>
      </c>
      <c r="N6777" t="s">
        <v>8820</v>
      </c>
      <c r="O6777" t="s">
        <v>73</v>
      </c>
      <c r="P6777" t="s">
        <v>81</v>
      </c>
      <c r="Q6777" t="s">
        <v>489</v>
      </c>
      <c r="R6777" t="s">
        <v>8805</v>
      </c>
    </row>
    <row r="6778" spans="1:18" x14ac:dyDescent="0.25">
      <c r="A6778" t="s">
        <v>19921</v>
      </c>
      <c r="B6778" t="s">
        <v>8823</v>
      </c>
      <c r="C6778" t="str">
        <f>HYPERLINK("https://nematode.unl.edu/mesolit4.jpg")</f>
        <v>https://nematode.unl.edu/mesolit4.jpg</v>
      </c>
      <c r="D6778" t="s">
        <v>43</v>
      </c>
      <c r="G6778" t="s">
        <v>87</v>
      </c>
      <c r="I6778" t="s">
        <v>19</v>
      </c>
      <c r="J6778" t="s">
        <v>127</v>
      </c>
      <c r="L6778" t="s">
        <v>131</v>
      </c>
      <c r="M6778" t="s">
        <v>8820</v>
      </c>
      <c r="N6778" t="s">
        <v>8820</v>
      </c>
      <c r="O6778" t="s">
        <v>73</v>
      </c>
      <c r="P6778" t="s">
        <v>81</v>
      </c>
      <c r="Q6778" t="s">
        <v>489</v>
      </c>
      <c r="R6778" t="s">
        <v>8805</v>
      </c>
    </row>
    <row r="6779" spans="1:18" x14ac:dyDescent="0.25">
      <c r="A6779" t="s">
        <v>19927</v>
      </c>
      <c r="B6779" t="s">
        <v>8824</v>
      </c>
      <c r="C6779" t="str">
        <f>HYPERLINK("https://nematode.unl.edu/mesolit5.jpg")</f>
        <v>https://nematode.unl.edu/mesolit5.jpg</v>
      </c>
      <c r="D6779" t="s">
        <v>43</v>
      </c>
      <c r="G6779" t="s">
        <v>51</v>
      </c>
      <c r="J6779" t="s">
        <v>127</v>
      </c>
      <c r="M6779" t="s">
        <v>8820</v>
      </c>
      <c r="N6779" t="s">
        <v>8820</v>
      </c>
      <c r="O6779" t="s">
        <v>73</v>
      </c>
      <c r="P6779" t="s">
        <v>81</v>
      </c>
      <c r="Q6779" t="s">
        <v>489</v>
      </c>
      <c r="R6779" t="s">
        <v>8805</v>
      </c>
    </row>
    <row r="6780" spans="1:18" x14ac:dyDescent="0.25">
      <c r="A6780" t="s">
        <v>19924</v>
      </c>
      <c r="B6780" t="s">
        <v>8825</v>
      </c>
      <c r="C6780" t="str">
        <f>HYPERLINK("https://nematode.unl.edu/mesolit6.jpg")</f>
        <v>https://nematode.unl.edu/mesolit6.jpg</v>
      </c>
      <c r="D6780" t="s">
        <v>43</v>
      </c>
      <c r="G6780" t="s">
        <v>28</v>
      </c>
      <c r="J6780" t="s">
        <v>127</v>
      </c>
      <c r="L6780" t="s">
        <v>128</v>
      </c>
      <c r="M6780" t="s">
        <v>8820</v>
      </c>
      <c r="N6780" t="s">
        <v>8820</v>
      </c>
      <c r="O6780" t="s">
        <v>73</v>
      </c>
      <c r="P6780" t="s">
        <v>81</v>
      </c>
      <c r="Q6780" t="s">
        <v>489</v>
      </c>
      <c r="R6780" t="s">
        <v>8805</v>
      </c>
    </row>
    <row r="6781" spans="1:18" x14ac:dyDescent="0.25">
      <c r="A6781" t="s">
        <v>19922</v>
      </c>
      <c r="B6781" t="s">
        <v>8826</v>
      </c>
      <c r="C6781" t="str">
        <f>HYPERLINK("https://nematode.unl.edu/mesolit7.jpg")</f>
        <v>https://nematode.unl.edu/mesolit7.jpg</v>
      </c>
      <c r="D6781" t="s">
        <v>43</v>
      </c>
      <c r="G6781" t="s">
        <v>243</v>
      </c>
      <c r="L6781" t="s">
        <v>128</v>
      </c>
      <c r="M6781" t="s">
        <v>8820</v>
      </c>
      <c r="N6781" t="s">
        <v>8820</v>
      </c>
      <c r="O6781" t="s">
        <v>73</v>
      </c>
      <c r="P6781" t="s">
        <v>81</v>
      </c>
      <c r="Q6781" t="s">
        <v>489</v>
      </c>
      <c r="R6781" t="s">
        <v>8805</v>
      </c>
    </row>
    <row r="6782" spans="1:18" x14ac:dyDescent="0.25">
      <c r="A6782" t="s">
        <v>19920</v>
      </c>
      <c r="B6782" t="s">
        <v>8827</v>
      </c>
      <c r="C6782" t="str">
        <f>HYPERLINK("https://nematode.unl.edu/mesolit8.jpg")</f>
        <v>https://nematode.unl.edu/mesolit8.jpg</v>
      </c>
      <c r="D6782" t="s">
        <v>43</v>
      </c>
      <c r="G6782" t="s">
        <v>34</v>
      </c>
      <c r="H6782" t="s">
        <v>18</v>
      </c>
      <c r="I6782" t="s">
        <v>41</v>
      </c>
      <c r="J6782" t="s">
        <v>127</v>
      </c>
      <c r="M6782" t="s">
        <v>8820</v>
      </c>
      <c r="N6782" t="s">
        <v>8820</v>
      </c>
      <c r="O6782" t="s">
        <v>73</v>
      </c>
      <c r="P6782" t="s">
        <v>81</v>
      </c>
      <c r="Q6782" t="s">
        <v>489</v>
      </c>
      <c r="R6782" t="s">
        <v>8805</v>
      </c>
    </row>
    <row r="6783" spans="1:18" x14ac:dyDescent="0.25">
      <c r="A6783" t="s">
        <v>19918</v>
      </c>
      <c r="B6783" t="s">
        <v>8828</v>
      </c>
      <c r="C6783" t="str">
        <f>HYPERLINK("https://nematode.unl.edu/mesolit9.jpg")</f>
        <v>https://nematode.unl.edu/mesolit9.jpg</v>
      </c>
      <c r="D6783" t="s">
        <v>43</v>
      </c>
      <c r="G6783" t="s">
        <v>386</v>
      </c>
      <c r="H6783" t="s">
        <v>18</v>
      </c>
      <c r="I6783" t="s">
        <v>41</v>
      </c>
      <c r="J6783" t="s">
        <v>127</v>
      </c>
      <c r="L6783" t="s">
        <v>128</v>
      </c>
      <c r="M6783" t="s">
        <v>8820</v>
      </c>
      <c r="N6783" t="s">
        <v>8820</v>
      </c>
      <c r="O6783" t="s">
        <v>73</v>
      </c>
      <c r="P6783" t="s">
        <v>81</v>
      </c>
      <c r="Q6783" t="s">
        <v>489</v>
      </c>
      <c r="R6783" t="s">
        <v>8805</v>
      </c>
    </row>
    <row r="6784" spans="1:18" x14ac:dyDescent="0.25">
      <c r="A6784" t="s">
        <v>19925</v>
      </c>
      <c r="B6784" t="s">
        <v>8829</v>
      </c>
      <c r="C6784" t="str">
        <f>HYPERLINK("https://nematode.unl.edu/mesolitdrw.jpg")</f>
        <v>https://nematode.unl.edu/mesolitdrw.jpg</v>
      </c>
      <c r="D6784" t="s">
        <v>43</v>
      </c>
      <c r="G6784" t="s">
        <v>28</v>
      </c>
      <c r="M6784" t="s">
        <v>8820</v>
      </c>
      <c r="N6784" t="s">
        <v>8820</v>
      </c>
      <c r="O6784" t="s">
        <v>73</v>
      </c>
      <c r="P6784" t="s">
        <v>81</v>
      </c>
      <c r="Q6784" t="s">
        <v>489</v>
      </c>
      <c r="R6784" t="s">
        <v>8805</v>
      </c>
    </row>
    <row r="6785" spans="1:18" x14ac:dyDescent="0.25">
      <c r="A6785" t="s">
        <v>14966</v>
      </c>
      <c r="B6785" t="s">
        <v>8303</v>
      </c>
      <c r="C6785" t="str">
        <f>HYPERLINK("https://nematode.unl.edu/mesono1.jpg")</f>
        <v>https://nematode.unl.edu/mesono1.jpg</v>
      </c>
      <c r="D6785" t="s">
        <v>43</v>
      </c>
      <c r="G6785" t="s">
        <v>44</v>
      </c>
      <c r="I6785" t="s">
        <v>19</v>
      </c>
      <c r="J6785" t="s">
        <v>8304</v>
      </c>
      <c r="K6785" t="s">
        <v>22852</v>
      </c>
      <c r="L6785" t="s">
        <v>8305</v>
      </c>
      <c r="M6785" t="s">
        <v>8306</v>
      </c>
      <c r="N6785" t="s">
        <v>8306</v>
      </c>
      <c r="O6785" t="s">
        <v>23</v>
      </c>
      <c r="P6785" t="s">
        <v>24</v>
      </c>
      <c r="Q6785" t="s">
        <v>642</v>
      </c>
      <c r="R6785" t="s">
        <v>1214</v>
      </c>
    </row>
    <row r="6786" spans="1:18" x14ac:dyDescent="0.25">
      <c r="A6786" t="s">
        <v>14967</v>
      </c>
      <c r="B6786" t="s">
        <v>8307</v>
      </c>
      <c r="C6786" t="str">
        <f>HYPERLINK("https://nematode.unl.edu/mesono10.jpg")</f>
        <v>https://nematode.unl.edu/mesono10.jpg</v>
      </c>
      <c r="D6786" t="s">
        <v>43</v>
      </c>
      <c r="G6786" t="s">
        <v>44</v>
      </c>
      <c r="I6786" t="s">
        <v>19</v>
      </c>
      <c r="J6786" t="s">
        <v>8304</v>
      </c>
      <c r="K6786" t="s">
        <v>22852</v>
      </c>
      <c r="L6786" t="s">
        <v>8305</v>
      </c>
      <c r="M6786" t="s">
        <v>8306</v>
      </c>
      <c r="N6786" t="s">
        <v>8306</v>
      </c>
      <c r="O6786" t="s">
        <v>23</v>
      </c>
      <c r="P6786" t="s">
        <v>24</v>
      </c>
      <c r="Q6786" t="s">
        <v>642</v>
      </c>
      <c r="R6786" t="s">
        <v>1214</v>
      </c>
    </row>
    <row r="6787" spans="1:18" x14ac:dyDescent="0.25">
      <c r="A6787" t="s">
        <v>14961</v>
      </c>
      <c r="B6787" t="s">
        <v>8308</v>
      </c>
      <c r="C6787" t="str">
        <f>HYPERLINK("https://nematode.unl.edu/mesono11.jpg")</f>
        <v>https://nematode.unl.edu/mesono11.jpg</v>
      </c>
      <c r="D6787" t="s">
        <v>43</v>
      </c>
      <c r="G6787" t="s">
        <v>34</v>
      </c>
      <c r="H6787" t="s">
        <v>18</v>
      </c>
      <c r="I6787" t="s">
        <v>41</v>
      </c>
      <c r="M6787" t="s">
        <v>8306</v>
      </c>
      <c r="N6787" t="s">
        <v>8306</v>
      </c>
      <c r="O6787" t="s">
        <v>23</v>
      </c>
      <c r="P6787" t="s">
        <v>24</v>
      </c>
      <c r="Q6787" t="s">
        <v>642</v>
      </c>
      <c r="R6787" t="s">
        <v>1214</v>
      </c>
    </row>
    <row r="6788" spans="1:18" x14ac:dyDescent="0.25">
      <c r="A6788" t="s">
        <v>14974</v>
      </c>
      <c r="B6788" t="s">
        <v>8309</v>
      </c>
      <c r="C6788" t="str">
        <f>HYPERLINK("https://nematode.unl.edu/mesono12.jpg")</f>
        <v>https://nematode.unl.edu/mesono12.jpg</v>
      </c>
      <c r="D6788" t="s">
        <v>43</v>
      </c>
      <c r="G6788" t="s">
        <v>28</v>
      </c>
      <c r="M6788" t="s">
        <v>8306</v>
      </c>
      <c r="N6788" t="s">
        <v>8306</v>
      </c>
      <c r="O6788" t="s">
        <v>23</v>
      </c>
      <c r="P6788" t="s">
        <v>24</v>
      </c>
      <c r="Q6788" t="s">
        <v>642</v>
      </c>
      <c r="R6788" t="s">
        <v>1214</v>
      </c>
    </row>
    <row r="6789" spans="1:18" x14ac:dyDescent="0.25">
      <c r="A6789" t="s">
        <v>14982</v>
      </c>
      <c r="B6789" t="s">
        <v>8310</v>
      </c>
      <c r="C6789" t="str">
        <f>HYPERLINK("https://nematode.unl.edu/mesono13.jpg")</f>
        <v>https://nematode.unl.edu/mesono13.jpg</v>
      </c>
      <c r="D6789" t="s">
        <v>43</v>
      </c>
      <c r="G6789" t="s">
        <v>51</v>
      </c>
      <c r="I6789" t="s">
        <v>41</v>
      </c>
      <c r="M6789" t="s">
        <v>8306</v>
      </c>
      <c r="N6789" t="s">
        <v>8306</v>
      </c>
      <c r="O6789" t="s">
        <v>23</v>
      </c>
      <c r="P6789" t="s">
        <v>24</v>
      </c>
      <c r="Q6789" t="s">
        <v>642</v>
      </c>
      <c r="R6789" t="s">
        <v>1214</v>
      </c>
    </row>
    <row r="6790" spans="1:18" x14ac:dyDescent="0.25">
      <c r="A6790" t="s">
        <v>14960</v>
      </c>
      <c r="B6790" t="s">
        <v>8311</v>
      </c>
      <c r="C6790" t="str">
        <f>HYPERLINK("https://nematode.unl.edu/mesono14.jpg")</f>
        <v>https://nematode.unl.edu/mesono14.jpg</v>
      </c>
      <c r="D6790" t="s">
        <v>43</v>
      </c>
      <c r="G6790" t="s">
        <v>96</v>
      </c>
      <c r="H6790" t="s">
        <v>18</v>
      </c>
      <c r="M6790" t="s">
        <v>8306</v>
      </c>
      <c r="N6790" t="s">
        <v>8306</v>
      </c>
      <c r="O6790" t="s">
        <v>23</v>
      </c>
      <c r="P6790" t="s">
        <v>24</v>
      </c>
      <c r="Q6790" t="s">
        <v>642</v>
      </c>
      <c r="R6790" t="s">
        <v>1214</v>
      </c>
    </row>
    <row r="6791" spans="1:18" x14ac:dyDescent="0.25">
      <c r="A6791" t="s">
        <v>14968</v>
      </c>
      <c r="B6791" t="s">
        <v>8312</v>
      </c>
      <c r="C6791" t="str">
        <f>HYPERLINK("https://nematode.unl.edu/mesono15.jpg")</f>
        <v>https://nematode.unl.edu/mesono15.jpg</v>
      </c>
      <c r="D6791" t="s">
        <v>43</v>
      </c>
      <c r="G6791" t="s">
        <v>44</v>
      </c>
      <c r="I6791" t="s">
        <v>19</v>
      </c>
      <c r="J6791" t="s">
        <v>8304</v>
      </c>
      <c r="K6791" t="s">
        <v>22852</v>
      </c>
      <c r="L6791" t="s">
        <v>8305</v>
      </c>
      <c r="M6791" t="s">
        <v>8306</v>
      </c>
      <c r="N6791" t="s">
        <v>8306</v>
      </c>
      <c r="O6791" t="s">
        <v>23</v>
      </c>
      <c r="P6791" t="s">
        <v>24</v>
      </c>
      <c r="Q6791" t="s">
        <v>642</v>
      </c>
      <c r="R6791" t="s">
        <v>1214</v>
      </c>
    </row>
    <row r="6792" spans="1:18" x14ac:dyDescent="0.25">
      <c r="A6792" t="s">
        <v>14962</v>
      </c>
      <c r="B6792" t="s">
        <v>8313</v>
      </c>
      <c r="C6792" t="str">
        <f>HYPERLINK("https://nematode.unl.edu/mesono16.jpg")</f>
        <v>https://nematode.unl.edu/mesono16.jpg</v>
      </c>
      <c r="D6792" t="s">
        <v>43</v>
      </c>
      <c r="G6792" t="s">
        <v>34</v>
      </c>
      <c r="H6792" t="s">
        <v>18</v>
      </c>
      <c r="I6792" t="s">
        <v>41</v>
      </c>
      <c r="M6792" t="s">
        <v>8306</v>
      </c>
      <c r="N6792" t="s">
        <v>8306</v>
      </c>
      <c r="O6792" t="s">
        <v>23</v>
      </c>
      <c r="P6792" t="s">
        <v>24</v>
      </c>
      <c r="Q6792" t="s">
        <v>642</v>
      </c>
      <c r="R6792" t="s">
        <v>1214</v>
      </c>
    </row>
    <row r="6793" spans="1:18" x14ac:dyDescent="0.25">
      <c r="A6793" t="s">
        <v>14975</v>
      </c>
      <c r="B6793" t="s">
        <v>8314</v>
      </c>
      <c r="C6793" t="str">
        <f>HYPERLINK("https://nematode.unl.edu/mesono17.jpg")</f>
        <v>https://nematode.unl.edu/mesono17.jpg</v>
      </c>
      <c r="D6793" t="s">
        <v>43</v>
      </c>
      <c r="G6793" t="s">
        <v>28</v>
      </c>
      <c r="I6793" t="s">
        <v>41</v>
      </c>
      <c r="M6793" t="s">
        <v>8306</v>
      </c>
      <c r="N6793" t="s">
        <v>8306</v>
      </c>
      <c r="O6793" t="s">
        <v>23</v>
      </c>
      <c r="P6793" t="s">
        <v>24</v>
      </c>
      <c r="Q6793" t="s">
        <v>642</v>
      </c>
      <c r="R6793" t="s">
        <v>1214</v>
      </c>
    </row>
    <row r="6794" spans="1:18" x14ac:dyDescent="0.25">
      <c r="A6794" t="s">
        <v>14983</v>
      </c>
      <c r="B6794" t="s">
        <v>8315</v>
      </c>
      <c r="C6794" t="str">
        <f>HYPERLINK("https://nematode.unl.edu/mesono18.jpg")</f>
        <v>https://nematode.unl.edu/mesono18.jpg</v>
      </c>
      <c r="D6794" t="s">
        <v>43</v>
      </c>
      <c r="G6794" t="s">
        <v>51</v>
      </c>
      <c r="I6794" t="s">
        <v>41</v>
      </c>
      <c r="M6794" t="s">
        <v>8306</v>
      </c>
      <c r="N6794" t="s">
        <v>8306</v>
      </c>
      <c r="O6794" t="s">
        <v>23</v>
      </c>
      <c r="P6794" t="s">
        <v>24</v>
      </c>
      <c r="Q6794" t="s">
        <v>642</v>
      </c>
      <c r="R6794" t="s">
        <v>1214</v>
      </c>
    </row>
    <row r="6795" spans="1:18" x14ac:dyDescent="0.25">
      <c r="A6795" t="s">
        <v>14969</v>
      </c>
      <c r="B6795" t="s">
        <v>8316</v>
      </c>
      <c r="C6795" t="str">
        <f>HYPERLINK("https://nematode.unl.edu/mesono19.jpg")</f>
        <v>https://nematode.unl.edu/mesono19.jpg</v>
      </c>
      <c r="D6795" t="s">
        <v>43</v>
      </c>
      <c r="G6795" t="s">
        <v>44</v>
      </c>
      <c r="I6795" t="s">
        <v>41</v>
      </c>
      <c r="M6795" t="s">
        <v>8306</v>
      </c>
      <c r="N6795" t="s">
        <v>8306</v>
      </c>
      <c r="O6795" t="s">
        <v>23</v>
      </c>
      <c r="P6795" t="s">
        <v>24</v>
      </c>
      <c r="Q6795" t="s">
        <v>642</v>
      </c>
      <c r="R6795" t="s">
        <v>1214</v>
      </c>
    </row>
    <row r="6796" spans="1:18" x14ac:dyDescent="0.25">
      <c r="A6796" t="s">
        <v>14963</v>
      </c>
      <c r="B6796" t="s">
        <v>8317</v>
      </c>
      <c r="C6796" t="str">
        <f>HYPERLINK("https://nematode.unl.edu/mesono2.jpg")</f>
        <v>https://nematode.unl.edu/mesono2.jpg</v>
      </c>
      <c r="D6796" t="s">
        <v>43</v>
      </c>
      <c r="G6796" t="s">
        <v>34</v>
      </c>
      <c r="H6796" t="s">
        <v>18</v>
      </c>
      <c r="I6796" t="s">
        <v>41</v>
      </c>
      <c r="M6796" t="s">
        <v>8306</v>
      </c>
      <c r="N6796" t="s">
        <v>8306</v>
      </c>
      <c r="O6796" t="s">
        <v>23</v>
      </c>
      <c r="P6796" t="s">
        <v>24</v>
      </c>
      <c r="Q6796" t="s">
        <v>642</v>
      </c>
      <c r="R6796" t="s">
        <v>1214</v>
      </c>
    </row>
    <row r="6797" spans="1:18" x14ac:dyDescent="0.25">
      <c r="A6797" t="s">
        <v>14970</v>
      </c>
      <c r="B6797" t="s">
        <v>8318</v>
      </c>
      <c r="C6797" t="str">
        <f>HYPERLINK("https://nematode.unl.edu/mesono20.jpg")</f>
        <v>https://nematode.unl.edu/mesono20.jpg</v>
      </c>
      <c r="D6797" t="s">
        <v>16</v>
      </c>
      <c r="G6797" t="s">
        <v>44</v>
      </c>
      <c r="I6797" t="s">
        <v>19</v>
      </c>
      <c r="J6797" t="s">
        <v>8304</v>
      </c>
      <c r="K6797" t="s">
        <v>22852</v>
      </c>
      <c r="L6797" t="s">
        <v>1087</v>
      </c>
      <c r="M6797" t="s">
        <v>8306</v>
      </c>
      <c r="N6797" t="s">
        <v>8306</v>
      </c>
      <c r="O6797" t="s">
        <v>23</v>
      </c>
      <c r="P6797" t="s">
        <v>24</v>
      </c>
      <c r="Q6797" t="s">
        <v>642</v>
      </c>
      <c r="R6797" t="s">
        <v>1214</v>
      </c>
    </row>
    <row r="6798" spans="1:18" x14ac:dyDescent="0.25">
      <c r="A6798" t="s">
        <v>14964</v>
      </c>
      <c r="B6798" t="s">
        <v>8319</v>
      </c>
      <c r="C6798" t="str">
        <f>HYPERLINK("https://nematode.unl.edu/mesono21.jpg")</f>
        <v>https://nematode.unl.edu/mesono21.jpg</v>
      </c>
      <c r="D6798" t="s">
        <v>16</v>
      </c>
      <c r="G6798" t="s">
        <v>34</v>
      </c>
      <c r="H6798" t="s">
        <v>18</v>
      </c>
      <c r="I6798" t="s">
        <v>41</v>
      </c>
      <c r="M6798" t="s">
        <v>8306</v>
      </c>
      <c r="N6798" t="s">
        <v>8306</v>
      </c>
      <c r="O6798" t="s">
        <v>23</v>
      </c>
      <c r="P6798" t="s">
        <v>24</v>
      </c>
      <c r="Q6798" t="s">
        <v>642</v>
      </c>
      <c r="R6798" t="s">
        <v>1214</v>
      </c>
    </row>
    <row r="6799" spans="1:18" x14ac:dyDescent="0.25">
      <c r="A6799" t="s">
        <v>14976</v>
      </c>
      <c r="B6799" t="s">
        <v>8320</v>
      </c>
      <c r="C6799" t="str">
        <f>HYPERLINK("https://nematode.unl.edu/mesono22.jpg")</f>
        <v>https://nematode.unl.edu/mesono22.jpg</v>
      </c>
      <c r="D6799" t="s">
        <v>16</v>
      </c>
      <c r="G6799" t="s">
        <v>28</v>
      </c>
      <c r="I6799" t="s">
        <v>529</v>
      </c>
      <c r="J6799" t="s">
        <v>8304</v>
      </c>
      <c r="K6799" t="s">
        <v>22852</v>
      </c>
      <c r="L6799" t="s">
        <v>1087</v>
      </c>
      <c r="M6799" t="s">
        <v>8306</v>
      </c>
      <c r="N6799" t="s">
        <v>8306</v>
      </c>
      <c r="O6799" t="s">
        <v>23</v>
      </c>
      <c r="P6799" t="s">
        <v>24</v>
      </c>
      <c r="Q6799" t="s">
        <v>642</v>
      </c>
      <c r="R6799" t="s">
        <v>1214</v>
      </c>
    </row>
    <row r="6800" spans="1:18" x14ac:dyDescent="0.25">
      <c r="A6800" t="s">
        <v>14977</v>
      </c>
      <c r="B6800" t="s">
        <v>8321</v>
      </c>
      <c r="C6800" t="str">
        <f>HYPERLINK("https://nematode.unl.edu/mesono23.jpg")</f>
        <v>https://nematode.unl.edu/mesono23.jpg</v>
      </c>
      <c r="D6800" t="s">
        <v>16</v>
      </c>
      <c r="G6800" t="s">
        <v>28</v>
      </c>
      <c r="I6800" t="s">
        <v>41</v>
      </c>
      <c r="M6800" t="s">
        <v>8306</v>
      </c>
      <c r="N6800" t="s">
        <v>8306</v>
      </c>
      <c r="O6800" t="s">
        <v>23</v>
      </c>
      <c r="P6800" t="s">
        <v>24</v>
      </c>
      <c r="Q6800" t="s">
        <v>642</v>
      </c>
      <c r="R6800" t="s">
        <v>1214</v>
      </c>
    </row>
    <row r="6801" spans="1:18" x14ac:dyDescent="0.25">
      <c r="A6801" t="s">
        <v>14978</v>
      </c>
      <c r="B6801" t="s">
        <v>8322</v>
      </c>
      <c r="C6801" t="str">
        <f>HYPERLINK("https://nematode.unl.edu/mesono24.jpg")</f>
        <v>https://nematode.unl.edu/mesono24.jpg</v>
      </c>
      <c r="D6801" t="s">
        <v>16</v>
      </c>
      <c r="G6801" t="s">
        <v>28</v>
      </c>
      <c r="M6801" t="s">
        <v>8306</v>
      </c>
      <c r="N6801" t="s">
        <v>8306</v>
      </c>
      <c r="O6801" t="s">
        <v>23</v>
      </c>
      <c r="P6801" t="s">
        <v>24</v>
      </c>
      <c r="Q6801" t="s">
        <v>642</v>
      </c>
      <c r="R6801" t="s">
        <v>1214</v>
      </c>
    </row>
    <row r="6802" spans="1:18" x14ac:dyDescent="0.25">
      <c r="A6802" t="s">
        <v>14971</v>
      </c>
      <c r="B6802" t="s">
        <v>8323</v>
      </c>
      <c r="C6802" t="str">
        <f>HYPERLINK("https://nematode.unl.edu/mesono25.jpg")</f>
        <v>https://nematode.unl.edu/mesono25.jpg</v>
      </c>
      <c r="D6802" t="s">
        <v>16</v>
      </c>
      <c r="G6802" t="s">
        <v>44</v>
      </c>
      <c r="I6802" t="s">
        <v>41</v>
      </c>
      <c r="M6802" t="s">
        <v>8306</v>
      </c>
      <c r="N6802" t="s">
        <v>8306</v>
      </c>
      <c r="O6802" t="s">
        <v>23</v>
      </c>
      <c r="P6802" t="s">
        <v>24</v>
      </c>
      <c r="Q6802" t="s">
        <v>642</v>
      </c>
      <c r="R6802" t="s">
        <v>1214</v>
      </c>
    </row>
    <row r="6803" spans="1:18" x14ac:dyDescent="0.25">
      <c r="A6803" t="s">
        <v>14979</v>
      </c>
      <c r="B6803" t="s">
        <v>8324</v>
      </c>
      <c r="C6803" t="str">
        <f>HYPERLINK("https://nematode.unl.edu/mesono3.jpg")</f>
        <v>https://nematode.unl.edu/mesono3.jpg</v>
      </c>
      <c r="D6803" t="s">
        <v>43</v>
      </c>
      <c r="G6803" t="s">
        <v>28</v>
      </c>
      <c r="I6803" t="s">
        <v>41</v>
      </c>
      <c r="M6803" t="s">
        <v>8306</v>
      </c>
      <c r="N6803" t="s">
        <v>8306</v>
      </c>
      <c r="O6803" t="s">
        <v>23</v>
      </c>
      <c r="P6803" t="s">
        <v>24</v>
      </c>
      <c r="Q6803" t="s">
        <v>642</v>
      </c>
      <c r="R6803" t="s">
        <v>1214</v>
      </c>
    </row>
    <row r="6804" spans="1:18" x14ac:dyDescent="0.25">
      <c r="A6804" t="s">
        <v>14980</v>
      </c>
      <c r="B6804" t="s">
        <v>8325</v>
      </c>
      <c r="C6804" t="str">
        <f>HYPERLINK("https://nematode.unl.edu/mesono4.jpg")</f>
        <v>https://nematode.unl.edu/mesono4.jpg</v>
      </c>
      <c r="D6804" t="s">
        <v>43</v>
      </c>
      <c r="G6804" t="s">
        <v>28</v>
      </c>
      <c r="I6804" t="s">
        <v>41</v>
      </c>
      <c r="M6804" t="s">
        <v>8306</v>
      </c>
      <c r="N6804" t="s">
        <v>8306</v>
      </c>
      <c r="O6804" t="s">
        <v>23</v>
      </c>
      <c r="P6804" t="s">
        <v>24</v>
      </c>
      <c r="Q6804" t="s">
        <v>642</v>
      </c>
      <c r="R6804" t="s">
        <v>1214</v>
      </c>
    </row>
    <row r="6805" spans="1:18" x14ac:dyDescent="0.25">
      <c r="A6805" t="s">
        <v>14972</v>
      </c>
      <c r="B6805" t="s">
        <v>8326</v>
      </c>
      <c r="C6805" t="str">
        <f>HYPERLINK("https://nematode.unl.edu/mesono5.jpg")</f>
        <v>https://nematode.unl.edu/mesono5.jpg</v>
      </c>
      <c r="D6805" t="s">
        <v>43</v>
      </c>
      <c r="G6805" t="s">
        <v>44</v>
      </c>
      <c r="I6805" t="s">
        <v>19</v>
      </c>
      <c r="J6805" t="s">
        <v>8304</v>
      </c>
      <c r="K6805" t="s">
        <v>22852</v>
      </c>
      <c r="L6805" t="s">
        <v>1087</v>
      </c>
      <c r="M6805" t="s">
        <v>8306</v>
      </c>
      <c r="N6805" t="s">
        <v>8306</v>
      </c>
      <c r="O6805" t="s">
        <v>23</v>
      </c>
      <c r="P6805" t="s">
        <v>24</v>
      </c>
      <c r="Q6805" t="s">
        <v>642</v>
      </c>
      <c r="R6805" t="s">
        <v>1214</v>
      </c>
    </row>
    <row r="6806" spans="1:18" x14ac:dyDescent="0.25">
      <c r="A6806" t="s">
        <v>14965</v>
      </c>
      <c r="B6806" t="s">
        <v>8327</v>
      </c>
      <c r="C6806" t="str">
        <f>HYPERLINK("https://nematode.unl.edu/mesono6.jpg")</f>
        <v>https://nematode.unl.edu/mesono6.jpg</v>
      </c>
      <c r="D6806" t="s">
        <v>43</v>
      </c>
      <c r="G6806" t="s">
        <v>34</v>
      </c>
      <c r="H6806" t="s">
        <v>18</v>
      </c>
      <c r="I6806" t="s">
        <v>41</v>
      </c>
      <c r="M6806" t="s">
        <v>8306</v>
      </c>
      <c r="N6806" t="s">
        <v>8306</v>
      </c>
      <c r="O6806" t="s">
        <v>23</v>
      </c>
      <c r="P6806" t="s">
        <v>24</v>
      </c>
      <c r="Q6806" t="s">
        <v>642</v>
      </c>
      <c r="R6806" t="s">
        <v>1214</v>
      </c>
    </row>
    <row r="6807" spans="1:18" x14ac:dyDescent="0.25">
      <c r="A6807" t="s">
        <v>14981</v>
      </c>
      <c r="B6807" t="s">
        <v>8328</v>
      </c>
      <c r="C6807" t="str">
        <f>HYPERLINK("https://nematode.unl.edu/mesono7.jpg")</f>
        <v>https://nematode.unl.edu/mesono7.jpg</v>
      </c>
      <c r="D6807" t="s">
        <v>43</v>
      </c>
      <c r="G6807" t="s">
        <v>28</v>
      </c>
      <c r="I6807" t="s">
        <v>41</v>
      </c>
      <c r="M6807" t="s">
        <v>8306</v>
      </c>
      <c r="N6807" t="s">
        <v>8306</v>
      </c>
      <c r="O6807" t="s">
        <v>23</v>
      </c>
      <c r="P6807" t="s">
        <v>24</v>
      </c>
      <c r="Q6807" t="s">
        <v>642</v>
      </c>
      <c r="R6807" t="s">
        <v>1214</v>
      </c>
    </row>
    <row r="6808" spans="1:18" x14ac:dyDescent="0.25">
      <c r="A6808" t="s">
        <v>14984</v>
      </c>
      <c r="B6808" t="s">
        <v>8329</v>
      </c>
      <c r="C6808" t="str">
        <f>HYPERLINK("https://nematode.unl.edu/mesono8.jpg")</f>
        <v>https://nematode.unl.edu/mesono8.jpg</v>
      </c>
      <c r="D6808" t="s">
        <v>43</v>
      </c>
      <c r="G6808" t="s">
        <v>51</v>
      </c>
      <c r="M6808" t="s">
        <v>8306</v>
      </c>
      <c r="N6808" t="s">
        <v>8306</v>
      </c>
      <c r="O6808" t="s">
        <v>23</v>
      </c>
      <c r="P6808" t="s">
        <v>24</v>
      </c>
      <c r="Q6808" t="s">
        <v>642</v>
      </c>
      <c r="R6808" t="s">
        <v>1214</v>
      </c>
    </row>
    <row r="6809" spans="1:18" x14ac:dyDescent="0.25">
      <c r="A6809" t="s">
        <v>14973</v>
      </c>
      <c r="B6809" t="s">
        <v>8330</v>
      </c>
      <c r="C6809" t="str">
        <f>HYPERLINK("https://nematode.unl.edu/mesono9.jpg")</f>
        <v>https://nematode.unl.edu/mesono9.jpg</v>
      </c>
      <c r="D6809" t="s">
        <v>43</v>
      </c>
      <c r="G6809" t="s">
        <v>44</v>
      </c>
      <c r="M6809" t="s">
        <v>8306</v>
      </c>
      <c r="N6809" t="s">
        <v>8306</v>
      </c>
      <c r="O6809" t="s">
        <v>23</v>
      </c>
      <c r="P6809" t="s">
        <v>24</v>
      </c>
      <c r="Q6809" t="s">
        <v>642</v>
      </c>
      <c r="R6809" t="s">
        <v>1214</v>
      </c>
    </row>
    <row r="6810" spans="1:18" x14ac:dyDescent="0.25">
      <c r="A6810" t="s">
        <v>15084</v>
      </c>
      <c r="B6810" t="s">
        <v>8437</v>
      </c>
      <c r="C6810" t="str">
        <f>HYPERLINK("https://nematode.unl.edu/mesopsibb1.jpg")</f>
        <v>https://nematode.unl.edu/mesopsibb1.jpg</v>
      </c>
      <c r="D6810" t="s">
        <v>43</v>
      </c>
      <c r="G6810" t="s">
        <v>44</v>
      </c>
      <c r="I6810" t="s">
        <v>19</v>
      </c>
      <c r="J6810" t="s">
        <v>6011</v>
      </c>
      <c r="K6810" t="s">
        <v>22857</v>
      </c>
      <c r="L6810" t="s">
        <v>8438</v>
      </c>
      <c r="M6810" t="s">
        <v>8439</v>
      </c>
      <c r="N6810" t="s">
        <v>8439</v>
      </c>
      <c r="O6810" t="s">
        <v>23</v>
      </c>
      <c r="P6810" t="s">
        <v>24</v>
      </c>
      <c r="Q6810" t="s">
        <v>642</v>
      </c>
      <c r="R6810" t="s">
        <v>1214</v>
      </c>
    </row>
    <row r="6811" spans="1:18" x14ac:dyDescent="0.25">
      <c r="A6811" t="s">
        <v>15082</v>
      </c>
      <c r="B6811" t="s">
        <v>8440</v>
      </c>
      <c r="C6811" t="str">
        <f>HYPERLINK("https://nematode.unl.edu/mesopsibb2.jpg")</f>
        <v>https://nematode.unl.edu/mesopsibb2.jpg</v>
      </c>
      <c r="D6811" t="s">
        <v>43</v>
      </c>
      <c r="G6811" t="s">
        <v>96</v>
      </c>
      <c r="H6811" t="s">
        <v>18</v>
      </c>
      <c r="I6811" t="s">
        <v>41</v>
      </c>
      <c r="M6811" t="s">
        <v>8439</v>
      </c>
      <c r="N6811" t="s">
        <v>8439</v>
      </c>
      <c r="O6811" t="s">
        <v>23</v>
      </c>
      <c r="P6811" t="s">
        <v>24</v>
      </c>
      <c r="Q6811" t="s">
        <v>642</v>
      </c>
      <c r="R6811" t="s">
        <v>1214</v>
      </c>
    </row>
    <row r="6812" spans="1:18" x14ac:dyDescent="0.25">
      <c r="A6812" t="s">
        <v>15085</v>
      </c>
      <c r="B6812" t="s">
        <v>8441</v>
      </c>
      <c r="C6812" t="str">
        <f>HYPERLINK("https://nematode.unl.edu/mesopsibb3.jpg")</f>
        <v>https://nematode.unl.edu/mesopsibb3.jpg</v>
      </c>
      <c r="D6812" t="s">
        <v>16</v>
      </c>
      <c r="G6812" t="s">
        <v>44</v>
      </c>
      <c r="I6812" t="s">
        <v>41</v>
      </c>
      <c r="J6812" t="s">
        <v>6011</v>
      </c>
      <c r="K6812" t="s">
        <v>22857</v>
      </c>
      <c r="L6812" t="s">
        <v>8438</v>
      </c>
      <c r="M6812" t="s">
        <v>8439</v>
      </c>
      <c r="N6812" t="s">
        <v>8439</v>
      </c>
      <c r="O6812" t="s">
        <v>23</v>
      </c>
      <c r="P6812" t="s">
        <v>24</v>
      </c>
      <c r="Q6812" t="s">
        <v>642</v>
      </c>
      <c r="R6812" t="s">
        <v>1214</v>
      </c>
    </row>
    <row r="6813" spans="1:18" x14ac:dyDescent="0.25">
      <c r="A6813" t="s">
        <v>15083</v>
      </c>
      <c r="B6813" t="s">
        <v>8442</v>
      </c>
      <c r="C6813" t="str">
        <f>HYPERLINK("https://nematode.unl.edu/mesopsibb4.jpg")</f>
        <v>https://nematode.unl.edu/mesopsibb4.jpg</v>
      </c>
      <c r="D6813" t="s">
        <v>16</v>
      </c>
      <c r="G6813" t="s">
        <v>96</v>
      </c>
      <c r="H6813" t="s">
        <v>18</v>
      </c>
      <c r="I6813" t="s">
        <v>41</v>
      </c>
      <c r="M6813" t="s">
        <v>8439</v>
      </c>
      <c r="N6813" t="s">
        <v>8439</v>
      </c>
      <c r="O6813" t="s">
        <v>23</v>
      </c>
      <c r="P6813" t="s">
        <v>24</v>
      </c>
      <c r="Q6813" t="s">
        <v>642</v>
      </c>
      <c r="R6813" t="s">
        <v>1214</v>
      </c>
    </row>
    <row r="6814" spans="1:18" x14ac:dyDescent="0.25">
      <c r="A6814" t="s">
        <v>15088</v>
      </c>
      <c r="B6814" t="s">
        <v>8443</v>
      </c>
      <c r="C6814" t="str">
        <f>HYPERLINK("https://nematode.unl.edu/mesopsibb5.jpg")</f>
        <v>https://nematode.unl.edu/mesopsibb5.jpg</v>
      </c>
      <c r="D6814" t="s">
        <v>16</v>
      </c>
      <c r="G6814" t="s">
        <v>181</v>
      </c>
      <c r="I6814" t="s">
        <v>41</v>
      </c>
      <c r="M6814" t="s">
        <v>8439</v>
      </c>
      <c r="N6814" t="s">
        <v>8439</v>
      </c>
      <c r="O6814" t="s">
        <v>23</v>
      </c>
      <c r="P6814" t="s">
        <v>24</v>
      </c>
      <c r="Q6814" t="s">
        <v>642</v>
      </c>
      <c r="R6814" t="s">
        <v>1214</v>
      </c>
    </row>
    <row r="6815" spans="1:18" x14ac:dyDescent="0.25">
      <c r="A6815" t="s">
        <v>15086</v>
      </c>
      <c r="B6815" t="s">
        <v>8444</v>
      </c>
      <c r="C6815" t="str">
        <f>HYPERLINK("https://nematode.unl.edu/mesopsibb6.jpg")</f>
        <v>https://nematode.unl.edu/mesopsibb6.jpg</v>
      </c>
      <c r="D6815" t="s">
        <v>43</v>
      </c>
      <c r="G6815" t="s">
        <v>224</v>
      </c>
      <c r="I6815" t="s">
        <v>19</v>
      </c>
      <c r="M6815" t="s">
        <v>8439</v>
      </c>
      <c r="N6815" t="s">
        <v>8439</v>
      </c>
      <c r="O6815" t="s">
        <v>23</v>
      </c>
      <c r="P6815" t="s">
        <v>24</v>
      </c>
      <c r="Q6815" t="s">
        <v>642</v>
      </c>
      <c r="R6815" t="s">
        <v>1214</v>
      </c>
    </row>
    <row r="6816" spans="1:18" x14ac:dyDescent="0.25">
      <c r="A6816" t="s">
        <v>15089</v>
      </c>
      <c r="B6816" t="s">
        <v>8445</v>
      </c>
      <c r="C6816" t="str">
        <f>HYPERLINK("https://nematode.unl.edu/mesopsibb7.jpg")</f>
        <v>https://nematode.unl.edu/mesopsibb7.jpg</v>
      </c>
      <c r="D6816" t="s">
        <v>43</v>
      </c>
      <c r="G6816" t="s">
        <v>181</v>
      </c>
      <c r="I6816" t="s">
        <v>41</v>
      </c>
      <c r="M6816" t="s">
        <v>8439</v>
      </c>
      <c r="N6816" t="s">
        <v>8439</v>
      </c>
      <c r="O6816" t="s">
        <v>23</v>
      </c>
      <c r="P6816" t="s">
        <v>24</v>
      </c>
      <c r="Q6816" t="s">
        <v>642</v>
      </c>
      <c r="R6816" t="s">
        <v>1214</v>
      </c>
    </row>
    <row r="6817" spans="1:18" x14ac:dyDescent="0.25">
      <c r="A6817" t="s">
        <v>15087</v>
      </c>
      <c r="B6817" t="s">
        <v>8446</v>
      </c>
      <c r="C6817" t="str">
        <f>HYPERLINK("https://nematode.unl.edu/mesopsibb8.jpg")</f>
        <v>https://nematode.unl.edu/mesopsibb8.jpg</v>
      </c>
      <c r="D6817" t="s">
        <v>77</v>
      </c>
      <c r="G6817" t="s">
        <v>224</v>
      </c>
      <c r="M6817" t="s">
        <v>8439</v>
      </c>
      <c r="N6817" t="s">
        <v>8439</v>
      </c>
      <c r="O6817" t="s">
        <v>23</v>
      </c>
      <c r="P6817" t="s">
        <v>24</v>
      </c>
      <c r="Q6817" t="s">
        <v>642</v>
      </c>
      <c r="R6817" t="s">
        <v>1214</v>
      </c>
    </row>
    <row r="6818" spans="1:18" x14ac:dyDescent="0.25">
      <c r="A6818" t="s">
        <v>17534</v>
      </c>
      <c r="B6818" t="s">
        <v>8870</v>
      </c>
      <c r="C6818" t="str">
        <f>HYPERLINK("https://nematode.unl.edu/mesor1.jpg")</f>
        <v>https://nematode.unl.edu/mesor1.jpg</v>
      </c>
      <c r="D6818" t="s">
        <v>16</v>
      </c>
      <c r="G6818" t="s">
        <v>44</v>
      </c>
      <c r="I6818" t="s">
        <v>45</v>
      </c>
      <c r="J6818" t="s">
        <v>20</v>
      </c>
      <c r="L6818" t="s">
        <v>64</v>
      </c>
      <c r="M6818" t="s">
        <v>8871</v>
      </c>
      <c r="N6818" t="s">
        <v>8871</v>
      </c>
      <c r="O6818" t="s">
        <v>23</v>
      </c>
      <c r="P6818" t="s">
        <v>24</v>
      </c>
      <c r="Q6818" t="s">
        <v>1637</v>
      </c>
      <c r="R6818" t="s">
        <v>8871</v>
      </c>
    </row>
    <row r="6819" spans="1:18" x14ac:dyDescent="0.25">
      <c r="A6819" t="s">
        <v>17531</v>
      </c>
      <c r="B6819" t="s">
        <v>8872</v>
      </c>
      <c r="C6819" t="str">
        <f>HYPERLINK("https://nematode.unl.edu/mesor2.jpg")</f>
        <v>https://nematode.unl.edu/mesor2.jpg</v>
      </c>
      <c r="D6819" t="s">
        <v>16</v>
      </c>
      <c r="G6819" t="s">
        <v>34</v>
      </c>
      <c r="H6819" t="s">
        <v>18</v>
      </c>
      <c r="J6819" t="s">
        <v>20</v>
      </c>
      <c r="L6819" t="s">
        <v>64</v>
      </c>
      <c r="M6819" t="s">
        <v>8871</v>
      </c>
      <c r="N6819" t="s">
        <v>8871</v>
      </c>
      <c r="O6819" t="s">
        <v>23</v>
      </c>
      <c r="P6819" t="s">
        <v>24</v>
      </c>
      <c r="Q6819" t="s">
        <v>1637</v>
      </c>
      <c r="R6819" t="s">
        <v>8871</v>
      </c>
    </row>
    <row r="6820" spans="1:18" x14ac:dyDescent="0.25">
      <c r="A6820" t="s">
        <v>17535</v>
      </c>
      <c r="B6820" t="s">
        <v>8873</v>
      </c>
      <c r="C6820" t="str">
        <f>HYPERLINK("https://nematode.unl.edu/mesor3.jpg")</f>
        <v>https://nematode.unl.edu/mesor3.jpg</v>
      </c>
      <c r="D6820" t="s">
        <v>16</v>
      </c>
      <c r="G6820" t="s">
        <v>28</v>
      </c>
      <c r="I6820" t="s">
        <v>19</v>
      </c>
      <c r="J6820" t="s">
        <v>20</v>
      </c>
      <c r="L6820" t="s">
        <v>64</v>
      </c>
      <c r="M6820" t="s">
        <v>8871</v>
      </c>
      <c r="N6820" t="s">
        <v>8871</v>
      </c>
      <c r="O6820" t="s">
        <v>23</v>
      </c>
      <c r="P6820" t="s">
        <v>24</v>
      </c>
      <c r="Q6820" t="s">
        <v>1637</v>
      </c>
      <c r="R6820" t="s">
        <v>8871</v>
      </c>
    </row>
    <row r="6821" spans="1:18" x14ac:dyDescent="0.25">
      <c r="A6821" t="s">
        <v>17530</v>
      </c>
      <c r="B6821" t="s">
        <v>8874</v>
      </c>
      <c r="C6821" t="str">
        <f>HYPERLINK("https://nematode.unl.edu/mesor4.jpg")</f>
        <v>https://nematode.unl.edu/mesor4.jpg</v>
      </c>
      <c r="D6821" t="s">
        <v>16</v>
      </c>
      <c r="G6821" t="s">
        <v>96</v>
      </c>
      <c r="H6821" t="s">
        <v>18</v>
      </c>
      <c r="J6821" t="s">
        <v>20</v>
      </c>
      <c r="L6821" t="s">
        <v>64</v>
      </c>
      <c r="M6821" t="s">
        <v>8871</v>
      </c>
      <c r="N6821" t="s">
        <v>8871</v>
      </c>
      <c r="O6821" t="s">
        <v>23</v>
      </c>
      <c r="P6821" t="s">
        <v>24</v>
      </c>
      <c r="Q6821" t="s">
        <v>1637</v>
      </c>
      <c r="R6821" t="s">
        <v>8871</v>
      </c>
    </row>
    <row r="6822" spans="1:18" x14ac:dyDescent="0.25">
      <c r="A6822" t="s">
        <v>17532</v>
      </c>
      <c r="B6822" t="s">
        <v>8875</v>
      </c>
      <c r="C6822" t="str">
        <f>HYPERLINK("https://nematode.unl.edu/mesor5.jpg")</f>
        <v>https://nematode.unl.edu/mesor5.jpg</v>
      </c>
      <c r="D6822" t="s">
        <v>16</v>
      </c>
      <c r="G6822" t="s">
        <v>34</v>
      </c>
      <c r="H6822" t="s">
        <v>18</v>
      </c>
      <c r="J6822" t="s">
        <v>20</v>
      </c>
      <c r="L6822" t="s">
        <v>64</v>
      </c>
      <c r="M6822" t="s">
        <v>8871</v>
      </c>
      <c r="N6822" t="s">
        <v>8871</v>
      </c>
      <c r="O6822" t="s">
        <v>23</v>
      </c>
      <c r="P6822" t="s">
        <v>24</v>
      </c>
      <c r="Q6822" t="s">
        <v>1637</v>
      </c>
      <c r="R6822" t="s">
        <v>8871</v>
      </c>
    </row>
    <row r="6823" spans="1:18" x14ac:dyDescent="0.25">
      <c r="A6823" t="s">
        <v>17536</v>
      </c>
      <c r="B6823" t="s">
        <v>8876</v>
      </c>
      <c r="C6823" t="str">
        <f>HYPERLINK("https://nematode.unl.edu/mesor6.jpg")</f>
        <v>https://nematode.unl.edu/mesor6.jpg</v>
      </c>
      <c r="D6823" t="s">
        <v>16</v>
      </c>
      <c r="G6823" t="s">
        <v>28</v>
      </c>
      <c r="J6823" t="s">
        <v>20</v>
      </c>
      <c r="L6823" t="s">
        <v>64</v>
      </c>
      <c r="M6823" t="s">
        <v>8871</v>
      </c>
      <c r="N6823" t="s">
        <v>8871</v>
      </c>
      <c r="O6823" t="s">
        <v>23</v>
      </c>
      <c r="P6823" t="s">
        <v>24</v>
      </c>
      <c r="Q6823" t="s">
        <v>1637</v>
      </c>
      <c r="R6823" t="s">
        <v>8871</v>
      </c>
    </row>
    <row r="6824" spans="1:18" x14ac:dyDescent="0.25">
      <c r="A6824" t="s">
        <v>17533</v>
      </c>
      <c r="B6824" t="s">
        <v>8877</v>
      </c>
      <c r="C6824" t="str">
        <f>HYPERLINK("https://nematode.unl.edu/mesor7.jpg")</f>
        <v>https://nematode.unl.edu/mesor7.jpg</v>
      </c>
      <c r="D6824" t="s">
        <v>16</v>
      </c>
      <c r="G6824" t="s">
        <v>34</v>
      </c>
      <c r="H6824" t="s">
        <v>18</v>
      </c>
      <c r="I6824" t="s">
        <v>19</v>
      </c>
      <c r="J6824" t="s">
        <v>20</v>
      </c>
      <c r="M6824" t="s">
        <v>8871</v>
      </c>
      <c r="N6824" t="s">
        <v>8871</v>
      </c>
      <c r="O6824" t="s">
        <v>23</v>
      </c>
      <c r="P6824" t="s">
        <v>24</v>
      </c>
      <c r="Q6824" t="s">
        <v>1637</v>
      </c>
      <c r="R6824" t="s">
        <v>8871</v>
      </c>
    </row>
    <row r="6825" spans="1:18" x14ac:dyDescent="0.25">
      <c r="A6825" t="s">
        <v>15031</v>
      </c>
      <c r="B6825" t="s">
        <v>8362</v>
      </c>
      <c r="C6825" t="str">
        <f>HYPERLINK("https://nematode.unl.edu/mesorna1.jpg")</f>
        <v>https://nematode.unl.edu/mesorna1.jpg</v>
      </c>
      <c r="D6825" t="s">
        <v>43</v>
      </c>
      <c r="G6825" t="s">
        <v>44</v>
      </c>
      <c r="I6825" t="s">
        <v>19</v>
      </c>
      <c r="J6825" t="s">
        <v>8363</v>
      </c>
      <c r="L6825" t="s">
        <v>8364</v>
      </c>
      <c r="M6825" t="s">
        <v>8333</v>
      </c>
      <c r="N6825" t="s">
        <v>8333</v>
      </c>
      <c r="O6825" t="s">
        <v>23</v>
      </c>
      <c r="P6825" t="s">
        <v>24</v>
      </c>
      <c r="Q6825" t="s">
        <v>642</v>
      </c>
      <c r="R6825" t="s">
        <v>1214</v>
      </c>
    </row>
    <row r="6826" spans="1:18" x14ac:dyDescent="0.25">
      <c r="A6826" t="s">
        <v>15032</v>
      </c>
      <c r="B6826" t="s">
        <v>8365</v>
      </c>
      <c r="C6826" t="str">
        <f>HYPERLINK("https://nematode.unl.edu/mesorna10.jpg")</f>
        <v>https://nematode.unl.edu/mesorna10.jpg</v>
      </c>
      <c r="D6826" t="s">
        <v>43</v>
      </c>
      <c r="G6826" t="s">
        <v>44</v>
      </c>
      <c r="I6826" t="s">
        <v>516</v>
      </c>
      <c r="J6826" t="s">
        <v>8363</v>
      </c>
      <c r="L6826" t="s">
        <v>8364</v>
      </c>
      <c r="M6826" t="s">
        <v>8333</v>
      </c>
      <c r="N6826" t="s">
        <v>8333</v>
      </c>
      <c r="O6826" t="s">
        <v>23</v>
      </c>
      <c r="P6826" t="s">
        <v>24</v>
      </c>
      <c r="Q6826" t="s">
        <v>642</v>
      </c>
      <c r="R6826" t="s">
        <v>1214</v>
      </c>
    </row>
    <row r="6827" spans="1:18" x14ac:dyDescent="0.25">
      <c r="A6827" t="s">
        <v>15000</v>
      </c>
      <c r="B6827" t="s">
        <v>8366</v>
      </c>
      <c r="C6827" t="str">
        <f>HYPERLINK("https://nematode.unl.edu/mesorna11.jpg")</f>
        <v>https://nematode.unl.edu/mesorna11.jpg</v>
      </c>
      <c r="D6827" t="s">
        <v>43</v>
      </c>
      <c r="G6827" t="s">
        <v>34</v>
      </c>
      <c r="H6827" t="s">
        <v>18</v>
      </c>
      <c r="M6827" t="s">
        <v>8333</v>
      </c>
      <c r="N6827" t="s">
        <v>8333</v>
      </c>
      <c r="O6827" t="s">
        <v>23</v>
      </c>
      <c r="P6827" t="s">
        <v>24</v>
      </c>
      <c r="Q6827" t="s">
        <v>642</v>
      </c>
      <c r="R6827" t="s">
        <v>1214</v>
      </c>
    </row>
    <row r="6828" spans="1:18" x14ac:dyDescent="0.25">
      <c r="A6828" t="s">
        <v>15061</v>
      </c>
      <c r="B6828" t="s">
        <v>8367</v>
      </c>
      <c r="C6828" t="str">
        <f>HYPERLINK("https://nematode.unl.edu/mesorna12.jpg")</f>
        <v>https://nematode.unl.edu/mesorna12.jpg</v>
      </c>
      <c r="D6828" t="s">
        <v>43</v>
      </c>
      <c r="G6828" t="s">
        <v>28</v>
      </c>
      <c r="I6828" t="s">
        <v>41</v>
      </c>
      <c r="M6828" t="s">
        <v>8333</v>
      </c>
      <c r="N6828" t="s">
        <v>8333</v>
      </c>
      <c r="O6828" t="s">
        <v>23</v>
      </c>
      <c r="P6828" t="s">
        <v>24</v>
      </c>
      <c r="Q6828" t="s">
        <v>642</v>
      </c>
      <c r="R6828" t="s">
        <v>1214</v>
      </c>
    </row>
    <row r="6829" spans="1:18" x14ac:dyDescent="0.25">
      <c r="A6829" t="s">
        <v>14986</v>
      </c>
      <c r="B6829" t="s">
        <v>8368</v>
      </c>
      <c r="C6829" t="str">
        <f>HYPERLINK("https://nematode.unl.edu/mesorna13.jpg")</f>
        <v>https://nematode.unl.edu/mesorna13.jpg</v>
      </c>
      <c r="D6829" t="s">
        <v>16</v>
      </c>
      <c r="G6829" t="s">
        <v>96</v>
      </c>
      <c r="H6829" t="s">
        <v>18</v>
      </c>
      <c r="I6829" t="s">
        <v>41</v>
      </c>
      <c r="M6829" t="s">
        <v>8333</v>
      </c>
      <c r="N6829" t="s">
        <v>8333</v>
      </c>
      <c r="O6829" t="s">
        <v>23</v>
      </c>
      <c r="P6829" t="s">
        <v>24</v>
      </c>
      <c r="Q6829" t="s">
        <v>642</v>
      </c>
      <c r="R6829" t="s">
        <v>1214</v>
      </c>
    </row>
    <row r="6830" spans="1:18" x14ac:dyDescent="0.25">
      <c r="A6830" t="s">
        <v>15052</v>
      </c>
      <c r="B6830" t="s">
        <v>8369</v>
      </c>
      <c r="C6830" t="str">
        <f>HYPERLINK("https://nematode.unl.edu/mesorna14.jpg")</f>
        <v>https://nematode.unl.edu/mesorna14.jpg</v>
      </c>
      <c r="D6830" t="s">
        <v>16</v>
      </c>
      <c r="G6830" t="s">
        <v>181</v>
      </c>
      <c r="I6830" t="s">
        <v>41</v>
      </c>
      <c r="M6830" t="s">
        <v>8333</v>
      </c>
      <c r="N6830" t="s">
        <v>8333</v>
      </c>
      <c r="O6830" t="s">
        <v>23</v>
      </c>
      <c r="P6830" t="s">
        <v>24</v>
      </c>
      <c r="Q6830" t="s">
        <v>642</v>
      </c>
      <c r="R6830" t="s">
        <v>1214</v>
      </c>
    </row>
    <row r="6831" spans="1:18" x14ac:dyDescent="0.25">
      <c r="A6831" t="s">
        <v>14987</v>
      </c>
      <c r="B6831" t="s">
        <v>8370</v>
      </c>
      <c r="C6831" t="str">
        <f>HYPERLINK("https://nematode.unl.edu/mesorna15.jpg")</f>
        <v>https://nematode.unl.edu/mesorna15.jpg</v>
      </c>
      <c r="D6831" t="s">
        <v>16</v>
      </c>
      <c r="G6831" t="s">
        <v>96</v>
      </c>
      <c r="H6831" t="s">
        <v>18</v>
      </c>
      <c r="I6831" t="s">
        <v>41</v>
      </c>
      <c r="M6831" t="s">
        <v>8333</v>
      </c>
      <c r="N6831" t="s">
        <v>8333</v>
      </c>
      <c r="O6831" t="s">
        <v>23</v>
      </c>
      <c r="P6831" t="s">
        <v>24</v>
      </c>
      <c r="Q6831" t="s">
        <v>642</v>
      </c>
      <c r="R6831" t="s">
        <v>1214</v>
      </c>
    </row>
    <row r="6832" spans="1:18" x14ac:dyDescent="0.25">
      <c r="A6832" t="s">
        <v>15020</v>
      </c>
      <c r="B6832" t="s">
        <v>8371</v>
      </c>
      <c r="C6832" t="str">
        <f>HYPERLINK("https://nematode.unl.edu/mesorna16.jpg")</f>
        <v>https://nematode.unl.edu/mesorna16.jpg</v>
      </c>
      <c r="D6832" t="s">
        <v>16</v>
      </c>
      <c r="G6832" t="s">
        <v>3120</v>
      </c>
      <c r="I6832" t="s">
        <v>529</v>
      </c>
      <c r="J6832" t="s">
        <v>8363</v>
      </c>
      <c r="L6832" t="s">
        <v>8364</v>
      </c>
      <c r="M6832" t="s">
        <v>8333</v>
      </c>
      <c r="N6832" t="s">
        <v>8333</v>
      </c>
      <c r="O6832" t="s">
        <v>23</v>
      </c>
      <c r="P6832" t="s">
        <v>24</v>
      </c>
      <c r="Q6832" t="s">
        <v>642</v>
      </c>
      <c r="R6832" t="s">
        <v>1214</v>
      </c>
    </row>
    <row r="6833" spans="1:18" x14ac:dyDescent="0.25">
      <c r="A6833" t="s">
        <v>14988</v>
      </c>
      <c r="B6833" t="s">
        <v>8372</v>
      </c>
      <c r="C6833" t="str">
        <f>HYPERLINK("https://nematode.unl.edu/mesorna17.jpg")</f>
        <v>https://nematode.unl.edu/mesorna17.jpg</v>
      </c>
      <c r="D6833" t="s">
        <v>16</v>
      </c>
      <c r="G6833" t="s">
        <v>96</v>
      </c>
      <c r="H6833" t="s">
        <v>18</v>
      </c>
      <c r="I6833" t="s">
        <v>41</v>
      </c>
      <c r="M6833" t="s">
        <v>8333</v>
      </c>
      <c r="N6833" t="s">
        <v>8333</v>
      </c>
      <c r="O6833" t="s">
        <v>23</v>
      </c>
      <c r="P6833" t="s">
        <v>24</v>
      </c>
      <c r="Q6833" t="s">
        <v>642</v>
      </c>
      <c r="R6833" t="s">
        <v>1214</v>
      </c>
    </row>
    <row r="6834" spans="1:18" x14ac:dyDescent="0.25">
      <c r="A6834" t="s">
        <v>15001</v>
      </c>
      <c r="B6834" t="s">
        <v>8373</v>
      </c>
      <c r="C6834" t="str">
        <f>HYPERLINK("https://nematode.unl.edu/mesorna18.jpg")</f>
        <v>https://nematode.unl.edu/mesorna18.jpg</v>
      </c>
      <c r="D6834" t="s">
        <v>16</v>
      </c>
      <c r="G6834" t="s">
        <v>34</v>
      </c>
      <c r="H6834" t="s">
        <v>18</v>
      </c>
      <c r="M6834" t="s">
        <v>8333</v>
      </c>
      <c r="N6834" t="s">
        <v>8333</v>
      </c>
      <c r="O6834" t="s">
        <v>23</v>
      </c>
      <c r="P6834" t="s">
        <v>24</v>
      </c>
      <c r="Q6834" t="s">
        <v>642</v>
      </c>
      <c r="R6834" t="s">
        <v>1214</v>
      </c>
    </row>
    <row r="6835" spans="1:18" x14ac:dyDescent="0.25">
      <c r="A6835" t="s">
        <v>14989</v>
      </c>
      <c r="B6835" t="s">
        <v>8374</v>
      </c>
      <c r="C6835" t="str">
        <f>HYPERLINK("https://nematode.unl.edu/mesorna19.jpg")</f>
        <v>https://nematode.unl.edu/mesorna19.jpg</v>
      </c>
      <c r="D6835" t="s">
        <v>16</v>
      </c>
      <c r="G6835" t="s">
        <v>96</v>
      </c>
      <c r="H6835" t="s">
        <v>18</v>
      </c>
      <c r="M6835" t="s">
        <v>8333</v>
      </c>
      <c r="N6835" t="s">
        <v>8333</v>
      </c>
      <c r="O6835" t="s">
        <v>23</v>
      </c>
      <c r="P6835" t="s">
        <v>24</v>
      </c>
      <c r="Q6835" t="s">
        <v>642</v>
      </c>
      <c r="R6835" t="s">
        <v>1214</v>
      </c>
    </row>
    <row r="6836" spans="1:18" x14ac:dyDescent="0.25">
      <c r="A6836" t="s">
        <v>15002</v>
      </c>
      <c r="B6836" t="s">
        <v>8375</v>
      </c>
      <c r="C6836" t="str">
        <f>HYPERLINK("https://nematode.unl.edu/mesorna2.jpg")</f>
        <v>https://nematode.unl.edu/mesorna2.jpg</v>
      </c>
      <c r="D6836" t="s">
        <v>43</v>
      </c>
      <c r="G6836" t="s">
        <v>34</v>
      </c>
      <c r="H6836" t="s">
        <v>18</v>
      </c>
      <c r="I6836" t="s">
        <v>41</v>
      </c>
      <c r="M6836" t="s">
        <v>8333</v>
      </c>
      <c r="N6836" t="s">
        <v>8333</v>
      </c>
      <c r="O6836" t="s">
        <v>23</v>
      </c>
      <c r="P6836" t="s">
        <v>24</v>
      </c>
      <c r="Q6836" t="s">
        <v>642</v>
      </c>
      <c r="R6836" t="s">
        <v>1214</v>
      </c>
    </row>
    <row r="6837" spans="1:18" x14ac:dyDescent="0.25">
      <c r="A6837" t="s">
        <v>15045</v>
      </c>
      <c r="B6837" t="s">
        <v>8376</v>
      </c>
      <c r="C6837" t="str">
        <f>HYPERLINK("https://nematode.unl.edu/mesorna20.jpg")</f>
        <v>https://nematode.unl.edu/mesorna20.jpg</v>
      </c>
      <c r="D6837" t="s">
        <v>16</v>
      </c>
      <c r="G6837" t="s">
        <v>224</v>
      </c>
      <c r="M6837" t="s">
        <v>8333</v>
      </c>
      <c r="N6837" t="s">
        <v>8333</v>
      </c>
      <c r="O6837" t="s">
        <v>23</v>
      </c>
      <c r="P6837" t="s">
        <v>24</v>
      </c>
      <c r="Q6837" t="s">
        <v>642</v>
      </c>
      <c r="R6837" t="s">
        <v>1214</v>
      </c>
    </row>
    <row r="6838" spans="1:18" x14ac:dyDescent="0.25">
      <c r="A6838" t="s">
        <v>15003</v>
      </c>
      <c r="B6838" t="s">
        <v>8377</v>
      </c>
      <c r="C6838" t="str">
        <f>HYPERLINK("https://nematode.unl.edu/mesorna21.jpg")</f>
        <v>https://nematode.unl.edu/mesorna21.jpg</v>
      </c>
      <c r="D6838" t="s">
        <v>16</v>
      </c>
      <c r="G6838" t="s">
        <v>34</v>
      </c>
      <c r="H6838" t="s">
        <v>18</v>
      </c>
      <c r="I6838" t="s">
        <v>41</v>
      </c>
      <c r="M6838" t="s">
        <v>8333</v>
      </c>
      <c r="N6838" t="s">
        <v>8333</v>
      </c>
      <c r="O6838" t="s">
        <v>23</v>
      </c>
      <c r="P6838" t="s">
        <v>24</v>
      </c>
      <c r="Q6838" t="s">
        <v>642</v>
      </c>
      <c r="R6838" t="s">
        <v>1214</v>
      </c>
    </row>
    <row r="6839" spans="1:18" x14ac:dyDescent="0.25">
      <c r="A6839" t="s">
        <v>14990</v>
      </c>
      <c r="B6839" t="s">
        <v>8378</v>
      </c>
      <c r="C6839" t="str">
        <f>HYPERLINK("https://nematode.unl.edu/mesorna22.jpg")</f>
        <v>https://nematode.unl.edu/mesorna22.jpg</v>
      </c>
      <c r="D6839" t="s">
        <v>16</v>
      </c>
      <c r="G6839" t="s">
        <v>96</v>
      </c>
      <c r="H6839" t="s">
        <v>18</v>
      </c>
      <c r="I6839" t="s">
        <v>41</v>
      </c>
      <c r="M6839" t="s">
        <v>8333</v>
      </c>
      <c r="N6839" t="s">
        <v>8333</v>
      </c>
      <c r="O6839" t="s">
        <v>23</v>
      </c>
      <c r="P6839" t="s">
        <v>24</v>
      </c>
      <c r="Q6839" t="s">
        <v>642</v>
      </c>
      <c r="R6839" t="s">
        <v>1214</v>
      </c>
    </row>
    <row r="6840" spans="1:18" x14ac:dyDescent="0.25">
      <c r="A6840" t="s">
        <v>15046</v>
      </c>
      <c r="B6840" t="s">
        <v>8379</v>
      </c>
      <c r="C6840" t="str">
        <f>HYPERLINK("https://nematode.unl.edu/mesorna23.jpg")</f>
        <v>https://nematode.unl.edu/mesorna23.jpg</v>
      </c>
      <c r="G6840" t="s">
        <v>224</v>
      </c>
      <c r="I6840" t="s">
        <v>41</v>
      </c>
      <c r="M6840" t="s">
        <v>8333</v>
      </c>
      <c r="N6840" t="s">
        <v>8333</v>
      </c>
      <c r="O6840" t="s">
        <v>23</v>
      </c>
      <c r="P6840" t="s">
        <v>24</v>
      </c>
      <c r="Q6840" t="s">
        <v>642</v>
      </c>
      <c r="R6840" t="s">
        <v>1214</v>
      </c>
    </row>
    <row r="6841" spans="1:18" x14ac:dyDescent="0.25">
      <c r="A6841" t="s">
        <v>15047</v>
      </c>
      <c r="B6841" t="s">
        <v>8380</v>
      </c>
      <c r="C6841" t="str">
        <f>HYPERLINK("https://nematode.unl.edu/mesorna24.jpg")</f>
        <v>https://nematode.unl.edu/mesorna24.jpg</v>
      </c>
      <c r="D6841" t="s">
        <v>16</v>
      </c>
      <c r="G6841" t="s">
        <v>224</v>
      </c>
      <c r="I6841" t="s">
        <v>41</v>
      </c>
      <c r="M6841" t="s">
        <v>8333</v>
      </c>
      <c r="N6841" t="s">
        <v>8333</v>
      </c>
      <c r="O6841" t="s">
        <v>23</v>
      </c>
      <c r="P6841" t="s">
        <v>24</v>
      </c>
      <c r="Q6841" t="s">
        <v>642</v>
      </c>
      <c r="R6841" t="s">
        <v>1214</v>
      </c>
    </row>
    <row r="6842" spans="1:18" x14ac:dyDescent="0.25">
      <c r="A6842" t="s">
        <v>15062</v>
      </c>
      <c r="B6842" t="s">
        <v>8381</v>
      </c>
      <c r="C6842" t="str">
        <f>HYPERLINK("https://nematode.unl.edu/mesorna3.jpg")</f>
        <v>https://nematode.unl.edu/mesorna3.jpg</v>
      </c>
      <c r="D6842" t="s">
        <v>43</v>
      </c>
      <c r="G6842" t="s">
        <v>28</v>
      </c>
      <c r="I6842" t="s">
        <v>41</v>
      </c>
      <c r="M6842" t="s">
        <v>8333</v>
      </c>
      <c r="N6842" t="s">
        <v>8333</v>
      </c>
      <c r="O6842" t="s">
        <v>23</v>
      </c>
      <c r="P6842" t="s">
        <v>24</v>
      </c>
      <c r="Q6842" t="s">
        <v>642</v>
      </c>
      <c r="R6842" t="s">
        <v>1214</v>
      </c>
    </row>
    <row r="6843" spans="1:18" x14ac:dyDescent="0.25">
      <c r="A6843" t="s">
        <v>15033</v>
      </c>
      <c r="B6843" t="s">
        <v>8382</v>
      </c>
      <c r="C6843" t="str">
        <f>HYPERLINK("https://nematode.unl.edu/mesorna4.jpg")</f>
        <v>https://nematode.unl.edu/mesorna4.jpg</v>
      </c>
      <c r="D6843" t="s">
        <v>43</v>
      </c>
      <c r="G6843" t="s">
        <v>44</v>
      </c>
      <c r="I6843" t="s">
        <v>19</v>
      </c>
      <c r="J6843" t="s">
        <v>8363</v>
      </c>
      <c r="L6843" t="s">
        <v>8364</v>
      </c>
      <c r="M6843" t="s">
        <v>8333</v>
      </c>
      <c r="N6843" t="s">
        <v>8333</v>
      </c>
      <c r="O6843" t="s">
        <v>23</v>
      </c>
      <c r="P6843" t="s">
        <v>24</v>
      </c>
      <c r="Q6843" t="s">
        <v>642</v>
      </c>
      <c r="R6843" t="s">
        <v>1214</v>
      </c>
    </row>
    <row r="6844" spans="1:18" x14ac:dyDescent="0.25">
      <c r="A6844" t="s">
        <v>15004</v>
      </c>
      <c r="B6844" t="s">
        <v>8383</v>
      </c>
      <c r="C6844" t="str">
        <f>HYPERLINK("https://nematode.unl.edu/mesorna5.jpg")</f>
        <v>https://nematode.unl.edu/mesorna5.jpg</v>
      </c>
      <c r="D6844" t="s">
        <v>43</v>
      </c>
      <c r="G6844" t="s">
        <v>34</v>
      </c>
      <c r="H6844" t="s">
        <v>18</v>
      </c>
      <c r="M6844" t="s">
        <v>8333</v>
      </c>
      <c r="N6844" t="s">
        <v>8333</v>
      </c>
      <c r="O6844" t="s">
        <v>23</v>
      </c>
      <c r="P6844" t="s">
        <v>24</v>
      </c>
      <c r="Q6844" t="s">
        <v>642</v>
      </c>
      <c r="R6844" t="s">
        <v>1214</v>
      </c>
    </row>
    <row r="6845" spans="1:18" x14ac:dyDescent="0.25">
      <c r="A6845" t="s">
        <v>15034</v>
      </c>
      <c r="B6845" t="s">
        <v>8384</v>
      </c>
      <c r="C6845" t="str">
        <f>HYPERLINK("https://nematode.unl.edu/mesorna6.jpg")</f>
        <v>https://nematode.unl.edu/mesorna6.jpg</v>
      </c>
      <c r="D6845" t="s">
        <v>43</v>
      </c>
      <c r="G6845" t="s">
        <v>44</v>
      </c>
      <c r="I6845" t="s">
        <v>516</v>
      </c>
      <c r="J6845" t="s">
        <v>8363</v>
      </c>
      <c r="L6845" t="s">
        <v>8364</v>
      </c>
      <c r="M6845" t="s">
        <v>8333</v>
      </c>
      <c r="N6845" t="s">
        <v>8333</v>
      </c>
      <c r="O6845" t="s">
        <v>23</v>
      </c>
      <c r="P6845" t="s">
        <v>24</v>
      </c>
      <c r="Q6845" t="s">
        <v>642</v>
      </c>
      <c r="R6845" t="s">
        <v>1214</v>
      </c>
    </row>
    <row r="6846" spans="1:18" x14ac:dyDescent="0.25">
      <c r="A6846" t="s">
        <v>15005</v>
      </c>
      <c r="B6846" t="s">
        <v>8385</v>
      </c>
      <c r="C6846" t="str">
        <f>HYPERLINK("https://nematode.unl.edu/mesorna7.jpg")</f>
        <v>https://nematode.unl.edu/mesorna7.jpg</v>
      </c>
      <c r="D6846" t="s">
        <v>43</v>
      </c>
      <c r="G6846" t="s">
        <v>34</v>
      </c>
      <c r="H6846" t="s">
        <v>18</v>
      </c>
      <c r="M6846" t="s">
        <v>8333</v>
      </c>
      <c r="N6846" t="s">
        <v>8333</v>
      </c>
      <c r="O6846" t="s">
        <v>23</v>
      </c>
      <c r="P6846" t="s">
        <v>24</v>
      </c>
      <c r="Q6846" t="s">
        <v>642</v>
      </c>
      <c r="R6846" t="s">
        <v>1214</v>
      </c>
    </row>
    <row r="6847" spans="1:18" x14ac:dyDescent="0.25">
      <c r="A6847" t="s">
        <v>15063</v>
      </c>
      <c r="B6847" t="s">
        <v>8386</v>
      </c>
      <c r="C6847" t="str">
        <f>HYPERLINK("https://nematode.unl.edu/mesorna8.jpg")</f>
        <v>https://nematode.unl.edu/mesorna8.jpg</v>
      </c>
      <c r="D6847" t="s">
        <v>43</v>
      </c>
      <c r="G6847" t="s">
        <v>28</v>
      </c>
      <c r="I6847" t="s">
        <v>41</v>
      </c>
      <c r="M6847" t="s">
        <v>8333</v>
      </c>
      <c r="N6847" t="s">
        <v>8333</v>
      </c>
      <c r="O6847" t="s">
        <v>23</v>
      </c>
      <c r="P6847" t="s">
        <v>24</v>
      </c>
      <c r="Q6847" t="s">
        <v>642</v>
      </c>
      <c r="R6847" t="s">
        <v>1214</v>
      </c>
    </row>
    <row r="6848" spans="1:18" x14ac:dyDescent="0.25">
      <c r="A6848" t="s">
        <v>15081</v>
      </c>
      <c r="B6848" t="s">
        <v>8387</v>
      </c>
      <c r="C6848" t="str">
        <f>HYPERLINK("https://nematode.unl.edu/mesorna9.jpg")</f>
        <v>https://nematode.unl.edu/mesorna9.jpg</v>
      </c>
      <c r="D6848" t="s">
        <v>43</v>
      </c>
      <c r="G6848" t="s">
        <v>8388</v>
      </c>
      <c r="I6848" t="s">
        <v>529</v>
      </c>
      <c r="J6848" t="s">
        <v>8363</v>
      </c>
      <c r="L6848" t="s">
        <v>8364</v>
      </c>
      <c r="M6848" t="s">
        <v>8333</v>
      </c>
      <c r="N6848" t="s">
        <v>8333</v>
      </c>
      <c r="O6848" t="s">
        <v>23</v>
      </c>
      <c r="P6848" t="s">
        <v>24</v>
      </c>
      <c r="Q6848" t="s">
        <v>642</v>
      </c>
      <c r="R6848" t="s">
        <v>1214</v>
      </c>
    </row>
    <row r="6849" spans="1:18" x14ac:dyDescent="0.25">
      <c r="A6849" t="s">
        <v>15006</v>
      </c>
      <c r="B6849" t="s">
        <v>8389</v>
      </c>
      <c r="C6849" t="str">
        <f>HYPERLINK("https://nematode.unl.edu/mesornate1.jpg")</f>
        <v>https://nematode.unl.edu/mesornate1.jpg</v>
      </c>
      <c r="D6849" t="s">
        <v>43</v>
      </c>
      <c r="G6849" t="s">
        <v>34</v>
      </c>
      <c r="H6849" t="s">
        <v>18</v>
      </c>
      <c r="I6849" t="s">
        <v>41</v>
      </c>
      <c r="M6849" t="s">
        <v>8333</v>
      </c>
      <c r="N6849" t="s">
        <v>8333</v>
      </c>
      <c r="O6849" t="s">
        <v>23</v>
      </c>
      <c r="P6849" t="s">
        <v>24</v>
      </c>
      <c r="Q6849" t="s">
        <v>642</v>
      </c>
      <c r="R6849" t="s">
        <v>1214</v>
      </c>
    </row>
    <row r="6850" spans="1:18" x14ac:dyDescent="0.25">
      <c r="A6850" t="s">
        <v>14991</v>
      </c>
      <c r="B6850" t="s">
        <v>8390</v>
      </c>
      <c r="C6850" t="str">
        <f>HYPERLINK("https://nematode.unl.edu/mesornate10.jpg")</f>
        <v>https://nematode.unl.edu/mesornate10.jpg</v>
      </c>
      <c r="D6850" t="s">
        <v>16</v>
      </c>
      <c r="G6850" t="s">
        <v>96</v>
      </c>
      <c r="H6850" t="s">
        <v>18</v>
      </c>
      <c r="I6850" t="s">
        <v>41</v>
      </c>
      <c r="M6850" t="s">
        <v>8333</v>
      </c>
      <c r="N6850" t="s">
        <v>8333</v>
      </c>
      <c r="O6850" t="s">
        <v>23</v>
      </c>
      <c r="P6850" t="s">
        <v>24</v>
      </c>
      <c r="Q6850" t="s">
        <v>642</v>
      </c>
      <c r="R6850" t="s">
        <v>1214</v>
      </c>
    </row>
    <row r="6851" spans="1:18" x14ac:dyDescent="0.25">
      <c r="A6851" t="s">
        <v>15035</v>
      </c>
      <c r="B6851" t="s">
        <v>8391</v>
      </c>
      <c r="C6851" t="str">
        <f>HYPERLINK("https://nematode.unl.edu/mesornate11.jpg")</f>
        <v>https://nematode.unl.edu/mesornate11.jpg</v>
      </c>
      <c r="D6851" t="s">
        <v>43</v>
      </c>
      <c r="G6851" t="s">
        <v>44</v>
      </c>
      <c r="I6851" t="s">
        <v>19</v>
      </c>
      <c r="J6851" t="s">
        <v>8304</v>
      </c>
      <c r="K6851" t="s">
        <v>22852</v>
      </c>
      <c r="L6851" t="s">
        <v>1087</v>
      </c>
      <c r="M6851" t="s">
        <v>8333</v>
      </c>
      <c r="N6851" t="s">
        <v>8333</v>
      </c>
      <c r="O6851" t="s">
        <v>23</v>
      </c>
      <c r="P6851" t="s">
        <v>24</v>
      </c>
      <c r="Q6851" t="s">
        <v>642</v>
      </c>
      <c r="R6851" t="s">
        <v>1214</v>
      </c>
    </row>
    <row r="6852" spans="1:18" x14ac:dyDescent="0.25">
      <c r="A6852" t="s">
        <v>15007</v>
      </c>
      <c r="B6852" t="s">
        <v>8392</v>
      </c>
      <c r="C6852" t="str">
        <f>HYPERLINK("https://nematode.unl.edu/mesornate12.jpg")</f>
        <v>https://nematode.unl.edu/mesornate12.jpg</v>
      </c>
      <c r="D6852" t="s">
        <v>43</v>
      </c>
      <c r="G6852" t="s">
        <v>34</v>
      </c>
      <c r="H6852" t="s">
        <v>18</v>
      </c>
      <c r="I6852" t="s">
        <v>41</v>
      </c>
      <c r="M6852" t="s">
        <v>8333</v>
      </c>
      <c r="N6852" t="s">
        <v>8333</v>
      </c>
      <c r="O6852" t="s">
        <v>23</v>
      </c>
      <c r="P6852" t="s">
        <v>24</v>
      </c>
      <c r="Q6852" t="s">
        <v>642</v>
      </c>
      <c r="R6852" t="s">
        <v>1214</v>
      </c>
    </row>
    <row r="6853" spans="1:18" x14ac:dyDescent="0.25">
      <c r="A6853" t="s">
        <v>15064</v>
      </c>
      <c r="B6853" t="s">
        <v>8393</v>
      </c>
      <c r="C6853" t="str">
        <f>HYPERLINK("https://nematode.unl.edu/mesornate13.jpg")</f>
        <v>https://nematode.unl.edu/mesornate13.jpg</v>
      </c>
      <c r="D6853" t="s">
        <v>43</v>
      </c>
      <c r="G6853" t="s">
        <v>28</v>
      </c>
      <c r="I6853" t="s">
        <v>41</v>
      </c>
      <c r="M6853" t="s">
        <v>8333</v>
      </c>
      <c r="N6853" t="s">
        <v>8333</v>
      </c>
      <c r="O6853" t="s">
        <v>23</v>
      </c>
      <c r="P6853" t="s">
        <v>24</v>
      </c>
      <c r="Q6853" t="s">
        <v>642</v>
      </c>
      <c r="R6853" t="s">
        <v>1214</v>
      </c>
    </row>
    <row r="6854" spans="1:18" x14ac:dyDescent="0.25">
      <c r="A6854" t="s">
        <v>15065</v>
      </c>
      <c r="B6854" t="s">
        <v>8394</v>
      </c>
      <c r="C6854" t="str">
        <f>HYPERLINK("https://nematode.unl.edu/mesornate2.jpg")</f>
        <v>https://nematode.unl.edu/mesornate2.jpg</v>
      </c>
      <c r="D6854" t="s">
        <v>43</v>
      </c>
      <c r="G6854" t="s">
        <v>28</v>
      </c>
      <c r="I6854" t="s">
        <v>41</v>
      </c>
      <c r="M6854" t="s">
        <v>8333</v>
      </c>
      <c r="N6854" t="s">
        <v>8333</v>
      </c>
      <c r="O6854" t="s">
        <v>23</v>
      </c>
      <c r="P6854" t="s">
        <v>24</v>
      </c>
      <c r="Q6854" t="s">
        <v>642</v>
      </c>
      <c r="R6854" t="s">
        <v>1214</v>
      </c>
    </row>
    <row r="6855" spans="1:18" x14ac:dyDescent="0.25">
      <c r="A6855" t="s">
        <v>15036</v>
      </c>
      <c r="B6855" t="s">
        <v>8395</v>
      </c>
      <c r="C6855" t="str">
        <f>HYPERLINK("https://nematode.unl.edu/mesornate3.jpg")</f>
        <v>https://nematode.unl.edu/mesornate3.jpg</v>
      </c>
      <c r="D6855" t="s">
        <v>16</v>
      </c>
      <c r="G6855" t="s">
        <v>44</v>
      </c>
      <c r="I6855" t="s">
        <v>19</v>
      </c>
      <c r="J6855" t="s">
        <v>8304</v>
      </c>
      <c r="K6855" t="s">
        <v>22852</v>
      </c>
      <c r="L6855" t="s">
        <v>1087</v>
      </c>
      <c r="M6855" t="s">
        <v>8333</v>
      </c>
      <c r="N6855" t="s">
        <v>8333</v>
      </c>
      <c r="O6855" t="s">
        <v>23</v>
      </c>
      <c r="P6855" t="s">
        <v>24</v>
      </c>
      <c r="Q6855" t="s">
        <v>642</v>
      </c>
      <c r="R6855" t="s">
        <v>1214</v>
      </c>
    </row>
    <row r="6856" spans="1:18" x14ac:dyDescent="0.25">
      <c r="A6856" t="s">
        <v>15008</v>
      </c>
      <c r="B6856" t="s">
        <v>8396</v>
      </c>
      <c r="C6856" t="str">
        <f>HYPERLINK("https://nematode.unl.edu/mesornate4.jpg")</f>
        <v>https://nematode.unl.edu/mesornate4.jpg</v>
      </c>
      <c r="G6856" t="s">
        <v>34</v>
      </c>
      <c r="H6856" t="s">
        <v>18</v>
      </c>
      <c r="I6856" t="s">
        <v>41</v>
      </c>
      <c r="M6856" t="s">
        <v>8333</v>
      </c>
      <c r="N6856" t="s">
        <v>8333</v>
      </c>
      <c r="O6856" t="s">
        <v>23</v>
      </c>
      <c r="P6856" t="s">
        <v>24</v>
      </c>
      <c r="Q6856" t="s">
        <v>642</v>
      </c>
      <c r="R6856" t="s">
        <v>1214</v>
      </c>
    </row>
    <row r="6857" spans="1:18" x14ac:dyDescent="0.25">
      <c r="A6857" t="s">
        <v>15066</v>
      </c>
      <c r="B6857" t="s">
        <v>8397</v>
      </c>
      <c r="C6857" t="str">
        <f>HYPERLINK("https://nematode.unl.edu/mesornate5.jpg")</f>
        <v>https://nematode.unl.edu/mesornate5.jpg</v>
      </c>
      <c r="D6857" t="s">
        <v>16</v>
      </c>
      <c r="G6857" t="s">
        <v>28</v>
      </c>
      <c r="I6857" t="s">
        <v>41</v>
      </c>
      <c r="M6857" t="s">
        <v>8333</v>
      </c>
      <c r="N6857" t="s">
        <v>8333</v>
      </c>
      <c r="O6857" t="s">
        <v>23</v>
      </c>
      <c r="P6857" t="s">
        <v>24</v>
      </c>
      <c r="Q6857" t="s">
        <v>642</v>
      </c>
      <c r="R6857" t="s">
        <v>1214</v>
      </c>
    </row>
    <row r="6858" spans="1:18" x14ac:dyDescent="0.25">
      <c r="A6858" t="s">
        <v>15037</v>
      </c>
      <c r="B6858" t="s">
        <v>8398</v>
      </c>
      <c r="C6858" t="str">
        <f>HYPERLINK("https://nematode.unl.edu/mesornate6.jpg")</f>
        <v>https://nematode.unl.edu/mesornate6.jpg</v>
      </c>
      <c r="D6858" t="s">
        <v>16</v>
      </c>
      <c r="G6858" t="s">
        <v>44</v>
      </c>
      <c r="I6858" t="s">
        <v>41</v>
      </c>
      <c r="M6858" t="s">
        <v>8333</v>
      </c>
      <c r="N6858" t="s">
        <v>8333</v>
      </c>
      <c r="O6858" t="s">
        <v>23</v>
      </c>
      <c r="P6858" t="s">
        <v>24</v>
      </c>
      <c r="Q6858" t="s">
        <v>642</v>
      </c>
      <c r="R6858" t="s">
        <v>1214</v>
      </c>
    </row>
    <row r="6859" spans="1:18" x14ac:dyDescent="0.25">
      <c r="A6859" t="s">
        <v>15038</v>
      </c>
      <c r="B6859" t="s">
        <v>8399</v>
      </c>
      <c r="C6859" t="str">
        <f>HYPERLINK("https://nematode.unl.edu/mesornate7.jpg")</f>
        <v>https://nematode.unl.edu/mesornate7.jpg</v>
      </c>
      <c r="D6859" t="s">
        <v>16</v>
      </c>
      <c r="G6859" t="s">
        <v>44</v>
      </c>
      <c r="I6859" t="s">
        <v>19</v>
      </c>
      <c r="J6859" t="s">
        <v>8304</v>
      </c>
      <c r="K6859" t="s">
        <v>22852</v>
      </c>
      <c r="L6859" t="s">
        <v>1087</v>
      </c>
      <c r="M6859" t="s">
        <v>8333</v>
      </c>
      <c r="N6859" t="s">
        <v>8333</v>
      </c>
      <c r="O6859" t="s">
        <v>23</v>
      </c>
      <c r="P6859" t="s">
        <v>24</v>
      </c>
      <c r="Q6859" t="s">
        <v>642</v>
      </c>
      <c r="R6859" t="s">
        <v>1214</v>
      </c>
    </row>
    <row r="6860" spans="1:18" x14ac:dyDescent="0.25">
      <c r="A6860" t="s">
        <v>15009</v>
      </c>
      <c r="B6860" t="s">
        <v>8400</v>
      </c>
      <c r="C6860" t="str">
        <f>HYPERLINK("https://nematode.unl.edu/mesornate8.jpg")</f>
        <v>https://nematode.unl.edu/mesornate8.jpg</v>
      </c>
      <c r="D6860" t="s">
        <v>16</v>
      </c>
      <c r="G6860" t="s">
        <v>34</v>
      </c>
      <c r="H6860" t="s">
        <v>18</v>
      </c>
      <c r="I6860" t="s">
        <v>41</v>
      </c>
      <c r="M6860" t="s">
        <v>8333</v>
      </c>
      <c r="N6860" t="s">
        <v>8333</v>
      </c>
      <c r="O6860" t="s">
        <v>23</v>
      </c>
      <c r="P6860" t="s">
        <v>24</v>
      </c>
      <c r="Q6860" t="s">
        <v>642</v>
      </c>
      <c r="R6860" t="s">
        <v>1214</v>
      </c>
    </row>
    <row r="6861" spans="1:18" x14ac:dyDescent="0.25">
      <c r="A6861" t="s">
        <v>15067</v>
      </c>
      <c r="B6861" t="s">
        <v>8401</v>
      </c>
      <c r="C6861" t="str">
        <f>HYPERLINK("https://nematode.unl.edu/mesornate9.jpg")</f>
        <v>https://nematode.unl.edu/mesornate9.jpg</v>
      </c>
      <c r="D6861" t="s">
        <v>16</v>
      </c>
      <c r="G6861" t="s">
        <v>28</v>
      </c>
      <c r="I6861" t="s">
        <v>41</v>
      </c>
      <c r="M6861" t="s">
        <v>8333</v>
      </c>
      <c r="N6861" t="s">
        <v>8333</v>
      </c>
      <c r="O6861" t="s">
        <v>23</v>
      </c>
      <c r="P6861" t="s">
        <v>24</v>
      </c>
      <c r="Q6861" t="s">
        <v>642</v>
      </c>
      <c r="R6861" t="s">
        <v>1214</v>
      </c>
    </row>
    <row r="6862" spans="1:18" x14ac:dyDescent="0.25">
      <c r="A6862" t="s">
        <v>14151</v>
      </c>
      <c r="B6862" t="s">
        <v>7500</v>
      </c>
      <c r="C6862" t="str">
        <f>HYPERLINK("https://nematode.unl.edu/mesoroth1.jpg")</f>
        <v>https://nematode.unl.edu/mesoroth1.jpg</v>
      </c>
      <c r="D6862" t="s">
        <v>43</v>
      </c>
      <c r="G6862" t="s">
        <v>44</v>
      </c>
      <c r="I6862" t="s">
        <v>516</v>
      </c>
      <c r="J6862" t="s">
        <v>1249</v>
      </c>
      <c r="M6862" t="s">
        <v>1214</v>
      </c>
      <c r="N6862" t="s">
        <v>1214</v>
      </c>
      <c r="O6862" t="s">
        <v>23</v>
      </c>
      <c r="P6862" t="s">
        <v>24</v>
      </c>
      <c r="Q6862" t="s">
        <v>642</v>
      </c>
      <c r="R6862" t="s">
        <v>1214</v>
      </c>
    </row>
    <row r="6863" spans="1:18" x14ac:dyDescent="0.25">
      <c r="A6863" t="s">
        <v>14152</v>
      </c>
      <c r="B6863" t="s">
        <v>7501</v>
      </c>
      <c r="C6863" t="str">
        <f>HYPERLINK("https://nematode.unl.edu/mesoroth10.jpg")</f>
        <v>https://nematode.unl.edu/mesoroth10.jpg</v>
      </c>
      <c r="D6863" t="s">
        <v>43</v>
      </c>
      <c r="G6863" t="s">
        <v>44</v>
      </c>
      <c r="I6863" t="s">
        <v>19</v>
      </c>
      <c r="J6863" t="s">
        <v>1249</v>
      </c>
      <c r="M6863" t="s">
        <v>1214</v>
      </c>
      <c r="N6863" t="s">
        <v>1214</v>
      </c>
      <c r="O6863" t="s">
        <v>23</v>
      </c>
      <c r="P6863" t="s">
        <v>24</v>
      </c>
      <c r="Q6863" t="s">
        <v>642</v>
      </c>
      <c r="R6863" t="s">
        <v>1214</v>
      </c>
    </row>
    <row r="6864" spans="1:18" x14ac:dyDescent="0.25">
      <c r="A6864" t="s">
        <v>14086</v>
      </c>
      <c r="B6864" t="s">
        <v>7502</v>
      </c>
      <c r="C6864" t="str">
        <f>HYPERLINK("https://nematode.unl.edu/mesoroth11.jpg")</f>
        <v>https://nematode.unl.edu/mesoroth11.jpg</v>
      </c>
      <c r="D6864" t="s">
        <v>43</v>
      </c>
      <c r="G6864" t="s">
        <v>34</v>
      </c>
      <c r="H6864" t="s">
        <v>18</v>
      </c>
      <c r="I6864" t="s">
        <v>41</v>
      </c>
      <c r="M6864" t="s">
        <v>1214</v>
      </c>
      <c r="N6864" t="s">
        <v>1214</v>
      </c>
      <c r="O6864" t="s">
        <v>23</v>
      </c>
      <c r="P6864" t="s">
        <v>24</v>
      </c>
      <c r="Q6864" t="s">
        <v>642</v>
      </c>
      <c r="R6864" t="s">
        <v>1214</v>
      </c>
    </row>
    <row r="6865" spans="1:18" x14ac:dyDescent="0.25">
      <c r="A6865" t="s">
        <v>14209</v>
      </c>
      <c r="B6865" t="s">
        <v>7503</v>
      </c>
      <c r="C6865" t="str">
        <f>HYPERLINK("https://nematode.unl.edu/mesoroth12.jpg")</f>
        <v>https://nematode.unl.edu/mesoroth12.jpg</v>
      </c>
      <c r="D6865" t="s">
        <v>43</v>
      </c>
      <c r="G6865" t="s">
        <v>28</v>
      </c>
      <c r="M6865" t="s">
        <v>1214</v>
      </c>
      <c r="N6865" t="s">
        <v>1214</v>
      </c>
      <c r="O6865" t="s">
        <v>23</v>
      </c>
      <c r="P6865" t="s">
        <v>24</v>
      </c>
      <c r="Q6865" t="s">
        <v>642</v>
      </c>
      <c r="R6865" t="s">
        <v>1214</v>
      </c>
    </row>
    <row r="6866" spans="1:18" x14ac:dyDescent="0.25">
      <c r="A6866" t="s">
        <v>14223</v>
      </c>
      <c r="B6866" t="s">
        <v>7504</v>
      </c>
      <c r="C6866" t="str">
        <f>HYPERLINK("https://nematode.unl.edu/mesoroth13.jpg")</f>
        <v>https://nematode.unl.edu/mesoroth13.jpg</v>
      </c>
      <c r="D6866" t="s">
        <v>43</v>
      </c>
      <c r="G6866" t="s">
        <v>51</v>
      </c>
      <c r="I6866" t="s">
        <v>41</v>
      </c>
      <c r="M6866" t="s">
        <v>1214</v>
      </c>
      <c r="N6866" t="s">
        <v>1214</v>
      </c>
      <c r="O6866" t="s">
        <v>23</v>
      </c>
      <c r="P6866" t="s">
        <v>24</v>
      </c>
      <c r="Q6866" t="s">
        <v>642</v>
      </c>
      <c r="R6866" t="s">
        <v>1214</v>
      </c>
    </row>
    <row r="6867" spans="1:18" x14ac:dyDescent="0.25">
      <c r="A6867" t="s">
        <v>14107</v>
      </c>
      <c r="B6867" t="s">
        <v>7505</v>
      </c>
      <c r="C6867" t="str">
        <f>HYPERLINK("https://nematode.unl.edu/mesoroth14.jpg")</f>
        <v>https://nematode.unl.edu/mesoroth14.jpg</v>
      </c>
      <c r="D6867" t="s">
        <v>77</v>
      </c>
      <c r="G6867" t="s">
        <v>3942</v>
      </c>
      <c r="I6867" t="s">
        <v>41</v>
      </c>
      <c r="J6867" t="s">
        <v>1249</v>
      </c>
      <c r="M6867" t="s">
        <v>1214</v>
      </c>
      <c r="N6867" t="s">
        <v>1214</v>
      </c>
      <c r="O6867" t="s">
        <v>23</v>
      </c>
      <c r="P6867" t="s">
        <v>24</v>
      </c>
      <c r="Q6867" t="s">
        <v>642</v>
      </c>
      <c r="R6867" t="s">
        <v>1214</v>
      </c>
    </row>
    <row r="6868" spans="1:18" x14ac:dyDescent="0.25">
      <c r="A6868" t="s">
        <v>14153</v>
      </c>
      <c r="B6868" t="s">
        <v>7506</v>
      </c>
      <c r="C6868" t="str">
        <f>HYPERLINK("https://nematode.unl.edu/mesoroth15.jpg")</f>
        <v>https://nematode.unl.edu/mesoroth15.jpg</v>
      </c>
      <c r="D6868" t="s">
        <v>43</v>
      </c>
      <c r="G6868" t="s">
        <v>44</v>
      </c>
      <c r="I6868" t="s">
        <v>516</v>
      </c>
      <c r="J6868" t="s">
        <v>1249</v>
      </c>
      <c r="M6868" t="s">
        <v>1214</v>
      </c>
      <c r="N6868" t="s">
        <v>1214</v>
      </c>
      <c r="O6868" t="s">
        <v>23</v>
      </c>
      <c r="P6868" t="s">
        <v>24</v>
      </c>
      <c r="Q6868" t="s">
        <v>642</v>
      </c>
      <c r="R6868" t="s">
        <v>1214</v>
      </c>
    </row>
    <row r="6869" spans="1:18" x14ac:dyDescent="0.25">
      <c r="A6869" t="s">
        <v>14087</v>
      </c>
      <c r="B6869" t="s">
        <v>7507</v>
      </c>
      <c r="C6869" t="str">
        <f>HYPERLINK("https://nematode.unl.edu/mesoroth16.jpg")</f>
        <v>https://nematode.unl.edu/mesoroth16.jpg</v>
      </c>
      <c r="D6869" t="s">
        <v>43</v>
      </c>
      <c r="G6869" t="s">
        <v>34</v>
      </c>
      <c r="H6869" t="s">
        <v>18</v>
      </c>
      <c r="I6869" t="s">
        <v>41</v>
      </c>
      <c r="M6869" t="s">
        <v>1214</v>
      </c>
      <c r="N6869" t="s">
        <v>1214</v>
      </c>
      <c r="O6869" t="s">
        <v>23</v>
      </c>
      <c r="P6869" t="s">
        <v>24</v>
      </c>
      <c r="Q6869" t="s">
        <v>642</v>
      </c>
      <c r="R6869" t="s">
        <v>1214</v>
      </c>
    </row>
    <row r="6870" spans="1:18" x14ac:dyDescent="0.25">
      <c r="A6870" t="s">
        <v>14224</v>
      </c>
      <c r="B6870" t="s">
        <v>7508</v>
      </c>
      <c r="C6870" t="str">
        <f>HYPERLINK("https://nematode.unl.edu/mesoroth17.jpg")</f>
        <v>https://nematode.unl.edu/mesoroth17.jpg</v>
      </c>
      <c r="D6870" t="s">
        <v>43</v>
      </c>
      <c r="G6870" t="s">
        <v>51</v>
      </c>
      <c r="M6870" t="s">
        <v>1214</v>
      </c>
      <c r="N6870" t="s">
        <v>1214</v>
      </c>
      <c r="O6870" t="s">
        <v>23</v>
      </c>
      <c r="P6870" t="s">
        <v>24</v>
      </c>
      <c r="Q6870" t="s">
        <v>642</v>
      </c>
      <c r="R6870" t="s">
        <v>1214</v>
      </c>
    </row>
    <row r="6871" spans="1:18" x14ac:dyDescent="0.25">
      <c r="A6871" t="s">
        <v>14225</v>
      </c>
      <c r="B6871" t="s">
        <v>7509</v>
      </c>
      <c r="C6871" t="str">
        <f>HYPERLINK("https://nematode.unl.edu/mesoroth18.jpg")</f>
        <v>https://nematode.unl.edu/mesoroth18.jpg</v>
      </c>
      <c r="D6871" t="s">
        <v>43</v>
      </c>
      <c r="G6871" t="s">
        <v>51</v>
      </c>
      <c r="I6871" t="s">
        <v>41</v>
      </c>
      <c r="M6871" t="s">
        <v>1214</v>
      </c>
      <c r="N6871" t="s">
        <v>1214</v>
      </c>
      <c r="O6871" t="s">
        <v>23</v>
      </c>
      <c r="P6871" t="s">
        <v>24</v>
      </c>
      <c r="Q6871" t="s">
        <v>642</v>
      </c>
      <c r="R6871" t="s">
        <v>1214</v>
      </c>
    </row>
    <row r="6872" spans="1:18" x14ac:dyDescent="0.25">
      <c r="A6872" t="s">
        <v>14088</v>
      </c>
      <c r="B6872" t="s">
        <v>7510</v>
      </c>
      <c r="C6872" t="str">
        <f>HYPERLINK("https://nematode.unl.edu/mesoroth19.jpg")</f>
        <v>https://nematode.unl.edu/mesoroth19.jpg</v>
      </c>
      <c r="D6872" t="s">
        <v>43</v>
      </c>
      <c r="G6872" t="s">
        <v>34</v>
      </c>
      <c r="H6872" t="s">
        <v>18</v>
      </c>
      <c r="I6872" t="s">
        <v>41</v>
      </c>
      <c r="M6872" t="s">
        <v>1214</v>
      </c>
      <c r="N6872" t="s">
        <v>1214</v>
      </c>
      <c r="O6872" t="s">
        <v>23</v>
      </c>
      <c r="P6872" t="s">
        <v>24</v>
      </c>
      <c r="Q6872" t="s">
        <v>642</v>
      </c>
      <c r="R6872" t="s">
        <v>1214</v>
      </c>
    </row>
    <row r="6873" spans="1:18" x14ac:dyDescent="0.25">
      <c r="A6873" t="s">
        <v>14089</v>
      </c>
      <c r="B6873" t="s">
        <v>7511</v>
      </c>
      <c r="C6873" t="str">
        <f>HYPERLINK("https://nematode.unl.edu/mesoroth2.jpg")</f>
        <v>https://nematode.unl.edu/mesoroth2.jpg</v>
      </c>
      <c r="D6873" t="s">
        <v>43</v>
      </c>
      <c r="G6873" t="s">
        <v>34</v>
      </c>
      <c r="H6873" t="s">
        <v>18</v>
      </c>
      <c r="M6873" t="s">
        <v>1214</v>
      </c>
      <c r="N6873" t="s">
        <v>1214</v>
      </c>
      <c r="O6873" t="s">
        <v>23</v>
      </c>
      <c r="P6873" t="s">
        <v>24</v>
      </c>
      <c r="Q6873" t="s">
        <v>642</v>
      </c>
      <c r="R6873" t="s">
        <v>1214</v>
      </c>
    </row>
    <row r="6874" spans="1:18" x14ac:dyDescent="0.25">
      <c r="A6874" t="s">
        <v>14154</v>
      </c>
      <c r="B6874" t="s">
        <v>7512</v>
      </c>
      <c r="C6874" t="str">
        <f>HYPERLINK("https://nematode.unl.edu/mesoroth20.jpg")</f>
        <v>https://nematode.unl.edu/mesoroth20.jpg</v>
      </c>
      <c r="D6874" t="s">
        <v>43</v>
      </c>
      <c r="G6874" t="s">
        <v>44</v>
      </c>
      <c r="I6874" t="s">
        <v>19</v>
      </c>
      <c r="J6874" t="s">
        <v>1249</v>
      </c>
      <c r="L6874" t="s">
        <v>6949</v>
      </c>
      <c r="M6874" t="s">
        <v>1214</v>
      </c>
      <c r="N6874" t="s">
        <v>1214</v>
      </c>
      <c r="O6874" t="s">
        <v>23</v>
      </c>
      <c r="P6874" t="s">
        <v>24</v>
      </c>
      <c r="Q6874" t="s">
        <v>642</v>
      </c>
      <c r="R6874" t="s">
        <v>1214</v>
      </c>
    </row>
    <row r="6875" spans="1:18" x14ac:dyDescent="0.25">
      <c r="A6875" t="s">
        <v>14090</v>
      </c>
      <c r="B6875" t="s">
        <v>7513</v>
      </c>
      <c r="C6875" t="str">
        <f>HYPERLINK("https://nematode.unl.edu/mesoroth21.jpg")</f>
        <v>https://nematode.unl.edu/mesoroth21.jpg</v>
      </c>
      <c r="D6875" t="s">
        <v>43</v>
      </c>
      <c r="G6875" t="s">
        <v>34</v>
      </c>
      <c r="H6875" t="s">
        <v>18</v>
      </c>
      <c r="I6875" t="s">
        <v>41</v>
      </c>
      <c r="M6875" t="s">
        <v>1214</v>
      </c>
      <c r="N6875" t="s">
        <v>1214</v>
      </c>
      <c r="O6875" t="s">
        <v>23</v>
      </c>
      <c r="P6875" t="s">
        <v>24</v>
      </c>
      <c r="Q6875" t="s">
        <v>642</v>
      </c>
      <c r="R6875" t="s">
        <v>1214</v>
      </c>
    </row>
    <row r="6876" spans="1:18" x14ac:dyDescent="0.25">
      <c r="A6876" t="s">
        <v>14210</v>
      </c>
      <c r="B6876" t="s">
        <v>7514</v>
      </c>
      <c r="C6876" t="str">
        <f>HYPERLINK("https://nematode.unl.edu/mesoroth22.jpg")</f>
        <v>https://nematode.unl.edu/mesoroth22.jpg</v>
      </c>
      <c r="D6876" t="s">
        <v>43</v>
      </c>
      <c r="G6876" t="s">
        <v>28</v>
      </c>
      <c r="M6876" t="s">
        <v>1214</v>
      </c>
      <c r="N6876" t="s">
        <v>1214</v>
      </c>
      <c r="O6876" t="s">
        <v>23</v>
      </c>
      <c r="P6876" t="s">
        <v>24</v>
      </c>
      <c r="Q6876" t="s">
        <v>642</v>
      </c>
      <c r="R6876" t="s">
        <v>1214</v>
      </c>
    </row>
    <row r="6877" spans="1:18" x14ac:dyDescent="0.25">
      <c r="A6877" t="s">
        <v>14226</v>
      </c>
      <c r="B6877" t="s">
        <v>7515</v>
      </c>
      <c r="C6877" t="str">
        <f>HYPERLINK("https://nematode.unl.edu/mesoroth23.jpg")</f>
        <v>https://nematode.unl.edu/mesoroth23.jpg</v>
      </c>
      <c r="D6877" t="s">
        <v>43</v>
      </c>
      <c r="G6877" t="s">
        <v>51</v>
      </c>
      <c r="I6877" t="s">
        <v>41</v>
      </c>
      <c r="M6877" t="s">
        <v>1214</v>
      </c>
      <c r="N6877" t="s">
        <v>1214</v>
      </c>
      <c r="O6877" t="s">
        <v>23</v>
      </c>
      <c r="P6877" t="s">
        <v>24</v>
      </c>
      <c r="Q6877" t="s">
        <v>642</v>
      </c>
      <c r="R6877" t="s">
        <v>1214</v>
      </c>
    </row>
    <row r="6878" spans="1:18" x14ac:dyDescent="0.25">
      <c r="A6878" t="s">
        <v>14091</v>
      </c>
      <c r="B6878" t="s">
        <v>7516</v>
      </c>
      <c r="C6878" t="str">
        <f>HYPERLINK("https://nematode.unl.edu/mesoroth24.jpg")</f>
        <v>https://nematode.unl.edu/mesoroth24.jpg</v>
      </c>
      <c r="D6878" t="s">
        <v>16</v>
      </c>
      <c r="G6878" t="s">
        <v>34</v>
      </c>
      <c r="H6878" t="s">
        <v>18</v>
      </c>
      <c r="M6878" t="s">
        <v>1214</v>
      </c>
      <c r="N6878" t="s">
        <v>1214</v>
      </c>
      <c r="O6878" t="s">
        <v>23</v>
      </c>
      <c r="P6878" t="s">
        <v>24</v>
      </c>
      <c r="Q6878" t="s">
        <v>642</v>
      </c>
      <c r="R6878" t="s">
        <v>1214</v>
      </c>
    </row>
    <row r="6879" spans="1:18" x14ac:dyDescent="0.25">
      <c r="A6879" t="s">
        <v>14211</v>
      </c>
      <c r="B6879" t="s">
        <v>7517</v>
      </c>
      <c r="C6879" t="str">
        <f>HYPERLINK("https://nematode.unl.edu/mesoroth25.jpg")</f>
        <v>https://nematode.unl.edu/mesoroth25.jpg</v>
      </c>
      <c r="D6879" t="s">
        <v>16</v>
      </c>
      <c r="G6879" t="s">
        <v>28</v>
      </c>
      <c r="M6879" t="s">
        <v>1214</v>
      </c>
      <c r="N6879" t="s">
        <v>1214</v>
      </c>
      <c r="O6879" t="s">
        <v>23</v>
      </c>
      <c r="P6879" t="s">
        <v>24</v>
      </c>
      <c r="Q6879" t="s">
        <v>642</v>
      </c>
      <c r="R6879" t="s">
        <v>1214</v>
      </c>
    </row>
    <row r="6880" spans="1:18" x14ac:dyDescent="0.25">
      <c r="A6880" t="s">
        <v>14174</v>
      </c>
      <c r="B6880" t="s">
        <v>7518</v>
      </c>
      <c r="C6880" t="str">
        <f>HYPERLINK("https://nematode.unl.edu/mesoroth26.jpg")</f>
        <v>https://nematode.unl.edu/mesoroth26.jpg</v>
      </c>
      <c r="D6880" t="s">
        <v>16</v>
      </c>
      <c r="G6880" t="s">
        <v>224</v>
      </c>
      <c r="I6880" t="s">
        <v>41</v>
      </c>
      <c r="M6880" t="s">
        <v>1214</v>
      </c>
      <c r="N6880" t="s">
        <v>1214</v>
      </c>
      <c r="O6880" t="s">
        <v>23</v>
      </c>
      <c r="P6880" t="s">
        <v>24</v>
      </c>
      <c r="Q6880" t="s">
        <v>642</v>
      </c>
      <c r="R6880" t="s">
        <v>1214</v>
      </c>
    </row>
    <row r="6881" spans="1:18" x14ac:dyDescent="0.25">
      <c r="A6881" t="s">
        <v>14212</v>
      </c>
      <c r="B6881" t="s">
        <v>7519</v>
      </c>
      <c r="C6881" t="str">
        <f>HYPERLINK("https://nematode.unl.edu/mesoroth3.jpg")</f>
        <v>https://nematode.unl.edu/mesoroth3.jpg</v>
      </c>
      <c r="D6881" t="s">
        <v>43</v>
      </c>
      <c r="G6881" t="s">
        <v>28</v>
      </c>
      <c r="I6881" t="s">
        <v>41</v>
      </c>
      <c r="M6881" t="s">
        <v>1214</v>
      </c>
      <c r="N6881" t="s">
        <v>1214</v>
      </c>
      <c r="O6881" t="s">
        <v>23</v>
      </c>
      <c r="P6881" t="s">
        <v>24</v>
      </c>
      <c r="Q6881" t="s">
        <v>642</v>
      </c>
      <c r="R6881" t="s">
        <v>1214</v>
      </c>
    </row>
    <row r="6882" spans="1:18" x14ac:dyDescent="0.25">
      <c r="A6882" t="s">
        <v>14227</v>
      </c>
      <c r="B6882" t="s">
        <v>7520</v>
      </c>
      <c r="C6882" t="str">
        <f>HYPERLINK("https://nematode.unl.edu/mesoroth4.jpg")</f>
        <v>https://nematode.unl.edu/mesoroth4.jpg</v>
      </c>
      <c r="D6882" t="s">
        <v>43</v>
      </c>
      <c r="G6882" t="s">
        <v>51</v>
      </c>
      <c r="M6882" t="s">
        <v>1214</v>
      </c>
      <c r="N6882" t="s">
        <v>1214</v>
      </c>
      <c r="O6882" t="s">
        <v>23</v>
      </c>
      <c r="P6882" t="s">
        <v>24</v>
      </c>
      <c r="Q6882" t="s">
        <v>642</v>
      </c>
      <c r="R6882" t="s">
        <v>1214</v>
      </c>
    </row>
    <row r="6883" spans="1:18" x14ac:dyDescent="0.25">
      <c r="A6883" t="s">
        <v>14177</v>
      </c>
      <c r="B6883" t="s">
        <v>7521</v>
      </c>
      <c r="C6883" t="str">
        <f>HYPERLINK("https://nematode.unl.edu/mesoroth5.jpg")</f>
        <v>https://nematode.unl.edu/mesoroth5.jpg</v>
      </c>
      <c r="D6883" t="s">
        <v>43</v>
      </c>
      <c r="G6883" t="s">
        <v>7004</v>
      </c>
      <c r="I6883" t="s">
        <v>529</v>
      </c>
      <c r="J6883" t="s">
        <v>1249</v>
      </c>
      <c r="M6883" t="s">
        <v>1214</v>
      </c>
      <c r="N6883" t="s">
        <v>1214</v>
      </c>
      <c r="O6883" t="s">
        <v>23</v>
      </c>
      <c r="P6883" t="s">
        <v>24</v>
      </c>
      <c r="Q6883" t="s">
        <v>642</v>
      </c>
      <c r="R6883" t="s">
        <v>1214</v>
      </c>
    </row>
    <row r="6884" spans="1:18" x14ac:dyDescent="0.25">
      <c r="A6884" t="s">
        <v>14155</v>
      </c>
      <c r="B6884" t="s">
        <v>7522</v>
      </c>
      <c r="C6884" t="str">
        <f>HYPERLINK("https://nematode.unl.edu/mesoroth6.jpg")</f>
        <v>https://nematode.unl.edu/mesoroth6.jpg</v>
      </c>
      <c r="D6884" t="s">
        <v>43</v>
      </c>
      <c r="G6884" t="s">
        <v>44</v>
      </c>
      <c r="I6884" t="s">
        <v>516</v>
      </c>
      <c r="J6884" t="s">
        <v>1249</v>
      </c>
      <c r="M6884" t="s">
        <v>1214</v>
      </c>
      <c r="N6884" t="s">
        <v>1214</v>
      </c>
      <c r="O6884" t="s">
        <v>23</v>
      </c>
      <c r="P6884" t="s">
        <v>24</v>
      </c>
      <c r="Q6884" t="s">
        <v>642</v>
      </c>
      <c r="R6884" t="s">
        <v>1214</v>
      </c>
    </row>
    <row r="6885" spans="1:18" x14ac:dyDescent="0.25">
      <c r="A6885" t="s">
        <v>14092</v>
      </c>
      <c r="B6885" t="s">
        <v>7523</v>
      </c>
      <c r="C6885" t="str">
        <f>HYPERLINK("https://nematode.unl.edu/mesoroth7.jpg")</f>
        <v>https://nematode.unl.edu/mesoroth7.jpg</v>
      </c>
      <c r="D6885" t="s">
        <v>43</v>
      </c>
      <c r="G6885" t="s">
        <v>34</v>
      </c>
      <c r="H6885" t="s">
        <v>18</v>
      </c>
      <c r="M6885" t="s">
        <v>1214</v>
      </c>
      <c r="N6885" t="s">
        <v>1214</v>
      </c>
      <c r="O6885" t="s">
        <v>23</v>
      </c>
      <c r="P6885" t="s">
        <v>24</v>
      </c>
      <c r="Q6885" t="s">
        <v>642</v>
      </c>
      <c r="R6885" t="s">
        <v>1214</v>
      </c>
    </row>
    <row r="6886" spans="1:18" x14ac:dyDescent="0.25">
      <c r="A6886" t="s">
        <v>14213</v>
      </c>
      <c r="B6886" t="s">
        <v>7524</v>
      </c>
      <c r="C6886" t="str">
        <f>HYPERLINK("https://nematode.unl.edu/mesoroth8.jpg")</f>
        <v>https://nematode.unl.edu/mesoroth8.jpg</v>
      </c>
      <c r="D6886" t="s">
        <v>43</v>
      </c>
      <c r="G6886" t="s">
        <v>28</v>
      </c>
      <c r="M6886" t="s">
        <v>1214</v>
      </c>
      <c r="N6886" t="s">
        <v>1214</v>
      </c>
      <c r="O6886" t="s">
        <v>23</v>
      </c>
      <c r="P6886" t="s">
        <v>24</v>
      </c>
      <c r="Q6886" t="s">
        <v>642</v>
      </c>
      <c r="R6886" t="s">
        <v>1214</v>
      </c>
    </row>
    <row r="6887" spans="1:18" x14ac:dyDescent="0.25">
      <c r="A6887" t="s">
        <v>14156</v>
      </c>
      <c r="B6887" t="s">
        <v>7525</v>
      </c>
      <c r="C6887" t="str">
        <f>HYPERLINK("https://nematode.unl.edu/mesoroth9.jpg")</f>
        <v>https://nematode.unl.edu/mesoroth9.jpg</v>
      </c>
      <c r="D6887" t="s">
        <v>43</v>
      </c>
      <c r="G6887" t="s">
        <v>44</v>
      </c>
      <c r="M6887" t="s">
        <v>1214</v>
      </c>
      <c r="N6887" t="s">
        <v>1214</v>
      </c>
      <c r="O6887" t="s">
        <v>23</v>
      </c>
      <c r="P6887" t="s">
        <v>24</v>
      </c>
      <c r="Q6887" t="s">
        <v>642</v>
      </c>
      <c r="R6887" t="s">
        <v>1214</v>
      </c>
    </row>
    <row r="6888" spans="1:18" x14ac:dyDescent="0.25">
      <c r="A6888" t="s">
        <v>15039</v>
      </c>
      <c r="B6888" t="s">
        <v>8402</v>
      </c>
      <c r="C6888" t="str">
        <f>HYPERLINK("https://nematode.unl.edu/mesorpe1.jpg")</f>
        <v>https://nematode.unl.edu/mesorpe1.jpg</v>
      </c>
      <c r="D6888" t="s">
        <v>43</v>
      </c>
      <c r="G6888" t="s">
        <v>44</v>
      </c>
      <c r="I6888" t="s">
        <v>19</v>
      </c>
      <c r="J6888" t="s">
        <v>8403</v>
      </c>
      <c r="K6888" t="s">
        <v>22844</v>
      </c>
      <c r="L6888" t="s">
        <v>8404</v>
      </c>
      <c r="M6888" t="s">
        <v>8333</v>
      </c>
      <c r="N6888" t="s">
        <v>8333</v>
      </c>
      <c r="O6888" t="s">
        <v>23</v>
      </c>
      <c r="P6888" t="s">
        <v>24</v>
      </c>
      <c r="Q6888" t="s">
        <v>642</v>
      </c>
      <c r="R6888" t="s">
        <v>1214</v>
      </c>
    </row>
    <row r="6889" spans="1:18" x14ac:dyDescent="0.25">
      <c r="A6889" t="s">
        <v>15078</v>
      </c>
      <c r="B6889" t="s">
        <v>8405</v>
      </c>
      <c r="C6889" t="str">
        <f>HYPERLINK("https://nematode.unl.edu/mesorpe10.jpg")</f>
        <v>https://nematode.unl.edu/mesorpe10.jpg</v>
      </c>
      <c r="D6889" t="s">
        <v>43</v>
      </c>
      <c r="G6889" t="s">
        <v>51</v>
      </c>
      <c r="I6889" t="s">
        <v>41</v>
      </c>
      <c r="M6889" t="s">
        <v>8333</v>
      </c>
      <c r="N6889" t="s">
        <v>8333</v>
      </c>
      <c r="O6889" t="s">
        <v>23</v>
      </c>
      <c r="P6889" t="s">
        <v>24</v>
      </c>
      <c r="Q6889" t="s">
        <v>642</v>
      </c>
      <c r="R6889" t="s">
        <v>1214</v>
      </c>
    </row>
    <row r="6890" spans="1:18" x14ac:dyDescent="0.25">
      <c r="A6890" t="s">
        <v>15051</v>
      </c>
      <c r="B6890" t="s">
        <v>8406</v>
      </c>
      <c r="C6890" t="str">
        <f>HYPERLINK("https://nematode.unl.edu/mesorpe11.jpg")</f>
        <v>https://nematode.unl.edu/mesorpe11.jpg</v>
      </c>
      <c r="D6890" t="s">
        <v>43</v>
      </c>
      <c r="G6890" t="s">
        <v>8407</v>
      </c>
      <c r="I6890" t="s">
        <v>19</v>
      </c>
      <c r="J6890" t="s">
        <v>8403</v>
      </c>
      <c r="K6890" s="1" t="s">
        <v>22844</v>
      </c>
      <c r="L6890" t="s">
        <v>8404</v>
      </c>
      <c r="M6890" t="s">
        <v>8333</v>
      </c>
      <c r="N6890" t="s">
        <v>8333</v>
      </c>
      <c r="O6890" t="s">
        <v>23</v>
      </c>
      <c r="P6890" t="s">
        <v>24</v>
      </c>
      <c r="Q6890" t="s">
        <v>642</v>
      </c>
      <c r="R6890" t="s">
        <v>1214</v>
      </c>
    </row>
    <row r="6891" spans="1:18" x14ac:dyDescent="0.25">
      <c r="A6891" t="s">
        <v>15010</v>
      </c>
      <c r="B6891" t="s">
        <v>8408</v>
      </c>
      <c r="C6891" t="str">
        <f>HYPERLINK("https://nematode.unl.edu/mesorpe12.jpg")</f>
        <v>https://nematode.unl.edu/mesorpe12.jpg</v>
      </c>
      <c r="D6891" t="s">
        <v>43</v>
      </c>
      <c r="G6891" t="s">
        <v>34</v>
      </c>
      <c r="H6891" t="s">
        <v>18</v>
      </c>
      <c r="I6891" t="s">
        <v>41</v>
      </c>
      <c r="M6891" t="s">
        <v>8333</v>
      </c>
      <c r="N6891" t="s">
        <v>8333</v>
      </c>
      <c r="O6891" t="s">
        <v>23</v>
      </c>
      <c r="P6891" t="s">
        <v>24</v>
      </c>
      <c r="Q6891" t="s">
        <v>642</v>
      </c>
      <c r="R6891" t="s">
        <v>1214</v>
      </c>
    </row>
    <row r="6892" spans="1:18" x14ac:dyDescent="0.25">
      <c r="A6892" t="s">
        <v>15068</v>
      </c>
      <c r="B6892" t="s">
        <v>8409</v>
      </c>
      <c r="C6892" t="str">
        <f>HYPERLINK("https://nematode.unl.edu/mesorpe13.jpg")</f>
        <v>https://nematode.unl.edu/mesorpe13.jpg</v>
      </c>
      <c r="D6892" t="s">
        <v>43</v>
      </c>
      <c r="G6892" t="s">
        <v>28</v>
      </c>
      <c r="I6892" t="s">
        <v>41</v>
      </c>
      <c r="M6892" t="s">
        <v>8333</v>
      </c>
      <c r="N6892" t="s">
        <v>8333</v>
      </c>
      <c r="O6892" t="s">
        <v>23</v>
      </c>
      <c r="P6892" t="s">
        <v>24</v>
      </c>
      <c r="Q6892" t="s">
        <v>642</v>
      </c>
      <c r="R6892" t="s">
        <v>1214</v>
      </c>
    </row>
    <row r="6893" spans="1:18" x14ac:dyDescent="0.25">
      <c r="A6893" t="s">
        <v>15079</v>
      </c>
      <c r="B6893" t="s">
        <v>8410</v>
      </c>
      <c r="C6893" t="str">
        <f>HYPERLINK("https://nematode.unl.edu/mesorpe14.jpg")</f>
        <v>https://nematode.unl.edu/mesorpe14.jpg</v>
      </c>
      <c r="D6893" t="s">
        <v>43</v>
      </c>
      <c r="G6893" t="s">
        <v>51</v>
      </c>
      <c r="I6893" t="s">
        <v>41</v>
      </c>
      <c r="M6893" t="s">
        <v>8333</v>
      </c>
      <c r="N6893" t="s">
        <v>8333</v>
      </c>
      <c r="O6893" t="s">
        <v>23</v>
      </c>
      <c r="P6893" t="s">
        <v>24</v>
      </c>
      <c r="Q6893" t="s">
        <v>642</v>
      </c>
      <c r="R6893" t="s">
        <v>1214</v>
      </c>
    </row>
    <row r="6894" spans="1:18" x14ac:dyDescent="0.25">
      <c r="A6894" t="s">
        <v>15040</v>
      </c>
      <c r="B6894" t="s">
        <v>8411</v>
      </c>
      <c r="C6894" t="str">
        <f>HYPERLINK("https://nematode.unl.edu/mesorpe15.jpg")</f>
        <v>https://nematode.unl.edu/mesorpe15.jpg</v>
      </c>
      <c r="D6894" t="s">
        <v>16</v>
      </c>
      <c r="G6894" t="s">
        <v>44</v>
      </c>
      <c r="I6894" t="s">
        <v>19</v>
      </c>
      <c r="J6894" t="s">
        <v>8403</v>
      </c>
      <c r="K6894" t="s">
        <v>22844</v>
      </c>
      <c r="L6894" t="s">
        <v>8404</v>
      </c>
      <c r="M6894" t="s">
        <v>8333</v>
      </c>
      <c r="N6894" t="s">
        <v>8333</v>
      </c>
      <c r="O6894" t="s">
        <v>23</v>
      </c>
      <c r="P6894" t="s">
        <v>24</v>
      </c>
      <c r="Q6894" t="s">
        <v>642</v>
      </c>
      <c r="R6894" t="s">
        <v>1214</v>
      </c>
    </row>
    <row r="6895" spans="1:18" x14ac:dyDescent="0.25">
      <c r="A6895" t="s">
        <v>15011</v>
      </c>
      <c r="B6895" t="s">
        <v>8412</v>
      </c>
      <c r="C6895" t="str">
        <f>HYPERLINK("https://nematode.unl.edu/mesorpe16.jpg")</f>
        <v>https://nematode.unl.edu/mesorpe16.jpg</v>
      </c>
      <c r="D6895" t="s">
        <v>16</v>
      </c>
      <c r="G6895" t="s">
        <v>34</v>
      </c>
      <c r="H6895" t="s">
        <v>18</v>
      </c>
      <c r="I6895" t="s">
        <v>41</v>
      </c>
      <c r="M6895" t="s">
        <v>8333</v>
      </c>
      <c r="N6895" t="s">
        <v>8333</v>
      </c>
      <c r="O6895" t="s">
        <v>23</v>
      </c>
      <c r="P6895" t="s">
        <v>24</v>
      </c>
      <c r="Q6895" t="s">
        <v>642</v>
      </c>
      <c r="R6895" t="s">
        <v>1214</v>
      </c>
    </row>
    <row r="6896" spans="1:18" x14ac:dyDescent="0.25">
      <c r="A6896" t="s">
        <v>15069</v>
      </c>
      <c r="B6896" t="s">
        <v>8413</v>
      </c>
      <c r="C6896" t="str">
        <f>HYPERLINK("https://nematode.unl.edu/mesorpe17.jpg")</f>
        <v>https://nematode.unl.edu/mesorpe17.jpg</v>
      </c>
      <c r="D6896" t="s">
        <v>16</v>
      </c>
      <c r="G6896" t="s">
        <v>28</v>
      </c>
      <c r="I6896" t="s">
        <v>41</v>
      </c>
      <c r="M6896" t="s">
        <v>8333</v>
      </c>
      <c r="N6896" t="s">
        <v>8333</v>
      </c>
      <c r="O6896" t="s">
        <v>23</v>
      </c>
      <c r="P6896" t="s">
        <v>24</v>
      </c>
      <c r="Q6896" t="s">
        <v>642</v>
      </c>
      <c r="R6896" t="s">
        <v>1214</v>
      </c>
    </row>
    <row r="6897" spans="1:18" x14ac:dyDescent="0.25">
      <c r="A6897" t="s">
        <v>15048</v>
      </c>
      <c r="B6897" t="s">
        <v>8414</v>
      </c>
      <c r="C6897" t="str">
        <f>HYPERLINK("https://nematode.unl.edu/mesorpe18.jpg")</f>
        <v>https://nematode.unl.edu/mesorpe18.jpg</v>
      </c>
      <c r="D6897" t="s">
        <v>16</v>
      </c>
      <c r="G6897" t="s">
        <v>224</v>
      </c>
      <c r="I6897" t="s">
        <v>41</v>
      </c>
      <c r="M6897" t="s">
        <v>8333</v>
      </c>
      <c r="N6897" t="s">
        <v>8333</v>
      </c>
      <c r="O6897" t="s">
        <v>23</v>
      </c>
      <c r="P6897" t="s">
        <v>24</v>
      </c>
      <c r="Q6897" t="s">
        <v>642</v>
      </c>
      <c r="R6897" t="s">
        <v>1214</v>
      </c>
    </row>
    <row r="6898" spans="1:18" x14ac:dyDescent="0.25">
      <c r="A6898" t="s">
        <v>15049</v>
      </c>
      <c r="B6898" t="s">
        <v>8415</v>
      </c>
      <c r="C6898" t="str">
        <f>HYPERLINK("https://nematode.unl.edu/mesorpe19.jpg")</f>
        <v>https://nematode.unl.edu/mesorpe19.jpg</v>
      </c>
      <c r="D6898" t="s">
        <v>16</v>
      </c>
      <c r="G6898" t="s">
        <v>224</v>
      </c>
      <c r="I6898" t="s">
        <v>41</v>
      </c>
      <c r="M6898" t="s">
        <v>8333</v>
      </c>
      <c r="N6898" t="s">
        <v>8333</v>
      </c>
      <c r="O6898" t="s">
        <v>23</v>
      </c>
      <c r="P6898" t="s">
        <v>24</v>
      </c>
      <c r="Q6898" t="s">
        <v>642</v>
      </c>
      <c r="R6898" t="s">
        <v>1214</v>
      </c>
    </row>
    <row r="6899" spans="1:18" x14ac:dyDescent="0.25">
      <c r="A6899" t="s">
        <v>15012</v>
      </c>
      <c r="B6899" t="s">
        <v>8416</v>
      </c>
      <c r="C6899" t="str">
        <f>HYPERLINK("https://nematode.unl.edu/mesorpe2.jpg")</f>
        <v>https://nematode.unl.edu/mesorpe2.jpg</v>
      </c>
      <c r="D6899" t="s">
        <v>43</v>
      </c>
      <c r="G6899" t="s">
        <v>34</v>
      </c>
      <c r="H6899" t="s">
        <v>18</v>
      </c>
      <c r="I6899" t="s">
        <v>41</v>
      </c>
      <c r="M6899" t="s">
        <v>8333</v>
      </c>
      <c r="N6899" t="s">
        <v>8333</v>
      </c>
      <c r="O6899" t="s">
        <v>23</v>
      </c>
      <c r="P6899" t="s">
        <v>24</v>
      </c>
      <c r="Q6899" t="s">
        <v>642</v>
      </c>
      <c r="R6899" t="s">
        <v>1214</v>
      </c>
    </row>
    <row r="6900" spans="1:18" x14ac:dyDescent="0.25">
      <c r="A6900" t="s">
        <v>15070</v>
      </c>
      <c r="B6900" t="s">
        <v>8417</v>
      </c>
      <c r="C6900" t="str">
        <f>HYPERLINK("https://nematode.unl.edu/mesorpe3.jpg")</f>
        <v>https://nematode.unl.edu/mesorpe3.jpg</v>
      </c>
      <c r="D6900" t="s">
        <v>43</v>
      </c>
      <c r="G6900" t="s">
        <v>28</v>
      </c>
      <c r="I6900" t="s">
        <v>41</v>
      </c>
      <c r="M6900" t="s">
        <v>8333</v>
      </c>
      <c r="N6900" t="s">
        <v>8333</v>
      </c>
      <c r="O6900" t="s">
        <v>23</v>
      </c>
      <c r="P6900" t="s">
        <v>24</v>
      </c>
      <c r="Q6900" t="s">
        <v>642</v>
      </c>
      <c r="R6900" t="s">
        <v>1214</v>
      </c>
    </row>
    <row r="6901" spans="1:18" x14ac:dyDescent="0.25">
      <c r="A6901" t="s">
        <v>15041</v>
      </c>
      <c r="B6901" t="s">
        <v>8418</v>
      </c>
      <c r="C6901" t="str">
        <f>HYPERLINK("https://nematode.unl.edu/mesorpe4.jpg")</f>
        <v>https://nematode.unl.edu/mesorpe4.jpg</v>
      </c>
      <c r="D6901" t="s">
        <v>43</v>
      </c>
      <c r="G6901" t="s">
        <v>44</v>
      </c>
      <c r="I6901" t="s">
        <v>19</v>
      </c>
      <c r="J6901" t="s">
        <v>8403</v>
      </c>
      <c r="K6901" t="s">
        <v>22844</v>
      </c>
      <c r="L6901" t="s">
        <v>8404</v>
      </c>
      <c r="M6901" t="s">
        <v>8333</v>
      </c>
      <c r="N6901" t="s">
        <v>8333</v>
      </c>
      <c r="O6901" t="s">
        <v>23</v>
      </c>
      <c r="P6901" t="s">
        <v>24</v>
      </c>
      <c r="Q6901" t="s">
        <v>642</v>
      </c>
      <c r="R6901" t="s">
        <v>1214</v>
      </c>
    </row>
    <row r="6902" spans="1:18" x14ac:dyDescent="0.25">
      <c r="A6902" t="s">
        <v>15013</v>
      </c>
      <c r="B6902" t="s">
        <v>8419</v>
      </c>
      <c r="C6902" t="str">
        <f>HYPERLINK("https://nematode.unl.edu/mesorpe5.jpg")</f>
        <v>https://nematode.unl.edu/mesorpe5.jpg</v>
      </c>
      <c r="D6902" t="s">
        <v>43</v>
      </c>
      <c r="G6902" t="s">
        <v>34</v>
      </c>
      <c r="H6902" t="s">
        <v>18</v>
      </c>
      <c r="I6902" t="s">
        <v>41</v>
      </c>
      <c r="M6902" t="s">
        <v>8333</v>
      </c>
      <c r="N6902" t="s">
        <v>8333</v>
      </c>
      <c r="O6902" t="s">
        <v>23</v>
      </c>
      <c r="P6902" t="s">
        <v>24</v>
      </c>
      <c r="Q6902" t="s">
        <v>642</v>
      </c>
      <c r="R6902" t="s">
        <v>1214</v>
      </c>
    </row>
    <row r="6903" spans="1:18" x14ac:dyDescent="0.25">
      <c r="A6903" t="s">
        <v>15071</v>
      </c>
      <c r="B6903" t="s">
        <v>8420</v>
      </c>
      <c r="C6903" t="str">
        <f>HYPERLINK("https://nematode.unl.edu/mesorpe6.jpg")</f>
        <v>https://nematode.unl.edu/mesorpe6.jpg</v>
      </c>
      <c r="D6903" t="s">
        <v>43</v>
      </c>
      <c r="G6903" t="s">
        <v>28</v>
      </c>
      <c r="I6903" t="s">
        <v>41</v>
      </c>
      <c r="M6903" t="s">
        <v>8333</v>
      </c>
      <c r="N6903" t="s">
        <v>8333</v>
      </c>
      <c r="O6903" t="s">
        <v>23</v>
      </c>
      <c r="P6903" t="s">
        <v>24</v>
      </c>
      <c r="Q6903" t="s">
        <v>642</v>
      </c>
      <c r="R6903" t="s">
        <v>1214</v>
      </c>
    </row>
    <row r="6904" spans="1:18" x14ac:dyDescent="0.25">
      <c r="A6904" t="s">
        <v>15042</v>
      </c>
      <c r="B6904" t="s">
        <v>8421</v>
      </c>
      <c r="C6904" t="str">
        <f>HYPERLINK("https://nematode.unl.edu/mesorpe7.jpg")</f>
        <v>https://nematode.unl.edu/mesorpe7.jpg</v>
      </c>
      <c r="D6904" t="s">
        <v>43</v>
      </c>
      <c r="G6904" t="s">
        <v>44</v>
      </c>
      <c r="I6904" t="s">
        <v>19</v>
      </c>
      <c r="J6904" t="s">
        <v>8403</v>
      </c>
      <c r="K6904" t="s">
        <v>22844</v>
      </c>
      <c r="L6904" t="s">
        <v>8404</v>
      </c>
      <c r="M6904" t="s">
        <v>8333</v>
      </c>
      <c r="N6904" t="s">
        <v>8333</v>
      </c>
      <c r="O6904" t="s">
        <v>23</v>
      </c>
      <c r="P6904" t="s">
        <v>24</v>
      </c>
      <c r="Q6904" t="s">
        <v>642</v>
      </c>
      <c r="R6904" t="s">
        <v>1214</v>
      </c>
    </row>
    <row r="6905" spans="1:18" x14ac:dyDescent="0.25">
      <c r="A6905" t="s">
        <v>15014</v>
      </c>
      <c r="B6905" t="s">
        <v>8422</v>
      </c>
      <c r="C6905" t="str">
        <f>HYPERLINK("https://nematode.unl.edu/mesorpe8.jpg")</f>
        <v>https://nematode.unl.edu/mesorpe8.jpg</v>
      </c>
      <c r="D6905" t="s">
        <v>43</v>
      </c>
      <c r="G6905" t="s">
        <v>34</v>
      </c>
      <c r="H6905" t="s">
        <v>18</v>
      </c>
      <c r="I6905" t="s">
        <v>529</v>
      </c>
      <c r="J6905" t="s">
        <v>8403</v>
      </c>
      <c r="K6905" t="s">
        <v>22844</v>
      </c>
      <c r="L6905" t="s">
        <v>8404</v>
      </c>
      <c r="M6905" t="s">
        <v>8333</v>
      </c>
      <c r="N6905" t="s">
        <v>8333</v>
      </c>
      <c r="O6905" t="s">
        <v>23</v>
      </c>
      <c r="P6905" t="s">
        <v>24</v>
      </c>
      <c r="Q6905" t="s">
        <v>642</v>
      </c>
      <c r="R6905" t="s">
        <v>1214</v>
      </c>
    </row>
    <row r="6906" spans="1:18" x14ac:dyDescent="0.25">
      <c r="A6906" t="s">
        <v>15072</v>
      </c>
      <c r="B6906" t="s">
        <v>8423</v>
      </c>
      <c r="C6906" t="str">
        <f>HYPERLINK("https://nematode.unl.edu/mesorpe9.jpg")</f>
        <v>https://nematode.unl.edu/mesorpe9.jpg</v>
      </c>
      <c r="D6906" t="s">
        <v>43</v>
      </c>
      <c r="G6906" t="s">
        <v>28</v>
      </c>
      <c r="I6906" t="s">
        <v>41</v>
      </c>
      <c r="M6906" t="s">
        <v>8333</v>
      </c>
      <c r="N6906" t="s">
        <v>8333</v>
      </c>
      <c r="O6906" t="s">
        <v>23</v>
      </c>
      <c r="P6906" t="s">
        <v>24</v>
      </c>
      <c r="Q6906" t="s">
        <v>642</v>
      </c>
      <c r="R6906" t="s">
        <v>1214</v>
      </c>
    </row>
    <row r="6907" spans="1:18" x14ac:dyDescent="0.25">
      <c r="A6907" t="s">
        <v>15136</v>
      </c>
      <c r="B6907" t="s">
        <v>8517</v>
      </c>
      <c r="C6907" t="str">
        <f>HYPERLINK("https://nematode.unl.edu/mesorune1.jpg")</f>
        <v>https://nematode.unl.edu/mesorune1.jpg</v>
      </c>
      <c r="D6907" t="s">
        <v>43</v>
      </c>
      <c r="G6907" t="s">
        <v>44</v>
      </c>
      <c r="I6907" t="s">
        <v>19</v>
      </c>
      <c r="J6907" t="s">
        <v>1512</v>
      </c>
      <c r="L6907" t="s">
        <v>1526</v>
      </c>
      <c r="M6907" t="s">
        <v>8448</v>
      </c>
      <c r="N6907" t="s">
        <v>8448</v>
      </c>
      <c r="O6907" t="s">
        <v>23</v>
      </c>
      <c r="P6907" t="s">
        <v>24</v>
      </c>
      <c r="Q6907" t="s">
        <v>642</v>
      </c>
      <c r="R6907" t="s">
        <v>1214</v>
      </c>
    </row>
    <row r="6908" spans="1:18" x14ac:dyDescent="0.25">
      <c r="A6908" t="s">
        <v>15111</v>
      </c>
      <c r="B6908" t="s">
        <v>8518</v>
      </c>
      <c r="C6908" t="str">
        <f>HYPERLINK("https://nematode.unl.edu/mesorune2.jpg")</f>
        <v>https://nematode.unl.edu/mesorune2.jpg</v>
      </c>
      <c r="D6908" t="s">
        <v>43</v>
      </c>
      <c r="G6908" t="s">
        <v>34</v>
      </c>
      <c r="H6908" t="s">
        <v>18</v>
      </c>
      <c r="M6908" t="s">
        <v>8448</v>
      </c>
      <c r="N6908" t="s">
        <v>8448</v>
      </c>
      <c r="O6908" t="s">
        <v>23</v>
      </c>
      <c r="P6908" t="s">
        <v>24</v>
      </c>
      <c r="Q6908" t="s">
        <v>642</v>
      </c>
      <c r="R6908" t="s">
        <v>1214</v>
      </c>
    </row>
    <row r="6909" spans="1:18" x14ac:dyDescent="0.25">
      <c r="A6909" t="s">
        <v>15137</v>
      </c>
      <c r="B6909" t="s">
        <v>8519</v>
      </c>
      <c r="C6909" t="str">
        <f>HYPERLINK("https://nematode.unl.edu/mesowak1.jpg")</f>
        <v>https://nematode.unl.edu/mesowak1.jpg</v>
      </c>
      <c r="D6909" t="s">
        <v>43</v>
      </c>
      <c r="G6909" t="s">
        <v>44</v>
      </c>
      <c r="I6909" t="s">
        <v>19</v>
      </c>
      <c r="J6909" t="s">
        <v>679</v>
      </c>
      <c r="L6909" t="s">
        <v>680</v>
      </c>
      <c r="M6909" t="s">
        <v>8448</v>
      </c>
      <c r="N6909" t="s">
        <v>8448</v>
      </c>
      <c r="O6909" t="s">
        <v>23</v>
      </c>
      <c r="P6909" t="s">
        <v>24</v>
      </c>
      <c r="Q6909" t="s">
        <v>642</v>
      </c>
      <c r="R6909" t="s">
        <v>1214</v>
      </c>
    </row>
    <row r="6910" spans="1:18" x14ac:dyDescent="0.25">
      <c r="A6910" t="s">
        <v>15092</v>
      </c>
      <c r="B6910" t="s">
        <v>8520</v>
      </c>
      <c r="C6910" t="str">
        <f>HYPERLINK("https://nematode.unl.edu/mesowak2.jpg")</f>
        <v>https://nematode.unl.edu/mesowak2.jpg</v>
      </c>
      <c r="D6910" t="s">
        <v>43</v>
      </c>
      <c r="G6910" t="s">
        <v>96</v>
      </c>
      <c r="H6910" t="s">
        <v>18</v>
      </c>
      <c r="I6910" t="s">
        <v>41</v>
      </c>
      <c r="J6910" t="s">
        <v>4654</v>
      </c>
      <c r="M6910" t="s">
        <v>8448</v>
      </c>
      <c r="N6910" t="s">
        <v>8448</v>
      </c>
      <c r="O6910" t="s">
        <v>23</v>
      </c>
      <c r="P6910" t="s">
        <v>24</v>
      </c>
      <c r="Q6910" t="s">
        <v>642</v>
      </c>
      <c r="R6910" t="s">
        <v>1214</v>
      </c>
    </row>
    <row r="6911" spans="1:18" x14ac:dyDescent="0.25">
      <c r="A6911" t="s">
        <v>15147</v>
      </c>
      <c r="B6911" t="s">
        <v>8521</v>
      </c>
      <c r="C6911" t="str">
        <f>HYPERLINK("https://nematode.unl.edu/mesowak3.jpg")</f>
        <v>https://nematode.unl.edu/mesowak3.jpg</v>
      </c>
      <c r="D6911" t="s">
        <v>43</v>
      </c>
      <c r="G6911" t="s">
        <v>674</v>
      </c>
      <c r="I6911" t="s">
        <v>41</v>
      </c>
      <c r="J6911" t="s">
        <v>4654</v>
      </c>
      <c r="M6911" t="s">
        <v>8448</v>
      </c>
      <c r="N6911" t="s">
        <v>8448</v>
      </c>
      <c r="O6911" t="s">
        <v>23</v>
      </c>
      <c r="P6911" t="s">
        <v>24</v>
      </c>
      <c r="Q6911" t="s">
        <v>642</v>
      </c>
      <c r="R6911" t="s">
        <v>1214</v>
      </c>
    </row>
    <row r="6912" spans="1:18" x14ac:dyDescent="0.25">
      <c r="A6912" t="s">
        <v>15163</v>
      </c>
      <c r="B6912" t="s">
        <v>8522</v>
      </c>
      <c r="C6912" t="str">
        <f>HYPERLINK("https://nematode.unl.edu/mesowak4.jpg")</f>
        <v>https://nematode.unl.edu/mesowak4.jpg</v>
      </c>
      <c r="D6912" t="s">
        <v>43</v>
      </c>
      <c r="G6912" t="s">
        <v>28</v>
      </c>
      <c r="I6912" t="s">
        <v>41</v>
      </c>
      <c r="J6912" t="s">
        <v>4654</v>
      </c>
      <c r="M6912" t="s">
        <v>8448</v>
      </c>
      <c r="N6912" t="s">
        <v>8448</v>
      </c>
      <c r="O6912" t="s">
        <v>23</v>
      </c>
      <c r="P6912" t="s">
        <v>24</v>
      </c>
      <c r="Q6912" t="s">
        <v>642</v>
      </c>
      <c r="R6912" t="s">
        <v>1214</v>
      </c>
    </row>
    <row r="6913" spans="1:18" x14ac:dyDescent="0.25">
      <c r="A6913" t="s">
        <v>15112</v>
      </c>
      <c r="B6913" t="s">
        <v>8523</v>
      </c>
      <c r="C6913" t="str">
        <f>HYPERLINK("https://nematode.unl.edu/mesowak5.jpg")</f>
        <v>https://nematode.unl.edu/mesowak5.jpg</v>
      </c>
      <c r="D6913" t="s">
        <v>43</v>
      </c>
      <c r="G6913" t="s">
        <v>34</v>
      </c>
      <c r="H6913" t="s">
        <v>18</v>
      </c>
      <c r="I6913" t="s">
        <v>41</v>
      </c>
      <c r="J6913" t="s">
        <v>4654</v>
      </c>
      <c r="M6913" t="s">
        <v>8448</v>
      </c>
      <c r="N6913" t="s">
        <v>8448</v>
      </c>
      <c r="O6913" t="s">
        <v>23</v>
      </c>
      <c r="P6913" t="s">
        <v>24</v>
      </c>
      <c r="Q6913" t="s">
        <v>642</v>
      </c>
      <c r="R6913" t="s">
        <v>1214</v>
      </c>
    </row>
    <row r="6914" spans="1:18" x14ac:dyDescent="0.25">
      <c r="A6914" t="s">
        <v>15145</v>
      </c>
      <c r="B6914" t="s">
        <v>8524</v>
      </c>
      <c r="C6914" t="str">
        <f>HYPERLINK("https://nematode.unl.edu/mesowak6.jpg")</f>
        <v>https://nematode.unl.edu/mesowak6.jpg</v>
      </c>
      <c r="D6914" t="s">
        <v>77</v>
      </c>
      <c r="G6914" t="s">
        <v>224</v>
      </c>
      <c r="I6914" t="s">
        <v>41</v>
      </c>
      <c r="J6914" t="s">
        <v>4654</v>
      </c>
      <c r="M6914" t="s">
        <v>8448</v>
      </c>
      <c r="N6914" t="s">
        <v>8448</v>
      </c>
      <c r="O6914" t="s">
        <v>23</v>
      </c>
      <c r="P6914" t="s">
        <v>24</v>
      </c>
      <c r="Q6914" t="s">
        <v>642</v>
      </c>
      <c r="R6914" t="s">
        <v>1214</v>
      </c>
    </row>
    <row r="6915" spans="1:18" x14ac:dyDescent="0.25">
      <c r="A6915" t="s">
        <v>15200</v>
      </c>
      <c r="B6915" t="s">
        <v>8609</v>
      </c>
      <c r="C6915" t="str">
        <f>HYPERLINK("https://nematode.unl.edu/mesoxedrw.jpg")</f>
        <v>https://nematode.unl.edu/mesoxedrw.jpg</v>
      </c>
      <c r="D6915" t="s">
        <v>43</v>
      </c>
      <c r="G6915" t="s">
        <v>96</v>
      </c>
      <c r="H6915" t="s">
        <v>18</v>
      </c>
      <c r="I6915" t="s">
        <v>41</v>
      </c>
      <c r="M6915" t="s">
        <v>8559</v>
      </c>
      <c r="N6915" t="s">
        <v>8559</v>
      </c>
      <c r="O6915" t="s">
        <v>23</v>
      </c>
      <c r="P6915" t="s">
        <v>24</v>
      </c>
      <c r="Q6915" t="s">
        <v>642</v>
      </c>
      <c r="R6915" t="s">
        <v>1214</v>
      </c>
    </row>
    <row r="6916" spans="1:18" x14ac:dyDescent="0.25">
      <c r="A6916" t="s">
        <v>15265</v>
      </c>
      <c r="B6916" t="s">
        <v>8610</v>
      </c>
      <c r="C6916" t="str">
        <f>HYPERLINK("https://nematode.unl.edu/mesoxege10.jpg")</f>
        <v>https://nematode.unl.edu/mesoxege10.jpg</v>
      </c>
      <c r="D6916" t="s">
        <v>43</v>
      </c>
      <c r="G6916" t="s">
        <v>3928</v>
      </c>
      <c r="H6916" t="s">
        <v>18</v>
      </c>
      <c r="I6916" t="s">
        <v>41</v>
      </c>
      <c r="J6916" t="s">
        <v>2572</v>
      </c>
      <c r="L6916" t="s">
        <v>6154</v>
      </c>
      <c r="M6916" t="s">
        <v>8559</v>
      </c>
      <c r="N6916" t="s">
        <v>8559</v>
      </c>
      <c r="O6916" t="s">
        <v>23</v>
      </c>
      <c r="P6916" t="s">
        <v>24</v>
      </c>
      <c r="Q6916" t="s">
        <v>642</v>
      </c>
      <c r="R6916" t="s">
        <v>1214</v>
      </c>
    </row>
    <row r="6917" spans="1:18" x14ac:dyDescent="0.25">
      <c r="A6917" t="s">
        <v>15358</v>
      </c>
      <c r="B6917" t="s">
        <v>8611</v>
      </c>
      <c r="C6917" t="str">
        <f>HYPERLINK("https://nematode.unl.edu/mesoxege11.jpg")</f>
        <v>https://nematode.unl.edu/mesoxege11.jpg</v>
      </c>
      <c r="D6917" t="s">
        <v>43</v>
      </c>
      <c r="G6917" t="s">
        <v>8612</v>
      </c>
      <c r="I6917" t="s">
        <v>41</v>
      </c>
      <c r="J6917" t="s">
        <v>2572</v>
      </c>
      <c r="L6917" t="s">
        <v>6154</v>
      </c>
      <c r="M6917" t="s">
        <v>8559</v>
      </c>
      <c r="N6917" t="s">
        <v>8559</v>
      </c>
      <c r="O6917" t="s">
        <v>23</v>
      </c>
      <c r="P6917" t="s">
        <v>24</v>
      </c>
      <c r="Q6917" t="s">
        <v>642</v>
      </c>
      <c r="R6917" t="s">
        <v>1214</v>
      </c>
    </row>
    <row r="6918" spans="1:18" x14ac:dyDescent="0.25">
      <c r="A6918" t="s">
        <v>15378</v>
      </c>
      <c r="B6918" t="s">
        <v>8613</v>
      </c>
      <c r="C6918" t="str">
        <f>HYPERLINK("https://nematode.unl.edu/mesoxege12.jpg")</f>
        <v>https://nematode.unl.edu/mesoxege12.jpg</v>
      </c>
      <c r="D6918" t="s">
        <v>43</v>
      </c>
      <c r="G6918" t="s">
        <v>28</v>
      </c>
      <c r="I6918" t="s">
        <v>41</v>
      </c>
      <c r="M6918" t="s">
        <v>8559</v>
      </c>
      <c r="N6918" t="s">
        <v>8559</v>
      </c>
      <c r="O6918" t="s">
        <v>23</v>
      </c>
      <c r="P6918" t="s">
        <v>24</v>
      </c>
      <c r="Q6918" t="s">
        <v>642</v>
      </c>
      <c r="R6918" t="s">
        <v>1214</v>
      </c>
    </row>
    <row r="6919" spans="1:18" x14ac:dyDescent="0.25">
      <c r="A6919" t="s">
        <v>15417</v>
      </c>
      <c r="B6919" t="s">
        <v>8614</v>
      </c>
      <c r="C6919" t="str">
        <f>HYPERLINK("https://nematode.unl.edu/mesoxege13.jpg")</f>
        <v>https://nematode.unl.edu/mesoxege13.jpg</v>
      </c>
      <c r="D6919" t="s">
        <v>43</v>
      </c>
      <c r="G6919" t="s">
        <v>51</v>
      </c>
      <c r="I6919" t="s">
        <v>41</v>
      </c>
      <c r="M6919" t="s">
        <v>8559</v>
      </c>
      <c r="N6919" t="s">
        <v>8559</v>
      </c>
      <c r="O6919" t="s">
        <v>23</v>
      </c>
      <c r="P6919" t="s">
        <v>24</v>
      </c>
      <c r="Q6919" t="s">
        <v>642</v>
      </c>
      <c r="R6919" t="s">
        <v>1214</v>
      </c>
    </row>
    <row r="6920" spans="1:18" x14ac:dyDescent="0.25">
      <c r="A6920" t="s">
        <v>15289</v>
      </c>
      <c r="B6920" t="s">
        <v>8615</v>
      </c>
      <c r="C6920" t="str">
        <f>HYPERLINK("https://nematode.unl.edu/mesoxege14.jpg")</f>
        <v>https://nematode.unl.edu/mesoxege14.jpg</v>
      </c>
      <c r="D6920" t="s">
        <v>43</v>
      </c>
      <c r="G6920" t="s">
        <v>44</v>
      </c>
      <c r="M6920" t="s">
        <v>8559</v>
      </c>
      <c r="N6920" t="s">
        <v>8559</v>
      </c>
      <c r="O6920" t="s">
        <v>23</v>
      </c>
      <c r="P6920" t="s">
        <v>24</v>
      </c>
      <c r="Q6920" t="s">
        <v>642</v>
      </c>
      <c r="R6920" t="s">
        <v>1214</v>
      </c>
    </row>
    <row r="6921" spans="1:18" x14ac:dyDescent="0.25">
      <c r="A6921" t="s">
        <v>15290</v>
      </c>
      <c r="B6921" t="s">
        <v>8616</v>
      </c>
      <c r="C6921" t="str">
        <f>HYPERLINK("https://nematode.unl.edu/mesoxege15.jpg")</f>
        <v>https://nematode.unl.edu/mesoxege15.jpg</v>
      </c>
      <c r="D6921" t="s">
        <v>77</v>
      </c>
      <c r="G6921" t="s">
        <v>44</v>
      </c>
      <c r="I6921" t="s">
        <v>41</v>
      </c>
      <c r="M6921" t="s">
        <v>8559</v>
      </c>
      <c r="N6921" t="s">
        <v>8559</v>
      </c>
      <c r="O6921" t="s">
        <v>23</v>
      </c>
      <c r="P6921" t="s">
        <v>24</v>
      </c>
      <c r="Q6921" t="s">
        <v>642</v>
      </c>
      <c r="R6921" t="s">
        <v>1214</v>
      </c>
    </row>
    <row r="6922" spans="1:18" x14ac:dyDescent="0.25">
      <c r="A6922" t="s">
        <v>15291</v>
      </c>
      <c r="B6922" t="s">
        <v>8617</v>
      </c>
      <c r="C6922" t="str">
        <f>HYPERLINK("https://nematode.unl.edu/mesoxege16.jpg")</f>
        <v>https://nematode.unl.edu/mesoxege16.jpg</v>
      </c>
      <c r="D6922" t="s">
        <v>43</v>
      </c>
      <c r="G6922" t="s">
        <v>44</v>
      </c>
      <c r="I6922" t="s">
        <v>45</v>
      </c>
      <c r="J6922" t="s">
        <v>8618</v>
      </c>
      <c r="M6922" t="s">
        <v>8559</v>
      </c>
      <c r="N6922" t="s">
        <v>8559</v>
      </c>
      <c r="O6922" t="s">
        <v>23</v>
      </c>
      <c r="P6922" t="s">
        <v>24</v>
      </c>
      <c r="Q6922" t="s">
        <v>642</v>
      </c>
      <c r="R6922" t="s">
        <v>1214</v>
      </c>
    </row>
    <row r="6923" spans="1:18" x14ac:dyDescent="0.25">
      <c r="A6923" t="s">
        <v>15292</v>
      </c>
      <c r="B6923" t="s">
        <v>8619</v>
      </c>
      <c r="C6923" t="str">
        <f>HYPERLINK("https://nematode.unl.edu/mesoxege17.jpg")</f>
        <v>https://nematode.unl.edu/mesoxege17.jpg</v>
      </c>
      <c r="D6923" t="s">
        <v>43</v>
      </c>
      <c r="G6923" t="s">
        <v>44</v>
      </c>
      <c r="I6923" t="s">
        <v>19</v>
      </c>
      <c r="J6923" t="s">
        <v>8618</v>
      </c>
      <c r="M6923" t="s">
        <v>8559</v>
      </c>
      <c r="N6923" t="s">
        <v>8559</v>
      </c>
      <c r="O6923" t="s">
        <v>23</v>
      </c>
      <c r="P6923" t="s">
        <v>24</v>
      </c>
      <c r="Q6923" t="s">
        <v>642</v>
      </c>
      <c r="R6923" t="s">
        <v>1214</v>
      </c>
    </row>
    <row r="6924" spans="1:18" x14ac:dyDescent="0.25">
      <c r="A6924" t="s">
        <v>15343</v>
      </c>
      <c r="B6924" t="s">
        <v>8620</v>
      </c>
      <c r="C6924" t="str">
        <f>HYPERLINK("https://nematode.unl.edu/mesoxege18.jpg")</f>
        <v>https://nematode.unl.edu/mesoxege18.jpg</v>
      </c>
      <c r="D6924" t="s">
        <v>43</v>
      </c>
      <c r="G6924" t="s">
        <v>224</v>
      </c>
      <c r="J6924" t="s">
        <v>2572</v>
      </c>
      <c r="M6924" t="s">
        <v>8559</v>
      </c>
      <c r="N6924" t="s">
        <v>8559</v>
      </c>
      <c r="O6924" t="s">
        <v>23</v>
      </c>
      <c r="P6924" t="s">
        <v>24</v>
      </c>
      <c r="Q6924" t="s">
        <v>642</v>
      </c>
      <c r="R6924" t="s">
        <v>1214</v>
      </c>
    </row>
    <row r="6925" spans="1:18" x14ac:dyDescent="0.25">
      <c r="A6925" t="s">
        <v>15293</v>
      </c>
      <c r="B6925" t="s">
        <v>8621</v>
      </c>
      <c r="C6925" t="str">
        <f>HYPERLINK("https://nematode.unl.edu/mesoxege4.jpg")</f>
        <v>https://nematode.unl.edu/mesoxege4.jpg</v>
      </c>
      <c r="D6925" t="s">
        <v>16</v>
      </c>
      <c r="G6925" t="s">
        <v>44</v>
      </c>
      <c r="I6925" t="s">
        <v>19</v>
      </c>
      <c r="J6925" t="s">
        <v>8622</v>
      </c>
      <c r="M6925" t="s">
        <v>8559</v>
      </c>
      <c r="N6925" t="s">
        <v>8559</v>
      </c>
      <c r="O6925" t="s">
        <v>23</v>
      </c>
      <c r="P6925" t="s">
        <v>24</v>
      </c>
      <c r="Q6925" t="s">
        <v>642</v>
      </c>
      <c r="R6925" t="s">
        <v>1214</v>
      </c>
    </row>
    <row r="6926" spans="1:18" x14ac:dyDescent="0.25">
      <c r="A6926" t="s">
        <v>15223</v>
      </c>
      <c r="B6926" t="s">
        <v>8623</v>
      </c>
      <c r="C6926" t="str">
        <f>HYPERLINK("https://nematode.unl.edu/mesoxege5.jpg")</f>
        <v>https://nematode.unl.edu/mesoxege5.jpg</v>
      </c>
      <c r="D6926" t="s">
        <v>16</v>
      </c>
      <c r="G6926" t="s">
        <v>34</v>
      </c>
      <c r="H6926" t="s">
        <v>18</v>
      </c>
      <c r="J6926" t="s">
        <v>2572</v>
      </c>
      <c r="M6926" t="s">
        <v>8559</v>
      </c>
      <c r="N6926" t="s">
        <v>8559</v>
      </c>
      <c r="O6926" t="s">
        <v>23</v>
      </c>
      <c r="P6926" t="s">
        <v>24</v>
      </c>
      <c r="Q6926" t="s">
        <v>642</v>
      </c>
      <c r="R6926" t="s">
        <v>1214</v>
      </c>
    </row>
    <row r="6927" spans="1:18" x14ac:dyDescent="0.25">
      <c r="A6927" t="s">
        <v>15379</v>
      </c>
      <c r="B6927" t="s">
        <v>8624</v>
      </c>
      <c r="C6927" t="str">
        <f>HYPERLINK("https://nematode.unl.edu/mesoxege6.jpg")</f>
        <v>https://nematode.unl.edu/mesoxege6.jpg</v>
      </c>
      <c r="D6927" t="s">
        <v>16</v>
      </c>
      <c r="G6927" t="s">
        <v>28</v>
      </c>
      <c r="I6927" t="s">
        <v>41</v>
      </c>
      <c r="J6927" t="s">
        <v>2572</v>
      </c>
      <c r="M6927" t="s">
        <v>8559</v>
      </c>
      <c r="N6927" t="s">
        <v>8559</v>
      </c>
      <c r="O6927" t="s">
        <v>23</v>
      </c>
      <c r="P6927" t="s">
        <v>24</v>
      </c>
      <c r="Q6927" t="s">
        <v>642</v>
      </c>
      <c r="R6927" t="s">
        <v>1214</v>
      </c>
    </row>
    <row r="6928" spans="1:18" x14ac:dyDescent="0.25">
      <c r="A6928" t="s">
        <v>15344</v>
      </c>
      <c r="B6928" t="s">
        <v>8625</v>
      </c>
      <c r="C6928" t="str">
        <f>HYPERLINK("https://nematode.unl.edu/mesoxege7.jpg")</f>
        <v>https://nematode.unl.edu/mesoxege7.jpg</v>
      </c>
      <c r="D6928" t="s">
        <v>16</v>
      </c>
      <c r="G6928" t="s">
        <v>224</v>
      </c>
      <c r="I6928" t="s">
        <v>41</v>
      </c>
      <c r="J6928" t="s">
        <v>2572</v>
      </c>
      <c r="M6928" t="s">
        <v>8559</v>
      </c>
      <c r="N6928" t="s">
        <v>8559</v>
      </c>
      <c r="O6928" t="s">
        <v>23</v>
      </c>
      <c r="P6928" t="s">
        <v>24</v>
      </c>
      <c r="Q6928" t="s">
        <v>642</v>
      </c>
      <c r="R6928" t="s">
        <v>1214</v>
      </c>
    </row>
    <row r="6929" spans="1:18" x14ac:dyDescent="0.25">
      <c r="A6929" t="s">
        <v>15294</v>
      </c>
      <c r="B6929" t="s">
        <v>8626</v>
      </c>
      <c r="C6929" t="str">
        <f>HYPERLINK("https://nematode.unl.edu/mesoxege8.jpg")</f>
        <v>https://nematode.unl.edu/mesoxege8.jpg</v>
      </c>
      <c r="D6929" t="s">
        <v>43</v>
      </c>
      <c r="G6929" t="s">
        <v>44</v>
      </c>
      <c r="I6929" t="s">
        <v>19</v>
      </c>
      <c r="J6929" t="s">
        <v>8622</v>
      </c>
      <c r="M6929" t="s">
        <v>8559</v>
      </c>
      <c r="N6929" t="s">
        <v>8559</v>
      </c>
      <c r="O6929" t="s">
        <v>23</v>
      </c>
      <c r="P6929" t="s">
        <v>24</v>
      </c>
      <c r="Q6929" t="s">
        <v>642</v>
      </c>
      <c r="R6929" t="s">
        <v>1214</v>
      </c>
    </row>
    <row r="6930" spans="1:18" x14ac:dyDescent="0.25">
      <c r="A6930" t="s">
        <v>15224</v>
      </c>
      <c r="B6930" t="s">
        <v>8627</v>
      </c>
      <c r="C6930" t="str">
        <f>HYPERLINK("https://nematode.unl.edu/mesoxege9.jpg")</f>
        <v>https://nematode.unl.edu/mesoxege9.jpg</v>
      </c>
      <c r="D6930" t="s">
        <v>43</v>
      </c>
      <c r="G6930" t="s">
        <v>34</v>
      </c>
      <c r="H6930" t="s">
        <v>18</v>
      </c>
      <c r="I6930" t="s">
        <v>41</v>
      </c>
      <c r="J6930" t="s">
        <v>2572</v>
      </c>
      <c r="M6930" t="s">
        <v>8559</v>
      </c>
      <c r="N6930" t="s">
        <v>8559</v>
      </c>
      <c r="O6930" t="s">
        <v>23</v>
      </c>
      <c r="P6930" t="s">
        <v>24</v>
      </c>
      <c r="Q6930" t="s">
        <v>642</v>
      </c>
      <c r="R6930" t="s">
        <v>1214</v>
      </c>
    </row>
    <row r="6931" spans="1:18" x14ac:dyDescent="0.25">
      <c r="A6931" t="s">
        <v>14157</v>
      </c>
      <c r="B6931" t="s">
        <v>7526</v>
      </c>
      <c r="C6931" t="str">
        <f>HYPERLINK("https://nematode.unl.edu/mesoxmon1.jpg")</f>
        <v>https://nematode.unl.edu/mesoxmon1.jpg</v>
      </c>
      <c r="D6931" t="s">
        <v>43</v>
      </c>
      <c r="G6931" t="s">
        <v>44</v>
      </c>
      <c r="I6931" t="s">
        <v>19</v>
      </c>
      <c r="J6931" t="s">
        <v>4000</v>
      </c>
      <c r="L6931" t="s">
        <v>4584</v>
      </c>
      <c r="M6931" t="s">
        <v>1214</v>
      </c>
      <c r="N6931" t="s">
        <v>1214</v>
      </c>
      <c r="O6931" t="s">
        <v>23</v>
      </c>
      <c r="P6931" t="s">
        <v>24</v>
      </c>
      <c r="Q6931" t="s">
        <v>642</v>
      </c>
      <c r="R6931" t="s">
        <v>1214</v>
      </c>
    </row>
    <row r="6932" spans="1:18" x14ac:dyDescent="0.25">
      <c r="A6932" t="s">
        <v>14093</v>
      </c>
      <c r="B6932" t="s">
        <v>7527</v>
      </c>
      <c r="C6932" t="str">
        <f>HYPERLINK("https://nematode.unl.edu/mesoxmon2.jpg")</f>
        <v>https://nematode.unl.edu/mesoxmon2.jpg</v>
      </c>
      <c r="D6932" t="s">
        <v>43</v>
      </c>
      <c r="G6932" t="s">
        <v>34</v>
      </c>
      <c r="H6932" t="s">
        <v>18</v>
      </c>
      <c r="I6932" t="s">
        <v>41</v>
      </c>
      <c r="J6932" t="s">
        <v>4000</v>
      </c>
      <c r="M6932" t="s">
        <v>1214</v>
      </c>
      <c r="N6932" t="s">
        <v>1214</v>
      </c>
      <c r="O6932" t="s">
        <v>23</v>
      </c>
      <c r="P6932" t="s">
        <v>24</v>
      </c>
      <c r="Q6932" t="s">
        <v>642</v>
      </c>
      <c r="R6932" t="s">
        <v>1214</v>
      </c>
    </row>
    <row r="6933" spans="1:18" x14ac:dyDescent="0.25">
      <c r="A6933" t="s">
        <v>14214</v>
      </c>
      <c r="B6933" t="s">
        <v>7528</v>
      </c>
      <c r="C6933" t="str">
        <f>HYPERLINK("https://nematode.unl.edu/mesoxmon3.jpg")</f>
        <v>https://nematode.unl.edu/mesoxmon3.jpg</v>
      </c>
      <c r="D6933" t="s">
        <v>43</v>
      </c>
      <c r="G6933" t="s">
        <v>28</v>
      </c>
      <c r="J6933" t="s">
        <v>4000</v>
      </c>
      <c r="M6933" t="s">
        <v>1214</v>
      </c>
      <c r="N6933" t="s">
        <v>1214</v>
      </c>
      <c r="O6933" t="s">
        <v>23</v>
      </c>
      <c r="P6933" t="s">
        <v>24</v>
      </c>
      <c r="Q6933" t="s">
        <v>642</v>
      </c>
      <c r="R6933" t="s">
        <v>1214</v>
      </c>
    </row>
    <row r="6934" spans="1:18" x14ac:dyDescent="0.25">
      <c r="A6934" t="s">
        <v>14158</v>
      </c>
      <c r="B6934" t="s">
        <v>7529</v>
      </c>
      <c r="C6934" t="str">
        <f>HYPERLINK("https://nematode.unl.edu/mesoxmon4.jpg")</f>
        <v>https://nematode.unl.edu/mesoxmon4.jpg</v>
      </c>
      <c r="D6934" t="s">
        <v>43</v>
      </c>
      <c r="G6934" t="s">
        <v>44</v>
      </c>
      <c r="I6934" t="s">
        <v>19</v>
      </c>
      <c r="J6934" t="s">
        <v>4000</v>
      </c>
      <c r="L6934" t="s">
        <v>4584</v>
      </c>
      <c r="M6934" t="s">
        <v>1214</v>
      </c>
      <c r="N6934" t="s">
        <v>1214</v>
      </c>
      <c r="O6934" t="s">
        <v>23</v>
      </c>
      <c r="P6934" t="s">
        <v>24</v>
      </c>
      <c r="Q6934" t="s">
        <v>642</v>
      </c>
      <c r="R6934" t="s">
        <v>1214</v>
      </c>
    </row>
    <row r="6935" spans="1:18" x14ac:dyDescent="0.25">
      <c r="A6935" t="s">
        <v>14062</v>
      </c>
      <c r="B6935" t="s">
        <v>7530</v>
      </c>
      <c r="C6935" t="str">
        <f>HYPERLINK("https://nematode.unl.edu/mesoxmon5.jpg")</f>
        <v>https://nematode.unl.edu/mesoxmon5.jpg</v>
      </c>
      <c r="D6935" t="s">
        <v>43</v>
      </c>
      <c r="G6935" t="s">
        <v>96</v>
      </c>
      <c r="H6935" t="s">
        <v>18</v>
      </c>
      <c r="I6935" t="s">
        <v>41</v>
      </c>
      <c r="J6935" t="s">
        <v>4000</v>
      </c>
      <c r="M6935" t="s">
        <v>1214</v>
      </c>
      <c r="N6935" t="s">
        <v>1214</v>
      </c>
      <c r="O6935" t="s">
        <v>23</v>
      </c>
      <c r="P6935" t="s">
        <v>24</v>
      </c>
      <c r="Q6935" t="s">
        <v>642</v>
      </c>
      <c r="R6935" t="s">
        <v>1214</v>
      </c>
    </row>
    <row r="6936" spans="1:18" x14ac:dyDescent="0.25">
      <c r="A6936" t="s">
        <v>14181</v>
      </c>
      <c r="B6936" t="s">
        <v>7531</v>
      </c>
      <c r="C6936" t="str">
        <f>HYPERLINK("https://nematode.unl.edu/mesoxmon6.jpg")</f>
        <v>https://nematode.unl.edu/mesoxmon6.jpg</v>
      </c>
      <c r="D6936" t="s">
        <v>43</v>
      </c>
      <c r="G6936" t="s">
        <v>181</v>
      </c>
      <c r="I6936" t="s">
        <v>41</v>
      </c>
      <c r="J6936" t="s">
        <v>4000</v>
      </c>
      <c r="M6936" t="s">
        <v>1214</v>
      </c>
      <c r="N6936" t="s">
        <v>1214</v>
      </c>
      <c r="O6936" t="s">
        <v>23</v>
      </c>
      <c r="P6936" t="s">
        <v>24</v>
      </c>
      <c r="Q6936" t="s">
        <v>642</v>
      </c>
      <c r="R6936" t="s">
        <v>1214</v>
      </c>
    </row>
    <row r="6937" spans="1:18" x14ac:dyDescent="0.25">
      <c r="A6937" t="s">
        <v>15177</v>
      </c>
      <c r="B6937" t="s">
        <v>1253</v>
      </c>
      <c r="C6937" t="str">
        <f>HYPERLINK("https://nematode.unl.edu/mesph1.jpg")</f>
        <v>https://nematode.unl.edu/mesph1.jpg</v>
      </c>
      <c r="D6937" t="s">
        <v>43</v>
      </c>
      <c r="G6937" t="s">
        <v>44</v>
      </c>
      <c r="I6937" t="s">
        <v>45</v>
      </c>
      <c r="J6937" t="s">
        <v>20</v>
      </c>
      <c r="L6937" t="s">
        <v>183</v>
      </c>
      <c r="M6937" t="s">
        <v>1254</v>
      </c>
      <c r="N6937" t="s">
        <v>1255</v>
      </c>
      <c r="O6937" t="s">
        <v>23</v>
      </c>
      <c r="P6937" t="s">
        <v>24</v>
      </c>
      <c r="Q6937" t="s">
        <v>642</v>
      </c>
      <c r="R6937" t="s">
        <v>1214</v>
      </c>
    </row>
    <row r="6938" spans="1:18" x14ac:dyDescent="0.25">
      <c r="A6938" t="s">
        <v>15172</v>
      </c>
      <c r="B6938" t="s">
        <v>1256</v>
      </c>
      <c r="C6938" t="str">
        <f>HYPERLINK("https://nematode.unl.edu/mesph2.jpg")</f>
        <v>https://nematode.unl.edu/mesph2.jpg</v>
      </c>
      <c r="D6938" t="s">
        <v>43</v>
      </c>
      <c r="G6938" t="s">
        <v>34</v>
      </c>
      <c r="H6938" t="s">
        <v>18</v>
      </c>
      <c r="J6938" t="s">
        <v>20</v>
      </c>
      <c r="L6938" t="s">
        <v>85</v>
      </c>
      <c r="M6938" t="s">
        <v>1254</v>
      </c>
      <c r="N6938" t="s">
        <v>1255</v>
      </c>
      <c r="O6938" t="s">
        <v>23</v>
      </c>
      <c r="P6938" t="s">
        <v>24</v>
      </c>
      <c r="Q6938" t="s">
        <v>642</v>
      </c>
      <c r="R6938" t="s">
        <v>1214</v>
      </c>
    </row>
    <row r="6939" spans="1:18" x14ac:dyDescent="0.25">
      <c r="A6939" t="s">
        <v>15174</v>
      </c>
      <c r="B6939" t="s">
        <v>1257</v>
      </c>
      <c r="C6939" t="str">
        <f>HYPERLINK("https://nematode.unl.edu/mesph3.jpg")</f>
        <v>https://nematode.unl.edu/mesph3.jpg</v>
      </c>
      <c r="D6939" t="s">
        <v>43</v>
      </c>
      <c r="G6939" t="s">
        <v>1258</v>
      </c>
      <c r="I6939" t="s">
        <v>19</v>
      </c>
      <c r="J6939" t="s">
        <v>20</v>
      </c>
      <c r="L6939" t="s">
        <v>183</v>
      </c>
      <c r="M6939" t="s">
        <v>1254</v>
      </c>
      <c r="N6939" t="s">
        <v>1255</v>
      </c>
      <c r="O6939" t="s">
        <v>23</v>
      </c>
      <c r="P6939" t="s">
        <v>24</v>
      </c>
      <c r="Q6939" t="s">
        <v>642</v>
      </c>
      <c r="R6939" t="s">
        <v>1214</v>
      </c>
    </row>
    <row r="6940" spans="1:18" x14ac:dyDescent="0.25">
      <c r="A6940" t="s">
        <v>15178</v>
      </c>
      <c r="B6940" t="s">
        <v>1259</v>
      </c>
      <c r="C6940" t="str">
        <f>HYPERLINK("https://nematode.unl.edu/mesph4.jpg")</f>
        <v>https://nematode.unl.edu/mesph4.jpg</v>
      </c>
      <c r="D6940" t="s">
        <v>43</v>
      </c>
      <c r="G6940" t="s">
        <v>28</v>
      </c>
      <c r="J6940" t="s">
        <v>20</v>
      </c>
      <c r="M6940" t="s">
        <v>1254</v>
      </c>
      <c r="N6940" t="s">
        <v>1255</v>
      </c>
      <c r="O6940" t="s">
        <v>23</v>
      </c>
      <c r="P6940" t="s">
        <v>24</v>
      </c>
      <c r="Q6940" t="s">
        <v>642</v>
      </c>
      <c r="R6940" t="s">
        <v>1214</v>
      </c>
    </row>
    <row r="6941" spans="1:18" x14ac:dyDescent="0.25">
      <c r="A6941" t="s">
        <v>15173</v>
      </c>
      <c r="B6941" t="s">
        <v>1260</v>
      </c>
      <c r="C6941" t="str">
        <f>HYPERLINK("https://nematode.unl.edu/mesph5.jpg")</f>
        <v>https://nematode.unl.edu/mesph5.jpg</v>
      </c>
      <c r="D6941" t="s">
        <v>43</v>
      </c>
      <c r="G6941" t="s">
        <v>34</v>
      </c>
      <c r="H6941" t="s">
        <v>18</v>
      </c>
      <c r="I6941" t="s">
        <v>41</v>
      </c>
      <c r="J6941" t="s">
        <v>20</v>
      </c>
      <c r="L6941" t="s">
        <v>85</v>
      </c>
      <c r="M6941" t="s">
        <v>1254</v>
      </c>
      <c r="N6941" t="s">
        <v>1255</v>
      </c>
      <c r="O6941" t="s">
        <v>23</v>
      </c>
      <c r="P6941" t="s">
        <v>24</v>
      </c>
      <c r="Q6941" t="s">
        <v>642</v>
      </c>
      <c r="R6941" t="s">
        <v>1214</v>
      </c>
    </row>
    <row r="6942" spans="1:18" x14ac:dyDescent="0.25">
      <c r="A6942" t="s">
        <v>15175</v>
      </c>
      <c r="B6942" t="s">
        <v>1261</v>
      </c>
      <c r="C6942" t="str">
        <f>HYPERLINK("https://nematode.unl.edu/mesph6.jpg")</f>
        <v>https://nematode.unl.edu/mesph6.jpg</v>
      </c>
      <c r="D6942" t="s">
        <v>43</v>
      </c>
      <c r="G6942" t="s">
        <v>1262</v>
      </c>
      <c r="I6942" t="s">
        <v>529</v>
      </c>
      <c r="J6942" t="s">
        <v>20</v>
      </c>
      <c r="L6942" t="s">
        <v>183</v>
      </c>
      <c r="M6942" t="s">
        <v>1254</v>
      </c>
      <c r="N6942" t="s">
        <v>1255</v>
      </c>
      <c r="O6942" t="s">
        <v>23</v>
      </c>
      <c r="P6942" t="s">
        <v>24</v>
      </c>
      <c r="Q6942" t="s">
        <v>642</v>
      </c>
      <c r="R6942" t="s">
        <v>1214</v>
      </c>
    </row>
    <row r="6943" spans="1:18" x14ac:dyDescent="0.25">
      <c r="A6943" t="s">
        <v>15176</v>
      </c>
      <c r="B6943" t="s">
        <v>1263</v>
      </c>
      <c r="C6943" t="str">
        <f>HYPERLINK("https://nematode.unl.edu/mesph7.jpg")</f>
        <v>https://nematode.unl.edu/mesph7.jpg</v>
      </c>
      <c r="D6943" t="s">
        <v>43</v>
      </c>
      <c r="G6943" t="s">
        <v>1262</v>
      </c>
      <c r="I6943" t="s">
        <v>529</v>
      </c>
      <c r="J6943" t="s">
        <v>20</v>
      </c>
      <c r="L6943" t="s">
        <v>183</v>
      </c>
      <c r="M6943" t="s">
        <v>1254</v>
      </c>
      <c r="N6943" t="s">
        <v>1255</v>
      </c>
      <c r="O6943" t="s">
        <v>23</v>
      </c>
      <c r="P6943" t="s">
        <v>24</v>
      </c>
      <c r="Q6943" t="s">
        <v>642</v>
      </c>
      <c r="R6943" t="s">
        <v>1214</v>
      </c>
    </row>
    <row r="6944" spans="1:18" x14ac:dyDescent="0.25">
      <c r="A6944" t="s">
        <v>15179</v>
      </c>
      <c r="B6944" t="s">
        <v>1264</v>
      </c>
      <c r="C6944" t="str">
        <f>HYPERLINK("https://nematode.unl.edu/mesph8.jpg")</f>
        <v>https://nematode.unl.edu/mesph8.jpg</v>
      </c>
      <c r="D6944" t="s">
        <v>43</v>
      </c>
      <c r="G6944" t="s">
        <v>51</v>
      </c>
      <c r="I6944" t="s">
        <v>41</v>
      </c>
      <c r="L6944" t="s">
        <v>29</v>
      </c>
      <c r="M6944" t="s">
        <v>1254</v>
      </c>
      <c r="N6944" t="s">
        <v>1255</v>
      </c>
      <c r="O6944" t="s">
        <v>23</v>
      </c>
      <c r="P6944" t="s">
        <v>24</v>
      </c>
      <c r="Q6944" t="s">
        <v>642</v>
      </c>
      <c r="R6944" t="s">
        <v>1214</v>
      </c>
    </row>
    <row r="6945" spans="1:18" x14ac:dyDescent="0.25">
      <c r="A6945" t="s">
        <v>15183</v>
      </c>
      <c r="B6945" t="s">
        <v>8538</v>
      </c>
      <c r="C6945" t="str">
        <f>HYPERLINK("https://nematode.unl.edu/mesphaero1.jpg")</f>
        <v>https://nematode.unl.edu/mesphaero1.jpg</v>
      </c>
      <c r="D6945" t="s">
        <v>43</v>
      </c>
      <c r="G6945" t="s">
        <v>44</v>
      </c>
      <c r="I6945" t="s">
        <v>516</v>
      </c>
      <c r="J6945" t="s">
        <v>6089</v>
      </c>
      <c r="L6945" t="s">
        <v>7533</v>
      </c>
      <c r="M6945" t="s">
        <v>1255</v>
      </c>
      <c r="N6945" t="s">
        <v>1255</v>
      </c>
      <c r="O6945" t="s">
        <v>23</v>
      </c>
      <c r="P6945" t="s">
        <v>24</v>
      </c>
      <c r="Q6945" t="s">
        <v>642</v>
      </c>
      <c r="R6945" t="s">
        <v>1214</v>
      </c>
    </row>
    <row r="6946" spans="1:18" x14ac:dyDescent="0.25">
      <c r="A6946" t="s">
        <v>15180</v>
      </c>
      <c r="B6946" t="s">
        <v>8539</v>
      </c>
      <c r="C6946" t="str">
        <f>HYPERLINK("https://nematode.unl.edu/mesphaero10.jpg")</f>
        <v>https://nematode.unl.edu/mesphaero10.jpg</v>
      </c>
      <c r="D6946" t="s">
        <v>43</v>
      </c>
      <c r="G6946" t="s">
        <v>34</v>
      </c>
      <c r="H6946" t="s">
        <v>18</v>
      </c>
      <c r="M6946" t="s">
        <v>1255</v>
      </c>
      <c r="N6946" t="s">
        <v>1255</v>
      </c>
      <c r="O6946" t="s">
        <v>23</v>
      </c>
      <c r="P6946" t="s">
        <v>24</v>
      </c>
      <c r="Q6946" t="s">
        <v>642</v>
      </c>
      <c r="R6946" t="s">
        <v>1214</v>
      </c>
    </row>
    <row r="6947" spans="1:18" x14ac:dyDescent="0.25">
      <c r="A6947" t="s">
        <v>15192</v>
      </c>
      <c r="B6947" t="s">
        <v>8540</v>
      </c>
      <c r="C6947" t="str">
        <f>HYPERLINK("https://nematode.unl.edu/mesphaero11.jpg")</f>
        <v>https://nematode.unl.edu/mesphaero11.jpg</v>
      </c>
      <c r="D6947" t="s">
        <v>43</v>
      </c>
      <c r="G6947" t="s">
        <v>28</v>
      </c>
      <c r="I6947" t="s">
        <v>41</v>
      </c>
      <c r="M6947" t="s">
        <v>1255</v>
      </c>
      <c r="N6947" t="s">
        <v>1255</v>
      </c>
      <c r="O6947" t="s">
        <v>23</v>
      </c>
      <c r="P6947" t="s">
        <v>24</v>
      </c>
      <c r="Q6947" t="s">
        <v>642</v>
      </c>
      <c r="R6947" t="s">
        <v>1214</v>
      </c>
    </row>
    <row r="6948" spans="1:18" x14ac:dyDescent="0.25">
      <c r="A6948" t="s">
        <v>15184</v>
      </c>
      <c r="B6948" t="s">
        <v>8541</v>
      </c>
      <c r="C6948" t="str">
        <f>HYPERLINK("https://nematode.unl.edu/mesphaero12.jpg")</f>
        <v>https://nematode.unl.edu/mesphaero12.jpg</v>
      </c>
      <c r="D6948" t="s">
        <v>43</v>
      </c>
      <c r="G6948" t="s">
        <v>44</v>
      </c>
      <c r="I6948" t="s">
        <v>41</v>
      </c>
      <c r="M6948" t="s">
        <v>1255</v>
      </c>
      <c r="N6948" t="s">
        <v>1255</v>
      </c>
      <c r="O6948" t="s">
        <v>23</v>
      </c>
      <c r="P6948" t="s">
        <v>24</v>
      </c>
      <c r="Q6948" t="s">
        <v>642</v>
      </c>
      <c r="R6948" t="s">
        <v>1214</v>
      </c>
    </row>
    <row r="6949" spans="1:18" x14ac:dyDescent="0.25">
      <c r="A6949" t="s">
        <v>15185</v>
      </c>
      <c r="B6949" t="s">
        <v>8542</v>
      </c>
      <c r="C6949" t="str">
        <f>HYPERLINK("https://nematode.unl.edu/mesphaero13.jpg")</f>
        <v>https://nematode.unl.edu/mesphaero13.jpg</v>
      </c>
      <c r="D6949" t="s">
        <v>43</v>
      </c>
      <c r="G6949" t="s">
        <v>44</v>
      </c>
      <c r="I6949" t="s">
        <v>19</v>
      </c>
      <c r="J6949" t="s">
        <v>6089</v>
      </c>
      <c r="L6949" t="s">
        <v>7533</v>
      </c>
      <c r="M6949" t="s">
        <v>1255</v>
      </c>
      <c r="N6949" t="s">
        <v>1255</v>
      </c>
      <c r="O6949" t="s">
        <v>23</v>
      </c>
      <c r="P6949" t="s">
        <v>24</v>
      </c>
      <c r="Q6949" t="s">
        <v>642</v>
      </c>
      <c r="R6949" t="s">
        <v>1214</v>
      </c>
    </row>
    <row r="6950" spans="1:18" x14ac:dyDescent="0.25">
      <c r="A6950" t="s">
        <v>15191</v>
      </c>
      <c r="B6950" t="s">
        <v>8543</v>
      </c>
      <c r="C6950" t="str">
        <f>HYPERLINK("https://nematode.unl.edu/mesphaero14.jpg")</f>
        <v>https://nematode.unl.edu/mesphaero14.jpg</v>
      </c>
      <c r="D6950" t="s">
        <v>43</v>
      </c>
      <c r="G6950" t="s">
        <v>7004</v>
      </c>
      <c r="I6950" t="s">
        <v>41</v>
      </c>
      <c r="J6950" t="s">
        <v>6089</v>
      </c>
      <c r="L6950" t="s">
        <v>7533</v>
      </c>
      <c r="M6950" t="s">
        <v>1255</v>
      </c>
      <c r="N6950" t="s">
        <v>1255</v>
      </c>
      <c r="O6950" t="s">
        <v>23</v>
      </c>
      <c r="P6950" t="s">
        <v>24</v>
      </c>
      <c r="Q6950" t="s">
        <v>642</v>
      </c>
      <c r="R6950" t="s">
        <v>1214</v>
      </c>
    </row>
    <row r="6951" spans="1:18" x14ac:dyDescent="0.25">
      <c r="A6951" t="s">
        <v>15193</v>
      </c>
      <c r="B6951" t="s">
        <v>8544</v>
      </c>
      <c r="C6951" t="str">
        <f>HYPERLINK("https://nematode.unl.edu/mesphaero15.jpg")</f>
        <v>https://nematode.unl.edu/mesphaero15.jpg</v>
      </c>
      <c r="D6951" t="s">
        <v>43</v>
      </c>
      <c r="G6951" t="s">
        <v>28</v>
      </c>
      <c r="I6951" t="s">
        <v>41</v>
      </c>
      <c r="M6951" t="s">
        <v>1255</v>
      </c>
      <c r="N6951" t="s">
        <v>1255</v>
      </c>
      <c r="O6951" t="s">
        <v>23</v>
      </c>
      <c r="P6951" t="s">
        <v>24</v>
      </c>
      <c r="Q6951" t="s">
        <v>642</v>
      </c>
      <c r="R6951" t="s">
        <v>1214</v>
      </c>
    </row>
    <row r="6952" spans="1:18" x14ac:dyDescent="0.25">
      <c r="A6952" t="s">
        <v>15194</v>
      </c>
      <c r="B6952" t="s">
        <v>8545</v>
      </c>
      <c r="C6952" t="str">
        <f>HYPERLINK("https://nematode.unl.edu/mesphaero16.jpg")</f>
        <v>https://nematode.unl.edu/mesphaero16.jpg</v>
      </c>
      <c r="D6952" t="s">
        <v>43</v>
      </c>
      <c r="G6952" t="s">
        <v>28</v>
      </c>
      <c r="I6952" t="s">
        <v>41</v>
      </c>
      <c r="M6952" t="s">
        <v>1255</v>
      </c>
      <c r="N6952" t="s">
        <v>1255</v>
      </c>
      <c r="O6952" t="s">
        <v>23</v>
      </c>
      <c r="P6952" t="s">
        <v>24</v>
      </c>
      <c r="Q6952" t="s">
        <v>642</v>
      </c>
      <c r="R6952" t="s">
        <v>1214</v>
      </c>
    </row>
    <row r="6953" spans="1:18" x14ac:dyDescent="0.25">
      <c r="A6953" t="s">
        <v>15186</v>
      </c>
      <c r="B6953" t="s">
        <v>8546</v>
      </c>
      <c r="C6953" t="str">
        <f>HYPERLINK("https://nematode.unl.edu/mesphaero17.jpg")</f>
        <v>https://nematode.unl.edu/mesphaero17.jpg</v>
      </c>
      <c r="D6953" t="s">
        <v>43</v>
      </c>
      <c r="G6953" t="s">
        <v>44</v>
      </c>
      <c r="I6953" t="s">
        <v>41</v>
      </c>
      <c r="M6953" t="s">
        <v>1255</v>
      </c>
      <c r="N6953" t="s">
        <v>1255</v>
      </c>
      <c r="O6953" t="s">
        <v>23</v>
      </c>
      <c r="P6953" t="s">
        <v>24</v>
      </c>
      <c r="Q6953" t="s">
        <v>642</v>
      </c>
      <c r="R6953" t="s">
        <v>1214</v>
      </c>
    </row>
    <row r="6954" spans="1:18" x14ac:dyDescent="0.25">
      <c r="A6954" t="s">
        <v>15181</v>
      </c>
      <c r="B6954" t="s">
        <v>8547</v>
      </c>
      <c r="C6954" t="str">
        <f>HYPERLINK("https://nematode.unl.edu/mesphaero2.jpg")</f>
        <v>https://nematode.unl.edu/mesphaero2.jpg</v>
      </c>
      <c r="D6954" t="s">
        <v>43</v>
      </c>
      <c r="G6954" t="s">
        <v>34</v>
      </c>
      <c r="H6954" t="s">
        <v>18</v>
      </c>
      <c r="I6954" t="s">
        <v>529</v>
      </c>
      <c r="J6954" t="s">
        <v>6089</v>
      </c>
      <c r="L6954" t="s">
        <v>7533</v>
      </c>
      <c r="M6954" t="s">
        <v>1255</v>
      </c>
      <c r="N6954" t="s">
        <v>1255</v>
      </c>
      <c r="O6954" t="s">
        <v>23</v>
      </c>
      <c r="P6954" t="s">
        <v>24</v>
      </c>
      <c r="Q6954" t="s">
        <v>642</v>
      </c>
      <c r="R6954" t="s">
        <v>1214</v>
      </c>
    </row>
    <row r="6955" spans="1:18" x14ac:dyDescent="0.25">
      <c r="A6955" t="s">
        <v>15195</v>
      </c>
      <c r="B6955" t="s">
        <v>8548</v>
      </c>
      <c r="C6955" t="str">
        <f>HYPERLINK("https://nematode.unl.edu/mesphaero3.jpg")</f>
        <v>https://nematode.unl.edu/mesphaero3.jpg</v>
      </c>
      <c r="D6955" t="s">
        <v>43</v>
      </c>
      <c r="G6955" t="s">
        <v>28</v>
      </c>
      <c r="I6955" t="s">
        <v>41</v>
      </c>
      <c r="M6955" t="s">
        <v>1255</v>
      </c>
      <c r="N6955" t="s">
        <v>1255</v>
      </c>
      <c r="O6955" t="s">
        <v>23</v>
      </c>
      <c r="P6955" t="s">
        <v>24</v>
      </c>
      <c r="Q6955" t="s">
        <v>642</v>
      </c>
      <c r="R6955" t="s">
        <v>1214</v>
      </c>
    </row>
    <row r="6956" spans="1:18" x14ac:dyDescent="0.25">
      <c r="A6956" t="s">
        <v>15189</v>
      </c>
      <c r="B6956" t="s">
        <v>8549</v>
      </c>
      <c r="C6956" t="str">
        <f>HYPERLINK("https://nematode.unl.edu/mesphaero4.jpg")</f>
        <v>https://nematode.unl.edu/mesphaero4.jpg</v>
      </c>
      <c r="D6956" t="s">
        <v>43</v>
      </c>
      <c r="G6956" t="s">
        <v>224</v>
      </c>
      <c r="M6956" t="s">
        <v>1255</v>
      </c>
      <c r="N6956" t="s">
        <v>1255</v>
      </c>
      <c r="O6956" t="s">
        <v>23</v>
      </c>
      <c r="P6956" t="s">
        <v>24</v>
      </c>
      <c r="Q6956" t="s">
        <v>642</v>
      </c>
      <c r="R6956" t="s">
        <v>1214</v>
      </c>
    </row>
    <row r="6957" spans="1:18" x14ac:dyDescent="0.25">
      <c r="A6957" t="s">
        <v>15187</v>
      </c>
      <c r="B6957" t="s">
        <v>8550</v>
      </c>
      <c r="C6957" t="str">
        <f>HYPERLINK("https://nematode.unl.edu/mesphaero5.jpg")</f>
        <v>https://nematode.unl.edu/mesphaero5.jpg</v>
      </c>
      <c r="D6957" t="s">
        <v>43</v>
      </c>
      <c r="G6957" t="s">
        <v>44</v>
      </c>
      <c r="I6957" t="s">
        <v>19</v>
      </c>
      <c r="J6957" t="s">
        <v>6089</v>
      </c>
      <c r="L6957" t="s">
        <v>7533</v>
      </c>
      <c r="M6957" t="s">
        <v>1255</v>
      </c>
      <c r="N6957" t="s">
        <v>1255</v>
      </c>
      <c r="O6957" t="s">
        <v>23</v>
      </c>
      <c r="P6957" t="s">
        <v>24</v>
      </c>
      <c r="Q6957" t="s">
        <v>642</v>
      </c>
      <c r="R6957" t="s">
        <v>1214</v>
      </c>
    </row>
    <row r="6958" spans="1:18" x14ac:dyDescent="0.25">
      <c r="A6958" t="s">
        <v>15182</v>
      </c>
      <c r="B6958" t="s">
        <v>8551</v>
      </c>
      <c r="C6958" t="str">
        <f>HYPERLINK("https://nematode.unl.edu/mesphaero6.jpg")</f>
        <v>https://nematode.unl.edu/mesphaero6.jpg</v>
      </c>
      <c r="D6958" t="s">
        <v>43</v>
      </c>
      <c r="G6958" t="s">
        <v>34</v>
      </c>
      <c r="H6958" t="s">
        <v>18</v>
      </c>
      <c r="I6958" t="s">
        <v>41</v>
      </c>
      <c r="M6958" t="s">
        <v>1255</v>
      </c>
      <c r="N6958" t="s">
        <v>1255</v>
      </c>
      <c r="O6958" t="s">
        <v>23</v>
      </c>
      <c r="P6958" t="s">
        <v>24</v>
      </c>
      <c r="Q6958" t="s">
        <v>642</v>
      </c>
      <c r="R6958" t="s">
        <v>1214</v>
      </c>
    </row>
    <row r="6959" spans="1:18" x14ac:dyDescent="0.25">
      <c r="A6959" t="s">
        <v>15196</v>
      </c>
      <c r="B6959" t="s">
        <v>8552</v>
      </c>
      <c r="C6959" t="str">
        <f>HYPERLINK("https://nematode.unl.edu/mesphaero7.jpg")</f>
        <v>https://nematode.unl.edu/mesphaero7.jpg</v>
      </c>
      <c r="D6959" t="s">
        <v>43</v>
      </c>
      <c r="G6959" t="s">
        <v>28</v>
      </c>
      <c r="I6959" t="s">
        <v>41</v>
      </c>
      <c r="M6959" t="s">
        <v>1255</v>
      </c>
      <c r="N6959" t="s">
        <v>1255</v>
      </c>
      <c r="O6959" t="s">
        <v>23</v>
      </c>
      <c r="P6959" t="s">
        <v>24</v>
      </c>
      <c r="Q6959" t="s">
        <v>642</v>
      </c>
      <c r="R6959" t="s">
        <v>1214</v>
      </c>
    </row>
    <row r="6960" spans="1:18" x14ac:dyDescent="0.25">
      <c r="A6960" t="s">
        <v>15190</v>
      </c>
      <c r="B6960" t="s">
        <v>8553</v>
      </c>
      <c r="C6960" t="str">
        <f>HYPERLINK("https://nematode.unl.edu/mesphaero8.jpg")</f>
        <v>https://nematode.unl.edu/mesphaero8.jpg</v>
      </c>
      <c r="D6960" t="s">
        <v>77</v>
      </c>
      <c r="G6960" t="s">
        <v>224</v>
      </c>
      <c r="I6960" t="s">
        <v>41</v>
      </c>
      <c r="M6960" t="s">
        <v>1255</v>
      </c>
      <c r="N6960" t="s">
        <v>1255</v>
      </c>
      <c r="O6960" t="s">
        <v>23</v>
      </c>
      <c r="P6960" t="s">
        <v>24</v>
      </c>
      <c r="Q6960" t="s">
        <v>642</v>
      </c>
      <c r="R6960" t="s">
        <v>1214</v>
      </c>
    </row>
    <row r="6961" spans="1:18" x14ac:dyDescent="0.25">
      <c r="A6961" t="s">
        <v>15188</v>
      </c>
      <c r="B6961" t="s">
        <v>8554</v>
      </c>
      <c r="C6961" t="str">
        <f>HYPERLINK("https://nematode.unl.edu/mesphaero9.jpg")</f>
        <v>https://nematode.unl.edu/mesphaero9.jpg</v>
      </c>
      <c r="D6961" t="s">
        <v>43</v>
      </c>
      <c r="G6961" t="s">
        <v>44</v>
      </c>
      <c r="I6961" t="s">
        <v>19</v>
      </c>
      <c r="J6961" t="s">
        <v>6089</v>
      </c>
      <c r="L6961" t="s">
        <v>7533</v>
      </c>
      <c r="M6961" t="s">
        <v>1255</v>
      </c>
      <c r="N6961" t="s">
        <v>1255</v>
      </c>
      <c r="O6961" t="s">
        <v>23</v>
      </c>
      <c r="P6961" t="s">
        <v>24</v>
      </c>
      <c r="Q6961" t="s">
        <v>642</v>
      </c>
      <c r="R6961" t="s">
        <v>1214</v>
      </c>
    </row>
    <row r="6962" spans="1:18" x14ac:dyDescent="0.25">
      <c r="A6962" t="s">
        <v>14159</v>
      </c>
      <c r="B6962" t="s">
        <v>7532</v>
      </c>
      <c r="C6962" t="str">
        <f>HYPERLINK("https://nematode.unl.edu/mespring1.jpg")</f>
        <v>https://nematode.unl.edu/mespring1.jpg</v>
      </c>
      <c r="D6962" t="s">
        <v>16</v>
      </c>
      <c r="G6962" t="s">
        <v>44</v>
      </c>
      <c r="I6962" t="s">
        <v>516</v>
      </c>
      <c r="J6962" t="s">
        <v>6089</v>
      </c>
      <c r="L6962" t="s">
        <v>7533</v>
      </c>
      <c r="M6962" t="s">
        <v>1214</v>
      </c>
      <c r="N6962" t="s">
        <v>1214</v>
      </c>
      <c r="O6962" t="s">
        <v>23</v>
      </c>
      <c r="P6962" t="s">
        <v>24</v>
      </c>
      <c r="Q6962" t="s">
        <v>642</v>
      </c>
      <c r="R6962" t="s">
        <v>1214</v>
      </c>
    </row>
    <row r="6963" spans="1:18" x14ac:dyDescent="0.25">
      <c r="A6963" t="s">
        <v>14094</v>
      </c>
      <c r="B6963" t="s">
        <v>7534</v>
      </c>
      <c r="C6963" t="str">
        <f>HYPERLINK("https://nematode.unl.edu/mespring2.jpg")</f>
        <v>https://nematode.unl.edu/mespring2.jpg</v>
      </c>
      <c r="D6963" t="s">
        <v>16</v>
      </c>
      <c r="G6963" t="s">
        <v>34</v>
      </c>
      <c r="H6963" t="s">
        <v>18</v>
      </c>
      <c r="I6963" t="s">
        <v>41</v>
      </c>
      <c r="M6963" t="s">
        <v>1214</v>
      </c>
      <c r="N6963" t="s">
        <v>1214</v>
      </c>
      <c r="O6963" t="s">
        <v>23</v>
      </c>
      <c r="P6963" t="s">
        <v>24</v>
      </c>
      <c r="Q6963" t="s">
        <v>642</v>
      </c>
      <c r="R6963" t="s">
        <v>1214</v>
      </c>
    </row>
    <row r="6964" spans="1:18" x14ac:dyDescent="0.25">
      <c r="A6964" t="s">
        <v>14215</v>
      </c>
      <c r="B6964" t="s">
        <v>7535</v>
      </c>
      <c r="C6964" t="str">
        <f>HYPERLINK("https://nematode.unl.edu/mespring3.jpg")</f>
        <v>https://nematode.unl.edu/mespring3.jpg</v>
      </c>
      <c r="D6964" t="s">
        <v>16</v>
      </c>
      <c r="G6964" t="s">
        <v>28</v>
      </c>
      <c r="M6964" t="s">
        <v>1214</v>
      </c>
      <c r="N6964" t="s">
        <v>1214</v>
      </c>
      <c r="O6964" t="s">
        <v>23</v>
      </c>
      <c r="P6964" t="s">
        <v>24</v>
      </c>
      <c r="Q6964" t="s">
        <v>642</v>
      </c>
      <c r="R6964" t="s">
        <v>1214</v>
      </c>
    </row>
    <row r="6965" spans="1:18" x14ac:dyDescent="0.25">
      <c r="A6965" t="s">
        <v>15113</v>
      </c>
      <c r="B6965" t="s">
        <v>8525</v>
      </c>
      <c r="C6965" t="str">
        <f>HYPERLINK("https://nematode.unl.edu/mesru1.jpg")</f>
        <v>https://nematode.unl.edu/mesru1.jpg</v>
      </c>
      <c r="D6965" t="s">
        <v>43</v>
      </c>
      <c r="G6965" t="s">
        <v>34</v>
      </c>
      <c r="H6965" t="s">
        <v>18</v>
      </c>
      <c r="J6965" t="s">
        <v>46</v>
      </c>
      <c r="M6965" t="s">
        <v>8448</v>
      </c>
      <c r="N6965" t="s">
        <v>8448</v>
      </c>
      <c r="O6965" t="s">
        <v>23</v>
      </c>
      <c r="P6965" t="s">
        <v>24</v>
      </c>
      <c r="Q6965" t="s">
        <v>642</v>
      </c>
      <c r="R6965" t="s">
        <v>1214</v>
      </c>
    </row>
    <row r="6966" spans="1:18" x14ac:dyDescent="0.25">
      <c r="A6966" t="s">
        <v>14378</v>
      </c>
      <c r="B6966" t="s">
        <v>8069</v>
      </c>
      <c r="C6966" t="str">
        <f>HYPERLINK("https://nematode.unl.edu/mesru2.jpg")</f>
        <v>https://nematode.unl.edu/mesru2.jpg</v>
      </c>
      <c r="D6966" t="s">
        <v>43</v>
      </c>
      <c r="G6966" t="s">
        <v>34</v>
      </c>
      <c r="H6966" t="s">
        <v>18</v>
      </c>
      <c r="I6966" t="s">
        <v>19</v>
      </c>
      <c r="J6966" t="s">
        <v>46</v>
      </c>
      <c r="L6966" t="s">
        <v>105</v>
      </c>
      <c r="M6966" t="s">
        <v>1233</v>
      </c>
      <c r="N6966" t="s">
        <v>1233</v>
      </c>
      <c r="O6966" t="s">
        <v>23</v>
      </c>
      <c r="P6966" t="s">
        <v>24</v>
      </c>
      <c r="Q6966" t="s">
        <v>642</v>
      </c>
      <c r="R6966" t="s">
        <v>1214</v>
      </c>
    </row>
    <row r="6967" spans="1:18" x14ac:dyDescent="0.25">
      <c r="A6967" t="s">
        <v>14706</v>
      </c>
      <c r="B6967" t="s">
        <v>8070</v>
      </c>
      <c r="C6967" t="str">
        <f>HYPERLINK("https://nematode.unl.edu/mesru3.jpg")</f>
        <v>https://nematode.unl.edu/mesru3.jpg</v>
      </c>
      <c r="D6967" t="s">
        <v>43</v>
      </c>
      <c r="G6967" t="s">
        <v>28</v>
      </c>
      <c r="I6967" t="s">
        <v>19</v>
      </c>
      <c r="J6967" t="s">
        <v>46</v>
      </c>
      <c r="L6967" t="s">
        <v>105</v>
      </c>
      <c r="M6967" t="s">
        <v>1233</v>
      </c>
      <c r="N6967" t="s">
        <v>1233</v>
      </c>
      <c r="O6967" t="s">
        <v>23</v>
      </c>
      <c r="P6967" t="s">
        <v>24</v>
      </c>
      <c r="Q6967" t="s">
        <v>642</v>
      </c>
      <c r="R6967" t="s">
        <v>1214</v>
      </c>
    </row>
    <row r="6968" spans="1:18" x14ac:dyDescent="0.25">
      <c r="A6968" t="s">
        <v>15138</v>
      </c>
      <c r="B6968" t="s">
        <v>8526</v>
      </c>
      <c r="C6968" t="str">
        <f>HYPERLINK("https://nematode.unl.edu/mesru4.jpg")</f>
        <v>https://nematode.unl.edu/mesru4.jpg</v>
      </c>
      <c r="D6968" t="s">
        <v>43</v>
      </c>
      <c r="G6968" t="s">
        <v>44</v>
      </c>
      <c r="I6968" t="s">
        <v>45</v>
      </c>
      <c r="J6968" t="s">
        <v>46</v>
      </c>
      <c r="L6968" t="s">
        <v>8527</v>
      </c>
      <c r="M6968" t="s">
        <v>8448</v>
      </c>
      <c r="N6968" t="s">
        <v>8448</v>
      </c>
      <c r="O6968" t="s">
        <v>23</v>
      </c>
      <c r="P6968" t="s">
        <v>24</v>
      </c>
      <c r="Q6968" t="s">
        <v>642</v>
      </c>
      <c r="R6968" t="s">
        <v>1214</v>
      </c>
    </row>
    <row r="6969" spans="1:18" x14ac:dyDescent="0.25">
      <c r="A6969" t="s">
        <v>15114</v>
      </c>
      <c r="B6969" t="s">
        <v>8528</v>
      </c>
      <c r="C6969" t="str">
        <f>HYPERLINK("https://nematode.unl.edu/mesru5.jpg")</f>
        <v>https://nematode.unl.edu/mesru5.jpg</v>
      </c>
      <c r="D6969" t="s">
        <v>43</v>
      </c>
      <c r="G6969" t="s">
        <v>34</v>
      </c>
      <c r="H6969" t="s">
        <v>18</v>
      </c>
      <c r="I6969" t="s">
        <v>19</v>
      </c>
      <c r="J6969" t="s">
        <v>46</v>
      </c>
      <c r="M6969" t="s">
        <v>8448</v>
      </c>
      <c r="N6969" t="s">
        <v>8448</v>
      </c>
      <c r="O6969" t="s">
        <v>23</v>
      </c>
      <c r="P6969" t="s">
        <v>24</v>
      </c>
      <c r="Q6969" t="s">
        <v>642</v>
      </c>
      <c r="R6969" t="s">
        <v>1214</v>
      </c>
    </row>
    <row r="6970" spans="1:18" x14ac:dyDescent="0.25">
      <c r="A6970" t="s">
        <v>15164</v>
      </c>
      <c r="B6970" t="s">
        <v>8529</v>
      </c>
      <c r="C6970" t="str">
        <f>HYPERLINK("https://nematode.unl.edu/mesru6.jpg")</f>
        <v>https://nematode.unl.edu/mesru6.jpg</v>
      </c>
      <c r="D6970" t="s">
        <v>43</v>
      </c>
      <c r="G6970" t="s">
        <v>28</v>
      </c>
      <c r="J6970" t="s">
        <v>46</v>
      </c>
      <c r="M6970" t="s">
        <v>8448</v>
      </c>
      <c r="N6970" t="s">
        <v>8448</v>
      </c>
      <c r="O6970" t="s">
        <v>23</v>
      </c>
      <c r="P6970" t="s">
        <v>24</v>
      </c>
      <c r="Q6970" t="s">
        <v>642</v>
      </c>
      <c r="R6970" t="s">
        <v>1214</v>
      </c>
    </row>
    <row r="6971" spans="1:18" x14ac:dyDescent="0.25">
      <c r="A6971" t="s">
        <v>15139</v>
      </c>
      <c r="B6971" t="s">
        <v>8530</v>
      </c>
      <c r="C6971" t="str">
        <f>HYPERLINK("https://nematode.unl.edu/mesruk1.jpg")</f>
        <v>https://nematode.unl.edu/mesruk1.jpg</v>
      </c>
      <c r="D6971" t="s">
        <v>43</v>
      </c>
      <c r="G6971" t="s">
        <v>44</v>
      </c>
      <c r="I6971" t="s">
        <v>19</v>
      </c>
      <c r="J6971" t="s">
        <v>3462</v>
      </c>
      <c r="L6971" t="s">
        <v>29</v>
      </c>
      <c r="M6971" t="s">
        <v>8448</v>
      </c>
      <c r="N6971" t="s">
        <v>8448</v>
      </c>
      <c r="O6971" t="s">
        <v>23</v>
      </c>
      <c r="P6971" t="s">
        <v>24</v>
      </c>
      <c r="Q6971" t="s">
        <v>642</v>
      </c>
      <c r="R6971" t="s">
        <v>1214</v>
      </c>
    </row>
    <row r="6972" spans="1:18" x14ac:dyDescent="0.25">
      <c r="A6972" t="s">
        <v>15115</v>
      </c>
      <c r="B6972" t="s">
        <v>8531</v>
      </c>
      <c r="C6972" t="str">
        <f>HYPERLINK("https://nematode.unl.edu/mesruk2.jpg")</f>
        <v>https://nematode.unl.edu/mesruk2.jpg</v>
      </c>
      <c r="D6972" t="s">
        <v>43</v>
      </c>
      <c r="G6972" t="s">
        <v>34</v>
      </c>
      <c r="H6972" t="s">
        <v>18</v>
      </c>
      <c r="I6972" t="s">
        <v>41</v>
      </c>
      <c r="J6972" t="s">
        <v>3462</v>
      </c>
      <c r="M6972" t="s">
        <v>8448</v>
      </c>
      <c r="N6972" t="s">
        <v>8448</v>
      </c>
      <c r="O6972" t="s">
        <v>23</v>
      </c>
      <c r="P6972" t="s">
        <v>24</v>
      </c>
      <c r="Q6972" t="s">
        <v>642</v>
      </c>
      <c r="R6972" t="s">
        <v>1214</v>
      </c>
    </row>
    <row r="6973" spans="1:18" x14ac:dyDescent="0.25">
      <c r="A6973" t="s">
        <v>15165</v>
      </c>
      <c r="B6973" t="s">
        <v>8532</v>
      </c>
      <c r="C6973" t="str">
        <f>HYPERLINK("https://nematode.unl.edu/mesruk3.jpg")</f>
        <v>https://nematode.unl.edu/mesruk3.jpg</v>
      </c>
      <c r="D6973" t="s">
        <v>43</v>
      </c>
      <c r="G6973" t="s">
        <v>28</v>
      </c>
      <c r="I6973" t="s">
        <v>41</v>
      </c>
      <c r="J6973" t="s">
        <v>3462</v>
      </c>
      <c r="M6973" t="s">
        <v>8448</v>
      </c>
      <c r="N6973" t="s">
        <v>8448</v>
      </c>
      <c r="O6973" t="s">
        <v>23</v>
      </c>
      <c r="P6973" t="s">
        <v>24</v>
      </c>
      <c r="Q6973" t="s">
        <v>642</v>
      </c>
      <c r="R6973" t="s">
        <v>1214</v>
      </c>
    </row>
    <row r="6974" spans="1:18" x14ac:dyDescent="0.25">
      <c r="A6974" t="s">
        <v>15146</v>
      </c>
      <c r="B6974" t="s">
        <v>8533</v>
      </c>
      <c r="C6974" t="str">
        <f>HYPERLINK("https://nematode.unl.edu/mesruk4.jpg")</f>
        <v>https://nematode.unl.edu/mesruk4.jpg</v>
      </c>
      <c r="D6974" t="s">
        <v>43</v>
      </c>
      <c r="G6974" t="s">
        <v>224</v>
      </c>
      <c r="I6974" t="s">
        <v>41</v>
      </c>
      <c r="J6974" t="s">
        <v>3462</v>
      </c>
      <c r="M6974" t="s">
        <v>8448</v>
      </c>
      <c r="N6974" t="s">
        <v>8448</v>
      </c>
      <c r="O6974" t="s">
        <v>23</v>
      </c>
      <c r="P6974" t="s">
        <v>24</v>
      </c>
      <c r="Q6974" t="s">
        <v>642</v>
      </c>
      <c r="R6974" t="s">
        <v>1214</v>
      </c>
    </row>
    <row r="6975" spans="1:18" x14ac:dyDescent="0.25">
      <c r="A6975" t="s">
        <v>15170</v>
      </c>
      <c r="B6975" t="s">
        <v>8534</v>
      </c>
      <c r="C6975" t="str">
        <f>HYPERLINK("https://nematode.unl.edu/mesruk5.jpg")</f>
        <v>https://nematode.unl.edu/mesruk5.jpg</v>
      </c>
      <c r="D6975" t="s">
        <v>43</v>
      </c>
      <c r="G6975" t="s">
        <v>51</v>
      </c>
      <c r="I6975" t="s">
        <v>19</v>
      </c>
      <c r="M6975" t="s">
        <v>8448</v>
      </c>
      <c r="N6975" t="s">
        <v>8448</v>
      </c>
      <c r="O6975" t="s">
        <v>23</v>
      </c>
      <c r="P6975" t="s">
        <v>24</v>
      </c>
      <c r="Q6975" t="s">
        <v>642</v>
      </c>
      <c r="R6975" t="s">
        <v>1214</v>
      </c>
    </row>
    <row r="6976" spans="1:18" x14ac:dyDescent="0.25">
      <c r="A6976" t="s">
        <v>15140</v>
      </c>
      <c r="B6976" t="s">
        <v>8535</v>
      </c>
      <c r="C6976" t="str">
        <f>HYPERLINK("https://nematode.unl.edu/mesruk6.jpg")</f>
        <v>https://nematode.unl.edu/mesruk6.jpg</v>
      </c>
      <c r="D6976" t="s">
        <v>43</v>
      </c>
      <c r="G6976" t="s">
        <v>44</v>
      </c>
      <c r="I6976" t="s">
        <v>19</v>
      </c>
      <c r="J6976" t="s">
        <v>3462</v>
      </c>
      <c r="L6976" t="s">
        <v>29</v>
      </c>
      <c r="M6976" t="s">
        <v>8448</v>
      </c>
      <c r="N6976" t="s">
        <v>8448</v>
      </c>
      <c r="O6976" t="s">
        <v>23</v>
      </c>
      <c r="P6976" t="s">
        <v>24</v>
      </c>
      <c r="Q6976" t="s">
        <v>642</v>
      </c>
      <c r="R6976" t="s">
        <v>1214</v>
      </c>
    </row>
    <row r="6977" spans="1:18" x14ac:dyDescent="0.25">
      <c r="A6977" t="s">
        <v>15116</v>
      </c>
      <c r="B6977" t="s">
        <v>8536</v>
      </c>
      <c r="C6977" t="str">
        <f>HYPERLINK("https://nematode.unl.edu/mesruk7.jpg")</f>
        <v>https://nematode.unl.edu/mesruk7.jpg</v>
      </c>
      <c r="D6977" t="s">
        <v>43</v>
      </c>
      <c r="G6977" t="s">
        <v>34</v>
      </c>
      <c r="H6977" t="s">
        <v>18</v>
      </c>
      <c r="J6977" t="s">
        <v>3462</v>
      </c>
      <c r="M6977" t="s">
        <v>8448</v>
      </c>
      <c r="N6977" t="s">
        <v>8448</v>
      </c>
      <c r="O6977" t="s">
        <v>23</v>
      </c>
      <c r="P6977" t="s">
        <v>24</v>
      </c>
      <c r="Q6977" t="s">
        <v>642</v>
      </c>
      <c r="R6977" t="s">
        <v>1214</v>
      </c>
    </row>
    <row r="6978" spans="1:18" x14ac:dyDescent="0.25">
      <c r="A6978" t="s">
        <v>15166</v>
      </c>
      <c r="B6978" t="s">
        <v>8537</v>
      </c>
      <c r="C6978" t="str">
        <f>HYPERLINK("https://nematode.unl.edu/mesruk8.jpg")</f>
        <v>https://nematode.unl.edu/mesruk8.jpg</v>
      </c>
      <c r="D6978" t="s">
        <v>43</v>
      </c>
      <c r="G6978" t="s">
        <v>28</v>
      </c>
      <c r="I6978" t="s">
        <v>41</v>
      </c>
      <c r="J6978" t="s">
        <v>3462</v>
      </c>
      <c r="M6978" t="s">
        <v>8448</v>
      </c>
      <c r="N6978" t="s">
        <v>8448</v>
      </c>
      <c r="O6978" t="s">
        <v>23</v>
      </c>
      <c r="P6978" t="s">
        <v>24</v>
      </c>
      <c r="Q6978" t="s">
        <v>642</v>
      </c>
      <c r="R6978" t="s">
        <v>1214</v>
      </c>
    </row>
    <row r="6979" spans="1:18" x14ac:dyDescent="0.25">
      <c r="A6979" t="s">
        <v>13975</v>
      </c>
      <c r="B6979" t="s">
        <v>6986</v>
      </c>
      <c r="C6979" t="str">
        <f>HYPERLINK("https://nematode.unl.edu/mesxen1.jpg")</f>
        <v>https://nematode.unl.edu/mesxen1.jpg</v>
      </c>
      <c r="D6979" t="s">
        <v>43</v>
      </c>
      <c r="G6979" t="s">
        <v>44</v>
      </c>
      <c r="I6979" t="s">
        <v>516</v>
      </c>
      <c r="J6979" t="s">
        <v>6987</v>
      </c>
      <c r="L6979" t="s">
        <v>6372</v>
      </c>
      <c r="M6979" t="s">
        <v>6940</v>
      </c>
      <c r="N6979" t="s">
        <v>6940</v>
      </c>
      <c r="O6979" t="s">
        <v>23</v>
      </c>
      <c r="P6979" t="s">
        <v>24</v>
      </c>
      <c r="Q6979" t="s">
        <v>642</v>
      </c>
      <c r="R6979" t="s">
        <v>6940</v>
      </c>
    </row>
    <row r="6980" spans="1:18" x14ac:dyDescent="0.25">
      <c r="A6980" t="s">
        <v>13953</v>
      </c>
      <c r="B6980" t="s">
        <v>6988</v>
      </c>
      <c r="C6980" t="str">
        <f>HYPERLINK("https://nematode.unl.edu/mesxen2.jpg")</f>
        <v>https://nematode.unl.edu/mesxen2.jpg</v>
      </c>
      <c r="D6980" t="s">
        <v>43</v>
      </c>
      <c r="G6980" t="s">
        <v>96</v>
      </c>
      <c r="H6980" t="s">
        <v>18</v>
      </c>
      <c r="I6980" t="s">
        <v>41</v>
      </c>
      <c r="M6980" t="s">
        <v>6940</v>
      </c>
      <c r="N6980" t="s">
        <v>6940</v>
      </c>
      <c r="O6980" t="s">
        <v>23</v>
      </c>
      <c r="P6980" t="s">
        <v>24</v>
      </c>
      <c r="Q6980" t="s">
        <v>642</v>
      </c>
      <c r="R6980" t="s">
        <v>6940</v>
      </c>
    </row>
    <row r="6981" spans="1:18" x14ac:dyDescent="0.25">
      <c r="A6981" t="s">
        <v>13998</v>
      </c>
      <c r="B6981" t="s">
        <v>6989</v>
      </c>
      <c r="C6981" t="str">
        <f>HYPERLINK("https://nematode.unl.edu/mesxen3.jpg")</f>
        <v>https://nematode.unl.edu/mesxen3.jpg</v>
      </c>
      <c r="D6981" t="s">
        <v>43</v>
      </c>
      <c r="G6981" t="s">
        <v>28</v>
      </c>
      <c r="I6981" t="s">
        <v>41</v>
      </c>
      <c r="M6981" t="s">
        <v>6940</v>
      </c>
      <c r="N6981" t="s">
        <v>6940</v>
      </c>
      <c r="O6981" t="s">
        <v>23</v>
      </c>
      <c r="P6981" t="s">
        <v>24</v>
      </c>
      <c r="Q6981" t="s">
        <v>642</v>
      </c>
      <c r="R6981" t="s">
        <v>6940</v>
      </c>
    </row>
    <row r="6982" spans="1:18" x14ac:dyDescent="0.25">
      <c r="A6982" t="s">
        <v>13999</v>
      </c>
      <c r="B6982" t="s">
        <v>6990</v>
      </c>
      <c r="C6982" t="str">
        <f>HYPERLINK("https://nematode.unl.edu/mesxen4.jpg")</f>
        <v>https://nematode.unl.edu/mesxen4.jpg</v>
      </c>
      <c r="D6982" t="s">
        <v>43</v>
      </c>
      <c r="G6982" t="s">
        <v>28</v>
      </c>
      <c r="I6982" t="s">
        <v>41</v>
      </c>
      <c r="M6982" t="s">
        <v>6940</v>
      </c>
      <c r="N6982" t="s">
        <v>6940</v>
      </c>
      <c r="O6982" t="s">
        <v>23</v>
      </c>
      <c r="P6982" t="s">
        <v>24</v>
      </c>
      <c r="Q6982" t="s">
        <v>642</v>
      </c>
      <c r="R6982" t="s">
        <v>6940</v>
      </c>
    </row>
    <row r="6983" spans="1:18" x14ac:dyDescent="0.25">
      <c r="A6983" t="s">
        <v>15269</v>
      </c>
      <c r="B6983" t="s">
        <v>8628</v>
      </c>
      <c r="C6983" t="str">
        <f>HYPERLINK("https://nematode.unl.edu/mesxens1.jpg")</f>
        <v>https://nematode.unl.edu/mesxens1.jpg</v>
      </c>
      <c r="D6983" t="s">
        <v>43</v>
      </c>
      <c r="G6983" t="s">
        <v>4059</v>
      </c>
      <c r="H6983" t="s">
        <v>18</v>
      </c>
      <c r="I6983" t="s">
        <v>41</v>
      </c>
      <c r="J6983" t="s">
        <v>8629</v>
      </c>
      <c r="L6983" t="s">
        <v>8404</v>
      </c>
      <c r="M6983" t="s">
        <v>8559</v>
      </c>
      <c r="N6983" t="s">
        <v>8559</v>
      </c>
      <c r="O6983" t="s">
        <v>23</v>
      </c>
      <c r="P6983" t="s">
        <v>24</v>
      </c>
      <c r="Q6983" t="s">
        <v>642</v>
      </c>
      <c r="R6983" t="s">
        <v>1214</v>
      </c>
    </row>
    <row r="6984" spans="1:18" x14ac:dyDescent="0.25">
      <c r="A6984" t="s">
        <v>15295</v>
      </c>
      <c r="B6984" t="s">
        <v>8630</v>
      </c>
      <c r="C6984" t="str">
        <f>HYPERLINK("https://nematode.unl.edu/mesxens10.jpg")</f>
        <v>https://nematode.unl.edu/mesxens10.jpg</v>
      </c>
      <c r="D6984" t="s">
        <v>16</v>
      </c>
      <c r="G6984" t="s">
        <v>44</v>
      </c>
      <c r="I6984" t="s">
        <v>516</v>
      </c>
      <c r="J6984" t="s">
        <v>8629</v>
      </c>
      <c r="L6984" t="s">
        <v>8404</v>
      </c>
      <c r="M6984" t="s">
        <v>8559</v>
      </c>
      <c r="N6984" t="s">
        <v>8559</v>
      </c>
      <c r="O6984" t="s">
        <v>23</v>
      </c>
      <c r="P6984" t="s">
        <v>24</v>
      </c>
      <c r="Q6984" t="s">
        <v>642</v>
      </c>
      <c r="R6984" t="s">
        <v>1214</v>
      </c>
    </row>
    <row r="6985" spans="1:18" x14ac:dyDescent="0.25">
      <c r="A6985" t="s">
        <v>15225</v>
      </c>
      <c r="B6985" t="s">
        <v>8631</v>
      </c>
      <c r="C6985" t="str">
        <f>HYPERLINK("https://nematode.unl.edu/mesxens11.jpg")</f>
        <v>https://nematode.unl.edu/mesxens11.jpg</v>
      </c>
      <c r="D6985" t="s">
        <v>16</v>
      </c>
      <c r="G6985" t="s">
        <v>34</v>
      </c>
      <c r="H6985" t="s">
        <v>18</v>
      </c>
      <c r="I6985" t="s">
        <v>41</v>
      </c>
      <c r="M6985" t="s">
        <v>8559</v>
      </c>
      <c r="N6985" t="s">
        <v>8559</v>
      </c>
      <c r="O6985" t="s">
        <v>23</v>
      </c>
      <c r="P6985" t="s">
        <v>24</v>
      </c>
      <c r="Q6985" t="s">
        <v>642</v>
      </c>
      <c r="R6985" t="s">
        <v>1214</v>
      </c>
    </row>
    <row r="6986" spans="1:18" x14ac:dyDescent="0.25">
      <c r="A6986" t="s">
        <v>15380</v>
      </c>
      <c r="B6986" t="s">
        <v>8632</v>
      </c>
      <c r="C6986" t="str">
        <f>HYPERLINK("https://nematode.unl.edu/mesxens12.jpg")</f>
        <v>https://nematode.unl.edu/mesxens12.jpg</v>
      </c>
      <c r="D6986" t="s">
        <v>16</v>
      </c>
      <c r="G6986" t="s">
        <v>28</v>
      </c>
      <c r="M6986" t="s">
        <v>8559</v>
      </c>
      <c r="N6986" t="s">
        <v>8559</v>
      </c>
      <c r="O6986" t="s">
        <v>23</v>
      </c>
      <c r="P6986" t="s">
        <v>24</v>
      </c>
      <c r="Q6986" t="s">
        <v>642</v>
      </c>
      <c r="R6986" t="s">
        <v>1214</v>
      </c>
    </row>
    <row r="6987" spans="1:18" x14ac:dyDescent="0.25">
      <c r="A6987" t="s">
        <v>15381</v>
      </c>
      <c r="B6987" t="s">
        <v>8633</v>
      </c>
      <c r="C6987" t="str">
        <f>HYPERLINK("https://nematode.unl.edu/mesxens13.jpg")</f>
        <v>https://nematode.unl.edu/mesxens13.jpg</v>
      </c>
      <c r="D6987" t="s">
        <v>16</v>
      </c>
      <c r="G6987" t="s">
        <v>28</v>
      </c>
      <c r="I6987" t="s">
        <v>41</v>
      </c>
      <c r="M6987" t="s">
        <v>8559</v>
      </c>
      <c r="N6987" t="s">
        <v>8559</v>
      </c>
      <c r="O6987" t="s">
        <v>23</v>
      </c>
      <c r="P6987" t="s">
        <v>24</v>
      </c>
      <c r="Q6987" t="s">
        <v>642</v>
      </c>
      <c r="R6987" t="s">
        <v>1214</v>
      </c>
    </row>
    <row r="6988" spans="1:18" x14ac:dyDescent="0.25">
      <c r="A6988" t="s">
        <v>15296</v>
      </c>
      <c r="B6988" t="s">
        <v>8634</v>
      </c>
      <c r="C6988" t="str">
        <f>HYPERLINK("https://nematode.unl.edu/mesxens14.jpg")</f>
        <v>https://nematode.unl.edu/mesxens14.jpg</v>
      </c>
      <c r="D6988" t="s">
        <v>16</v>
      </c>
      <c r="G6988" t="s">
        <v>44</v>
      </c>
      <c r="I6988" t="s">
        <v>41</v>
      </c>
      <c r="M6988" t="s">
        <v>8559</v>
      </c>
      <c r="N6988" t="s">
        <v>8559</v>
      </c>
      <c r="O6988" t="s">
        <v>23</v>
      </c>
      <c r="P6988" t="s">
        <v>24</v>
      </c>
      <c r="Q6988" t="s">
        <v>642</v>
      </c>
      <c r="R6988" t="s">
        <v>1214</v>
      </c>
    </row>
    <row r="6989" spans="1:18" x14ac:dyDescent="0.25">
      <c r="A6989" t="s">
        <v>15297</v>
      </c>
      <c r="B6989" t="s">
        <v>8635</v>
      </c>
      <c r="C6989" t="str">
        <f>HYPERLINK("https://nematode.unl.edu/mesxens15.jpg")</f>
        <v>https://nematode.unl.edu/mesxens15.jpg</v>
      </c>
      <c r="D6989" t="s">
        <v>43</v>
      </c>
      <c r="G6989" t="s">
        <v>44</v>
      </c>
      <c r="I6989" t="s">
        <v>19</v>
      </c>
      <c r="J6989" t="s">
        <v>8629</v>
      </c>
      <c r="L6989" t="s">
        <v>8404</v>
      </c>
      <c r="M6989" t="s">
        <v>8559</v>
      </c>
      <c r="N6989" t="s">
        <v>8559</v>
      </c>
      <c r="O6989" t="s">
        <v>23</v>
      </c>
      <c r="P6989" t="s">
        <v>24</v>
      </c>
      <c r="Q6989" t="s">
        <v>642</v>
      </c>
      <c r="R6989" t="s">
        <v>1214</v>
      </c>
    </row>
    <row r="6990" spans="1:18" x14ac:dyDescent="0.25">
      <c r="A6990" t="s">
        <v>15226</v>
      </c>
      <c r="B6990" t="s">
        <v>8636</v>
      </c>
      <c r="C6990" t="str">
        <f>HYPERLINK("https://nematode.unl.edu/mesxens16.jpg")</f>
        <v>https://nematode.unl.edu/mesxens16.jpg</v>
      </c>
      <c r="D6990" t="s">
        <v>43</v>
      </c>
      <c r="G6990" t="s">
        <v>34</v>
      </c>
      <c r="H6990" t="s">
        <v>18</v>
      </c>
      <c r="M6990" t="s">
        <v>8559</v>
      </c>
      <c r="N6990" t="s">
        <v>8559</v>
      </c>
      <c r="O6990" t="s">
        <v>23</v>
      </c>
      <c r="P6990" t="s">
        <v>24</v>
      </c>
      <c r="Q6990" t="s">
        <v>642</v>
      </c>
      <c r="R6990" t="s">
        <v>1214</v>
      </c>
    </row>
    <row r="6991" spans="1:18" x14ac:dyDescent="0.25">
      <c r="A6991" t="s">
        <v>15382</v>
      </c>
      <c r="B6991" t="s">
        <v>8637</v>
      </c>
      <c r="C6991" t="str">
        <f>HYPERLINK("https://nematode.unl.edu/mesxens17.jpg")</f>
        <v>https://nematode.unl.edu/mesxens17.jpg</v>
      </c>
      <c r="D6991" t="s">
        <v>43</v>
      </c>
      <c r="G6991" t="s">
        <v>28</v>
      </c>
      <c r="M6991" t="s">
        <v>8559</v>
      </c>
      <c r="N6991" t="s">
        <v>8559</v>
      </c>
      <c r="O6991" t="s">
        <v>23</v>
      </c>
      <c r="P6991" t="s">
        <v>24</v>
      </c>
      <c r="Q6991" t="s">
        <v>642</v>
      </c>
      <c r="R6991" t="s">
        <v>1214</v>
      </c>
    </row>
    <row r="6992" spans="1:18" x14ac:dyDescent="0.25">
      <c r="A6992" t="s">
        <v>15345</v>
      </c>
      <c r="B6992" t="s">
        <v>8638</v>
      </c>
      <c r="C6992" t="str">
        <f>HYPERLINK("https://nematode.unl.edu/mesxens18.jpg")</f>
        <v>https://nematode.unl.edu/mesxens18.jpg</v>
      </c>
      <c r="D6992" t="s">
        <v>43</v>
      </c>
      <c r="G6992" t="s">
        <v>224</v>
      </c>
      <c r="I6992" t="s">
        <v>41</v>
      </c>
      <c r="M6992" t="s">
        <v>8559</v>
      </c>
      <c r="N6992" t="s">
        <v>8559</v>
      </c>
      <c r="O6992" t="s">
        <v>23</v>
      </c>
      <c r="P6992" t="s">
        <v>24</v>
      </c>
      <c r="Q6992" t="s">
        <v>642</v>
      </c>
      <c r="R6992" t="s">
        <v>1214</v>
      </c>
    </row>
    <row r="6993" spans="1:18" x14ac:dyDescent="0.25">
      <c r="A6993" t="s">
        <v>15298</v>
      </c>
      <c r="B6993" t="s">
        <v>8639</v>
      </c>
      <c r="C6993" t="str">
        <f>HYPERLINK("https://nematode.unl.edu/mesxens19.jpg")</f>
        <v>https://nematode.unl.edu/mesxens19.jpg</v>
      </c>
      <c r="D6993" t="s">
        <v>16</v>
      </c>
      <c r="G6993" t="s">
        <v>44</v>
      </c>
      <c r="I6993" t="s">
        <v>19</v>
      </c>
      <c r="J6993" t="s">
        <v>8629</v>
      </c>
      <c r="L6993" t="s">
        <v>8404</v>
      </c>
      <c r="M6993" t="s">
        <v>8559</v>
      </c>
      <c r="N6993" t="s">
        <v>8559</v>
      </c>
      <c r="O6993" t="s">
        <v>23</v>
      </c>
      <c r="P6993" t="s">
        <v>24</v>
      </c>
      <c r="Q6993" t="s">
        <v>642</v>
      </c>
      <c r="R6993" t="s">
        <v>1214</v>
      </c>
    </row>
    <row r="6994" spans="1:18" x14ac:dyDescent="0.25">
      <c r="A6994" t="s">
        <v>15383</v>
      </c>
      <c r="B6994" t="s">
        <v>8640</v>
      </c>
      <c r="C6994" t="str">
        <f>HYPERLINK("https://nematode.unl.edu/mesxens2.jpg")</f>
        <v>https://nematode.unl.edu/mesxens2.jpg</v>
      </c>
      <c r="D6994" t="s">
        <v>43</v>
      </c>
      <c r="G6994" t="s">
        <v>28</v>
      </c>
      <c r="I6994" t="s">
        <v>41</v>
      </c>
      <c r="M6994" t="s">
        <v>8559</v>
      </c>
      <c r="N6994" t="s">
        <v>8559</v>
      </c>
      <c r="O6994" t="s">
        <v>23</v>
      </c>
      <c r="P6994" t="s">
        <v>24</v>
      </c>
      <c r="Q6994" t="s">
        <v>642</v>
      </c>
      <c r="R6994" t="s">
        <v>1214</v>
      </c>
    </row>
    <row r="6995" spans="1:18" x14ac:dyDescent="0.25">
      <c r="A6995" t="s">
        <v>15227</v>
      </c>
      <c r="B6995" t="s">
        <v>8641</v>
      </c>
      <c r="C6995" t="str">
        <f>HYPERLINK("https://nematode.unl.edu/mesxens20.jpg")</f>
        <v>https://nematode.unl.edu/mesxens20.jpg</v>
      </c>
      <c r="D6995" t="s">
        <v>16</v>
      </c>
      <c r="G6995" t="s">
        <v>34</v>
      </c>
      <c r="H6995" t="s">
        <v>18</v>
      </c>
      <c r="I6995" t="s">
        <v>41</v>
      </c>
      <c r="M6995" t="s">
        <v>8559</v>
      </c>
      <c r="N6995" t="s">
        <v>8559</v>
      </c>
      <c r="O6995" t="s">
        <v>23</v>
      </c>
      <c r="P6995" t="s">
        <v>24</v>
      </c>
      <c r="Q6995" t="s">
        <v>642</v>
      </c>
      <c r="R6995" t="s">
        <v>1214</v>
      </c>
    </row>
    <row r="6996" spans="1:18" x14ac:dyDescent="0.25">
      <c r="A6996" t="s">
        <v>15228</v>
      </c>
      <c r="B6996" t="s">
        <v>8642</v>
      </c>
      <c r="C6996" t="str">
        <f>HYPERLINK("https://nematode.unl.edu/mesxens21.jpg")</f>
        <v>https://nematode.unl.edu/mesxens21.jpg</v>
      </c>
      <c r="D6996" t="s">
        <v>16</v>
      </c>
      <c r="G6996" t="s">
        <v>34</v>
      </c>
      <c r="H6996" t="s">
        <v>18</v>
      </c>
      <c r="I6996" t="s">
        <v>41</v>
      </c>
      <c r="M6996" t="s">
        <v>8559</v>
      </c>
      <c r="N6996" t="s">
        <v>8559</v>
      </c>
      <c r="O6996" t="s">
        <v>23</v>
      </c>
      <c r="P6996" t="s">
        <v>24</v>
      </c>
      <c r="Q6996" t="s">
        <v>642</v>
      </c>
      <c r="R6996" t="s">
        <v>1214</v>
      </c>
    </row>
    <row r="6997" spans="1:18" x14ac:dyDescent="0.25">
      <c r="A6997" t="s">
        <v>15346</v>
      </c>
      <c r="B6997" t="s">
        <v>8643</v>
      </c>
      <c r="C6997" t="str">
        <f>HYPERLINK("https://nematode.unl.edu/mesxens22.jpg")</f>
        <v>https://nematode.unl.edu/mesxens22.jpg</v>
      </c>
      <c r="D6997" t="s">
        <v>16</v>
      </c>
      <c r="G6997" t="s">
        <v>224</v>
      </c>
      <c r="I6997" t="s">
        <v>41</v>
      </c>
      <c r="M6997" t="s">
        <v>8559</v>
      </c>
      <c r="N6997" t="s">
        <v>8559</v>
      </c>
      <c r="O6997" t="s">
        <v>23</v>
      </c>
      <c r="P6997" t="s">
        <v>24</v>
      </c>
      <c r="Q6997" t="s">
        <v>642</v>
      </c>
      <c r="R6997" t="s">
        <v>1214</v>
      </c>
    </row>
    <row r="6998" spans="1:18" x14ac:dyDescent="0.25">
      <c r="A6998" t="s">
        <v>15338</v>
      </c>
      <c r="B6998" t="s">
        <v>8644</v>
      </c>
      <c r="C6998" t="str">
        <f>HYPERLINK("https://nematode.unl.edu/mesxens23.jpg")</f>
        <v>https://nematode.unl.edu/mesxens23.jpg</v>
      </c>
      <c r="D6998" t="s">
        <v>16</v>
      </c>
      <c r="G6998" t="s">
        <v>8645</v>
      </c>
      <c r="I6998" t="s">
        <v>41</v>
      </c>
      <c r="J6998" t="s">
        <v>8629</v>
      </c>
      <c r="L6998" t="s">
        <v>8404</v>
      </c>
      <c r="M6998" t="s">
        <v>8559</v>
      </c>
      <c r="N6998" t="s">
        <v>8559</v>
      </c>
      <c r="O6998" t="s">
        <v>23</v>
      </c>
      <c r="P6998" t="s">
        <v>24</v>
      </c>
      <c r="Q6998" t="s">
        <v>642</v>
      </c>
      <c r="R6998" t="s">
        <v>1214</v>
      </c>
    </row>
    <row r="6999" spans="1:18" x14ac:dyDescent="0.25">
      <c r="A6999" t="s">
        <v>15299</v>
      </c>
      <c r="B6999" t="s">
        <v>8646</v>
      </c>
      <c r="C6999" t="str">
        <f>HYPERLINK("https://nematode.unl.edu/mesxens24.jpg")</f>
        <v>https://nematode.unl.edu/mesxens24.jpg</v>
      </c>
      <c r="D6999" t="s">
        <v>16</v>
      </c>
      <c r="G6999" t="s">
        <v>44</v>
      </c>
      <c r="I6999" t="s">
        <v>19</v>
      </c>
      <c r="J6999" t="s">
        <v>8629</v>
      </c>
      <c r="L6999" t="s">
        <v>8404</v>
      </c>
      <c r="M6999" t="s">
        <v>8559</v>
      </c>
      <c r="N6999" t="s">
        <v>8559</v>
      </c>
      <c r="O6999" t="s">
        <v>23</v>
      </c>
      <c r="P6999" t="s">
        <v>24</v>
      </c>
      <c r="Q6999" t="s">
        <v>642</v>
      </c>
      <c r="R6999" t="s">
        <v>1214</v>
      </c>
    </row>
    <row r="7000" spans="1:18" x14ac:dyDescent="0.25">
      <c r="A7000" t="s">
        <v>15229</v>
      </c>
      <c r="B7000" t="s">
        <v>8647</v>
      </c>
      <c r="C7000" t="str">
        <f>HYPERLINK("https://nematode.unl.edu/mesxens25.jpg")</f>
        <v>https://nematode.unl.edu/mesxens25.jpg</v>
      </c>
      <c r="D7000" t="s">
        <v>16</v>
      </c>
      <c r="G7000" t="s">
        <v>34</v>
      </c>
      <c r="H7000" t="s">
        <v>18</v>
      </c>
      <c r="I7000" t="s">
        <v>41</v>
      </c>
      <c r="M7000" t="s">
        <v>8559</v>
      </c>
      <c r="N7000" t="s">
        <v>8559</v>
      </c>
      <c r="O7000" t="s">
        <v>23</v>
      </c>
      <c r="P7000" t="s">
        <v>24</v>
      </c>
      <c r="Q7000" t="s">
        <v>642</v>
      </c>
      <c r="R7000" t="s">
        <v>1214</v>
      </c>
    </row>
    <row r="7001" spans="1:18" x14ac:dyDescent="0.25">
      <c r="A7001" t="s">
        <v>15230</v>
      </c>
      <c r="B7001" t="s">
        <v>8648</v>
      </c>
      <c r="C7001" t="str">
        <f>HYPERLINK("https://nematode.unl.edu/mesxens26.jpg")</f>
        <v>https://nematode.unl.edu/mesxens26.jpg</v>
      </c>
      <c r="D7001" t="s">
        <v>16</v>
      </c>
      <c r="G7001" t="s">
        <v>34</v>
      </c>
      <c r="H7001" t="s">
        <v>18</v>
      </c>
      <c r="I7001" t="s">
        <v>41</v>
      </c>
      <c r="M7001" t="s">
        <v>8559</v>
      </c>
      <c r="N7001" t="s">
        <v>8559</v>
      </c>
      <c r="O7001" t="s">
        <v>23</v>
      </c>
      <c r="P7001" t="s">
        <v>24</v>
      </c>
      <c r="Q7001" t="s">
        <v>642</v>
      </c>
      <c r="R7001" t="s">
        <v>1214</v>
      </c>
    </row>
    <row r="7002" spans="1:18" x14ac:dyDescent="0.25">
      <c r="A7002" t="s">
        <v>15231</v>
      </c>
      <c r="B7002" t="s">
        <v>8649</v>
      </c>
      <c r="C7002" t="str">
        <f>HYPERLINK("https://nematode.unl.edu/mesxens27.jpg")</f>
        <v>https://nematode.unl.edu/mesxens27.jpg</v>
      </c>
      <c r="D7002" t="s">
        <v>16</v>
      </c>
      <c r="G7002" t="s">
        <v>34</v>
      </c>
      <c r="H7002" t="s">
        <v>18</v>
      </c>
      <c r="I7002" t="s">
        <v>41</v>
      </c>
      <c r="M7002" t="s">
        <v>8559</v>
      </c>
      <c r="N7002" t="s">
        <v>8559</v>
      </c>
      <c r="O7002" t="s">
        <v>23</v>
      </c>
      <c r="P7002" t="s">
        <v>24</v>
      </c>
      <c r="Q7002" t="s">
        <v>642</v>
      </c>
      <c r="R7002" t="s">
        <v>1214</v>
      </c>
    </row>
    <row r="7003" spans="1:18" x14ac:dyDescent="0.25">
      <c r="A7003" t="s">
        <v>15347</v>
      </c>
      <c r="B7003" t="s">
        <v>8650</v>
      </c>
      <c r="C7003" t="str">
        <f>HYPERLINK("https://nematode.unl.edu/mesxens28.jpg")</f>
        <v>https://nematode.unl.edu/mesxens28.jpg</v>
      </c>
      <c r="D7003" t="s">
        <v>16</v>
      </c>
      <c r="G7003" t="s">
        <v>224</v>
      </c>
      <c r="I7003" t="s">
        <v>41</v>
      </c>
      <c r="M7003" t="s">
        <v>8559</v>
      </c>
      <c r="N7003" t="s">
        <v>8559</v>
      </c>
      <c r="O7003" t="s">
        <v>23</v>
      </c>
      <c r="P7003" t="s">
        <v>24</v>
      </c>
      <c r="Q7003" t="s">
        <v>642</v>
      </c>
      <c r="R7003" t="s">
        <v>1214</v>
      </c>
    </row>
    <row r="7004" spans="1:18" x14ac:dyDescent="0.25">
      <c r="A7004" t="s">
        <v>15300</v>
      </c>
      <c r="B7004" t="s">
        <v>8651</v>
      </c>
      <c r="C7004" t="str">
        <f>HYPERLINK("https://nematode.unl.edu/mesxens29.jpg")</f>
        <v>https://nematode.unl.edu/mesxens29.jpg</v>
      </c>
      <c r="D7004" t="s">
        <v>43</v>
      </c>
      <c r="G7004" t="s">
        <v>44</v>
      </c>
      <c r="I7004" t="s">
        <v>19</v>
      </c>
      <c r="J7004" t="s">
        <v>8652</v>
      </c>
      <c r="L7004" t="s">
        <v>8404</v>
      </c>
      <c r="M7004" t="s">
        <v>8559</v>
      </c>
      <c r="N7004" t="s">
        <v>8559</v>
      </c>
      <c r="O7004" t="s">
        <v>23</v>
      </c>
      <c r="P7004" t="s">
        <v>24</v>
      </c>
      <c r="Q7004" t="s">
        <v>642</v>
      </c>
      <c r="R7004" t="s">
        <v>1214</v>
      </c>
    </row>
    <row r="7005" spans="1:18" x14ac:dyDescent="0.25">
      <c r="A7005" t="s">
        <v>15301</v>
      </c>
      <c r="B7005" t="s">
        <v>8653</v>
      </c>
      <c r="C7005" t="str">
        <f>HYPERLINK("https://nematode.unl.edu/mesxens3.jpg")</f>
        <v>https://nematode.unl.edu/mesxens3.jpg</v>
      </c>
      <c r="D7005" t="s">
        <v>43</v>
      </c>
      <c r="G7005" t="s">
        <v>44</v>
      </c>
      <c r="I7005" t="s">
        <v>19</v>
      </c>
      <c r="J7005" t="s">
        <v>8629</v>
      </c>
      <c r="L7005" t="s">
        <v>8404</v>
      </c>
      <c r="M7005" t="s">
        <v>8559</v>
      </c>
      <c r="N7005" t="s">
        <v>8559</v>
      </c>
      <c r="O7005" t="s">
        <v>23</v>
      </c>
      <c r="P7005" t="s">
        <v>24</v>
      </c>
      <c r="Q7005" t="s">
        <v>642</v>
      </c>
      <c r="R7005" t="s">
        <v>1214</v>
      </c>
    </row>
    <row r="7006" spans="1:18" x14ac:dyDescent="0.25">
      <c r="A7006" t="s">
        <v>15232</v>
      </c>
      <c r="B7006" t="s">
        <v>8654</v>
      </c>
      <c r="C7006" t="str">
        <f>HYPERLINK("https://nematode.unl.edu/mesxens30.jpg")</f>
        <v>https://nematode.unl.edu/mesxens30.jpg</v>
      </c>
      <c r="D7006" t="s">
        <v>43</v>
      </c>
      <c r="G7006" t="s">
        <v>34</v>
      </c>
      <c r="H7006" t="s">
        <v>18</v>
      </c>
      <c r="I7006" t="s">
        <v>41</v>
      </c>
      <c r="M7006" t="s">
        <v>8559</v>
      </c>
      <c r="N7006" t="s">
        <v>8559</v>
      </c>
      <c r="O7006" t="s">
        <v>23</v>
      </c>
      <c r="P7006" t="s">
        <v>24</v>
      </c>
      <c r="Q7006" t="s">
        <v>642</v>
      </c>
      <c r="R7006" t="s">
        <v>1214</v>
      </c>
    </row>
    <row r="7007" spans="1:18" x14ac:dyDescent="0.25">
      <c r="A7007" t="s">
        <v>15384</v>
      </c>
      <c r="B7007" t="s">
        <v>8655</v>
      </c>
      <c r="C7007" t="str">
        <f>HYPERLINK("https://nematode.unl.edu/mesxens31.jpg")</f>
        <v>https://nematode.unl.edu/mesxens31.jpg</v>
      </c>
      <c r="D7007" t="s">
        <v>43</v>
      </c>
      <c r="G7007" t="s">
        <v>28</v>
      </c>
      <c r="I7007" t="s">
        <v>41</v>
      </c>
      <c r="M7007" t="s">
        <v>8559</v>
      </c>
      <c r="N7007" t="s">
        <v>8559</v>
      </c>
      <c r="O7007" t="s">
        <v>23</v>
      </c>
      <c r="P7007" t="s">
        <v>24</v>
      </c>
      <c r="Q7007" t="s">
        <v>642</v>
      </c>
      <c r="R7007" t="s">
        <v>1214</v>
      </c>
    </row>
    <row r="7008" spans="1:18" x14ac:dyDescent="0.25">
      <c r="A7008" t="s">
        <v>15302</v>
      </c>
      <c r="B7008" t="s">
        <v>8656</v>
      </c>
      <c r="C7008" t="str">
        <f>HYPERLINK("https://nematode.unl.edu/mesxens32.jpg")</f>
        <v>https://nematode.unl.edu/mesxens32.jpg</v>
      </c>
      <c r="D7008" t="s">
        <v>43</v>
      </c>
      <c r="G7008" t="s">
        <v>44</v>
      </c>
      <c r="I7008" t="s">
        <v>19</v>
      </c>
      <c r="M7008" t="s">
        <v>8559</v>
      </c>
      <c r="N7008" t="s">
        <v>8559</v>
      </c>
      <c r="O7008" t="s">
        <v>23</v>
      </c>
      <c r="P7008" t="s">
        <v>24</v>
      </c>
      <c r="Q7008" t="s">
        <v>642</v>
      </c>
      <c r="R7008" t="s">
        <v>1214</v>
      </c>
    </row>
    <row r="7009" spans="1:18" x14ac:dyDescent="0.25">
      <c r="A7009" t="s">
        <v>15303</v>
      </c>
      <c r="B7009" t="s">
        <v>8657</v>
      </c>
      <c r="C7009" t="str">
        <f>HYPERLINK("https://nematode.unl.edu/mesxens33.jpg")</f>
        <v>https://nematode.unl.edu/mesxens33.jpg</v>
      </c>
      <c r="D7009" t="s">
        <v>43</v>
      </c>
      <c r="G7009" t="s">
        <v>44</v>
      </c>
      <c r="I7009" t="s">
        <v>41</v>
      </c>
      <c r="M7009" t="s">
        <v>8559</v>
      </c>
      <c r="N7009" t="s">
        <v>8559</v>
      </c>
      <c r="O7009" t="s">
        <v>23</v>
      </c>
      <c r="P7009" t="s">
        <v>24</v>
      </c>
      <c r="Q7009" t="s">
        <v>642</v>
      </c>
      <c r="R7009" t="s">
        <v>1214</v>
      </c>
    </row>
    <row r="7010" spans="1:18" x14ac:dyDescent="0.25">
      <c r="A7010" t="s">
        <v>15233</v>
      </c>
      <c r="B7010" t="s">
        <v>8658</v>
      </c>
      <c r="C7010" t="str">
        <f>HYPERLINK("https://nematode.unl.edu/mesxens4.jpg")</f>
        <v>https://nematode.unl.edu/mesxens4.jpg</v>
      </c>
      <c r="D7010" t="s">
        <v>43</v>
      </c>
      <c r="G7010" t="s">
        <v>34</v>
      </c>
      <c r="H7010" t="s">
        <v>18</v>
      </c>
      <c r="M7010" t="s">
        <v>8559</v>
      </c>
      <c r="N7010" t="s">
        <v>8559</v>
      </c>
      <c r="O7010" t="s">
        <v>23</v>
      </c>
      <c r="P7010" t="s">
        <v>24</v>
      </c>
      <c r="Q7010" t="s">
        <v>642</v>
      </c>
      <c r="R7010" t="s">
        <v>1214</v>
      </c>
    </row>
    <row r="7011" spans="1:18" x14ac:dyDescent="0.25">
      <c r="A7011" t="s">
        <v>15304</v>
      </c>
      <c r="B7011" t="s">
        <v>8659</v>
      </c>
      <c r="C7011" t="str">
        <f>HYPERLINK("https://nematode.unl.edu/mesxens47.jpg")</f>
        <v>https://nematode.unl.edu/mesxens47.jpg</v>
      </c>
      <c r="D7011" t="s">
        <v>16</v>
      </c>
      <c r="G7011" t="s">
        <v>44</v>
      </c>
      <c r="I7011" t="s">
        <v>19</v>
      </c>
      <c r="J7011" t="s">
        <v>6554</v>
      </c>
      <c r="L7011" t="s">
        <v>8404</v>
      </c>
      <c r="M7011" t="s">
        <v>8559</v>
      </c>
      <c r="N7011" t="s">
        <v>8559</v>
      </c>
      <c r="O7011" t="s">
        <v>23</v>
      </c>
      <c r="P7011" t="s">
        <v>24</v>
      </c>
      <c r="Q7011" t="s">
        <v>642</v>
      </c>
      <c r="R7011" t="s">
        <v>1214</v>
      </c>
    </row>
    <row r="7012" spans="1:18" x14ac:dyDescent="0.25">
      <c r="A7012" t="s">
        <v>15234</v>
      </c>
      <c r="B7012" t="s">
        <v>8660</v>
      </c>
      <c r="C7012" t="str">
        <f>HYPERLINK("https://nematode.unl.edu/mesxens48.jpg")</f>
        <v>https://nematode.unl.edu/mesxens48.jpg</v>
      </c>
      <c r="D7012" t="s">
        <v>16</v>
      </c>
      <c r="G7012" t="s">
        <v>34</v>
      </c>
      <c r="H7012" t="s">
        <v>18</v>
      </c>
      <c r="M7012" t="s">
        <v>8559</v>
      </c>
      <c r="N7012" t="s">
        <v>8559</v>
      </c>
      <c r="O7012" t="s">
        <v>23</v>
      </c>
      <c r="P7012" t="s">
        <v>24</v>
      </c>
      <c r="Q7012" t="s">
        <v>642</v>
      </c>
      <c r="R7012" t="s">
        <v>1214</v>
      </c>
    </row>
    <row r="7013" spans="1:18" x14ac:dyDescent="0.25">
      <c r="A7013" t="s">
        <v>15385</v>
      </c>
      <c r="B7013" t="s">
        <v>8661</v>
      </c>
      <c r="C7013" t="str">
        <f>HYPERLINK("https://nematode.unl.edu/mesxens49.jpg")</f>
        <v>https://nematode.unl.edu/mesxens49.jpg</v>
      </c>
      <c r="D7013" t="s">
        <v>16</v>
      </c>
      <c r="G7013" t="s">
        <v>28</v>
      </c>
      <c r="M7013" t="s">
        <v>8559</v>
      </c>
      <c r="N7013" t="s">
        <v>8559</v>
      </c>
      <c r="O7013" t="s">
        <v>23</v>
      </c>
      <c r="P7013" t="s">
        <v>24</v>
      </c>
      <c r="Q7013" t="s">
        <v>642</v>
      </c>
      <c r="R7013" t="s">
        <v>1214</v>
      </c>
    </row>
    <row r="7014" spans="1:18" x14ac:dyDescent="0.25">
      <c r="A7014" t="s">
        <v>15235</v>
      </c>
      <c r="B7014" t="s">
        <v>8662</v>
      </c>
      <c r="C7014" t="str">
        <f>HYPERLINK("https://nematode.unl.edu/mesxens5.jpg")</f>
        <v>https://nematode.unl.edu/mesxens5.jpg</v>
      </c>
      <c r="D7014" t="s">
        <v>43</v>
      </c>
      <c r="G7014" t="s">
        <v>34</v>
      </c>
      <c r="H7014" t="s">
        <v>18</v>
      </c>
      <c r="M7014" t="s">
        <v>8559</v>
      </c>
      <c r="N7014" t="s">
        <v>8559</v>
      </c>
      <c r="O7014" t="s">
        <v>23</v>
      </c>
      <c r="P7014" t="s">
        <v>24</v>
      </c>
      <c r="Q7014" t="s">
        <v>642</v>
      </c>
      <c r="R7014" t="s">
        <v>1214</v>
      </c>
    </row>
    <row r="7015" spans="1:18" x14ac:dyDescent="0.25">
      <c r="A7015" t="s">
        <v>15348</v>
      </c>
      <c r="B7015" t="s">
        <v>8663</v>
      </c>
      <c r="C7015" t="str">
        <f>HYPERLINK("https://nematode.unl.edu/mesxens50.jpg")</f>
        <v>https://nematode.unl.edu/mesxens50.jpg</v>
      </c>
      <c r="D7015" t="s">
        <v>16</v>
      </c>
      <c r="G7015" t="s">
        <v>224</v>
      </c>
      <c r="I7015" t="s">
        <v>41</v>
      </c>
      <c r="M7015" t="s">
        <v>8559</v>
      </c>
      <c r="N7015" t="s">
        <v>8559</v>
      </c>
      <c r="O7015" t="s">
        <v>23</v>
      </c>
      <c r="P7015" t="s">
        <v>24</v>
      </c>
      <c r="Q7015" t="s">
        <v>642</v>
      </c>
      <c r="R7015" t="s">
        <v>1214</v>
      </c>
    </row>
    <row r="7016" spans="1:18" x14ac:dyDescent="0.25">
      <c r="A7016" t="s">
        <v>15236</v>
      </c>
      <c r="B7016" t="s">
        <v>8664</v>
      </c>
      <c r="C7016" t="str">
        <f>HYPERLINK("https://nematode.unl.edu/mesxens51.jpg")</f>
        <v>https://nematode.unl.edu/mesxens51.jpg</v>
      </c>
      <c r="D7016" t="s">
        <v>43</v>
      </c>
      <c r="G7016" t="s">
        <v>34</v>
      </c>
      <c r="H7016" t="s">
        <v>18</v>
      </c>
      <c r="M7016" t="s">
        <v>8559</v>
      </c>
      <c r="N7016" t="s">
        <v>8559</v>
      </c>
      <c r="O7016" t="s">
        <v>23</v>
      </c>
      <c r="P7016" t="s">
        <v>24</v>
      </c>
      <c r="Q7016" t="s">
        <v>642</v>
      </c>
      <c r="R7016" t="s">
        <v>1214</v>
      </c>
    </row>
    <row r="7017" spans="1:18" x14ac:dyDescent="0.25">
      <c r="A7017" t="s">
        <v>15237</v>
      </c>
      <c r="B7017" t="s">
        <v>8665</v>
      </c>
      <c r="C7017" t="str">
        <f>HYPERLINK("https://nematode.unl.edu/mesxens52.jpg")</f>
        <v>https://nematode.unl.edu/mesxens52.jpg</v>
      </c>
      <c r="D7017" t="s">
        <v>43</v>
      </c>
      <c r="G7017" t="s">
        <v>34</v>
      </c>
      <c r="H7017" t="s">
        <v>18</v>
      </c>
      <c r="M7017" t="s">
        <v>8559</v>
      </c>
      <c r="N7017" t="s">
        <v>8559</v>
      </c>
      <c r="O7017" t="s">
        <v>23</v>
      </c>
      <c r="P7017" t="s">
        <v>24</v>
      </c>
      <c r="Q7017" t="s">
        <v>642</v>
      </c>
      <c r="R7017" t="s">
        <v>1214</v>
      </c>
    </row>
    <row r="7018" spans="1:18" x14ac:dyDescent="0.25">
      <c r="A7018" t="s">
        <v>15386</v>
      </c>
      <c r="B7018" t="s">
        <v>8666</v>
      </c>
      <c r="C7018" t="str">
        <f>HYPERLINK("https://nematode.unl.edu/mesxens53.jpg")</f>
        <v>https://nematode.unl.edu/mesxens53.jpg</v>
      </c>
      <c r="D7018" t="s">
        <v>43</v>
      </c>
      <c r="G7018" t="s">
        <v>28</v>
      </c>
      <c r="M7018" t="s">
        <v>8559</v>
      </c>
      <c r="N7018" t="s">
        <v>8559</v>
      </c>
      <c r="O7018" t="s">
        <v>23</v>
      </c>
      <c r="P7018" t="s">
        <v>24</v>
      </c>
      <c r="Q7018" t="s">
        <v>642</v>
      </c>
      <c r="R7018" t="s">
        <v>1214</v>
      </c>
    </row>
    <row r="7019" spans="1:18" x14ac:dyDescent="0.25">
      <c r="A7019" t="s">
        <v>15305</v>
      </c>
      <c r="B7019" t="s">
        <v>8667</v>
      </c>
      <c r="C7019" t="str">
        <f>HYPERLINK("https://nematode.unl.edu/mesxens54.jpg")</f>
        <v>https://nematode.unl.edu/mesxens54.jpg</v>
      </c>
      <c r="D7019" t="s">
        <v>43</v>
      </c>
      <c r="G7019" t="s">
        <v>44</v>
      </c>
      <c r="I7019" t="s">
        <v>41</v>
      </c>
      <c r="J7019" t="s">
        <v>6554</v>
      </c>
      <c r="L7019" t="s">
        <v>8404</v>
      </c>
      <c r="M7019" t="s">
        <v>8559</v>
      </c>
      <c r="N7019" t="s">
        <v>8559</v>
      </c>
      <c r="O7019" t="s">
        <v>23</v>
      </c>
      <c r="P7019" t="s">
        <v>24</v>
      </c>
      <c r="Q7019" t="s">
        <v>642</v>
      </c>
      <c r="R7019" t="s">
        <v>1214</v>
      </c>
    </row>
    <row r="7020" spans="1:18" x14ac:dyDescent="0.25">
      <c r="A7020" t="s">
        <v>15306</v>
      </c>
      <c r="B7020" t="s">
        <v>8668</v>
      </c>
      <c r="C7020" t="str">
        <f>HYPERLINK("https://nematode.unl.edu/mesxens6.jpg")</f>
        <v>https://nematode.unl.edu/mesxens6.jpg</v>
      </c>
      <c r="D7020" t="s">
        <v>43</v>
      </c>
      <c r="G7020" t="s">
        <v>44</v>
      </c>
      <c r="I7020" t="s">
        <v>516</v>
      </c>
      <c r="J7020" t="s">
        <v>8629</v>
      </c>
      <c r="L7020" t="s">
        <v>8404</v>
      </c>
      <c r="M7020" t="s">
        <v>8559</v>
      </c>
      <c r="N7020" t="s">
        <v>8559</v>
      </c>
      <c r="O7020" t="s">
        <v>23</v>
      </c>
      <c r="P7020" t="s">
        <v>24</v>
      </c>
      <c r="Q7020" t="s">
        <v>642</v>
      </c>
      <c r="R7020" t="s">
        <v>1214</v>
      </c>
    </row>
    <row r="7021" spans="1:18" x14ac:dyDescent="0.25">
      <c r="A7021" t="s">
        <v>15238</v>
      </c>
      <c r="B7021" t="s">
        <v>8669</v>
      </c>
      <c r="C7021" t="str">
        <f>HYPERLINK("https://nematode.unl.edu/mesxens7.jpg")</f>
        <v>https://nematode.unl.edu/mesxens7.jpg</v>
      </c>
      <c r="D7021" t="s">
        <v>43</v>
      </c>
      <c r="G7021" t="s">
        <v>34</v>
      </c>
      <c r="H7021" t="s">
        <v>18</v>
      </c>
      <c r="I7021" t="s">
        <v>41</v>
      </c>
      <c r="M7021" t="s">
        <v>8559</v>
      </c>
      <c r="N7021" t="s">
        <v>8559</v>
      </c>
      <c r="O7021" t="s">
        <v>23</v>
      </c>
      <c r="P7021" t="s">
        <v>24</v>
      </c>
      <c r="Q7021" t="s">
        <v>642</v>
      </c>
      <c r="R7021" t="s">
        <v>1214</v>
      </c>
    </row>
    <row r="7022" spans="1:18" x14ac:dyDescent="0.25">
      <c r="A7022" t="s">
        <v>15387</v>
      </c>
      <c r="B7022" t="s">
        <v>8670</v>
      </c>
      <c r="C7022" t="str">
        <f>HYPERLINK("https://nematode.unl.edu/mesxens8.jpg")</f>
        <v>https://nematode.unl.edu/mesxens8.jpg</v>
      </c>
      <c r="D7022" t="s">
        <v>43</v>
      </c>
      <c r="G7022" t="s">
        <v>28</v>
      </c>
      <c r="I7022" t="s">
        <v>41</v>
      </c>
      <c r="M7022" t="s">
        <v>8559</v>
      </c>
      <c r="N7022" t="s">
        <v>8559</v>
      </c>
      <c r="O7022" t="s">
        <v>23</v>
      </c>
      <c r="P7022" t="s">
        <v>24</v>
      </c>
      <c r="Q7022" t="s">
        <v>642</v>
      </c>
      <c r="R7022" t="s">
        <v>1214</v>
      </c>
    </row>
    <row r="7023" spans="1:18" x14ac:dyDescent="0.25">
      <c r="A7023" t="s">
        <v>15270</v>
      </c>
      <c r="B7023" t="s">
        <v>8671</v>
      </c>
      <c r="C7023" t="str">
        <f>HYPERLINK("https://nematode.unl.edu/mesxens9.jpg")</f>
        <v>https://nematode.unl.edu/mesxens9.jpg</v>
      </c>
      <c r="D7023" t="s">
        <v>43</v>
      </c>
      <c r="G7023" t="s">
        <v>4059</v>
      </c>
      <c r="H7023" t="s">
        <v>18</v>
      </c>
      <c r="I7023" t="s">
        <v>41</v>
      </c>
      <c r="J7023" t="s">
        <v>8629</v>
      </c>
      <c r="L7023" t="s">
        <v>8404</v>
      </c>
      <c r="M7023" t="s">
        <v>8559</v>
      </c>
      <c r="N7023" t="s">
        <v>8559</v>
      </c>
      <c r="O7023" t="s">
        <v>23</v>
      </c>
      <c r="P7023" t="s">
        <v>24</v>
      </c>
      <c r="Q7023" t="s">
        <v>642</v>
      </c>
      <c r="R7023" t="s">
        <v>1214</v>
      </c>
    </row>
    <row r="7024" spans="1:18" x14ac:dyDescent="0.25">
      <c r="A7024" t="s">
        <v>12319</v>
      </c>
      <c r="B7024" t="s">
        <v>8878</v>
      </c>
      <c r="C7024" t="str">
        <f>HYPERLINK("https://nematode.unl.edu/metatera1.jpg")</f>
        <v>https://nematode.unl.edu/metatera1.jpg</v>
      </c>
      <c r="D7024" t="s">
        <v>16</v>
      </c>
      <c r="G7024" t="s">
        <v>96</v>
      </c>
      <c r="H7024" t="s">
        <v>18</v>
      </c>
      <c r="I7024" t="s">
        <v>516</v>
      </c>
      <c r="J7024" t="s">
        <v>1292</v>
      </c>
      <c r="M7024" t="s">
        <v>8879</v>
      </c>
      <c r="N7024" t="s">
        <v>8879</v>
      </c>
      <c r="O7024" t="s">
        <v>23</v>
      </c>
      <c r="P7024" t="s">
        <v>1649</v>
      </c>
      <c r="Q7024" t="s">
        <v>8880</v>
      </c>
      <c r="R7024" t="s">
        <v>8879</v>
      </c>
    </row>
    <row r="7025" spans="1:18" x14ac:dyDescent="0.25">
      <c r="A7025" t="s">
        <v>12321</v>
      </c>
      <c r="B7025" t="s">
        <v>8881</v>
      </c>
      <c r="C7025" t="str">
        <f>HYPERLINK("https://nematode.unl.edu/metatera2.jpg")</f>
        <v>https://nematode.unl.edu/metatera2.jpg</v>
      </c>
      <c r="D7025" t="s">
        <v>16</v>
      </c>
      <c r="G7025" t="s">
        <v>28</v>
      </c>
      <c r="I7025" t="s">
        <v>516</v>
      </c>
      <c r="J7025" t="s">
        <v>1292</v>
      </c>
      <c r="M7025" t="s">
        <v>8879</v>
      </c>
      <c r="N7025" t="s">
        <v>8879</v>
      </c>
      <c r="O7025" t="s">
        <v>23</v>
      </c>
      <c r="P7025" t="s">
        <v>1649</v>
      </c>
      <c r="Q7025" t="s">
        <v>8880</v>
      </c>
      <c r="R7025" t="s">
        <v>8879</v>
      </c>
    </row>
    <row r="7026" spans="1:18" x14ac:dyDescent="0.25">
      <c r="A7026" t="s">
        <v>12320</v>
      </c>
      <c r="B7026" t="s">
        <v>8882</v>
      </c>
      <c r="C7026" t="str">
        <f>HYPERLINK("https://nematode.unl.edu/metatera3.jpg")</f>
        <v>https://nematode.unl.edu/metatera3.jpg</v>
      </c>
      <c r="D7026" t="s">
        <v>16</v>
      </c>
      <c r="G7026" t="s">
        <v>34</v>
      </c>
      <c r="H7026" t="s">
        <v>18</v>
      </c>
      <c r="I7026" t="s">
        <v>516</v>
      </c>
      <c r="J7026" t="s">
        <v>1292</v>
      </c>
      <c r="M7026" t="s">
        <v>8879</v>
      </c>
      <c r="N7026" t="s">
        <v>8879</v>
      </c>
      <c r="O7026" t="s">
        <v>23</v>
      </c>
      <c r="P7026" t="s">
        <v>1649</v>
      </c>
      <c r="Q7026" t="s">
        <v>8880</v>
      </c>
      <c r="R7026" t="s">
        <v>8879</v>
      </c>
    </row>
    <row r="7027" spans="1:18" x14ac:dyDescent="0.25">
      <c r="A7027" t="s">
        <v>15307</v>
      </c>
      <c r="B7027" t="s">
        <v>8672</v>
      </c>
      <c r="C7027" t="str">
        <f>HYPERLINK("https://nematode.unl.edu/mexark1.jpg")</f>
        <v>https://nematode.unl.edu/mexark1.jpg</v>
      </c>
      <c r="D7027" t="s">
        <v>43</v>
      </c>
      <c r="G7027" t="s">
        <v>44</v>
      </c>
      <c r="I7027" t="s">
        <v>516</v>
      </c>
      <c r="J7027" t="s">
        <v>3611</v>
      </c>
      <c r="K7027" t="s">
        <v>22851</v>
      </c>
      <c r="L7027" t="s">
        <v>8673</v>
      </c>
      <c r="M7027" t="s">
        <v>8559</v>
      </c>
      <c r="N7027" t="s">
        <v>8559</v>
      </c>
      <c r="O7027" t="s">
        <v>23</v>
      </c>
      <c r="P7027" t="s">
        <v>24</v>
      </c>
      <c r="Q7027" t="s">
        <v>642</v>
      </c>
      <c r="R7027" t="s">
        <v>1214</v>
      </c>
    </row>
    <row r="7028" spans="1:18" x14ac:dyDescent="0.25">
      <c r="A7028" t="s">
        <v>15367</v>
      </c>
      <c r="B7028" t="s">
        <v>8674</v>
      </c>
      <c r="C7028" t="str">
        <f>HYPERLINK("https://nematode.unl.edu/mexark10.jpg")</f>
        <v>https://nematode.unl.edu/mexark10.jpg</v>
      </c>
      <c r="G7028" t="s">
        <v>3102</v>
      </c>
      <c r="I7028" t="s">
        <v>41</v>
      </c>
      <c r="M7028" t="s">
        <v>8559</v>
      </c>
      <c r="N7028" t="s">
        <v>8559</v>
      </c>
      <c r="O7028" t="s">
        <v>23</v>
      </c>
      <c r="P7028" t="s">
        <v>24</v>
      </c>
      <c r="Q7028" t="s">
        <v>642</v>
      </c>
      <c r="R7028" t="s">
        <v>1214</v>
      </c>
    </row>
    <row r="7029" spans="1:18" x14ac:dyDescent="0.25">
      <c r="A7029" t="s">
        <v>15388</v>
      </c>
      <c r="B7029" t="s">
        <v>8675</v>
      </c>
      <c r="C7029" t="str">
        <f>HYPERLINK("https://nematode.unl.edu/mexark11.jpg")</f>
        <v>https://nematode.unl.edu/mexark11.jpg</v>
      </c>
      <c r="D7029" t="s">
        <v>43</v>
      </c>
      <c r="G7029" t="s">
        <v>28</v>
      </c>
      <c r="I7029" t="s">
        <v>41</v>
      </c>
      <c r="M7029" t="s">
        <v>8559</v>
      </c>
      <c r="N7029" t="s">
        <v>8559</v>
      </c>
      <c r="O7029" t="s">
        <v>23</v>
      </c>
      <c r="P7029" t="s">
        <v>24</v>
      </c>
      <c r="Q7029" t="s">
        <v>642</v>
      </c>
      <c r="R7029" t="s">
        <v>1214</v>
      </c>
    </row>
    <row r="7030" spans="1:18" x14ac:dyDescent="0.25">
      <c r="A7030" t="s">
        <v>15239</v>
      </c>
      <c r="B7030" t="s">
        <v>8676</v>
      </c>
      <c r="C7030" t="str">
        <f>HYPERLINK("https://nematode.unl.edu/mexark12.jpg")</f>
        <v>https://nematode.unl.edu/mexark12.jpg</v>
      </c>
      <c r="D7030" t="s">
        <v>43</v>
      </c>
      <c r="G7030" t="s">
        <v>34</v>
      </c>
      <c r="H7030" t="s">
        <v>18</v>
      </c>
      <c r="I7030" t="s">
        <v>41</v>
      </c>
      <c r="M7030" t="s">
        <v>8559</v>
      </c>
      <c r="N7030" t="s">
        <v>8559</v>
      </c>
      <c r="O7030" t="s">
        <v>23</v>
      </c>
      <c r="P7030" t="s">
        <v>24</v>
      </c>
      <c r="Q7030" t="s">
        <v>642</v>
      </c>
      <c r="R7030" t="s">
        <v>1214</v>
      </c>
    </row>
    <row r="7031" spans="1:18" x14ac:dyDescent="0.25">
      <c r="A7031" t="s">
        <v>15418</v>
      </c>
      <c r="B7031" t="s">
        <v>8677</v>
      </c>
      <c r="C7031" t="str">
        <f>HYPERLINK("https://nematode.unl.edu/mexark13.jpg")</f>
        <v>https://nematode.unl.edu/mexark13.jpg</v>
      </c>
      <c r="D7031" t="s">
        <v>43</v>
      </c>
      <c r="G7031" t="s">
        <v>51</v>
      </c>
      <c r="M7031" t="s">
        <v>8559</v>
      </c>
      <c r="N7031" t="s">
        <v>8559</v>
      </c>
      <c r="O7031" t="s">
        <v>23</v>
      </c>
      <c r="P7031" t="s">
        <v>24</v>
      </c>
      <c r="Q7031" t="s">
        <v>642</v>
      </c>
      <c r="R7031" t="s">
        <v>1214</v>
      </c>
    </row>
    <row r="7032" spans="1:18" x14ac:dyDescent="0.25">
      <c r="A7032" t="s">
        <v>15389</v>
      </c>
      <c r="B7032" t="s">
        <v>8678</v>
      </c>
      <c r="C7032" t="str">
        <f>HYPERLINK("https://nematode.unl.edu/mexark14.jpg")</f>
        <v>https://nematode.unl.edu/mexark14.jpg</v>
      </c>
      <c r="D7032" t="s">
        <v>43</v>
      </c>
      <c r="G7032" t="s">
        <v>28</v>
      </c>
      <c r="M7032" t="s">
        <v>8559</v>
      </c>
      <c r="N7032" t="s">
        <v>8559</v>
      </c>
      <c r="O7032" t="s">
        <v>23</v>
      </c>
      <c r="P7032" t="s">
        <v>24</v>
      </c>
      <c r="Q7032" t="s">
        <v>642</v>
      </c>
      <c r="R7032" t="s">
        <v>1214</v>
      </c>
    </row>
    <row r="7033" spans="1:18" x14ac:dyDescent="0.25">
      <c r="A7033" t="s">
        <v>15308</v>
      </c>
      <c r="B7033" t="s">
        <v>8679</v>
      </c>
      <c r="C7033" t="str">
        <f>HYPERLINK("https://nematode.unl.edu/mexark15.jpg")</f>
        <v>https://nematode.unl.edu/mexark15.jpg</v>
      </c>
      <c r="D7033" t="s">
        <v>43</v>
      </c>
      <c r="G7033" t="s">
        <v>44</v>
      </c>
      <c r="I7033" t="s">
        <v>19</v>
      </c>
      <c r="J7033" t="s">
        <v>3611</v>
      </c>
      <c r="K7033" t="s">
        <v>22851</v>
      </c>
      <c r="L7033" t="s">
        <v>8673</v>
      </c>
      <c r="M7033" t="s">
        <v>8559</v>
      </c>
      <c r="N7033" t="s">
        <v>8559</v>
      </c>
      <c r="O7033" t="s">
        <v>23</v>
      </c>
      <c r="P7033" t="s">
        <v>24</v>
      </c>
      <c r="Q7033" t="s">
        <v>642</v>
      </c>
      <c r="R7033" t="s">
        <v>1214</v>
      </c>
    </row>
    <row r="7034" spans="1:18" x14ac:dyDescent="0.25">
      <c r="A7034" t="s">
        <v>15240</v>
      </c>
      <c r="B7034" t="s">
        <v>8680</v>
      </c>
      <c r="C7034" t="str">
        <f>HYPERLINK("https://nematode.unl.edu/mexark16.jpg")</f>
        <v>https://nematode.unl.edu/mexark16.jpg</v>
      </c>
      <c r="D7034" t="s">
        <v>43</v>
      </c>
      <c r="G7034" t="s">
        <v>34</v>
      </c>
      <c r="H7034" t="s">
        <v>18</v>
      </c>
      <c r="M7034" t="s">
        <v>8559</v>
      </c>
      <c r="N7034" t="s">
        <v>8559</v>
      </c>
      <c r="O7034" t="s">
        <v>23</v>
      </c>
      <c r="P7034" t="s">
        <v>24</v>
      </c>
      <c r="Q7034" t="s">
        <v>642</v>
      </c>
      <c r="R7034" t="s">
        <v>1214</v>
      </c>
    </row>
    <row r="7035" spans="1:18" x14ac:dyDescent="0.25">
      <c r="A7035" t="s">
        <v>15390</v>
      </c>
      <c r="B7035" t="s">
        <v>8681</v>
      </c>
      <c r="C7035" t="str">
        <f>HYPERLINK("https://nematode.unl.edu/mexark17.jpg")</f>
        <v>https://nematode.unl.edu/mexark17.jpg</v>
      </c>
      <c r="D7035" t="s">
        <v>43</v>
      </c>
      <c r="G7035" t="s">
        <v>28</v>
      </c>
      <c r="I7035" t="s">
        <v>41</v>
      </c>
      <c r="M7035" t="s">
        <v>8559</v>
      </c>
      <c r="N7035" t="s">
        <v>8559</v>
      </c>
      <c r="O7035" t="s">
        <v>23</v>
      </c>
      <c r="P7035" t="s">
        <v>24</v>
      </c>
      <c r="Q7035" t="s">
        <v>642</v>
      </c>
      <c r="R7035" t="s">
        <v>1214</v>
      </c>
    </row>
    <row r="7036" spans="1:18" x14ac:dyDescent="0.25">
      <c r="A7036" t="s">
        <v>15309</v>
      </c>
      <c r="B7036" t="s">
        <v>8682</v>
      </c>
      <c r="C7036" t="str">
        <f>HYPERLINK("https://nematode.unl.edu/mexark18.jpg")</f>
        <v>https://nematode.unl.edu/mexark18.jpg</v>
      </c>
      <c r="D7036" t="s">
        <v>16</v>
      </c>
      <c r="G7036" t="s">
        <v>44</v>
      </c>
      <c r="I7036" t="s">
        <v>19</v>
      </c>
      <c r="J7036" t="s">
        <v>3611</v>
      </c>
      <c r="K7036" t="s">
        <v>22851</v>
      </c>
      <c r="L7036" t="s">
        <v>8673</v>
      </c>
      <c r="M7036" t="s">
        <v>8559</v>
      </c>
      <c r="N7036" t="s">
        <v>8559</v>
      </c>
      <c r="O7036" t="s">
        <v>23</v>
      </c>
      <c r="P7036" t="s">
        <v>24</v>
      </c>
      <c r="Q7036" t="s">
        <v>642</v>
      </c>
      <c r="R7036" t="s">
        <v>1214</v>
      </c>
    </row>
    <row r="7037" spans="1:18" x14ac:dyDescent="0.25">
      <c r="A7037" t="s">
        <v>15241</v>
      </c>
      <c r="B7037" t="s">
        <v>8683</v>
      </c>
      <c r="C7037" t="str">
        <f>HYPERLINK("https://nematode.unl.edu/mexark19.jpg")</f>
        <v>https://nematode.unl.edu/mexark19.jpg</v>
      </c>
      <c r="D7037" t="s">
        <v>16</v>
      </c>
      <c r="G7037" t="s">
        <v>34</v>
      </c>
      <c r="H7037" t="s">
        <v>18</v>
      </c>
      <c r="M7037" t="s">
        <v>8559</v>
      </c>
      <c r="N7037" t="s">
        <v>8559</v>
      </c>
      <c r="O7037" t="s">
        <v>23</v>
      </c>
      <c r="P7037" t="s">
        <v>24</v>
      </c>
      <c r="Q7037" t="s">
        <v>642</v>
      </c>
      <c r="R7037" t="s">
        <v>1214</v>
      </c>
    </row>
    <row r="7038" spans="1:18" x14ac:dyDescent="0.25">
      <c r="A7038" t="s">
        <v>15242</v>
      </c>
      <c r="B7038" t="s">
        <v>8684</v>
      </c>
      <c r="C7038" t="str">
        <f>HYPERLINK("https://nematode.unl.edu/mexark2.jpg")</f>
        <v>https://nematode.unl.edu/mexark2.jpg</v>
      </c>
      <c r="D7038" t="s">
        <v>43</v>
      </c>
      <c r="G7038" t="s">
        <v>34</v>
      </c>
      <c r="H7038" t="s">
        <v>18</v>
      </c>
      <c r="M7038" t="s">
        <v>8559</v>
      </c>
      <c r="N7038" t="s">
        <v>8559</v>
      </c>
      <c r="O7038" t="s">
        <v>23</v>
      </c>
      <c r="P7038" t="s">
        <v>24</v>
      </c>
      <c r="Q7038" t="s">
        <v>642</v>
      </c>
      <c r="R7038" t="s">
        <v>1214</v>
      </c>
    </row>
    <row r="7039" spans="1:18" x14ac:dyDescent="0.25">
      <c r="A7039" t="s">
        <v>15391</v>
      </c>
      <c r="B7039" t="s">
        <v>8685</v>
      </c>
      <c r="C7039" t="str">
        <f>HYPERLINK("https://nematode.unl.edu/mexark20.jpg")</f>
        <v>https://nematode.unl.edu/mexark20.jpg</v>
      </c>
      <c r="D7039" t="s">
        <v>16</v>
      </c>
      <c r="G7039" t="s">
        <v>28</v>
      </c>
      <c r="I7039" t="s">
        <v>41</v>
      </c>
      <c r="M7039" t="s">
        <v>8559</v>
      </c>
      <c r="N7039" t="s">
        <v>8559</v>
      </c>
      <c r="O7039" t="s">
        <v>23</v>
      </c>
      <c r="P7039" t="s">
        <v>24</v>
      </c>
      <c r="Q7039" t="s">
        <v>642</v>
      </c>
      <c r="R7039" t="s">
        <v>1214</v>
      </c>
    </row>
    <row r="7040" spans="1:18" x14ac:dyDescent="0.25">
      <c r="A7040" t="s">
        <v>15349</v>
      </c>
      <c r="B7040" t="s">
        <v>8686</v>
      </c>
      <c r="C7040" t="str">
        <f>HYPERLINK("https://nematode.unl.edu/mexark21.jpg")</f>
        <v>https://nematode.unl.edu/mexark21.jpg</v>
      </c>
      <c r="D7040" t="s">
        <v>16</v>
      </c>
      <c r="G7040" t="s">
        <v>224</v>
      </c>
      <c r="I7040" t="s">
        <v>41</v>
      </c>
      <c r="M7040" t="s">
        <v>8559</v>
      </c>
      <c r="N7040" t="s">
        <v>8559</v>
      </c>
      <c r="O7040" t="s">
        <v>23</v>
      </c>
      <c r="P7040" t="s">
        <v>24</v>
      </c>
      <c r="Q7040" t="s">
        <v>642</v>
      </c>
      <c r="R7040" t="s">
        <v>1214</v>
      </c>
    </row>
    <row r="7041" spans="1:18" x14ac:dyDescent="0.25">
      <c r="A7041" t="s">
        <v>15201</v>
      </c>
      <c r="B7041" t="s">
        <v>8687</v>
      </c>
      <c r="C7041" t="str">
        <f>HYPERLINK("https://nematode.unl.edu/mexark22.jpg")</f>
        <v>https://nematode.unl.edu/mexark22.jpg</v>
      </c>
      <c r="D7041" t="s">
        <v>16</v>
      </c>
      <c r="G7041" t="s">
        <v>96</v>
      </c>
      <c r="H7041" t="s">
        <v>18</v>
      </c>
      <c r="M7041" t="s">
        <v>8559</v>
      </c>
      <c r="N7041" t="s">
        <v>8559</v>
      </c>
      <c r="O7041" t="s">
        <v>23</v>
      </c>
      <c r="P7041" t="s">
        <v>24</v>
      </c>
      <c r="Q7041" t="s">
        <v>642</v>
      </c>
      <c r="R7041" t="s">
        <v>1214</v>
      </c>
    </row>
    <row r="7042" spans="1:18" x14ac:dyDescent="0.25">
      <c r="A7042" t="s">
        <v>15392</v>
      </c>
      <c r="B7042" t="s">
        <v>8688</v>
      </c>
      <c r="C7042" t="str">
        <f>HYPERLINK("https://nematode.unl.edu/mexark3.jpg")</f>
        <v>https://nematode.unl.edu/mexark3.jpg</v>
      </c>
      <c r="D7042" t="s">
        <v>43</v>
      </c>
      <c r="G7042" t="s">
        <v>28</v>
      </c>
      <c r="I7042" t="s">
        <v>41</v>
      </c>
      <c r="M7042" t="s">
        <v>8559</v>
      </c>
      <c r="N7042" t="s">
        <v>8559</v>
      </c>
      <c r="O7042" t="s">
        <v>23</v>
      </c>
      <c r="P7042" t="s">
        <v>24</v>
      </c>
      <c r="Q7042" t="s">
        <v>642</v>
      </c>
      <c r="R7042" t="s">
        <v>1214</v>
      </c>
    </row>
    <row r="7043" spans="1:18" x14ac:dyDescent="0.25">
      <c r="A7043" t="s">
        <v>15310</v>
      </c>
      <c r="B7043" t="s">
        <v>8689</v>
      </c>
      <c r="C7043" t="str">
        <f>HYPERLINK("https://nematode.unl.edu/mexark4.jpg")</f>
        <v>https://nematode.unl.edu/mexark4.jpg</v>
      </c>
      <c r="D7043" t="s">
        <v>16</v>
      </c>
      <c r="G7043" t="s">
        <v>44</v>
      </c>
      <c r="I7043" t="s">
        <v>19</v>
      </c>
      <c r="J7043" t="s">
        <v>3611</v>
      </c>
      <c r="K7043" t="s">
        <v>22851</v>
      </c>
      <c r="L7043" t="s">
        <v>8673</v>
      </c>
      <c r="M7043" t="s">
        <v>8559</v>
      </c>
      <c r="N7043" t="s">
        <v>8559</v>
      </c>
      <c r="O7043" t="s">
        <v>23</v>
      </c>
      <c r="P7043" t="s">
        <v>24</v>
      </c>
      <c r="Q7043" t="s">
        <v>642</v>
      </c>
      <c r="R7043" t="s">
        <v>1214</v>
      </c>
    </row>
    <row r="7044" spans="1:18" x14ac:dyDescent="0.25">
      <c r="A7044" t="s">
        <v>15243</v>
      </c>
      <c r="B7044" t="s">
        <v>8690</v>
      </c>
      <c r="C7044" t="str">
        <f>HYPERLINK("https://nematode.unl.edu/mexark5.jpg")</f>
        <v>https://nematode.unl.edu/mexark5.jpg</v>
      </c>
      <c r="D7044" t="s">
        <v>16</v>
      </c>
      <c r="G7044" t="s">
        <v>34</v>
      </c>
      <c r="H7044" t="s">
        <v>18</v>
      </c>
      <c r="I7044" t="s">
        <v>41</v>
      </c>
      <c r="M7044" t="s">
        <v>8559</v>
      </c>
      <c r="N7044" t="s">
        <v>8559</v>
      </c>
      <c r="O7044" t="s">
        <v>23</v>
      </c>
      <c r="P7044" t="s">
        <v>24</v>
      </c>
      <c r="Q7044" t="s">
        <v>642</v>
      </c>
      <c r="R7044" t="s">
        <v>1214</v>
      </c>
    </row>
    <row r="7045" spans="1:18" x14ac:dyDescent="0.25">
      <c r="A7045" t="s">
        <v>15393</v>
      </c>
      <c r="B7045" t="s">
        <v>8691</v>
      </c>
      <c r="C7045" t="str">
        <f>HYPERLINK("https://nematode.unl.edu/mexark6.jpg")</f>
        <v>https://nematode.unl.edu/mexark6.jpg</v>
      </c>
      <c r="D7045" t="s">
        <v>16</v>
      </c>
      <c r="G7045" t="s">
        <v>28</v>
      </c>
      <c r="I7045" t="s">
        <v>41</v>
      </c>
      <c r="M7045" t="s">
        <v>8559</v>
      </c>
      <c r="N7045" t="s">
        <v>8559</v>
      </c>
      <c r="O7045" t="s">
        <v>23</v>
      </c>
      <c r="P7045" t="s">
        <v>24</v>
      </c>
      <c r="Q7045" t="s">
        <v>642</v>
      </c>
      <c r="R7045" t="s">
        <v>1214</v>
      </c>
    </row>
    <row r="7046" spans="1:18" x14ac:dyDescent="0.25">
      <c r="A7046" t="s">
        <v>15202</v>
      </c>
      <c r="B7046" t="s">
        <v>8692</v>
      </c>
      <c r="C7046" t="str">
        <f>HYPERLINK("https://nematode.unl.edu/mexark7.jpg")</f>
        <v>https://nematode.unl.edu/mexark7.jpg</v>
      </c>
      <c r="D7046" t="s">
        <v>16</v>
      </c>
      <c r="G7046" t="s">
        <v>96</v>
      </c>
      <c r="H7046" t="s">
        <v>18</v>
      </c>
      <c r="I7046" t="s">
        <v>41</v>
      </c>
      <c r="M7046" t="s">
        <v>8559</v>
      </c>
      <c r="N7046" t="s">
        <v>8559</v>
      </c>
      <c r="O7046" t="s">
        <v>23</v>
      </c>
      <c r="P7046" t="s">
        <v>24</v>
      </c>
      <c r="Q7046" t="s">
        <v>642</v>
      </c>
      <c r="R7046" t="s">
        <v>1214</v>
      </c>
    </row>
    <row r="7047" spans="1:18" x14ac:dyDescent="0.25">
      <c r="A7047" t="s">
        <v>15361</v>
      </c>
      <c r="B7047" t="s">
        <v>8693</v>
      </c>
      <c r="C7047" t="str">
        <f>HYPERLINK("https://nematode.unl.edu/mexark8.jpg")</f>
        <v>https://nematode.unl.edu/mexark8.jpg</v>
      </c>
      <c r="D7047" t="s">
        <v>16</v>
      </c>
      <c r="G7047" t="s">
        <v>7004</v>
      </c>
      <c r="I7047" t="s">
        <v>529</v>
      </c>
      <c r="J7047" t="s">
        <v>3611</v>
      </c>
      <c r="K7047" t="s">
        <v>22851</v>
      </c>
      <c r="L7047" t="s">
        <v>8673</v>
      </c>
      <c r="M7047" t="s">
        <v>8559</v>
      </c>
      <c r="N7047" t="s">
        <v>8559</v>
      </c>
      <c r="O7047" t="s">
        <v>23</v>
      </c>
      <c r="P7047" t="s">
        <v>24</v>
      </c>
      <c r="Q7047" t="s">
        <v>642</v>
      </c>
      <c r="R7047" t="s">
        <v>1214</v>
      </c>
    </row>
    <row r="7048" spans="1:18" x14ac:dyDescent="0.25">
      <c r="A7048" t="s">
        <v>15244</v>
      </c>
      <c r="B7048" t="s">
        <v>8694</v>
      </c>
      <c r="C7048" t="str">
        <f>HYPERLINK("https://nematode.unl.edu/mexark9.jpg")</f>
        <v>https://nematode.unl.edu/mexark9.jpg</v>
      </c>
      <c r="D7048" t="s">
        <v>43</v>
      </c>
      <c r="G7048" t="s">
        <v>34</v>
      </c>
      <c r="H7048" t="s">
        <v>18</v>
      </c>
      <c r="I7048" t="s">
        <v>41</v>
      </c>
      <c r="M7048" t="s">
        <v>8559</v>
      </c>
      <c r="N7048" t="s">
        <v>8559</v>
      </c>
      <c r="O7048" t="s">
        <v>23</v>
      </c>
      <c r="P7048" t="s">
        <v>24</v>
      </c>
      <c r="Q7048" t="s">
        <v>642</v>
      </c>
      <c r="R7048" t="s">
        <v>1214</v>
      </c>
    </row>
    <row r="7049" spans="1:18" x14ac:dyDescent="0.25">
      <c r="A7049" t="s">
        <v>15311</v>
      </c>
      <c r="B7049" t="s">
        <v>8695</v>
      </c>
      <c r="C7049" t="str">
        <f>HYPERLINK("https://nematode.unl.edu/mexega1.jpg")</f>
        <v>https://nematode.unl.edu/mexega1.jpg</v>
      </c>
      <c r="D7049" t="s">
        <v>43</v>
      </c>
      <c r="G7049" t="s">
        <v>44</v>
      </c>
      <c r="I7049" t="s">
        <v>19</v>
      </c>
      <c r="J7049" t="s">
        <v>8696</v>
      </c>
      <c r="L7049" t="s">
        <v>8404</v>
      </c>
      <c r="M7049" t="s">
        <v>8559</v>
      </c>
      <c r="N7049" t="s">
        <v>8559</v>
      </c>
      <c r="O7049" t="s">
        <v>23</v>
      </c>
      <c r="P7049" t="s">
        <v>24</v>
      </c>
      <c r="Q7049" t="s">
        <v>642</v>
      </c>
      <c r="R7049" t="s">
        <v>1214</v>
      </c>
    </row>
    <row r="7050" spans="1:18" x14ac:dyDescent="0.25">
      <c r="A7050" t="s">
        <v>15312</v>
      </c>
      <c r="B7050" t="s">
        <v>8697</v>
      </c>
      <c r="C7050" t="str">
        <f>HYPERLINK("https://nematode.unl.edu/mexega10.jpg")</f>
        <v>https://nematode.unl.edu/mexega10.jpg</v>
      </c>
      <c r="D7050" t="s">
        <v>16</v>
      </c>
      <c r="G7050" t="s">
        <v>44</v>
      </c>
      <c r="I7050" t="s">
        <v>19</v>
      </c>
      <c r="J7050" t="s">
        <v>8696</v>
      </c>
      <c r="L7050" t="s">
        <v>8404</v>
      </c>
      <c r="M7050" t="s">
        <v>8559</v>
      </c>
      <c r="N7050" t="s">
        <v>8559</v>
      </c>
      <c r="O7050" t="s">
        <v>23</v>
      </c>
      <c r="P7050" t="s">
        <v>24</v>
      </c>
      <c r="Q7050" t="s">
        <v>642</v>
      </c>
      <c r="R7050" t="s">
        <v>1214</v>
      </c>
    </row>
    <row r="7051" spans="1:18" x14ac:dyDescent="0.25">
      <c r="A7051" t="s">
        <v>15203</v>
      </c>
      <c r="B7051" t="s">
        <v>8698</v>
      </c>
      <c r="C7051" t="str">
        <f>HYPERLINK("https://nematode.unl.edu/mexega11.jpg")</f>
        <v>https://nematode.unl.edu/mexega11.jpg</v>
      </c>
      <c r="D7051" t="s">
        <v>16</v>
      </c>
      <c r="G7051" t="s">
        <v>96</v>
      </c>
      <c r="H7051" t="s">
        <v>18</v>
      </c>
      <c r="I7051" t="s">
        <v>19</v>
      </c>
      <c r="M7051" t="s">
        <v>8559</v>
      </c>
      <c r="N7051" t="s">
        <v>8559</v>
      </c>
      <c r="O7051" t="s">
        <v>23</v>
      </c>
      <c r="P7051" t="s">
        <v>24</v>
      </c>
      <c r="Q7051" t="s">
        <v>642</v>
      </c>
      <c r="R7051" t="s">
        <v>1214</v>
      </c>
    </row>
    <row r="7052" spans="1:18" x14ac:dyDescent="0.25">
      <c r="A7052" t="s">
        <v>15204</v>
      </c>
      <c r="B7052" t="s">
        <v>8699</v>
      </c>
      <c r="C7052" t="str">
        <f>HYPERLINK("https://nematode.unl.edu/mexega12.jpg")</f>
        <v>https://nematode.unl.edu/mexega12.jpg</v>
      </c>
      <c r="D7052" t="s">
        <v>16</v>
      </c>
      <c r="G7052" t="s">
        <v>96</v>
      </c>
      <c r="H7052" t="s">
        <v>18</v>
      </c>
      <c r="I7052" t="s">
        <v>41</v>
      </c>
      <c r="M7052" t="s">
        <v>8559</v>
      </c>
      <c r="N7052" t="s">
        <v>8559</v>
      </c>
      <c r="O7052" t="s">
        <v>23</v>
      </c>
      <c r="P7052" t="s">
        <v>24</v>
      </c>
      <c r="Q7052" t="s">
        <v>642</v>
      </c>
      <c r="R7052" t="s">
        <v>1214</v>
      </c>
    </row>
    <row r="7053" spans="1:18" x14ac:dyDescent="0.25">
      <c r="A7053" t="s">
        <v>15313</v>
      </c>
      <c r="B7053" t="s">
        <v>8700</v>
      </c>
      <c r="C7053" t="str">
        <f>HYPERLINK("https://nematode.unl.edu/mexega13.jpg")</f>
        <v>https://nematode.unl.edu/mexega13.jpg</v>
      </c>
      <c r="D7053" t="s">
        <v>16</v>
      </c>
      <c r="G7053" t="s">
        <v>44</v>
      </c>
      <c r="I7053" t="s">
        <v>41</v>
      </c>
      <c r="M7053" t="s">
        <v>8559</v>
      </c>
      <c r="N7053" t="s">
        <v>8559</v>
      </c>
      <c r="O7053" t="s">
        <v>23</v>
      </c>
      <c r="P7053" t="s">
        <v>24</v>
      </c>
      <c r="Q7053" t="s">
        <v>642</v>
      </c>
      <c r="R7053" t="s">
        <v>1214</v>
      </c>
    </row>
    <row r="7054" spans="1:18" x14ac:dyDescent="0.25">
      <c r="A7054" t="s">
        <v>15394</v>
      </c>
      <c r="B7054" t="s">
        <v>8701</v>
      </c>
      <c r="C7054" t="str">
        <f>HYPERLINK("https://nematode.unl.edu/mexega14.jpg")</f>
        <v>https://nematode.unl.edu/mexega14.jpg</v>
      </c>
      <c r="D7054" t="s">
        <v>16</v>
      </c>
      <c r="G7054" t="s">
        <v>28</v>
      </c>
      <c r="M7054" t="s">
        <v>8559</v>
      </c>
      <c r="N7054" t="s">
        <v>8559</v>
      </c>
      <c r="O7054" t="s">
        <v>23</v>
      </c>
      <c r="P7054" t="s">
        <v>24</v>
      </c>
      <c r="Q7054" t="s">
        <v>642</v>
      </c>
      <c r="R7054" t="s">
        <v>1214</v>
      </c>
    </row>
    <row r="7055" spans="1:18" x14ac:dyDescent="0.25">
      <c r="A7055" t="s">
        <v>15314</v>
      </c>
      <c r="B7055" t="s">
        <v>8702</v>
      </c>
      <c r="C7055" t="str">
        <f>HYPERLINK("https://nematode.unl.edu/mexega15.jpg")</f>
        <v>https://nematode.unl.edu/mexega15.jpg</v>
      </c>
      <c r="D7055" t="s">
        <v>43</v>
      </c>
      <c r="G7055" t="s">
        <v>44</v>
      </c>
      <c r="I7055" t="s">
        <v>19</v>
      </c>
      <c r="J7055" t="s">
        <v>8696</v>
      </c>
      <c r="L7055" t="s">
        <v>8404</v>
      </c>
      <c r="M7055" t="s">
        <v>8559</v>
      </c>
      <c r="N7055" t="s">
        <v>8559</v>
      </c>
      <c r="O7055" t="s">
        <v>23</v>
      </c>
      <c r="P7055" t="s">
        <v>24</v>
      </c>
      <c r="Q7055" t="s">
        <v>642</v>
      </c>
      <c r="R7055" t="s">
        <v>1214</v>
      </c>
    </row>
    <row r="7056" spans="1:18" x14ac:dyDescent="0.25">
      <c r="A7056" t="s">
        <v>15245</v>
      </c>
      <c r="B7056" t="s">
        <v>8703</v>
      </c>
      <c r="C7056" t="str">
        <f>HYPERLINK("https://nematode.unl.edu/mexega16.jpg")</f>
        <v>https://nematode.unl.edu/mexega16.jpg</v>
      </c>
      <c r="D7056" t="s">
        <v>43</v>
      </c>
      <c r="G7056" t="s">
        <v>34</v>
      </c>
      <c r="H7056" t="s">
        <v>18</v>
      </c>
      <c r="I7056" t="s">
        <v>41</v>
      </c>
      <c r="M7056" t="s">
        <v>8559</v>
      </c>
      <c r="N7056" t="s">
        <v>8559</v>
      </c>
      <c r="O7056" t="s">
        <v>23</v>
      </c>
      <c r="P7056" t="s">
        <v>24</v>
      </c>
      <c r="Q7056" t="s">
        <v>642</v>
      </c>
      <c r="R7056" t="s">
        <v>1214</v>
      </c>
    </row>
    <row r="7057" spans="1:18" x14ac:dyDescent="0.25">
      <c r="A7057" t="s">
        <v>15395</v>
      </c>
      <c r="B7057" t="s">
        <v>8704</v>
      </c>
      <c r="C7057" t="str">
        <f>HYPERLINK("https://nematode.unl.edu/mexega17.jpg")</f>
        <v>https://nematode.unl.edu/mexega17.jpg</v>
      </c>
      <c r="D7057" t="s">
        <v>43</v>
      </c>
      <c r="G7057" t="s">
        <v>28</v>
      </c>
      <c r="M7057" t="s">
        <v>8559</v>
      </c>
      <c r="N7057" t="s">
        <v>8559</v>
      </c>
      <c r="O7057" t="s">
        <v>23</v>
      </c>
      <c r="P7057" t="s">
        <v>24</v>
      </c>
      <c r="Q7057" t="s">
        <v>642</v>
      </c>
      <c r="R7057" t="s">
        <v>1214</v>
      </c>
    </row>
    <row r="7058" spans="1:18" x14ac:dyDescent="0.25">
      <c r="A7058" t="s">
        <v>15246</v>
      </c>
      <c r="B7058" t="s">
        <v>8705</v>
      </c>
      <c r="C7058" t="str">
        <f>HYPERLINK("https://nematode.unl.edu/mexega18.jpg")</f>
        <v>https://nematode.unl.edu/mexega18.jpg</v>
      </c>
      <c r="D7058" t="s">
        <v>43</v>
      </c>
      <c r="G7058" t="s">
        <v>34</v>
      </c>
      <c r="H7058" t="s">
        <v>18</v>
      </c>
      <c r="M7058" t="s">
        <v>8559</v>
      </c>
      <c r="N7058" t="s">
        <v>8559</v>
      </c>
      <c r="O7058" t="s">
        <v>23</v>
      </c>
      <c r="P7058" t="s">
        <v>24</v>
      </c>
      <c r="Q7058" t="s">
        <v>642</v>
      </c>
      <c r="R7058" t="s">
        <v>1214</v>
      </c>
    </row>
    <row r="7059" spans="1:18" x14ac:dyDescent="0.25">
      <c r="A7059" t="s">
        <v>15396</v>
      </c>
      <c r="B7059" t="s">
        <v>8706</v>
      </c>
      <c r="C7059" t="str">
        <f>HYPERLINK("https://nematode.unl.edu/mexega19.jpg")</f>
        <v>https://nematode.unl.edu/mexega19.jpg</v>
      </c>
      <c r="D7059" t="s">
        <v>43</v>
      </c>
      <c r="G7059" t="s">
        <v>28</v>
      </c>
      <c r="I7059" t="s">
        <v>41</v>
      </c>
      <c r="M7059" t="s">
        <v>8559</v>
      </c>
      <c r="N7059" t="s">
        <v>8559</v>
      </c>
      <c r="O7059" t="s">
        <v>23</v>
      </c>
      <c r="P7059" t="s">
        <v>24</v>
      </c>
      <c r="Q7059" t="s">
        <v>642</v>
      </c>
      <c r="R7059" t="s">
        <v>1214</v>
      </c>
    </row>
    <row r="7060" spans="1:18" x14ac:dyDescent="0.25">
      <c r="A7060" t="s">
        <v>15247</v>
      </c>
      <c r="B7060" t="s">
        <v>8707</v>
      </c>
      <c r="C7060" t="str">
        <f>HYPERLINK("https://nematode.unl.edu/mexega2.jpg")</f>
        <v>https://nematode.unl.edu/mexega2.jpg</v>
      </c>
      <c r="D7060" t="s">
        <v>43</v>
      </c>
      <c r="G7060" t="s">
        <v>34</v>
      </c>
      <c r="H7060" t="s">
        <v>18</v>
      </c>
      <c r="I7060" t="s">
        <v>41</v>
      </c>
      <c r="M7060" t="s">
        <v>8559</v>
      </c>
      <c r="N7060" t="s">
        <v>8559</v>
      </c>
      <c r="O7060" t="s">
        <v>23</v>
      </c>
      <c r="P7060" t="s">
        <v>24</v>
      </c>
      <c r="Q7060" t="s">
        <v>642</v>
      </c>
      <c r="R7060" t="s">
        <v>1214</v>
      </c>
    </row>
    <row r="7061" spans="1:18" x14ac:dyDescent="0.25">
      <c r="A7061" t="s">
        <v>15315</v>
      </c>
      <c r="B7061" t="s">
        <v>8708</v>
      </c>
      <c r="C7061" t="str">
        <f>HYPERLINK("https://nematode.unl.edu/mexega21.jpg")</f>
        <v>https://nematode.unl.edu/mexega21.jpg</v>
      </c>
      <c r="D7061" t="s">
        <v>16</v>
      </c>
      <c r="G7061" t="s">
        <v>44</v>
      </c>
      <c r="I7061" t="s">
        <v>19</v>
      </c>
      <c r="J7061" t="s">
        <v>8363</v>
      </c>
      <c r="L7061" t="s">
        <v>8404</v>
      </c>
      <c r="M7061" t="s">
        <v>8559</v>
      </c>
      <c r="N7061" t="s">
        <v>8559</v>
      </c>
      <c r="O7061" t="s">
        <v>23</v>
      </c>
      <c r="P7061" t="s">
        <v>24</v>
      </c>
      <c r="Q7061" t="s">
        <v>642</v>
      </c>
      <c r="R7061" t="s">
        <v>1214</v>
      </c>
    </row>
    <row r="7062" spans="1:18" x14ac:dyDescent="0.25">
      <c r="A7062" t="s">
        <v>15248</v>
      </c>
      <c r="B7062" t="s">
        <v>8709</v>
      </c>
      <c r="C7062" t="str">
        <f>HYPERLINK("https://nematode.unl.edu/mexega22.jpg")</f>
        <v>https://nematode.unl.edu/mexega22.jpg</v>
      </c>
      <c r="D7062" t="s">
        <v>16</v>
      </c>
      <c r="G7062" t="s">
        <v>34</v>
      </c>
      <c r="H7062" t="s">
        <v>18</v>
      </c>
      <c r="I7062" t="s">
        <v>41</v>
      </c>
      <c r="M7062" t="s">
        <v>8559</v>
      </c>
      <c r="N7062" t="s">
        <v>8559</v>
      </c>
      <c r="O7062" t="s">
        <v>23</v>
      </c>
      <c r="P7062" t="s">
        <v>24</v>
      </c>
      <c r="Q7062" t="s">
        <v>642</v>
      </c>
      <c r="R7062" t="s">
        <v>1214</v>
      </c>
    </row>
    <row r="7063" spans="1:18" x14ac:dyDescent="0.25">
      <c r="A7063" t="s">
        <v>15339</v>
      </c>
      <c r="B7063" t="s">
        <v>8710</v>
      </c>
      <c r="C7063" t="str">
        <f>HYPERLINK("https://nematode.unl.edu/mexega23.jpg")</f>
        <v>https://nematode.unl.edu/mexega23.jpg</v>
      </c>
      <c r="D7063" t="s">
        <v>16</v>
      </c>
      <c r="G7063" t="s">
        <v>7390</v>
      </c>
      <c r="I7063" t="s">
        <v>529</v>
      </c>
      <c r="J7063" t="s">
        <v>8363</v>
      </c>
      <c r="L7063" t="s">
        <v>8404</v>
      </c>
      <c r="M7063" t="s">
        <v>8559</v>
      </c>
      <c r="N7063" t="s">
        <v>8559</v>
      </c>
      <c r="O7063" t="s">
        <v>23</v>
      </c>
      <c r="P7063" t="s">
        <v>24</v>
      </c>
      <c r="Q7063" t="s">
        <v>642</v>
      </c>
      <c r="R7063" t="s">
        <v>1214</v>
      </c>
    </row>
    <row r="7064" spans="1:18" x14ac:dyDescent="0.25">
      <c r="A7064" t="s">
        <v>15316</v>
      </c>
      <c r="B7064" t="s">
        <v>8711</v>
      </c>
      <c r="C7064" t="str">
        <f>HYPERLINK("https://nematode.unl.edu/mexega24.jpg")</f>
        <v>https://nematode.unl.edu/mexega24.jpg</v>
      </c>
      <c r="D7064" t="s">
        <v>43</v>
      </c>
      <c r="G7064" t="s">
        <v>44</v>
      </c>
      <c r="I7064" t="s">
        <v>19</v>
      </c>
      <c r="J7064" t="s">
        <v>8363</v>
      </c>
      <c r="L7064" t="s">
        <v>8404</v>
      </c>
      <c r="M7064" t="s">
        <v>8559</v>
      </c>
      <c r="N7064" t="s">
        <v>8559</v>
      </c>
      <c r="O7064" t="s">
        <v>23</v>
      </c>
      <c r="P7064" t="s">
        <v>24</v>
      </c>
      <c r="Q7064" t="s">
        <v>642</v>
      </c>
      <c r="R7064" t="s">
        <v>1214</v>
      </c>
    </row>
    <row r="7065" spans="1:18" x14ac:dyDescent="0.25">
      <c r="A7065" t="s">
        <v>15249</v>
      </c>
      <c r="B7065" t="s">
        <v>8712</v>
      </c>
      <c r="C7065" t="str">
        <f>HYPERLINK("https://nematode.unl.edu/mexega25.jpg")</f>
        <v>https://nematode.unl.edu/mexega25.jpg</v>
      </c>
      <c r="D7065" t="s">
        <v>43</v>
      </c>
      <c r="G7065" t="s">
        <v>34</v>
      </c>
      <c r="H7065" t="s">
        <v>18</v>
      </c>
      <c r="I7065" t="s">
        <v>41</v>
      </c>
      <c r="M7065" t="s">
        <v>8559</v>
      </c>
      <c r="N7065" t="s">
        <v>8559</v>
      </c>
      <c r="O7065" t="s">
        <v>23</v>
      </c>
      <c r="P7065" t="s">
        <v>24</v>
      </c>
      <c r="Q7065" t="s">
        <v>642</v>
      </c>
      <c r="R7065" t="s">
        <v>1214</v>
      </c>
    </row>
    <row r="7066" spans="1:18" x14ac:dyDescent="0.25">
      <c r="A7066" t="s">
        <v>15397</v>
      </c>
      <c r="B7066" t="s">
        <v>8713</v>
      </c>
      <c r="C7066" t="str">
        <f>HYPERLINK("https://nematode.unl.edu/mexega26.jpg")</f>
        <v>https://nematode.unl.edu/mexega26.jpg</v>
      </c>
      <c r="D7066" t="s">
        <v>43</v>
      </c>
      <c r="G7066" t="s">
        <v>28</v>
      </c>
      <c r="I7066" t="s">
        <v>41</v>
      </c>
      <c r="M7066" t="s">
        <v>8559</v>
      </c>
      <c r="N7066" t="s">
        <v>8559</v>
      </c>
      <c r="O7066" t="s">
        <v>23</v>
      </c>
      <c r="P7066" t="s">
        <v>24</v>
      </c>
      <c r="Q7066" t="s">
        <v>642</v>
      </c>
      <c r="R7066" t="s">
        <v>1214</v>
      </c>
    </row>
    <row r="7067" spans="1:18" x14ac:dyDescent="0.25">
      <c r="A7067" t="s">
        <v>15368</v>
      </c>
      <c r="B7067" t="s">
        <v>8714</v>
      </c>
      <c r="C7067" t="str">
        <f>HYPERLINK("https://nematode.unl.edu/mexega3.jpg")</f>
        <v>https://nematode.unl.edu/mexega3.jpg</v>
      </c>
      <c r="D7067" t="s">
        <v>43</v>
      </c>
      <c r="G7067" t="s">
        <v>674</v>
      </c>
      <c r="I7067" t="s">
        <v>41</v>
      </c>
      <c r="M7067" t="s">
        <v>8559</v>
      </c>
      <c r="N7067" t="s">
        <v>8559</v>
      </c>
      <c r="O7067" t="s">
        <v>23</v>
      </c>
      <c r="P7067" t="s">
        <v>24</v>
      </c>
      <c r="Q7067" t="s">
        <v>642</v>
      </c>
      <c r="R7067" t="s">
        <v>1214</v>
      </c>
    </row>
    <row r="7068" spans="1:18" x14ac:dyDescent="0.25">
      <c r="A7068" t="s">
        <v>15350</v>
      </c>
      <c r="B7068" t="s">
        <v>8715</v>
      </c>
      <c r="C7068" t="str">
        <f>HYPERLINK("https://nematode.unl.edu/mexega4.jpg")</f>
        <v>https://nematode.unl.edu/mexega4.jpg</v>
      </c>
      <c r="D7068" t="s">
        <v>43</v>
      </c>
      <c r="G7068" t="s">
        <v>224</v>
      </c>
      <c r="I7068" t="s">
        <v>41</v>
      </c>
      <c r="M7068" t="s">
        <v>8559</v>
      </c>
      <c r="N7068" t="s">
        <v>8559</v>
      </c>
      <c r="O7068" t="s">
        <v>23</v>
      </c>
      <c r="P7068" t="s">
        <v>24</v>
      </c>
      <c r="Q7068" t="s">
        <v>642</v>
      </c>
      <c r="R7068" t="s">
        <v>1214</v>
      </c>
    </row>
    <row r="7069" spans="1:18" x14ac:dyDescent="0.25">
      <c r="A7069" t="s">
        <v>15205</v>
      </c>
      <c r="B7069" t="s">
        <v>8716</v>
      </c>
      <c r="C7069" t="str">
        <f>HYPERLINK("https://nematode.unl.edu/mexega5.jpg")</f>
        <v>https://nematode.unl.edu/mexega5.jpg</v>
      </c>
      <c r="D7069" t="s">
        <v>43</v>
      </c>
      <c r="G7069" t="s">
        <v>96</v>
      </c>
      <c r="H7069" t="s">
        <v>18</v>
      </c>
      <c r="M7069" t="s">
        <v>8559</v>
      </c>
      <c r="N7069" t="s">
        <v>8559</v>
      </c>
      <c r="O7069" t="s">
        <v>23</v>
      </c>
      <c r="P7069" t="s">
        <v>24</v>
      </c>
      <c r="Q7069" t="s">
        <v>642</v>
      </c>
      <c r="R7069" t="s">
        <v>1214</v>
      </c>
    </row>
    <row r="7070" spans="1:18" x14ac:dyDescent="0.25">
      <c r="A7070" t="s">
        <v>15365</v>
      </c>
      <c r="B7070" t="s">
        <v>8717</v>
      </c>
      <c r="C7070" t="str">
        <f>HYPERLINK("https://nematode.unl.edu/mexega6.jpg")</f>
        <v>https://nematode.unl.edu/mexega6.jpg</v>
      </c>
      <c r="D7070" t="s">
        <v>43</v>
      </c>
      <c r="G7070" t="s">
        <v>181</v>
      </c>
      <c r="I7070" t="s">
        <v>19</v>
      </c>
      <c r="M7070" t="s">
        <v>8559</v>
      </c>
      <c r="N7070" t="s">
        <v>8559</v>
      </c>
      <c r="O7070" t="s">
        <v>23</v>
      </c>
      <c r="P7070" t="s">
        <v>24</v>
      </c>
      <c r="Q7070" t="s">
        <v>642</v>
      </c>
      <c r="R7070" t="s">
        <v>1214</v>
      </c>
    </row>
    <row r="7071" spans="1:18" x14ac:dyDescent="0.25">
      <c r="A7071" t="s">
        <v>15206</v>
      </c>
      <c r="B7071" t="s">
        <v>8718</v>
      </c>
      <c r="C7071" t="str">
        <f>HYPERLINK("https://nematode.unl.edu/mexega7.jpg")</f>
        <v>https://nematode.unl.edu/mexega7.jpg</v>
      </c>
      <c r="D7071" t="s">
        <v>43</v>
      </c>
      <c r="G7071" t="s">
        <v>96</v>
      </c>
      <c r="H7071" t="s">
        <v>18</v>
      </c>
      <c r="M7071" t="s">
        <v>8559</v>
      </c>
      <c r="N7071" t="s">
        <v>8559</v>
      </c>
      <c r="O7071" t="s">
        <v>23</v>
      </c>
      <c r="P7071" t="s">
        <v>24</v>
      </c>
      <c r="Q7071" t="s">
        <v>642</v>
      </c>
      <c r="R7071" t="s">
        <v>1214</v>
      </c>
    </row>
    <row r="7072" spans="1:18" x14ac:dyDescent="0.25">
      <c r="A7072" t="s">
        <v>15271</v>
      </c>
      <c r="B7072" t="s">
        <v>8719</v>
      </c>
      <c r="C7072" t="str">
        <f>HYPERLINK("https://nematode.unl.edu/mexega8.jpg")</f>
        <v>https://nematode.unl.edu/mexega8.jpg</v>
      </c>
      <c r="D7072" t="s">
        <v>43</v>
      </c>
      <c r="G7072" t="s">
        <v>4059</v>
      </c>
      <c r="H7072" t="s">
        <v>18</v>
      </c>
      <c r="I7072" t="s">
        <v>41</v>
      </c>
      <c r="J7072" t="s">
        <v>8363</v>
      </c>
      <c r="L7072" t="s">
        <v>8404</v>
      </c>
      <c r="M7072" t="s">
        <v>8559</v>
      </c>
      <c r="N7072" t="s">
        <v>8559</v>
      </c>
      <c r="O7072" t="s">
        <v>23</v>
      </c>
      <c r="P7072" t="s">
        <v>24</v>
      </c>
      <c r="Q7072" t="s">
        <v>642</v>
      </c>
      <c r="R7072" t="s">
        <v>1214</v>
      </c>
    </row>
    <row r="7073" spans="1:18" x14ac:dyDescent="0.25">
      <c r="A7073" t="s">
        <v>15398</v>
      </c>
      <c r="B7073" t="s">
        <v>8720</v>
      </c>
      <c r="C7073" t="str">
        <f>HYPERLINK("https://nematode.unl.edu/mexega9.jpg")</f>
        <v>https://nematode.unl.edu/mexega9.jpg</v>
      </c>
      <c r="D7073" t="s">
        <v>43</v>
      </c>
      <c r="G7073" t="s">
        <v>28</v>
      </c>
      <c r="I7073" t="s">
        <v>41</v>
      </c>
      <c r="M7073" t="s">
        <v>8559</v>
      </c>
      <c r="N7073" t="s">
        <v>8559</v>
      </c>
      <c r="O7073" t="s">
        <v>23</v>
      </c>
      <c r="P7073" t="s">
        <v>24</v>
      </c>
      <c r="Q7073" t="s">
        <v>642</v>
      </c>
      <c r="R7073" t="s">
        <v>1214</v>
      </c>
    </row>
    <row r="7074" spans="1:18" x14ac:dyDescent="0.25">
      <c r="A7074" t="s">
        <v>15317</v>
      </c>
      <c r="B7074" t="s">
        <v>8721</v>
      </c>
      <c r="C7074" t="str">
        <f>HYPERLINK("https://nematode.unl.edu/mexegreen1.jpg")</f>
        <v>https://nematode.unl.edu/mexegreen1.jpg</v>
      </c>
      <c r="D7074" t="s">
        <v>43</v>
      </c>
      <c r="G7074" t="s">
        <v>44</v>
      </c>
      <c r="I7074" t="s">
        <v>19</v>
      </c>
      <c r="J7074" t="s">
        <v>8722</v>
      </c>
      <c r="M7074" t="s">
        <v>8559</v>
      </c>
      <c r="N7074" t="s">
        <v>8559</v>
      </c>
      <c r="O7074" t="s">
        <v>23</v>
      </c>
      <c r="P7074" t="s">
        <v>24</v>
      </c>
      <c r="Q7074" t="s">
        <v>642</v>
      </c>
      <c r="R7074" t="s">
        <v>1214</v>
      </c>
    </row>
    <row r="7075" spans="1:18" x14ac:dyDescent="0.25">
      <c r="A7075" t="s">
        <v>15250</v>
      </c>
      <c r="B7075" t="s">
        <v>8723</v>
      </c>
      <c r="C7075" t="str">
        <f>HYPERLINK("https://nematode.unl.edu/mexegreen2.jpg")</f>
        <v>https://nematode.unl.edu/mexegreen2.jpg</v>
      </c>
      <c r="D7075" t="s">
        <v>43</v>
      </c>
      <c r="G7075" t="s">
        <v>34</v>
      </c>
      <c r="H7075" t="s">
        <v>18</v>
      </c>
      <c r="J7075" t="s">
        <v>4543</v>
      </c>
      <c r="M7075" t="s">
        <v>8559</v>
      </c>
      <c r="N7075" t="s">
        <v>8559</v>
      </c>
      <c r="O7075" t="s">
        <v>23</v>
      </c>
      <c r="P7075" t="s">
        <v>24</v>
      </c>
      <c r="Q7075" t="s">
        <v>642</v>
      </c>
      <c r="R7075" t="s">
        <v>1214</v>
      </c>
    </row>
    <row r="7076" spans="1:18" x14ac:dyDescent="0.25">
      <c r="A7076" t="s">
        <v>15399</v>
      </c>
      <c r="B7076" t="s">
        <v>8724</v>
      </c>
      <c r="C7076" t="str">
        <f>HYPERLINK("https://nematode.unl.edu/mexegreen3.jpg")</f>
        <v>https://nematode.unl.edu/mexegreen3.jpg</v>
      </c>
      <c r="D7076" t="s">
        <v>43</v>
      </c>
      <c r="G7076" t="s">
        <v>28</v>
      </c>
      <c r="J7076" t="s">
        <v>4543</v>
      </c>
      <c r="M7076" t="s">
        <v>8559</v>
      </c>
      <c r="N7076" t="s">
        <v>8559</v>
      </c>
      <c r="O7076" t="s">
        <v>23</v>
      </c>
      <c r="P7076" t="s">
        <v>24</v>
      </c>
      <c r="Q7076" t="s">
        <v>642</v>
      </c>
      <c r="R7076" t="s">
        <v>1214</v>
      </c>
    </row>
    <row r="7077" spans="1:18" x14ac:dyDescent="0.25">
      <c r="A7077" t="s">
        <v>15362</v>
      </c>
      <c r="B7077" t="s">
        <v>8725</v>
      </c>
      <c r="C7077" t="str">
        <f>HYPERLINK("https://nematode.unl.edu/mexegreen4.jpg")</f>
        <v>https://nematode.unl.edu/mexegreen4.jpg</v>
      </c>
      <c r="D7077" t="s">
        <v>43</v>
      </c>
      <c r="G7077" t="s">
        <v>7004</v>
      </c>
      <c r="I7077" t="s">
        <v>529</v>
      </c>
      <c r="J7077" t="s">
        <v>8722</v>
      </c>
      <c r="M7077" t="s">
        <v>8559</v>
      </c>
      <c r="N7077" t="s">
        <v>8559</v>
      </c>
      <c r="O7077" t="s">
        <v>23</v>
      </c>
      <c r="P7077" t="s">
        <v>24</v>
      </c>
      <c r="Q7077" t="s">
        <v>642</v>
      </c>
      <c r="R7077" t="s">
        <v>1214</v>
      </c>
    </row>
    <row r="7078" spans="1:18" x14ac:dyDescent="0.25">
      <c r="A7078" t="s">
        <v>15318</v>
      </c>
      <c r="B7078" t="s">
        <v>8726</v>
      </c>
      <c r="C7078" t="str">
        <f>HYPERLINK("https://nematode.unl.edu/mexegsm1.jpg")</f>
        <v>https://nematode.unl.edu/mexegsm1.jpg</v>
      </c>
      <c r="D7078" t="s">
        <v>43</v>
      </c>
      <c r="G7078" t="s">
        <v>44</v>
      </c>
      <c r="I7078" t="s">
        <v>137</v>
      </c>
      <c r="J7078" t="s">
        <v>2350</v>
      </c>
      <c r="L7078" t="s">
        <v>8727</v>
      </c>
      <c r="M7078" t="s">
        <v>8559</v>
      </c>
      <c r="N7078" t="s">
        <v>8559</v>
      </c>
      <c r="O7078" t="s">
        <v>23</v>
      </c>
      <c r="P7078" t="s">
        <v>24</v>
      </c>
      <c r="Q7078" t="s">
        <v>642</v>
      </c>
      <c r="R7078" t="s">
        <v>1214</v>
      </c>
    </row>
    <row r="7079" spans="1:18" x14ac:dyDescent="0.25">
      <c r="A7079" t="s">
        <v>15400</v>
      </c>
      <c r="B7079" t="s">
        <v>8728</v>
      </c>
      <c r="C7079" t="str">
        <f>HYPERLINK("https://nematode.unl.edu/mexegsm10.jpg")</f>
        <v>https://nematode.unl.edu/mexegsm10.jpg</v>
      </c>
      <c r="D7079" t="s">
        <v>43</v>
      </c>
      <c r="G7079" t="s">
        <v>28</v>
      </c>
      <c r="I7079" t="s">
        <v>41</v>
      </c>
      <c r="J7079" t="s">
        <v>2350</v>
      </c>
      <c r="M7079" t="s">
        <v>8559</v>
      </c>
      <c r="N7079" t="s">
        <v>8559</v>
      </c>
      <c r="O7079" t="s">
        <v>23</v>
      </c>
      <c r="P7079" t="s">
        <v>24</v>
      </c>
      <c r="Q7079" t="s">
        <v>642</v>
      </c>
      <c r="R7079" t="s">
        <v>1214</v>
      </c>
    </row>
    <row r="7080" spans="1:18" x14ac:dyDescent="0.25">
      <c r="A7080" t="s">
        <v>15419</v>
      </c>
      <c r="B7080" t="s">
        <v>8729</v>
      </c>
      <c r="C7080" t="str">
        <f>HYPERLINK("https://nematode.unl.edu/mexegsm11.jpg")</f>
        <v>https://nematode.unl.edu/mexegsm11.jpg</v>
      </c>
      <c r="D7080" t="s">
        <v>43</v>
      </c>
      <c r="G7080" t="s">
        <v>51</v>
      </c>
      <c r="I7080" t="s">
        <v>41</v>
      </c>
      <c r="J7080" t="s">
        <v>2350</v>
      </c>
      <c r="M7080" t="s">
        <v>8559</v>
      </c>
      <c r="N7080" t="s">
        <v>8559</v>
      </c>
      <c r="O7080" t="s">
        <v>23</v>
      </c>
      <c r="P7080" t="s">
        <v>24</v>
      </c>
      <c r="Q7080" t="s">
        <v>642</v>
      </c>
      <c r="R7080" t="s">
        <v>1214</v>
      </c>
    </row>
    <row r="7081" spans="1:18" x14ac:dyDescent="0.25">
      <c r="A7081" t="s">
        <v>15420</v>
      </c>
      <c r="B7081" t="s">
        <v>8730</v>
      </c>
      <c r="C7081" t="str">
        <f>HYPERLINK("https://nematode.unl.edu/mexegsm12.jpg")</f>
        <v>https://nematode.unl.edu/mexegsm12.jpg</v>
      </c>
      <c r="D7081" t="s">
        <v>43</v>
      </c>
      <c r="G7081" t="s">
        <v>51</v>
      </c>
      <c r="I7081" t="s">
        <v>41</v>
      </c>
      <c r="J7081" t="s">
        <v>2350</v>
      </c>
      <c r="M7081" t="s">
        <v>8559</v>
      </c>
      <c r="N7081" t="s">
        <v>8559</v>
      </c>
      <c r="O7081" t="s">
        <v>23</v>
      </c>
      <c r="P7081" t="s">
        <v>24</v>
      </c>
      <c r="Q7081" t="s">
        <v>642</v>
      </c>
      <c r="R7081" t="s">
        <v>1214</v>
      </c>
    </row>
    <row r="7082" spans="1:18" x14ac:dyDescent="0.25">
      <c r="A7082" t="s">
        <v>15319</v>
      </c>
      <c r="B7082" t="s">
        <v>8731</v>
      </c>
      <c r="C7082" t="str">
        <f>HYPERLINK("https://nematode.unl.edu/mexegsm13.jpg")</f>
        <v>https://nematode.unl.edu/mexegsm13.jpg</v>
      </c>
      <c r="D7082" t="s">
        <v>43</v>
      </c>
      <c r="G7082" t="s">
        <v>44</v>
      </c>
      <c r="I7082" t="s">
        <v>41</v>
      </c>
      <c r="M7082" t="s">
        <v>8559</v>
      </c>
      <c r="N7082" t="s">
        <v>8559</v>
      </c>
      <c r="O7082" t="s">
        <v>23</v>
      </c>
      <c r="P7082" t="s">
        <v>24</v>
      </c>
      <c r="Q7082" t="s">
        <v>642</v>
      </c>
      <c r="R7082" t="s">
        <v>1214</v>
      </c>
    </row>
    <row r="7083" spans="1:18" x14ac:dyDescent="0.25">
      <c r="A7083" t="s">
        <v>15267</v>
      </c>
      <c r="B7083" t="s">
        <v>8732</v>
      </c>
      <c r="C7083" t="str">
        <f>HYPERLINK("https://nematode.unl.edu/mexegsm14.jpg")</f>
        <v>https://nematode.unl.edu/mexegsm14.jpg</v>
      </c>
      <c r="G7083" t="s">
        <v>259</v>
      </c>
      <c r="H7083" t="s">
        <v>18</v>
      </c>
      <c r="I7083" t="s">
        <v>41</v>
      </c>
      <c r="M7083" t="s">
        <v>8559</v>
      </c>
      <c r="N7083" t="s">
        <v>8559</v>
      </c>
      <c r="O7083" t="s">
        <v>23</v>
      </c>
      <c r="P7083" t="s">
        <v>24</v>
      </c>
      <c r="Q7083" t="s">
        <v>642</v>
      </c>
      <c r="R7083" t="s">
        <v>1214</v>
      </c>
    </row>
    <row r="7084" spans="1:18" x14ac:dyDescent="0.25">
      <c r="A7084" t="s">
        <v>15320</v>
      </c>
      <c r="B7084" t="s">
        <v>8733</v>
      </c>
      <c r="C7084" t="str">
        <f>HYPERLINK("https://nematode.unl.edu/mexegsm15.jpg")</f>
        <v>https://nematode.unl.edu/mexegsm15.jpg</v>
      </c>
      <c r="D7084" t="s">
        <v>43</v>
      </c>
      <c r="G7084" t="s">
        <v>44</v>
      </c>
      <c r="I7084" t="s">
        <v>19</v>
      </c>
      <c r="J7084" t="s">
        <v>2350</v>
      </c>
      <c r="L7084" t="s">
        <v>8734</v>
      </c>
      <c r="M7084" t="s">
        <v>8559</v>
      </c>
      <c r="N7084" t="s">
        <v>8559</v>
      </c>
      <c r="O7084" t="s">
        <v>23</v>
      </c>
      <c r="P7084" t="s">
        <v>24</v>
      </c>
      <c r="Q7084" t="s">
        <v>642</v>
      </c>
      <c r="R7084" t="s">
        <v>1214</v>
      </c>
    </row>
    <row r="7085" spans="1:18" x14ac:dyDescent="0.25">
      <c r="A7085" t="s">
        <v>15251</v>
      </c>
      <c r="B7085" t="s">
        <v>8735</v>
      </c>
      <c r="C7085" t="str">
        <f>HYPERLINK("https://nematode.unl.edu/mexegsm16.jpg")</f>
        <v>https://nematode.unl.edu/mexegsm16.jpg</v>
      </c>
      <c r="D7085" t="s">
        <v>43</v>
      </c>
      <c r="G7085" t="s">
        <v>34</v>
      </c>
      <c r="H7085" t="s">
        <v>18</v>
      </c>
      <c r="I7085" t="s">
        <v>41</v>
      </c>
      <c r="J7085" t="s">
        <v>2350</v>
      </c>
      <c r="M7085" t="s">
        <v>8559</v>
      </c>
      <c r="N7085" t="s">
        <v>8559</v>
      </c>
      <c r="O7085" t="s">
        <v>23</v>
      </c>
      <c r="P7085" t="s">
        <v>24</v>
      </c>
      <c r="Q7085" t="s">
        <v>642</v>
      </c>
      <c r="R7085" t="s">
        <v>1214</v>
      </c>
    </row>
    <row r="7086" spans="1:18" x14ac:dyDescent="0.25">
      <c r="A7086" t="s">
        <v>15272</v>
      </c>
      <c r="B7086" t="s">
        <v>8736</v>
      </c>
      <c r="C7086" t="str">
        <f>HYPERLINK("https://nematode.unl.edu/mexegsm17.jpg")</f>
        <v>https://nematode.unl.edu/mexegsm17.jpg</v>
      </c>
      <c r="D7086" t="s">
        <v>43</v>
      </c>
      <c r="G7086" t="s">
        <v>4059</v>
      </c>
      <c r="H7086" t="s">
        <v>18</v>
      </c>
      <c r="I7086" t="s">
        <v>41</v>
      </c>
      <c r="J7086" t="s">
        <v>2350</v>
      </c>
      <c r="L7086" t="s">
        <v>8734</v>
      </c>
      <c r="M7086" t="s">
        <v>8559</v>
      </c>
      <c r="N7086" t="s">
        <v>8559</v>
      </c>
      <c r="O7086" t="s">
        <v>23</v>
      </c>
      <c r="P7086" t="s">
        <v>24</v>
      </c>
      <c r="Q7086" t="s">
        <v>642</v>
      </c>
      <c r="R7086" t="s">
        <v>1214</v>
      </c>
    </row>
    <row r="7087" spans="1:18" x14ac:dyDescent="0.25">
      <c r="A7087" t="s">
        <v>15401</v>
      </c>
      <c r="B7087" t="s">
        <v>8737</v>
      </c>
      <c r="C7087" t="str">
        <f>HYPERLINK("https://nematode.unl.edu/mexegsm18.jpg")</f>
        <v>https://nematode.unl.edu/mexegsm18.jpg</v>
      </c>
      <c r="D7087" t="s">
        <v>43</v>
      </c>
      <c r="G7087" t="s">
        <v>28</v>
      </c>
      <c r="J7087" t="s">
        <v>2350</v>
      </c>
      <c r="M7087" t="s">
        <v>8559</v>
      </c>
      <c r="N7087" t="s">
        <v>8559</v>
      </c>
      <c r="O7087" t="s">
        <v>23</v>
      </c>
      <c r="P7087" t="s">
        <v>24</v>
      </c>
      <c r="Q7087" t="s">
        <v>642</v>
      </c>
      <c r="R7087" t="s">
        <v>1214</v>
      </c>
    </row>
    <row r="7088" spans="1:18" x14ac:dyDescent="0.25">
      <c r="A7088" t="s">
        <v>15421</v>
      </c>
      <c r="B7088" t="s">
        <v>8738</v>
      </c>
      <c r="C7088" t="str">
        <f>HYPERLINK("https://nematode.unl.edu/mexegsm19.jpg")</f>
        <v>https://nematode.unl.edu/mexegsm19.jpg</v>
      </c>
      <c r="D7088" t="s">
        <v>43</v>
      </c>
      <c r="G7088" t="s">
        <v>51</v>
      </c>
      <c r="J7088" t="s">
        <v>2350</v>
      </c>
      <c r="M7088" t="s">
        <v>8559</v>
      </c>
      <c r="N7088" t="s">
        <v>8559</v>
      </c>
      <c r="O7088" t="s">
        <v>23</v>
      </c>
      <c r="P7088" t="s">
        <v>24</v>
      </c>
      <c r="Q7088" t="s">
        <v>642</v>
      </c>
      <c r="R7088" t="s">
        <v>1214</v>
      </c>
    </row>
    <row r="7089" spans="1:18" x14ac:dyDescent="0.25">
      <c r="A7089" t="s">
        <v>15321</v>
      </c>
      <c r="B7089" t="s">
        <v>8739</v>
      </c>
      <c r="C7089" t="str">
        <f>HYPERLINK("https://nematode.unl.edu/mexegsm2.jpg")</f>
        <v>https://nematode.unl.edu/mexegsm2.jpg</v>
      </c>
      <c r="D7089" t="s">
        <v>43</v>
      </c>
      <c r="G7089" t="s">
        <v>44</v>
      </c>
      <c r="I7089" t="s">
        <v>4020</v>
      </c>
      <c r="J7089" t="s">
        <v>2350</v>
      </c>
      <c r="L7089" t="s">
        <v>8727</v>
      </c>
      <c r="M7089" t="s">
        <v>8559</v>
      </c>
      <c r="N7089" t="s">
        <v>8559</v>
      </c>
      <c r="O7089" t="s">
        <v>23</v>
      </c>
      <c r="P7089" t="s">
        <v>24</v>
      </c>
      <c r="Q7089" t="s">
        <v>642</v>
      </c>
      <c r="R7089" t="s">
        <v>1214</v>
      </c>
    </row>
    <row r="7090" spans="1:18" x14ac:dyDescent="0.25">
      <c r="A7090" t="s">
        <v>15363</v>
      </c>
      <c r="B7090" t="s">
        <v>8740</v>
      </c>
      <c r="C7090" t="str">
        <f>HYPERLINK("https://nematode.unl.edu/mexegsm20.jpg")</f>
        <v>https://nematode.unl.edu/mexegsm20.jpg</v>
      </c>
      <c r="D7090" t="s">
        <v>43</v>
      </c>
      <c r="G7090" t="s">
        <v>7004</v>
      </c>
      <c r="I7090" t="s">
        <v>529</v>
      </c>
      <c r="J7090" t="s">
        <v>2350</v>
      </c>
      <c r="L7090" t="s">
        <v>8734</v>
      </c>
      <c r="M7090" t="s">
        <v>8559</v>
      </c>
      <c r="N7090" t="s">
        <v>8559</v>
      </c>
      <c r="O7090" t="s">
        <v>23</v>
      </c>
      <c r="P7090" t="s">
        <v>24</v>
      </c>
      <c r="Q7090" t="s">
        <v>642</v>
      </c>
      <c r="R7090" t="s">
        <v>1214</v>
      </c>
    </row>
    <row r="7091" spans="1:18" x14ac:dyDescent="0.25">
      <c r="A7091" t="s">
        <v>15322</v>
      </c>
      <c r="B7091" t="s">
        <v>8741</v>
      </c>
      <c r="C7091" t="str">
        <f>HYPERLINK("https://nematode.unl.edu/mexegsm21.jpg")</f>
        <v>https://nematode.unl.edu/mexegsm21.jpg</v>
      </c>
      <c r="D7091" t="s">
        <v>43</v>
      </c>
      <c r="G7091" t="s">
        <v>44</v>
      </c>
      <c r="I7091" t="s">
        <v>19</v>
      </c>
      <c r="J7091" t="s">
        <v>2350</v>
      </c>
      <c r="L7091" t="s">
        <v>8734</v>
      </c>
      <c r="M7091" t="s">
        <v>8559</v>
      </c>
      <c r="N7091" t="s">
        <v>8559</v>
      </c>
      <c r="O7091" t="s">
        <v>23</v>
      </c>
      <c r="P7091" t="s">
        <v>24</v>
      </c>
      <c r="Q7091" t="s">
        <v>642</v>
      </c>
      <c r="R7091" t="s">
        <v>1214</v>
      </c>
    </row>
    <row r="7092" spans="1:18" x14ac:dyDescent="0.25">
      <c r="A7092" t="s">
        <v>15252</v>
      </c>
      <c r="B7092" t="s">
        <v>8742</v>
      </c>
      <c r="C7092" t="str">
        <f>HYPERLINK("https://nematode.unl.edu/mexegsm22.jpg")</f>
        <v>https://nematode.unl.edu/mexegsm22.jpg</v>
      </c>
      <c r="D7092" t="s">
        <v>43</v>
      </c>
      <c r="G7092" t="s">
        <v>34</v>
      </c>
      <c r="H7092" t="s">
        <v>18</v>
      </c>
      <c r="J7092" t="s">
        <v>2350</v>
      </c>
      <c r="M7092" t="s">
        <v>8559</v>
      </c>
      <c r="N7092" t="s">
        <v>8559</v>
      </c>
      <c r="O7092" t="s">
        <v>23</v>
      </c>
      <c r="P7092" t="s">
        <v>24</v>
      </c>
      <c r="Q7092" t="s">
        <v>642</v>
      </c>
      <c r="R7092" t="s">
        <v>1214</v>
      </c>
    </row>
    <row r="7093" spans="1:18" x14ac:dyDescent="0.25">
      <c r="A7093" t="s">
        <v>15253</v>
      </c>
      <c r="B7093" t="s">
        <v>8743</v>
      </c>
      <c r="C7093" t="str">
        <f>HYPERLINK("https://nematode.unl.edu/mexegsm23.jpg")</f>
        <v>https://nematode.unl.edu/mexegsm23.jpg</v>
      </c>
      <c r="D7093" t="s">
        <v>43</v>
      </c>
      <c r="G7093" t="s">
        <v>34</v>
      </c>
      <c r="H7093" t="s">
        <v>18</v>
      </c>
      <c r="J7093" t="s">
        <v>2350</v>
      </c>
      <c r="M7093" t="s">
        <v>8559</v>
      </c>
      <c r="N7093" t="s">
        <v>8559</v>
      </c>
      <c r="O7093" t="s">
        <v>23</v>
      </c>
      <c r="P7093" t="s">
        <v>24</v>
      </c>
      <c r="Q7093" t="s">
        <v>642</v>
      </c>
      <c r="R7093" t="s">
        <v>1214</v>
      </c>
    </row>
    <row r="7094" spans="1:18" x14ac:dyDescent="0.25">
      <c r="A7094" t="s">
        <v>15273</v>
      </c>
      <c r="B7094" t="s">
        <v>8744</v>
      </c>
      <c r="C7094" t="str">
        <f>HYPERLINK("https://nematode.unl.edu/mexegsm24.jpg")</f>
        <v>https://nematode.unl.edu/mexegsm24.jpg</v>
      </c>
      <c r="D7094" t="s">
        <v>43</v>
      </c>
      <c r="G7094" t="s">
        <v>8745</v>
      </c>
      <c r="H7094" t="s">
        <v>18</v>
      </c>
      <c r="I7094" t="s">
        <v>41</v>
      </c>
      <c r="J7094" t="s">
        <v>2350</v>
      </c>
      <c r="L7094" t="s">
        <v>8734</v>
      </c>
      <c r="M7094" t="s">
        <v>8559</v>
      </c>
      <c r="N7094" t="s">
        <v>8559</v>
      </c>
      <c r="O7094" t="s">
        <v>23</v>
      </c>
      <c r="P7094" t="s">
        <v>24</v>
      </c>
      <c r="Q7094" t="s">
        <v>642</v>
      </c>
      <c r="R7094" t="s">
        <v>1214</v>
      </c>
    </row>
    <row r="7095" spans="1:18" x14ac:dyDescent="0.25">
      <c r="A7095" t="s">
        <v>15402</v>
      </c>
      <c r="B7095" t="s">
        <v>8746</v>
      </c>
      <c r="C7095" t="str">
        <f>HYPERLINK("https://nematode.unl.edu/mexegsm25.jpg")</f>
        <v>https://nematode.unl.edu/mexegsm25.jpg</v>
      </c>
      <c r="D7095" t="s">
        <v>43</v>
      </c>
      <c r="G7095" t="s">
        <v>28</v>
      </c>
      <c r="I7095" t="s">
        <v>41</v>
      </c>
      <c r="M7095" t="s">
        <v>8559</v>
      </c>
      <c r="N7095" t="s">
        <v>8559</v>
      </c>
      <c r="O7095" t="s">
        <v>23</v>
      </c>
      <c r="P7095" t="s">
        <v>24</v>
      </c>
      <c r="Q7095" t="s">
        <v>642</v>
      </c>
      <c r="R7095" t="s">
        <v>1214</v>
      </c>
    </row>
    <row r="7096" spans="1:18" x14ac:dyDescent="0.25">
      <c r="A7096" t="s">
        <v>15323</v>
      </c>
      <c r="B7096" t="s">
        <v>8747</v>
      </c>
      <c r="C7096" t="str">
        <f>HYPERLINK("https://nematode.unl.edu/mexegsm26.jpg")</f>
        <v>https://nematode.unl.edu/mexegsm26.jpg</v>
      </c>
      <c r="D7096" t="s">
        <v>43</v>
      </c>
      <c r="G7096" t="s">
        <v>44</v>
      </c>
      <c r="I7096" t="s">
        <v>19</v>
      </c>
      <c r="J7096" t="s">
        <v>2350</v>
      </c>
      <c r="L7096" t="s">
        <v>8734</v>
      </c>
      <c r="M7096" t="s">
        <v>8559</v>
      </c>
      <c r="N7096" t="s">
        <v>8559</v>
      </c>
      <c r="O7096" t="s">
        <v>23</v>
      </c>
      <c r="P7096" t="s">
        <v>24</v>
      </c>
      <c r="Q7096" t="s">
        <v>642</v>
      </c>
      <c r="R7096" t="s">
        <v>1214</v>
      </c>
    </row>
    <row r="7097" spans="1:18" x14ac:dyDescent="0.25">
      <c r="A7097" t="s">
        <v>15254</v>
      </c>
      <c r="B7097" t="s">
        <v>8748</v>
      </c>
      <c r="C7097" t="str">
        <f>HYPERLINK("https://nematode.unl.edu/mexegsm27.jpg")</f>
        <v>https://nematode.unl.edu/mexegsm27.jpg</v>
      </c>
      <c r="D7097" t="s">
        <v>16</v>
      </c>
      <c r="G7097" t="s">
        <v>34</v>
      </c>
      <c r="H7097" t="s">
        <v>18</v>
      </c>
      <c r="I7097" t="s">
        <v>41</v>
      </c>
      <c r="J7097" t="s">
        <v>2350</v>
      </c>
      <c r="M7097" t="s">
        <v>8559</v>
      </c>
      <c r="N7097" t="s">
        <v>8559</v>
      </c>
      <c r="O7097" t="s">
        <v>23</v>
      </c>
      <c r="P7097" t="s">
        <v>24</v>
      </c>
      <c r="Q7097" t="s">
        <v>642</v>
      </c>
      <c r="R7097" t="s">
        <v>1214</v>
      </c>
    </row>
    <row r="7098" spans="1:18" x14ac:dyDescent="0.25">
      <c r="A7098" t="s">
        <v>15403</v>
      </c>
      <c r="B7098" t="s">
        <v>8749</v>
      </c>
      <c r="C7098" t="str">
        <f>HYPERLINK("https://nematode.unl.edu/mexegsm28.jpg")</f>
        <v>https://nematode.unl.edu/mexegsm28.jpg</v>
      </c>
      <c r="D7098" t="s">
        <v>16</v>
      </c>
      <c r="G7098" t="s">
        <v>28</v>
      </c>
      <c r="I7098" t="s">
        <v>41</v>
      </c>
      <c r="J7098" t="s">
        <v>2350</v>
      </c>
      <c r="M7098" t="s">
        <v>8559</v>
      </c>
      <c r="N7098" t="s">
        <v>8559</v>
      </c>
      <c r="O7098" t="s">
        <v>23</v>
      </c>
      <c r="P7098" t="s">
        <v>24</v>
      </c>
      <c r="Q7098" t="s">
        <v>642</v>
      </c>
      <c r="R7098" t="s">
        <v>1214</v>
      </c>
    </row>
    <row r="7099" spans="1:18" x14ac:dyDescent="0.25">
      <c r="A7099" t="s">
        <v>15207</v>
      </c>
      <c r="B7099" t="s">
        <v>8750</v>
      </c>
      <c r="C7099" t="str">
        <f>HYPERLINK("https://nematode.unl.edu/mexegsm29.jpg")</f>
        <v>https://nematode.unl.edu/mexegsm29.jpg</v>
      </c>
      <c r="D7099" t="s">
        <v>16</v>
      </c>
      <c r="G7099" t="s">
        <v>96</v>
      </c>
      <c r="H7099" t="s">
        <v>18</v>
      </c>
      <c r="I7099" t="s">
        <v>41</v>
      </c>
      <c r="J7099" t="s">
        <v>2350</v>
      </c>
      <c r="M7099" t="s">
        <v>8559</v>
      </c>
      <c r="N7099" t="s">
        <v>8559</v>
      </c>
      <c r="O7099" t="s">
        <v>23</v>
      </c>
      <c r="P7099" t="s">
        <v>24</v>
      </c>
      <c r="Q7099" t="s">
        <v>642</v>
      </c>
      <c r="R7099" t="s">
        <v>1214</v>
      </c>
    </row>
    <row r="7100" spans="1:18" x14ac:dyDescent="0.25">
      <c r="A7100" t="s">
        <v>15208</v>
      </c>
      <c r="B7100" t="s">
        <v>8751</v>
      </c>
      <c r="C7100" t="str">
        <f>HYPERLINK("https://nematode.unl.edu/mexegsm3.jpg")</f>
        <v>https://nematode.unl.edu/mexegsm3.jpg</v>
      </c>
      <c r="D7100" t="s">
        <v>43</v>
      </c>
      <c r="G7100" t="s">
        <v>96</v>
      </c>
      <c r="H7100" t="s">
        <v>18</v>
      </c>
      <c r="I7100" t="s">
        <v>41</v>
      </c>
      <c r="J7100" t="s">
        <v>2350</v>
      </c>
      <c r="M7100" t="s">
        <v>8559</v>
      </c>
      <c r="N7100" t="s">
        <v>8559</v>
      </c>
      <c r="O7100" t="s">
        <v>23</v>
      </c>
      <c r="P7100" t="s">
        <v>24</v>
      </c>
      <c r="Q7100" t="s">
        <v>642</v>
      </c>
      <c r="R7100" t="s">
        <v>1214</v>
      </c>
    </row>
    <row r="7101" spans="1:18" x14ac:dyDescent="0.25">
      <c r="A7101" t="s">
        <v>15404</v>
      </c>
      <c r="B7101" t="s">
        <v>8752</v>
      </c>
      <c r="C7101" t="str">
        <f>HYPERLINK("https://nematode.unl.edu/mexegsm4.jpg")</f>
        <v>https://nematode.unl.edu/mexegsm4.jpg</v>
      </c>
      <c r="D7101" t="s">
        <v>43</v>
      </c>
      <c r="G7101" t="s">
        <v>28</v>
      </c>
      <c r="J7101" t="s">
        <v>2350</v>
      </c>
      <c r="M7101" t="s">
        <v>8559</v>
      </c>
      <c r="N7101" t="s">
        <v>8559</v>
      </c>
      <c r="O7101" t="s">
        <v>23</v>
      </c>
      <c r="P7101" t="s">
        <v>24</v>
      </c>
      <c r="Q7101" t="s">
        <v>642</v>
      </c>
      <c r="R7101" t="s">
        <v>1214</v>
      </c>
    </row>
    <row r="7102" spans="1:18" x14ac:dyDescent="0.25">
      <c r="A7102" t="s">
        <v>15351</v>
      </c>
      <c r="B7102" t="s">
        <v>8753</v>
      </c>
      <c r="C7102" t="str">
        <f>HYPERLINK("https://nematode.unl.edu/mexegsm5.jpg")</f>
        <v>https://nematode.unl.edu/mexegsm5.jpg</v>
      </c>
      <c r="D7102" t="s">
        <v>43</v>
      </c>
      <c r="G7102" t="s">
        <v>224</v>
      </c>
      <c r="I7102" t="s">
        <v>529</v>
      </c>
      <c r="J7102" t="s">
        <v>2350</v>
      </c>
      <c r="L7102" t="s">
        <v>8727</v>
      </c>
      <c r="M7102" t="s">
        <v>8559</v>
      </c>
      <c r="N7102" t="s">
        <v>8559</v>
      </c>
      <c r="O7102" t="s">
        <v>23</v>
      </c>
      <c r="P7102" t="s">
        <v>24</v>
      </c>
      <c r="Q7102" t="s">
        <v>642</v>
      </c>
      <c r="R7102" t="s">
        <v>1214</v>
      </c>
    </row>
    <row r="7103" spans="1:18" x14ac:dyDescent="0.25">
      <c r="A7103" t="s">
        <v>15255</v>
      </c>
      <c r="B7103" t="s">
        <v>8754</v>
      </c>
      <c r="C7103" t="str">
        <f>HYPERLINK("https://nematode.unl.edu/mexegsm6.jpg")</f>
        <v>https://nematode.unl.edu/mexegsm6.jpg</v>
      </c>
      <c r="D7103" t="s">
        <v>43</v>
      </c>
      <c r="G7103" t="s">
        <v>34</v>
      </c>
      <c r="H7103" t="s">
        <v>18</v>
      </c>
      <c r="J7103" t="s">
        <v>2350</v>
      </c>
      <c r="M7103" t="s">
        <v>8559</v>
      </c>
      <c r="N7103" t="s">
        <v>8559</v>
      </c>
      <c r="O7103" t="s">
        <v>23</v>
      </c>
      <c r="P7103" t="s">
        <v>24</v>
      </c>
      <c r="Q7103" t="s">
        <v>642</v>
      </c>
      <c r="R7103" t="s">
        <v>1214</v>
      </c>
    </row>
    <row r="7104" spans="1:18" x14ac:dyDescent="0.25">
      <c r="A7104" t="s">
        <v>15405</v>
      </c>
      <c r="B7104" t="s">
        <v>8755</v>
      </c>
      <c r="C7104" t="str">
        <f>HYPERLINK("https://nematode.unl.edu/mexegsm7.jpg")</f>
        <v>https://nematode.unl.edu/mexegsm7.jpg</v>
      </c>
      <c r="D7104" t="s">
        <v>43</v>
      </c>
      <c r="G7104" t="s">
        <v>28</v>
      </c>
      <c r="J7104" t="s">
        <v>2350</v>
      </c>
      <c r="M7104" t="s">
        <v>8559</v>
      </c>
      <c r="N7104" t="s">
        <v>8559</v>
      </c>
      <c r="O7104" t="s">
        <v>23</v>
      </c>
      <c r="P7104" t="s">
        <v>24</v>
      </c>
      <c r="Q7104" t="s">
        <v>642</v>
      </c>
      <c r="R7104" t="s">
        <v>1214</v>
      </c>
    </row>
    <row r="7105" spans="1:18" x14ac:dyDescent="0.25">
      <c r="A7105" t="s">
        <v>15422</v>
      </c>
      <c r="B7105" t="s">
        <v>8756</v>
      </c>
      <c r="C7105" t="str">
        <f>HYPERLINK("https://nematode.unl.edu/mexegsm8.jpg")</f>
        <v>https://nematode.unl.edu/mexegsm8.jpg</v>
      </c>
      <c r="D7105" t="s">
        <v>43</v>
      </c>
      <c r="G7105" t="s">
        <v>51</v>
      </c>
      <c r="I7105" t="s">
        <v>41</v>
      </c>
      <c r="J7105" t="s">
        <v>2350</v>
      </c>
      <c r="M7105" t="s">
        <v>8559</v>
      </c>
      <c r="N7105" t="s">
        <v>8559</v>
      </c>
      <c r="O7105" t="s">
        <v>23</v>
      </c>
      <c r="P7105" t="s">
        <v>24</v>
      </c>
      <c r="Q7105" t="s">
        <v>642</v>
      </c>
      <c r="R7105" t="s">
        <v>1214</v>
      </c>
    </row>
    <row r="7106" spans="1:18" x14ac:dyDescent="0.25">
      <c r="A7106" t="s">
        <v>15324</v>
      </c>
      <c r="B7106" t="s">
        <v>8757</v>
      </c>
      <c r="C7106" t="str">
        <f>HYPERLINK("https://nematode.unl.edu/mexegsm9.jpg")</f>
        <v>https://nematode.unl.edu/mexegsm9.jpg</v>
      </c>
      <c r="D7106" t="s">
        <v>43</v>
      </c>
      <c r="G7106" t="s">
        <v>44</v>
      </c>
      <c r="I7106" t="s">
        <v>19</v>
      </c>
      <c r="J7106" t="s">
        <v>2350</v>
      </c>
      <c r="L7106" t="s">
        <v>8734</v>
      </c>
      <c r="M7106" t="s">
        <v>8559</v>
      </c>
      <c r="N7106" t="s">
        <v>8559</v>
      </c>
      <c r="O7106" t="s">
        <v>23</v>
      </c>
      <c r="P7106" t="s">
        <v>24</v>
      </c>
      <c r="Q7106" t="s">
        <v>642</v>
      </c>
      <c r="R7106" t="s">
        <v>1214</v>
      </c>
    </row>
    <row r="7107" spans="1:18" x14ac:dyDescent="0.25">
      <c r="A7107" t="s">
        <v>14160</v>
      </c>
      <c r="B7107" t="s">
        <v>7536</v>
      </c>
      <c r="C7107" t="str">
        <f>HYPERLINK("https://nematode.unl.edu/mexen1.jpg")</f>
        <v>https://nematode.unl.edu/mexen1.jpg</v>
      </c>
      <c r="D7107" t="s">
        <v>43</v>
      </c>
      <c r="G7107" t="s">
        <v>44</v>
      </c>
      <c r="I7107" t="s">
        <v>499</v>
      </c>
      <c r="J7107" t="s">
        <v>20</v>
      </c>
      <c r="L7107" t="s">
        <v>173</v>
      </c>
      <c r="M7107" t="s">
        <v>1214</v>
      </c>
      <c r="N7107" t="s">
        <v>1214</v>
      </c>
      <c r="O7107" t="s">
        <v>23</v>
      </c>
      <c r="P7107" t="s">
        <v>24</v>
      </c>
      <c r="Q7107" t="s">
        <v>642</v>
      </c>
      <c r="R7107" t="s">
        <v>1214</v>
      </c>
    </row>
    <row r="7108" spans="1:18" x14ac:dyDescent="0.25">
      <c r="A7108" t="s">
        <v>14095</v>
      </c>
      <c r="B7108" t="s">
        <v>7537</v>
      </c>
      <c r="C7108" t="str">
        <f>HYPERLINK("https://nematode.unl.edu/mexen2.jpg")</f>
        <v>https://nematode.unl.edu/mexen2.jpg</v>
      </c>
      <c r="D7108" t="s">
        <v>43</v>
      </c>
      <c r="G7108" t="s">
        <v>34</v>
      </c>
      <c r="H7108" t="s">
        <v>18</v>
      </c>
      <c r="J7108" t="s">
        <v>20</v>
      </c>
      <c r="L7108" t="s">
        <v>352</v>
      </c>
      <c r="M7108" t="s">
        <v>1214</v>
      </c>
      <c r="N7108" t="s">
        <v>1214</v>
      </c>
      <c r="O7108" t="s">
        <v>23</v>
      </c>
      <c r="P7108" t="s">
        <v>24</v>
      </c>
      <c r="Q7108" t="s">
        <v>642</v>
      </c>
      <c r="R7108" t="s">
        <v>1214</v>
      </c>
    </row>
    <row r="7109" spans="1:18" x14ac:dyDescent="0.25">
      <c r="A7109" t="s">
        <v>14216</v>
      </c>
      <c r="B7109" t="s">
        <v>7538</v>
      </c>
      <c r="C7109" t="str">
        <f>HYPERLINK("https://nematode.unl.edu/mexen3.jpg")</f>
        <v>https://nematode.unl.edu/mexen3.jpg</v>
      </c>
      <c r="D7109" t="s">
        <v>43</v>
      </c>
      <c r="G7109" t="s">
        <v>28</v>
      </c>
      <c r="J7109" t="s">
        <v>20</v>
      </c>
      <c r="L7109" t="s">
        <v>138</v>
      </c>
      <c r="M7109" t="s">
        <v>1214</v>
      </c>
      <c r="N7109" t="s">
        <v>1214</v>
      </c>
      <c r="O7109" t="s">
        <v>23</v>
      </c>
      <c r="P7109" t="s">
        <v>24</v>
      </c>
      <c r="Q7109" t="s">
        <v>642</v>
      </c>
      <c r="R7109" t="s">
        <v>1214</v>
      </c>
    </row>
    <row r="7110" spans="1:18" x14ac:dyDescent="0.25">
      <c r="A7110" t="s">
        <v>15325</v>
      </c>
      <c r="B7110" t="s">
        <v>8758</v>
      </c>
      <c r="C7110" t="str">
        <f>HYPERLINK("https://nematode.unl.edu/mexenhi1.jpg")</f>
        <v>https://nematode.unl.edu/mexenhi1.jpg</v>
      </c>
      <c r="D7110" t="s">
        <v>16</v>
      </c>
      <c r="G7110" t="s">
        <v>44</v>
      </c>
      <c r="I7110" t="s">
        <v>19</v>
      </c>
      <c r="J7110" t="s">
        <v>649</v>
      </c>
      <c r="L7110" t="s">
        <v>4142</v>
      </c>
      <c r="M7110" t="s">
        <v>8559</v>
      </c>
      <c r="N7110" t="s">
        <v>8559</v>
      </c>
      <c r="O7110" t="s">
        <v>23</v>
      </c>
      <c r="P7110" t="s">
        <v>24</v>
      </c>
      <c r="Q7110" t="s">
        <v>642</v>
      </c>
      <c r="R7110" t="s">
        <v>1214</v>
      </c>
    </row>
    <row r="7111" spans="1:18" x14ac:dyDescent="0.25">
      <c r="A7111" t="s">
        <v>15209</v>
      </c>
      <c r="B7111" t="s">
        <v>8759</v>
      </c>
      <c r="C7111" t="str">
        <f>HYPERLINK("https://nematode.unl.edu/mexenhi2.jpg")</f>
        <v>https://nematode.unl.edu/mexenhi2.jpg</v>
      </c>
      <c r="D7111" t="s">
        <v>16</v>
      </c>
      <c r="G7111" t="s">
        <v>96</v>
      </c>
      <c r="H7111" t="s">
        <v>18</v>
      </c>
      <c r="I7111" t="s">
        <v>41</v>
      </c>
      <c r="J7111" t="s">
        <v>649</v>
      </c>
      <c r="M7111" t="s">
        <v>8559</v>
      </c>
      <c r="N7111" t="s">
        <v>8559</v>
      </c>
      <c r="O7111" t="s">
        <v>23</v>
      </c>
      <c r="P7111" t="s">
        <v>24</v>
      </c>
      <c r="Q7111" t="s">
        <v>642</v>
      </c>
      <c r="R7111" t="s">
        <v>1214</v>
      </c>
    </row>
    <row r="7112" spans="1:18" x14ac:dyDescent="0.25">
      <c r="A7112" t="s">
        <v>15366</v>
      </c>
      <c r="B7112" t="s">
        <v>8760</v>
      </c>
      <c r="C7112" t="str">
        <f>HYPERLINK("https://nematode.unl.edu/mexenhi3.jpg")</f>
        <v>https://nematode.unl.edu/mexenhi3.jpg</v>
      </c>
      <c r="D7112" t="s">
        <v>16</v>
      </c>
      <c r="G7112" t="s">
        <v>181</v>
      </c>
      <c r="J7112" t="s">
        <v>649</v>
      </c>
      <c r="M7112" t="s">
        <v>8559</v>
      </c>
      <c r="N7112" t="s">
        <v>8559</v>
      </c>
      <c r="O7112" t="s">
        <v>23</v>
      </c>
      <c r="P7112" t="s">
        <v>24</v>
      </c>
      <c r="Q7112" t="s">
        <v>642</v>
      </c>
      <c r="R7112" t="s">
        <v>1214</v>
      </c>
    </row>
    <row r="7113" spans="1:18" x14ac:dyDescent="0.25">
      <c r="A7113" t="s">
        <v>15326</v>
      </c>
      <c r="B7113" t="s">
        <v>8761</v>
      </c>
      <c r="C7113" t="str">
        <f>HYPERLINK("https://nematode.unl.edu/mexenob1.jpg")</f>
        <v>https://nematode.unl.edu/mexenob1.jpg</v>
      </c>
      <c r="D7113" t="s">
        <v>43</v>
      </c>
      <c r="G7113" t="s">
        <v>44</v>
      </c>
      <c r="I7113" t="s">
        <v>19</v>
      </c>
      <c r="J7113" t="s">
        <v>8762</v>
      </c>
      <c r="K7113" t="s">
        <v>22864</v>
      </c>
      <c r="L7113" t="s">
        <v>8763</v>
      </c>
      <c r="M7113" t="s">
        <v>8559</v>
      </c>
      <c r="N7113" t="s">
        <v>8559</v>
      </c>
      <c r="O7113" t="s">
        <v>23</v>
      </c>
      <c r="P7113" t="s">
        <v>24</v>
      </c>
      <c r="Q7113" t="s">
        <v>642</v>
      </c>
      <c r="R7113" t="s">
        <v>1214</v>
      </c>
    </row>
    <row r="7114" spans="1:18" x14ac:dyDescent="0.25">
      <c r="A7114" t="s">
        <v>15406</v>
      </c>
      <c r="B7114" t="s">
        <v>8764</v>
      </c>
      <c r="C7114" t="str">
        <f>HYPERLINK("https://nematode.unl.edu/mexenob10.jpg")</f>
        <v>https://nematode.unl.edu/mexenob10.jpg</v>
      </c>
      <c r="D7114" t="s">
        <v>16</v>
      </c>
      <c r="G7114" t="s">
        <v>28</v>
      </c>
      <c r="M7114" t="s">
        <v>8559</v>
      </c>
      <c r="N7114" t="s">
        <v>8559</v>
      </c>
      <c r="O7114" t="s">
        <v>23</v>
      </c>
      <c r="P7114" t="s">
        <v>24</v>
      </c>
      <c r="Q7114" t="s">
        <v>642</v>
      </c>
      <c r="R7114" t="s">
        <v>1214</v>
      </c>
    </row>
    <row r="7115" spans="1:18" x14ac:dyDescent="0.25">
      <c r="A7115" t="s">
        <v>15352</v>
      </c>
      <c r="B7115" t="s">
        <v>8765</v>
      </c>
      <c r="C7115" t="str">
        <f>HYPERLINK("https://nematode.unl.edu/mexenob11.jpg")</f>
        <v>https://nematode.unl.edu/mexenob11.jpg</v>
      </c>
      <c r="D7115" t="s">
        <v>16</v>
      </c>
      <c r="G7115" t="s">
        <v>224</v>
      </c>
      <c r="I7115" t="s">
        <v>41</v>
      </c>
      <c r="M7115" t="s">
        <v>8559</v>
      </c>
      <c r="N7115" t="s">
        <v>8559</v>
      </c>
      <c r="O7115" t="s">
        <v>23</v>
      </c>
      <c r="P7115" t="s">
        <v>24</v>
      </c>
      <c r="Q7115" t="s">
        <v>642</v>
      </c>
      <c r="R7115" t="s">
        <v>1214</v>
      </c>
    </row>
    <row r="7116" spans="1:18" x14ac:dyDescent="0.25">
      <c r="A7116" t="s">
        <v>15327</v>
      </c>
      <c r="B7116" t="s">
        <v>8766</v>
      </c>
      <c r="C7116" t="str">
        <f>HYPERLINK("https://nematode.unl.edu/mexenob12.jpg")</f>
        <v>https://nematode.unl.edu/mexenob12.jpg</v>
      </c>
      <c r="D7116" t="s">
        <v>43</v>
      </c>
      <c r="G7116" t="s">
        <v>44</v>
      </c>
      <c r="I7116" t="s">
        <v>516</v>
      </c>
      <c r="J7116" t="s">
        <v>8762</v>
      </c>
      <c r="K7116" t="s">
        <v>22864</v>
      </c>
      <c r="L7116" t="s">
        <v>8763</v>
      </c>
      <c r="M7116" t="s">
        <v>8559</v>
      </c>
      <c r="N7116" t="s">
        <v>8559</v>
      </c>
      <c r="O7116" t="s">
        <v>23</v>
      </c>
      <c r="P7116" t="s">
        <v>24</v>
      </c>
      <c r="Q7116" t="s">
        <v>642</v>
      </c>
      <c r="R7116" t="s">
        <v>1214</v>
      </c>
    </row>
    <row r="7117" spans="1:18" x14ac:dyDescent="0.25">
      <c r="A7117" t="s">
        <v>15256</v>
      </c>
      <c r="B7117" t="s">
        <v>8767</v>
      </c>
      <c r="C7117" t="str">
        <f>HYPERLINK("https://nematode.unl.edu/mexenob13.jpg")</f>
        <v>https://nematode.unl.edu/mexenob13.jpg</v>
      </c>
      <c r="D7117" t="s">
        <v>43</v>
      </c>
      <c r="G7117" t="s">
        <v>34</v>
      </c>
      <c r="H7117" t="s">
        <v>18</v>
      </c>
      <c r="M7117" t="s">
        <v>8559</v>
      </c>
      <c r="N7117" t="s">
        <v>8559</v>
      </c>
      <c r="O7117" t="s">
        <v>23</v>
      </c>
      <c r="P7117" t="s">
        <v>24</v>
      </c>
      <c r="Q7117" t="s">
        <v>642</v>
      </c>
      <c r="R7117" t="s">
        <v>1214</v>
      </c>
    </row>
    <row r="7118" spans="1:18" x14ac:dyDescent="0.25">
      <c r="A7118" t="s">
        <v>15407</v>
      </c>
      <c r="B7118" t="s">
        <v>8768</v>
      </c>
      <c r="C7118" t="str">
        <f>HYPERLINK("https://nematode.unl.edu/mexenob14.jpg")</f>
        <v>https://nematode.unl.edu/mexenob14.jpg</v>
      </c>
      <c r="D7118" t="s">
        <v>43</v>
      </c>
      <c r="G7118" t="s">
        <v>28</v>
      </c>
      <c r="M7118" t="s">
        <v>8559</v>
      </c>
      <c r="N7118" t="s">
        <v>8559</v>
      </c>
      <c r="O7118" t="s">
        <v>23</v>
      </c>
      <c r="P7118" t="s">
        <v>24</v>
      </c>
      <c r="Q7118" t="s">
        <v>642</v>
      </c>
      <c r="R7118" t="s">
        <v>1214</v>
      </c>
    </row>
    <row r="7119" spans="1:18" x14ac:dyDescent="0.25">
      <c r="A7119" t="s">
        <v>15355</v>
      </c>
      <c r="B7119" t="s">
        <v>8769</v>
      </c>
      <c r="C7119" t="str">
        <f>HYPERLINK("https://nematode.unl.edu/mexenob15.jpg")</f>
        <v>https://nematode.unl.edu/mexenob15.jpg</v>
      </c>
      <c r="D7119" t="s">
        <v>43</v>
      </c>
      <c r="G7119" t="s">
        <v>4041</v>
      </c>
      <c r="I7119" t="s">
        <v>529</v>
      </c>
      <c r="J7119" t="s">
        <v>8762</v>
      </c>
      <c r="K7119" t="s">
        <v>22864</v>
      </c>
      <c r="L7119" t="s">
        <v>8763</v>
      </c>
      <c r="M7119" t="s">
        <v>8559</v>
      </c>
      <c r="N7119" t="s">
        <v>8559</v>
      </c>
      <c r="O7119" t="s">
        <v>23</v>
      </c>
      <c r="P7119" t="s">
        <v>24</v>
      </c>
      <c r="Q7119" t="s">
        <v>642</v>
      </c>
      <c r="R7119" t="s">
        <v>1214</v>
      </c>
    </row>
    <row r="7120" spans="1:18" x14ac:dyDescent="0.25">
      <c r="A7120" t="s">
        <v>15353</v>
      </c>
      <c r="B7120" t="s">
        <v>8770</v>
      </c>
      <c r="C7120" t="str">
        <f>HYPERLINK("https://nematode.unl.edu/mexenob16.jpg")</f>
        <v>https://nematode.unl.edu/mexenob16.jpg</v>
      </c>
      <c r="D7120" t="s">
        <v>43</v>
      </c>
      <c r="G7120" t="s">
        <v>224</v>
      </c>
      <c r="I7120" t="s">
        <v>41</v>
      </c>
      <c r="M7120" t="s">
        <v>8559</v>
      </c>
      <c r="N7120" t="s">
        <v>8559</v>
      </c>
      <c r="O7120" t="s">
        <v>23</v>
      </c>
      <c r="P7120" t="s">
        <v>24</v>
      </c>
      <c r="Q7120" t="s">
        <v>642</v>
      </c>
      <c r="R7120" t="s">
        <v>1214</v>
      </c>
    </row>
    <row r="7121" spans="1:18" x14ac:dyDescent="0.25">
      <c r="A7121" t="s">
        <v>15356</v>
      </c>
      <c r="B7121" t="s">
        <v>8771</v>
      </c>
      <c r="C7121" t="str">
        <f>HYPERLINK("https://nematode.unl.edu/mexenob2.jpg")</f>
        <v>https://nematode.unl.edu/mexenob2.jpg</v>
      </c>
      <c r="D7121" t="s">
        <v>43</v>
      </c>
      <c r="G7121" t="s">
        <v>4041</v>
      </c>
      <c r="I7121" t="s">
        <v>41</v>
      </c>
      <c r="J7121" t="s">
        <v>8762</v>
      </c>
      <c r="K7121" t="s">
        <v>22864</v>
      </c>
      <c r="L7121" t="s">
        <v>8763</v>
      </c>
      <c r="M7121" t="s">
        <v>8559</v>
      </c>
      <c r="N7121" t="s">
        <v>8559</v>
      </c>
      <c r="O7121" t="s">
        <v>23</v>
      </c>
      <c r="P7121" t="s">
        <v>24</v>
      </c>
      <c r="Q7121" t="s">
        <v>642</v>
      </c>
      <c r="R7121" t="s">
        <v>1214</v>
      </c>
    </row>
    <row r="7122" spans="1:18" x14ac:dyDescent="0.25">
      <c r="A7122" t="s">
        <v>15357</v>
      </c>
      <c r="B7122" t="s">
        <v>8772</v>
      </c>
      <c r="C7122" t="str">
        <f>HYPERLINK("https://nematode.unl.edu/mexenob3.jpg")</f>
        <v>https://nematode.unl.edu/mexenob3.jpg</v>
      </c>
      <c r="D7122" t="s">
        <v>43</v>
      </c>
      <c r="G7122" t="s">
        <v>4041</v>
      </c>
      <c r="I7122" t="s">
        <v>41</v>
      </c>
      <c r="J7122" t="s">
        <v>8762</v>
      </c>
      <c r="K7122" t="s">
        <v>22864</v>
      </c>
      <c r="L7122" t="s">
        <v>8763</v>
      </c>
      <c r="M7122" t="s">
        <v>8559</v>
      </c>
      <c r="N7122" t="s">
        <v>8559</v>
      </c>
      <c r="O7122" t="s">
        <v>23</v>
      </c>
      <c r="P7122" t="s">
        <v>24</v>
      </c>
      <c r="Q7122" t="s">
        <v>642</v>
      </c>
      <c r="R7122" t="s">
        <v>1214</v>
      </c>
    </row>
    <row r="7123" spans="1:18" x14ac:dyDescent="0.25">
      <c r="A7123" t="s">
        <v>15408</v>
      </c>
      <c r="B7123" t="s">
        <v>8773</v>
      </c>
      <c r="C7123" t="str">
        <f>HYPERLINK("https://nematode.unl.edu/mexenob4.jpg")</f>
        <v>https://nematode.unl.edu/mexenob4.jpg</v>
      </c>
      <c r="D7123" t="s">
        <v>43</v>
      </c>
      <c r="G7123" t="s">
        <v>28</v>
      </c>
      <c r="I7123" t="s">
        <v>41</v>
      </c>
      <c r="M7123" t="s">
        <v>8559</v>
      </c>
      <c r="N7123" t="s">
        <v>8559</v>
      </c>
      <c r="O7123" t="s">
        <v>23</v>
      </c>
      <c r="P7123" t="s">
        <v>24</v>
      </c>
      <c r="Q7123" t="s">
        <v>642</v>
      </c>
      <c r="R7123" t="s">
        <v>1214</v>
      </c>
    </row>
    <row r="7124" spans="1:18" x14ac:dyDescent="0.25">
      <c r="A7124" t="s">
        <v>15328</v>
      </c>
      <c r="B7124" t="s">
        <v>8774</v>
      </c>
      <c r="C7124" t="str">
        <f>HYPERLINK("https://nematode.unl.edu/mexenob5.jpg")</f>
        <v>https://nematode.unl.edu/mexenob5.jpg</v>
      </c>
      <c r="D7124" t="s">
        <v>43</v>
      </c>
      <c r="G7124" t="s">
        <v>44</v>
      </c>
      <c r="I7124" t="s">
        <v>19</v>
      </c>
      <c r="J7124" t="s">
        <v>8762</v>
      </c>
      <c r="K7124" t="s">
        <v>22864</v>
      </c>
      <c r="L7124" t="s">
        <v>8763</v>
      </c>
      <c r="M7124" t="s">
        <v>8559</v>
      </c>
      <c r="N7124" t="s">
        <v>8559</v>
      </c>
      <c r="O7124" t="s">
        <v>23</v>
      </c>
      <c r="P7124" t="s">
        <v>24</v>
      </c>
      <c r="Q7124" t="s">
        <v>642</v>
      </c>
      <c r="R7124" t="s">
        <v>1214</v>
      </c>
    </row>
    <row r="7125" spans="1:18" x14ac:dyDescent="0.25">
      <c r="A7125" t="s">
        <v>15257</v>
      </c>
      <c r="B7125" t="s">
        <v>8775</v>
      </c>
      <c r="C7125" t="str">
        <f>HYPERLINK("https://nematode.unl.edu/mexenob6.jpg")</f>
        <v>https://nematode.unl.edu/mexenob6.jpg</v>
      </c>
      <c r="D7125" t="s">
        <v>43</v>
      </c>
      <c r="G7125" t="s">
        <v>34</v>
      </c>
      <c r="H7125" t="s">
        <v>18</v>
      </c>
      <c r="I7125" t="s">
        <v>41</v>
      </c>
      <c r="M7125" t="s">
        <v>8559</v>
      </c>
      <c r="N7125" t="s">
        <v>8559</v>
      </c>
      <c r="O7125" t="s">
        <v>23</v>
      </c>
      <c r="P7125" t="s">
        <v>24</v>
      </c>
      <c r="Q7125" t="s">
        <v>642</v>
      </c>
      <c r="R7125" t="s">
        <v>1214</v>
      </c>
    </row>
    <row r="7126" spans="1:18" x14ac:dyDescent="0.25">
      <c r="A7126" t="s">
        <v>15409</v>
      </c>
      <c r="B7126" t="s">
        <v>8776</v>
      </c>
      <c r="C7126" t="str">
        <f>HYPERLINK("https://nematode.unl.edu/mexenob7.jpg")</f>
        <v>https://nematode.unl.edu/mexenob7.jpg</v>
      </c>
      <c r="D7126" t="s">
        <v>43</v>
      </c>
      <c r="G7126" t="s">
        <v>28</v>
      </c>
      <c r="I7126" t="s">
        <v>41</v>
      </c>
      <c r="M7126" t="s">
        <v>8559</v>
      </c>
      <c r="N7126" t="s">
        <v>8559</v>
      </c>
      <c r="O7126" t="s">
        <v>23</v>
      </c>
      <c r="P7126" t="s">
        <v>24</v>
      </c>
      <c r="Q7126" t="s">
        <v>642</v>
      </c>
      <c r="R7126" t="s">
        <v>1214</v>
      </c>
    </row>
    <row r="7127" spans="1:18" x14ac:dyDescent="0.25">
      <c r="A7127" t="s">
        <v>15329</v>
      </c>
      <c r="B7127" t="s">
        <v>8777</v>
      </c>
      <c r="C7127" t="str">
        <f>HYPERLINK("https://nematode.unl.edu/mexenob8.jpg")</f>
        <v>https://nematode.unl.edu/mexenob8.jpg</v>
      </c>
      <c r="D7127" t="s">
        <v>16</v>
      </c>
      <c r="G7127" t="s">
        <v>44</v>
      </c>
      <c r="I7127" t="s">
        <v>19</v>
      </c>
      <c r="J7127" t="s">
        <v>8762</v>
      </c>
      <c r="K7127" t="s">
        <v>22864</v>
      </c>
      <c r="L7127" t="s">
        <v>8763</v>
      </c>
      <c r="M7127" t="s">
        <v>8559</v>
      </c>
      <c r="N7127" t="s">
        <v>8559</v>
      </c>
      <c r="O7127" t="s">
        <v>23</v>
      </c>
      <c r="P7127" t="s">
        <v>24</v>
      </c>
      <c r="Q7127" t="s">
        <v>642</v>
      </c>
      <c r="R7127" t="s">
        <v>1214</v>
      </c>
    </row>
    <row r="7128" spans="1:18" x14ac:dyDescent="0.25">
      <c r="A7128" t="s">
        <v>15258</v>
      </c>
      <c r="B7128" t="s">
        <v>8778</v>
      </c>
      <c r="C7128" t="str">
        <f>HYPERLINK("https://nematode.unl.edu/mexenob9.jpg")</f>
        <v>https://nematode.unl.edu/mexenob9.jpg</v>
      </c>
      <c r="D7128" t="s">
        <v>16</v>
      </c>
      <c r="G7128" t="s">
        <v>34</v>
      </c>
      <c r="H7128" t="s">
        <v>18</v>
      </c>
      <c r="I7128" t="s">
        <v>41</v>
      </c>
      <c r="M7128" t="s">
        <v>8559</v>
      </c>
      <c r="N7128" t="s">
        <v>8559</v>
      </c>
      <c r="O7128" t="s">
        <v>23</v>
      </c>
      <c r="P7128" t="s">
        <v>24</v>
      </c>
      <c r="Q7128" t="s">
        <v>642</v>
      </c>
      <c r="R7128" t="s">
        <v>1214</v>
      </c>
    </row>
    <row r="7129" spans="1:18" x14ac:dyDescent="0.25">
      <c r="A7129" t="s">
        <v>14161</v>
      </c>
      <c r="B7129" t="s">
        <v>7539</v>
      </c>
      <c r="C7129" t="str">
        <f>HYPERLINK("https://nematode.unl.edu/mexenom1.jpg")</f>
        <v>https://nematode.unl.edu/mexenom1.jpg</v>
      </c>
      <c r="D7129" t="s">
        <v>16</v>
      </c>
      <c r="G7129" t="s">
        <v>44</v>
      </c>
      <c r="I7129" t="s">
        <v>19</v>
      </c>
      <c r="J7129" t="s">
        <v>7540</v>
      </c>
      <c r="K7129" t="s">
        <v>22863</v>
      </c>
      <c r="L7129" t="s">
        <v>4584</v>
      </c>
      <c r="M7129" t="s">
        <v>1214</v>
      </c>
      <c r="N7129" t="s">
        <v>1214</v>
      </c>
      <c r="O7129" t="s">
        <v>23</v>
      </c>
      <c r="P7129" t="s">
        <v>24</v>
      </c>
      <c r="Q7129" t="s">
        <v>642</v>
      </c>
      <c r="R7129" t="s">
        <v>1214</v>
      </c>
    </row>
    <row r="7130" spans="1:18" x14ac:dyDescent="0.25">
      <c r="A7130" t="s">
        <v>14096</v>
      </c>
      <c r="B7130" t="s">
        <v>7541</v>
      </c>
      <c r="C7130" t="str">
        <f>HYPERLINK("https://nematode.unl.edu/mexenom2.jpg")</f>
        <v>https://nematode.unl.edu/mexenom2.jpg</v>
      </c>
      <c r="D7130" t="s">
        <v>16</v>
      </c>
      <c r="G7130" t="s">
        <v>34</v>
      </c>
      <c r="H7130" t="s">
        <v>18</v>
      </c>
      <c r="I7130" t="s">
        <v>41</v>
      </c>
      <c r="J7130" t="s">
        <v>1504</v>
      </c>
      <c r="M7130" t="s">
        <v>1214</v>
      </c>
      <c r="N7130" t="s">
        <v>1214</v>
      </c>
      <c r="O7130" t="s">
        <v>23</v>
      </c>
      <c r="P7130" t="s">
        <v>24</v>
      </c>
      <c r="Q7130" t="s">
        <v>642</v>
      </c>
      <c r="R7130" t="s">
        <v>1214</v>
      </c>
    </row>
    <row r="7131" spans="1:18" x14ac:dyDescent="0.25">
      <c r="A7131" t="s">
        <v>14217</v>
      </c>
      <c r="B7131" t="s">
        <v>7542</v>
      </c>
      <c r="C7131" t="str">
        <f>HYPERLINK("https://nematode.unl.edu/mexenom3.jpg")</f>
        <v>https://nematode.unl.edu/mexenom3.jpg</v>
      </c>
      <c r="D7131" t="s">
        <v>16</v>
      </c>
      <c r="G7131" t="s">
        <v>28</v>
      </c>
      <c r="J7131" t="s">
        <v>1504</v>
      </c>
      <c r="M7131" t="s">
        <v>1214</v>
      </c>
      <c r="N7131" t="s">
        <v>1214</v>
      </c>
      <c r="O7131" t="s">
        <v>23</v>
      </c>
      <c r="P7131" t="s">
        <v>24</v>
      </c>
      <c r="Q7131" t="s">
        <v>642</v>
      </c>
      <c r="R7131" t="s">
        <v>1214</v>
      </c>
    </row>
    <row r="7132" spans="1:18" x14ac:dyDescent="0.25">
      <c r="A7132" t="s">
        <v>14162</v>
      </c>
      <c r="B7132" t="s">
        <v>7543</v>
      </c>
      <c r="C7132" t="str">
        <f>HYPERLINK("https://nematode.unl.edu/mexenov1.jpg")</f>
        <v>https://nematode.unl.edu/mexenov1.jpg</v>
      </c>
      <c r="D7132" t="s">
        <v>43</v>
      </c>
      <c r="G7132" t="s">
        <v>44</v>
      </c>
      <c r="I7132" t="s">
        <v>19</v>
      </c>
      <c r="J7132" t="s">
        <v>7544</v>
      </c>
      <c r="L7132" t="s">
        <v>4584</v>
      </c>
      <c r="M7132" t="s">
        <v>1214</v>
      </c>
      <c r="N7132" t="s">
        <v>1214</v>
      </c>
      <c r="O7132" t="s">
        <v>23</v>
      </c>
      <c r="P7132" t="s">
        <v>24</v>
      </c>
      <c r="Q7132" t="s">
        <v>642</v>
      </c>
      <c r="R7132" t="s">
        <v>1214</v>
      </c>
    </row>
    <row r="7133" spans="1:18" x14ac:dyDescent="0.25">
      <c r="A7133" t="s">
        <v>14097</v>
      </c>
      <c r="B7133" t="s">
        <v>7545</v>
      </c>
      <c r="C7133" t="str">
        <f>HYPERLINK("https://nematode.unl.edu/mexenov2.jpg")</f>
        <v>https://nematode.unl.edu/mexenov2.jpg</v>
      </c>
      <c r="D7133" t="s">
        <v>43</v>
      </c>
      <c r="G7133" t="s">
        <v>34</v>
      </c>
      <c r="H7133" t="s">
        <v>18</v>
      </c>
      <c r="I7133" t="s">
        <v>41</v>
      </c>
      <c r="M7133" t="s">
        <v>1214</v>
      </c>
      <c r="N7133" t="s">
        <v>1214</v>
      </c>
      <c r="O7133" t="s">
        <v>23</v>
      </c>
      <c r="P7133" t="s">
        <v>24</v>
      </c>
      <c r="Q7133" t="s">
        <v>642</v>
      </c>
      <c r="R7133" t="s">
        <v>1214</v>
      </c>
    </row>
    <row r="7134" spans="1:18" x14ac:dyDescent="0.25">
      <c r="A7134" t="s">
        <v>14182</v>
      </c>
      <c r="B7134" t="s">
        <v>7546</v>
      </c>
      <c r="C7134" t="str">
        <f>HYPERLINK("https://nematode.unl.edu/mexenov3.jpg")</f>
        <v>https://nematode.unl.edu/mexenov3.jpg</v>
      </c>
      <c r="D7134" t="s">
        <v>43</v>
      </c>
      <c r="G7134" t="s">
        <v>181</v>
      </c>
      <c r="I7134" t="s">
        <v>41</v>
      </c>
      <c r="M7134" t="s">
        <v>1214</v>
      </c>
      <c r="N7134" t="s">
        <v>1214</v>
      </c>
      <c r="O7134" t="s">
        <v>23</v>
      </c>
      <c r="P7134" t="s">
        <v>24</v>
      </c>
      <c r="Q7134" t="s">
        <v>642</v>
      </c>
      <c r="R7134" t="s">
        <v>1214</v>
      </c>
    </row>
    <row r="7135" spans="1:18" x14ac:dyDescent="0.25">
      <c r="A7135" t="s">
        <v>15330</v>
      </c>
      <c r="B7135" t="s">
        <v>8779</v>
      </c>
      <c r="C7135" t="str">
        <f>HYPERLINK("https://nematode.unl.edu/mexenova1.jpg")</f>
        <v>https://nematode.unl.edu/mexenova1.jpg</v>
      </c>
      <c r="D7135" t="s">
        <v>43</v>
      </c>
      <c r="G7135" t="s">
        <v>44</v>
      </c>
      <c r="I7135" t="s">
        <v>516</v>
      </c>
      <c r="J7135" t="s">
        <v>8780</v>
      </c>
      <c r="L7135" t="s">
        <v>8781</v>
      </c>
      <c r="M7135" t="s">
        <v>8559</v>
      </c>
      <c r="N7135" t="s">
        <v>8559</v>
      </c>
      <c r="O7135" t="s">
        <v>23</v>
      </c>
      <c r="P7135" t="s">
        <v>24</v>
      </c>
      <c r="Q7135" t="s">
        <v>642</v>
      </c>
      <c r="R7135" t="s">
        <v>1214</v>
      </c>
    </row>
    <row r="7136" spans="1:18" x14ac:dyDescent="0.25">
      <c r="A7136" t="s">
        <v>15259</v>
      </c>
      <c r="B7136" t="s">
        <v>8782</v>
      </c>
      <c r="C7136" t="str">
        <f>HYPERLINK("https://nematode.unl.edu/mexenova2.jpg")</f>
        <v>https://nematode.unl.edu/mexenova2.jpg</v>
      </c>
      <c r="D7136" t="s">
        <v>43</v>
      </c>
      <c r="G7136" t="s">
        <v>34</v>
      </c>
      <c r="H7136" t="s">
        <v>18</v>
      </c>
      <c r="I7136" t="s">
        <v>41</v>
      </c>
      <c r="M7136" t="s">
        <v>8559</v>
      </c>
      <c r="N7136" t="s">
        <v>8559</v>
      </c>
      <c r="O7136" t="s">
        <v>23</v>
      </c>
      <c r="P7136" t="s">
        <v>24</v>
      </c>
      <c r="Q7136" t="s">
        <v>642</v>
      </c>
      <c r="R7136" t="s">
        <v>1214</v>
      </c>
    </row>
    <row r="7137" spans="1:18" x14ac:dyDescent="0.25">
      <c r="A7137" t="s">
        <v>15410</v>
      </c>
      <c r="B7137" t="s">
        <v>8783</v>
      </c>
      <c r="C7137" t="str">
        <f>HYPERLINK("https://nematode.unl.edu/mexenova3.jpg")</f>
        <v>https://nematode.unl.edu/mexenova3.jpg</v>
      </c>
      <c r="D7137" t="s">
        <v>43</v>
      </c>
      <c r="G7137" t="s">
        <v>28</v>
      </c>
      <c r="M7137" t="s">
        <v>8559</v>
      </c>
      <c r="N7137" t="s">
        <v>8559</v>
      </c>
      <c r="O7137" t="s">
        <v>23</v>
      </c>
      <c r="P7137" t="s">
        <v>24</v>
      </c>
      <c r="Q7137" t="s">
        <v>642</v>
      </c>
      <c r="R7137" t="s">
        <v>1214</v>
      </c>
    </row>
    <row r="7138" spans="1:18" x14ac:dyDescent="0.25">
      <c r="A7138" t="s">
        <v>15331</v>
      </c>
      <c r="B7138" t="s">
        <v>8784</v>
      </c>
      <c r="C7138" t="str">
        <f>HYPERLINK("https://nematode.unl.edu/mexenova4.jpg")</f>
        <v>https://nematode.unl.edu/mexenova4.jpg</v>
      </c>
      <c r="D7138" t="s">
        <v>43</v>
      </c>
      <c r="G7138" t="s">
        <v>44</v>
      </c>
      <c r="I7138" t="s">
        <v>516</v>
      </c>
      <c r="J7138" t="s">
        <v>8780</v>
      </c>
      <c r="L7138" t="s">
        <v>8781</v>
      </c>
      <c r="M7138" t="s">
        <v>8559</v>
      </c>
      <c r="N7138" t="s">
        <v>8559</v>
      </c>
      <c r="O7138" t="s">
        <v>23</v>
      </c>
      <c r="P7138" t="s">
        <v>24</v>
      </c>
      <c r="Q7138" t="s">
        <v>642</v>
      </c>
      <c r="R7138" t="s">
        <v>1214</v>
      </c>
    </row>
    <row r="7139" spans="1:18" x14ac:dyDescent="0.25">
      <c r="A7139" t="s">
        <v>15260</v>
      </c>
      <c r="B7139" t="s">
        <v>8785</v>
      </c>
      <c r="C7139" t="str">
        <f>HYPERLINK("https://nematode.unl.edu/mexenova5.jpg")</f>
        <v>https://nematode.unl.edu/mexenova5.jpg</v>
      </c>
      <c r="D7139" t="s">
        <v>43</v>
      </c>
      <c r="G7139" t="s">
        <v>34</v>
      </c>
      <c r="H7139" t="s">
        <v>18</v>
      </c>
      <c r="M7139" t="s">
        <v>8559</v>
      </c>
      <c r="N7139" t="s">
        <v>8559</v>
      </c>
      <c r="O7139" t="s">
        <v>23</v>
      </c>
      <c r="P7139" t="s">
        <v>24</v>
      </c>
      <c r="Q7139" t="s">
        <v>642</v>
      </c>
      <c r="R7139" t="s">
        <v>1214</v>
      </c>
    </row>
    <row r="7140" spans="1:18" x14ac:dyDescent="0.25">
      <c r="A7140" t="s">
        <v>15411</v>
      </c>
      <c r="B7140" t="s">
        <v>8786</v>
      </c>
      <c r="C7140" t="str">
        <f>HYPERLINK("https://nematode.unl.edu/mexenova6.jpg")</f>
        <v>https://nematode.unl.edu/mexenova6.jpg</v>
      </c>
      <c r="D7140" t="s">
        <v>43</v>
      </c>
      <c r="G7140" t="s">
        <v>28</v>
      </c>
      <c r="I7140" t="s">
        <v>41</v>
      </c>
      <c r="M7140" t="s">
        <v>8559</v>
      </c>
      <c r="N7140" t="s">
        <v>8559</v>
      </c>
      <c r="O7140" t="s">
        <v>23</v>
      </c>
      <c r="P7140" t="s">
        <v>24</v>
      </c>
      <c r="Q7140" t="s">
        <v>642</v>
      </c>
      <c r="R7140" t="s">
        <v>1214</v>
      </c>
    </row>
    <row r="7141" spans="1:18" x14ac:dyDescent="0.25">
      <c r="A7141" t="s">
        <v>15354</v>
      </c>
      <c r="B7141" t="s">
        <v>8787</v>
      </c>
      <c r="C7141" t="str">
        <f>HYPERLINK("https://nematode.unl.edu/mexenova7.jpg")</f>
        <v>https://nematode.unl.edu/mexenova7.jpg</v>
      </c>
      <c r="D7141" t="s">
        <v>43</v>
      </c>
      <c r="G7141" t="s">
        <v>224</v>
      </c>
      <c r="I7141" t="s">
        <v>41</v>
      </c>
      <c r="M7141" t="s">
        <v>8559</v>
      </c>
      <c r="N7141" t="s">
        <v>8559</v>
      </c>
      <c r="O7141" t="s">
        <v>23</v>
      </c>
      <c r="P7141" t="s">
        <v>24</v>
      </c>
      <c r="Q7141" t="s">
        <v>642</v>
      </c>
      <c r="R7141" t="s">
        <v>1214</v>
      </c>
    </row>
    <row r="7142" spans="1:18" x14ac:dyDescent="0.25">
      <c r="A7142" t="s">
        <v>15332</v>
      </c>
      <c r="B7142" t="s">
        <v>8788</v>
      </c>
      <c r="C7142" t="str">
        <f>HYPERLINK("https://nematode.unl.edu/mexeplaxgw1.jpg")</f>
        <v>https://nematode.unl.edu/mexeplaxgw1.jpg</v>
      </c>
      <c r="D7142" t="s">
        <v>43</v>
      </c>
      <c r="G7142" t="s">
        <v>44</v>
      </c>
      <c r="I7142" t="s">
        <v>516</v>
      </c>
      <c r="J7142" t="s">
        <v>2572</v>
      </c>
      <c r="L7142" t="s">
        <v>6154</v>
      </c>
      <c r="M7142" t="s">
        <v>8559</v>
      </c>
      <c r="N7142" t="s">
        <v>8559</v>
      </c>
      <c r="O7142" t="s">
        <v>23</v>
      </c>
      <c r="P7142" t="s">
        <v>24</v>
      </c>
      <c r="Q7142" t="s">
        <v>642</v>
      </c>
      <c r="R7142" t="s">
        <v>1214</v>
      </c>
    </row>
    <row r="7143" spans="1:18" x14ac:dyDescent="0.25">
      <c r="A7143" t="s">
        <v>15261</v>
      </c>
      <c r="B7143" t="s">
        <v>8789</v>
      </c>
      <c r="C7143" t="str">
        <f>HYPERLINK("https://nematode.unl.edu/mexeplaxgw2.jpg")</f>
        <v>https://nematode.unl.edu/mexeplaxgw2.jpg</v>
      </c>
      <c r="D7143" t="s">
        <v>43</v>
      </c>
      <c r="G7143" t="s">
        <v>34</v>
      </c>
      <c r="H7143" t="s">
        <v>18</v>
      </c>
      <c r="I7143" t="s">
        <v>41</v>
      </c>
      <c r="J7143" t="s">
        <v>2572</v>
      </c>
      <c r="M7143" t="s">
        <v>8559</v>
      </c>
      <c r="N7143" t="s">
        <v>8559</v>
      </c>
      <c r="O7143" t="s">
        <v>23</v>
      </c>
      <c r="P7143" t="s">
        <v>24</v>
      </c>
      <c r="Q7143" t="s">
        <v>642</v>
      </c>
      <c r="R7143" t="s">
        <v>1214</v>
      </c>
    </row>
    <row r="7144" spans="1:18" x14ac:dyDescent="0.25">
      <c r="A7144" t="s">
        <v>15412</v>
      </c>
      <c r="B7144" t="s">
        <v>8790</v>
      </c>
      <c r="C7144" t="str">
        <f>HYPERLINK("https://nematode.unl.edu/mexeplaxgw3.jpg")</f>
        <v>https://nematode.unl.edu/mexeplaxgw3.jpg</v>
      </c>
      <c r="D7144" t="s">
        <v>43</v>
      </c>
      <c r="G7144" t="s">
        <v>28</v>
      </c>
      <c r="I7144" t="s">
        <v>41</v>
      </c>
      <c r="M7144" t="s">
        <v>8559</v>
      </c>
      <c r="N7144" t="s">
        <v>8559</v>
      </c>
      <c r="O7144" t="s">
        <v>23</v>
      </c>
      <c r="P7144" t="s">
        <v>24</v>
      </c>
      <c r="Q7144" t="s">
        <v>642</v>
      </c>
      <c r="R7144" t="s">
        <v>1214</v>
      </c>
    </row>
    <row r="7145" spans="1:18" x14ac:dyDescent="0.25">
      <c r="A7145" t="s">
        <v>15359</v>
      </c>
      <c r="B7145" t="s">
        <v>8791</v>
      </c>
      <c r="C7145" t="str">
        <f>HYPERLINK("https://nematode.unl.edu/mexeplaxgw4.jpg")</f>
        <v>https://nematode.unl.edu/mexeplaxgw4.jpg</v>
      </c>
      <c r="D7145" t="s">
        <v>43</v>
      </c>
      <c r="G7145" t="s">
        <v>8612</v>
      </c>
      <c r="I7145" t="s">
        <v>41</v>
      </c>
      <c r="J7145" t="s">
        <v>2572</v>
      </c>
      <c r="L7145" t="s">
        <v>6154</v>
      </c>
      <c r="M7145" t="s">
        <v>8559</v>
      </c>
      <c r="N7145" t="s">
        <v>8559</v>
      </c>
      <c r="O7145" t="s">
        <v>23</v>
      </c>
      <c r="P7145" t="s">
        <v>24</v>
      </c>
      <c r="Q7145" t="s">
        <v>642</v>
      </c>
      <c r="R7145" t="s">
        <v>1214</v>
      </c>
    </row>
    <row r="7146" spans="1:18" x14ac:dyDescent="0.25">
      <c r="A7146" t="s">
        <v>15333</v>
      </c>
      <c r="B7146" t="s">
        <v>8792</v>
      </c>
      <c r="C7146" t="str">
        <f>HYPERLINK("https://nematode.unl.edu/mexeplaxgw5.jpg")</f>
        <v>https://nematode.unl.edu/mexeplaxgw5.jpg</v>
      </c>
      <c r="D7146" t="s">
        <v>43</v>
      </c>
      <c r="G7146" t="s">
        <v>44</v>
      </c>
      <c r="M7146" t="s">
        <v>8559</v>
      </c>
      <c r="N7146" t="s">
        <v>8559</v>
      </c>
      <c r="O7146" t="s">
        <v>23</v>
      </c>
      <c r="P7146" t="s">
        <v>24</v>
      </c>
      <c r="Q7146" t="s">
        <v>642</v>
      </c>
      <c r="R7146" t="s">
        <v>1214</v>
      </c>
    </row>
    <row r="7147" spans="1:18" x14ac:dyDescent="0.25">
      <c r="A7147" t="s">
        <v>15334</v>
      </c>
      <c r="B7147" t="s">
        <v>8793</v>
      </c>
      <c r="C7147" t="str">
        <f>HYPERLINK("https://nematode.unl.edu/mexeplaxgw6.jpg")</f>
        <v>https://nematode.unl.edu/mexeplaxgw6.jpg</v>
      </c>
      <c r="D7147" t="s">
        <v>77</v>
      </c>
      <c r="G7147" t="s">
        <v>44</v>
      </c>
      <c r="I7147" t="s">
        <v>41</v>
      </c>
      <c r="M7147" t="s">
        <v>8559</v>
      </c>
      <c r="N7147" t="s">
        <v>8559</v>
      </c>
      <c r="O7147" t="s">
        <v>23</v>
      </c>
      <c r="P7147" t="s">
        <v>24</v>
      </c>
      <c r="Q7147" t="s">
        <v>642</v>
      </c>
      <c r="R7147" t="s">
        <v>1214</v>
      </c>
    </row>
    <row r="7148" spans="1:18" x14ac:dyDescent="0.25">
      <c r="A7148" t="s">
        <v>15266</v>
      </c>
      <c r="B7148" t="s">
        <v>8794</v>
      </c>
      <c r="C7148" t="str">
        <f>HYPERLINK("https://nematode.unl.edu/mexeplaxgw7.jpg")</f>
        <v>https://nematode.unl.edu/mexeplaxgw7.jpg</v>
      </c>
      <c r="D7148" t="s">
        <v>43</v>
      </c>
      <c r="G7148" t="s">
        <v>3928</v>
      </c>
      <c r="H7148" t="s">
        <v>18</v>
      </c>
      <c r="I7148" t="s">
        <v>41</v>
      </c>
      <c r="J7148" t="s">
        <v>2572</v>
      </c>
      <c r="L7148" t="s">
        <v>6154</v>
      </c>
      <c r="M7148" t="s">
        <v>8559</v>
      </c>
      <c r="N7148" t="s">
        <v>8559</v>
      </c>
      <c r="O7148" t="s">
        <v>23</v>
      </c>
      <c r="P7148" t="s">
        <v>24</v>
      </c>
      <c r="Q7148" t="s">
        <v>642</v>
      </c>
      <c r="R7148" t="s">
        <v>1214</v>
      </c>
    </row>
    <row r="7149" spans="1:18" x14ac:dyDescent="0.25">
      <c r="A7149" t="s">
        <v>15423</v>
      </c>
      <c r="B7149" t="s">
        <v>8795</v>
      </c>
      <c r="C7149" t="str">
        <f>HYPERLINK("https://nematode.unl.edu/mexeplaxgw8.jpg")</f>
        <v>https://nematode.unl.edu/mexeplaxgw8.jpg</v>
      </c>
      <c r="D7149" t="s">
        <v>43</v>
      </c>
      <c r="G7149" t="s">
        <v>51</v>
      </c>
      <c r="I7149" t="s">
        <v>41</v>
      </c>
      <c r="M7149" t="s">
        <v>8559</v>
      </c>
      <c r="N7149" t="s">
        <v>8559</v>
      </c>
      <c r="O7149" t="s">
        <v>23</v>
      </c>
      <c r="P7149" t="s">
        <v>24</v>
      </c>
      <c r="Q7149" t="s">
        <v>642</v>
      </c>
      <c r="R7149" t="s">
        <v>1214</v>
      </c>
    </row>
    <row r="7150" spans="1:18" x14ac:dyDescent="0.25">
      <c r="A7150" t="s">
        <v>16838</v>
      </c>
      <c r="B7150" t="s">
        <v>7294</v>
      </c>
      <c r="C7150" t="str">
        <f>HYPERLINK("https://nematode.unl.edu/mhaplan1.jpg")</f>
        <v>https://nematode.unl.edu/mhaplan1.jpg</v>
      </c>
      <c r="D7150" t="s">
        <v>16</v>
      </c>
      <c r="G7150" t="s">
        <v>44</v>
      </c>
      <c r="I7150" t="s">
        <v>137</v>
      </c>
      <c r="J7150" t="s">
        <v>7295</v>
      </c>
      <c r="L7150" t="s">
        <v>7296</v>
      </c>
      <c r="M7150" t="s">
        <v>7297</v>
      </c>
      <c r="N7150" t="s">
        <v>7297</v>
      </c>
      <c r="O7150" t="s">
        <v>23</v>
      </c>
      <c r="P7150" t="s">
        <v>24</v>
      </c>
      <c r="Q7150" t="s">
        <v>7123</v>
      </c>
      <c r="R7150" t="s">
        <v>7122</v>
      </c>
    </row>
    <row r="7151" spans="1:18" x14ac:dyDescent="0.25">
      <c r="A7151" t="s">
        <v>16834</v>
      </c>
      <c r="B7151" t="s">
        <v>7298</v>
      </c>
      <c r="C7151" t="str">
        <f>HYPERLINK("https://nematode.unl.edu/mhaplan10.jpg")</f>
        <v>https://nematode.unl.edu/mhaplan10.jpg</v>
      </c>
      <c r="D7151" t="s">
        <v>16</v>
      </c>
      <c r="G7151" t="s">
        <v>34</v>
      </c>
      <c r="H7151" t="s">
        <v>18</v>
      </c>
      <c r="I7151" t="s">
        <v>41</v>
      </c>
      <c r="J7151" t="s">
        <v>3679</v>
      </c>
      <c r="L7151" t="s">
        <v>7299</v>
      </c>
      <c r="M7151" t="s">
        <v>7297</v>
      </c>
      <c r="N7151" t="s">
        <v>7297</v>
      </c>
      <c r="O7151" t="s">
        <v>23</v>
      </c>
      <c r="P7151" t="s">
        <v>24</v>
      </c>
      <c r="Q7151" t="s">
        <v>7123</v>
      </c>
      <c r="R7151" t="s">
        <v>7122</v>
      </c>
    </row>
    <row r="7152" spans="1:18" x14ac:dyDescent="0.25">
      <c r="A7152" t="s">
        <v>16841</v>
      </c>
      <c r="B7152" t="s">
        <v>7300</v>
      </c>
      <c r="C7152" t="str">
        <f>HYPERLINK("https://nematode.unl.edu/mhaplan11.jpg")</f>
        <v>https://nematode.unl.edu/mhaplan11.jpg</v>
      </c>
      <c r="D7152" t="s">
        <v>16</v>
      </c>
      <c r="G7152" t="s">
        <v>28</v>
      </c>
      <c r="I7152" t="s">
        <v>41</v>
      </c>
      <c r="J7152" t="s">
        <v>3679</v>
      </c>
      <c r="M7152" t="s">
        <v>7297</v>
      </c>
      <c r="N7152" t="s">
        <v>7297</v>
      </c>
      <c r="O7152" t="s">
        <v>23</v>
      </c>
      <c r="P7152" t="s">
        <v>24</v>
      </c>
      <c r="Q7152" t="s">
        <v>7123</v>
      </c>
      <c r="R7152" t="s">
        <v>7122</v>
      </c>
    </row>
    <row r="7153" spans="1:18" x14ac:dyDescent="0.25">
      <c r="A7153" t="s">
        <v>16835</v>
      </c>
      <c r="B7153" t="s">
        <v>7301</v>
      </c>
      <c r="C7153" t="str">
        <f>HYPERLINK("https://nematode.unl.edu/mhaplan2.jpg")</f>
        <v>https://nematode.unl.edu/mhaplan2.jpg</v>
      </c>
      <c r="D7153" t="s">
        <v>16</v>
      </c>
      <c r="G7153" t="s">
        <v>34</v>
      </c>
      <c r="H7153" t="s">
        <v>18</v>
      </c>
      <c r="I7153" t="s">
        <v>41</v>
      </c>
      <c r="J7153" t="s">
        <v>7295</v>
      </c>
      <c r="L7153" t="s">
        <v>7296</v>
      </c>
      <c r="M7153" t="s">
        <v>7297</v>
      </c>
      <c r="N7153" t="s">
        <v>7297</v>
      </c>
      <c r="O7153" t="s">
        <v>23</v>
      </c>
      <c r="P7153" t="s">
        <v>24</v>
      </c>
      <c r="Q7153" t="s">
        <v>7123</v>
      </c>
      <c r="R7153" t="s">
        <v>7122</v>
      </c>
    </row>
    <row r="7154" spans="1:18" x14ac:dyDescent="0.25">
      <c r="A7154" t="s">
        <v>16842</v>
      </c>
      <c r="B7154" t="s">
        <v>7302</v>
      </c>
      <c r="C7154" t="str">
        <f>HYPERLINK("https://nematode.unl.edu/mhaplan3.jpg")</f>
        <v>https://nematode.unl.edu/mhaplan3.jpg</v>
      </c>
      <c r="D7154" t="s">
        <v>16</v>
      </c>
      <c r="G7154" t="s">
        <v>28</v>
      </c>
      <c r="I7154" t="s">
        <v>41</v>
      </c>
      <c r="J7154" t="s">
        <v>3679</v>
      </c>
      <c r="M7154" t="s">
        <v>7297</v>
      </c>
      <c r="N7154" t="s">
        <v>7297</v>
      </c>
      <c r="O7154" t="s">
        <v>23</v>
      </c>
      <c r="P7154" t="s">
        <v>24</v>
      </c>
      <c r="Q7154" t="s">
        <v>7123</v>
      </c>
      <c r="R7154" t="s">
        <v>7122</v>
      </c>
    </row>
    <row r="7155" spans="1:18" x14ac:dyDescent="0.25">
      <c r="A7155" t="s">
        <v>16840</v>
      </c>
      <c r="B7155" t="s">
        <v>7303</v>
      </c>
      <c r="C7155" t="str">
        <f>HYPERLINK("https://nematode.unl.edu/mhaplan4.jpg")</f>
        <v>https://nematode.unl.edu/mhaplan4.jpg</v>
      </c>
      <c r="D7155" t="s">
        <v>16</v>
      </c>
      <c r="G7155" t="s">
        <v>53</v>
      </c>
      <c r="I7155" t="s">
        <v>41</v>
      </c>
      <c r="J7155" t="s">
        <v>3679</v>
      </c>
      <c r="M7155" t="s">
        <v>7297</v>
      </c>
      <c r="N7155" t="s">
        <v>7297</v>
      </c>
      <c r="O7155" t="s">
        <v>23</v>
      </c>
      <c r="P7155" t="s">
        <v>24</v>
      </c>
      <c r="Q7155" t="s">
        <v>7123</v>
      </c>
      <c r="R7155" t="s">
        <v>7122</v>
      </c>
    </row>
    <row r="7156" spans="1:18" x14ac:dyDescent="0.25">
      <c r="A7156" t="s">
        <v>16836</v>
      </c>
      <c r="B7156" t="s">
        <v>7304</v>
      </c>
      <c r="C7156" t="str">
        <f>HYPERLINK("https://nematode.unl.edu/mhaplan5.jpg")</f>
        <v>https://nematode.unl.edu/mhaplan5.jpg</v>
      </c>
      <c r="D7156" t="s">
        <v>16</v>
      </c>
      <c r="G7156" t="s">
        <v>34</v>
      </c>
      <c r="H7156" t="s">
        <v>18</v>
      </c>
      <c r="I7156" t="s">
        <v>41</v>
      </c>
      <c r="J7156" t="s">
        <v>3679</v>
      </c>
      <c r="M7156" t="s">
        <v>7297</v>
      </c>
      <c r="N7156" t="s">
        <v>7297</v>
      </c>
      <c r="O7156" t="s">
        <v>23</v>
      </c>
      <c r="P7156" t="s">
        <v>24</v>
      </c>
      <c r="Q7156" t="s">
        <v>7123</v>
      </c>
      <c r="R7156" t="s">
        <v>7122</v>
      </c>
    </row>
    <row r="7157" spans="1:18" x14ac:dyDescent="0.25">
      <c r="A7157" t="s">
        <v>16843</v>
      </c>
      <c r="B7157" t="s">
        <v>7305</v>
      </c>
      <c r="C7157" t="str">
        <f>HYPERLINK("https://nematode.unl.edu/mhaplan6.jpg")</f>
        <v>https://nematode.unl.edu/mhaplan6.jpg</v>
      </c>
      <c r="D7157" t="s">
        <v>16</v>
      </c>
      <c r="G7157" t="s">
        <v>28</v>
      </c>
      <c r="I7157" t="s">
        <v>41</v>
      </c>
      <c r="J7157" t="s">
        <v>3679</v>
      </c>
      <c r="M7157" t="s">
        <v>7297</v>
      </c>
      <c r="N7157" t="s">
        <v>7297</v>
      </c>
      <c r="O7157" t="s">
        <v>23</v>
      </c>
      <c r="P7157" t="s">
        <v>24</v>
      </c>
      <c r="Q7157" t="s">
        <v>7123</v>
      </c>
      <c r="R7157" t="s">
        <v>7122</v>
      </c>
    </row>
    <row r="7158" spans="1:18" x14ac:dyDescent="0.25">
      <c r="A7158" t="s">
        <v>16839</v>
      </c>
      <c r="B7158" t="s">
        <v>7306</v>
      </c>
      <c r="C7158" t="str">
        <f>HYPERLINK("https://nematode.unl.edu/mhaplan7.jpg")</f>
        <v>https://nematode.unl.edu/mhaplan7.jpg</v>
      </c>
      <c r="D7158" t="s">
        <v>16</v>
      </c>
      <c r="G7158" t="s">
        <v>44</v>
      </c>
      <c r="I7158" t="s">
        <v>137</v>
      </c>
      <c r="J7158" t="s">
        <v>7295</v>
      </c>
      <c r="L7158" t="s">
        <v>7296</v>
      </c>
      <c r="M7158" t="s">
        <v>7297</v>
      </c>
      <c r="N7158" t="s">
        <v>7297</v>
      </c>
      <c r="O7158" t="s">
        <v>23</v>
      </c>
      <c r="P7158" t="s">
        <v>24</v>
      </c>
      <c r="Q7158" t="s">
        <v>7123</v>
      </c>
      <c r="R7158" t="s">
        <v>7122</v>
      </c>
    </row>
    <row r="7159" spans="1:18" x14ac:dyDescent="0.25">
      <c r="A7159" t="s">
        <v>16837</v>
      </c>
      <c r="B7159" t="s">
        <v>7307</v>
      </c>
      <c r="C7159" t="str">
        <f>HYPERLINK("https://nematode.unl.edu/mhaplan8.jpg")</f>
        <v>https://nematode.unl.edu/mhaplan8.jpg</v>
      </c>
      <c r="D7159" t="s">
        <v>16</v>
      </c>
      <c r="G7159" t="s">
        <v>34</v>
      </c>
      <c r="H7159" t="s">
        <v>18</v>
      </c>
      <c r="I7159" t="s">
        <v>19</v>
      </c>
      <c r="J7159" t="s">
        <v>3679</v>
      </c>
      <c r="M7159" t="s">
        <v>7297</v>
      </c>
      <c r="N7159" t="s">
        <v>7297</v>
      </c>
      <c r="O7159" t="s">
        <v>23</v>
      </c>
      <c r="P7159" t="s">
        <v>24</v>
      </c>
      <c r="Q7159" t="s">
        <v>7123</v>
      </c>
      <c r="R7159" t="s">
        <v>7122</v>
      </c>
    </row>
    <row r="7160" spans="1:18" x14ac:dyDescent="0.25">
      <c r="A7160" t="s">
        <v>16844</v>
      </c>
      <c r="B7160" t="s">
        <v>7308</v>
      </c>
      <c r="C7160" t="str">
        <f>HYPERLINK("https://nematode.unl.edu/mhaplan9.jpg")</f>
        <v>https://nematode.unl.edu/mhaplan9.jpg</v>
      </c>
      <c r="D7160" t="s">
        <v>16</v>
      </c>
      <c r="G7160" t="s">
        <v>28</v>
      </c>
      <c r="I7160" t="s">
        <v>19</v>
      </c>
      <c r="J7160" t="s">
        <v>3679</v>
      </c>
      <c r="M7160" t="s">
        <v>7297</v>
      </c>
      <c r="N7160" t="s">
        <v>7297</v>
      </c>
      <c r="O7160" t="s">
        <v>23</v>
      </c>
      <c r="P7160" t="s">
        <v>24</v>
      </c>
      <c r="Q7160" t="s">
        <v>7123</v>
      </c>
      <c r="R7160" t="s">
        <v>7122</v>
      </c>
    </row>
    <row r="7161" spans="1:18" x14ac:dyDescent="0.25">
      <c r="A7161" t="s">
        <v>22317</v>
      </c>
      <c r="B7161" t="s">
        <v>8883</v>
      </c>
      <c r="C7161" t="str">
        <f>HYPERLINK("https://nematode.unl.edu/mica1.jpg")</f>
        <v>https://nematode.unl.edu/mica1.jpg</v>
      </c>
      <c r="D7161" t="s">
        <v>43</v>
      </c>
      <c r="G7161" t="s">
        <v>44</v>
      </c>
      <c r="I7161" t="s">
        <v>1008</v>
      </c>
      <c r="J7161" t="s">
        <v>20</v>
      </c>
      <c r="L7161" t="s">
        <v>85</v>
      </c>
      <c r="M7161" t="s">
        <v>8884</v>
      </c>
      <c r="N7161" t="s">
        <v>8884</v>
      </c>
      <c r="O7161" t="s">
        <v>73</v>
      </c>
      <c r="P7161" t="s">
        <v>1268</v>
      </c>
      <c r="Q7161" t="s">
        <v>8885</v>
      </c>
      <c r="R7161" t="s">
        <v>8886</v>
      </c>
    </row>
    <row r="7162" spans="1:18" x14ac:dyDescent="0.25">
      <c r="A7162" t="s">
        <v>22322</v>
      </c>
      <c r="B7162" t="s">
        <v>8887</v>
      </c>
      <c r="C7162" t="str">
        <f>HYPERLINK("https://nematode.unl.edu/mica10.jpg")</f>
        <v>https://nematode.unl.edu/mica10.jpg</v>
      </c>
      <c r="D7162" t="s">
        <v>77</v>
      </c>
      <c r="G7162" t="s">
        <v>112</v>
      </c>
      <c r="J7162" t="s">
        <v>20</v>
      </c>
      <c r="L7162" t="s">
        <v>64</v>
      </c>
      <c r="M7162" t="s">
        <v>8884</v>
      </c>
      <c r="N7162" t="s">
        <v>8884</v>
      </c>
      <c r="O7162" t="s">
        <v>73</v>
      </c>
      <c r="P7162" t="s">
        <v>1268</v>
      </c>
      <c r="Q7162" t="s">
        <v>8885</v>
      </c>
      <c r="R7162" t="s">
        <v>8886</v>
      </c>
    </row>
    <row r="7163" spans="1:18" x14ac:dyDescent="0.25">
      <c r="A7163" t="s">
        <v>22308</v>
      </c>
      <c r="B7163" t="s">
        <v>8888</v>
      </c>
      <c r="C7163" t="str">
        <f>HYPERLINK("https://nematode.unl.edu/mica11.jpg")</f>
        <v>https://nematode.unl.edu/mica11.jpg</v>
      </c>
      <c r="D7163" t="s">
        <v>16</v>
      </c>
      <c r="G7163" t="s">
        <v>96</v>
      </c>
      <c r="H7163" t="s">
        <v>18</v>
      </c>
      <c r="I7163" t="s">
        <v>45</v>
      </c>
      <c r="J7163" t="s">
        <v>20</v>
      </c>
      <c r="M7163" t="s">
        <v>8884</v>
      </c>
      <c r="N7163" t="s">
        <v>8884</v>
      </c>
      <c r="O7163" t="s">
        <v>73</v>
      </c>
      <c r="P7163" t="s">
        <v>1268</v>
      </c>
      <c r="Q7163" t="s">
        <v>8885</v>
      </c>
      <c r="R7163" t="s">
        <v>8886</v>
      </c>
    </row>
    <row r="7164" spans="1:18" x14ac:dyDescent="0.25">
      <c r="A7164" t="s">
        <v>22321</v>
      </c>
      <c r="B7164" t="s">
        <v>8889</v>
      </c>
      <c r="C7164" t="str">
        <f>HYPERLINK("https://nematode.unl.edu/mica12.jpg")</f>
        <v>https://nematode.unl.edu/mica12.jpg</v>
      </c>
      <c r="D7164" t="s">
        <v>16</v>
      </c>
      <c r="G7164" t="s">
        <v>181</v>
      </c>
      <c r="I7164" t="s">
        <v>45</v>
      </c>
      <c r="M7164" t="s">
        <v>8884</v>
      </c>
      <c r="N7164" t="s">
        <v>8884</v>
      </c>
      <c r="O7164" t="s">
        <v>73</v>
      </c>
      <c r="P7164" t="s">
        <v>1268</v>
      </c>
      <c r="Q7164" t="s">
        <v>8885</v>
      </c>
      <c r="R7164" t="s">
        <v>8886</v>
      </c>
    </row>
    <row r="7165" spans="1:18" x14ac:dyDescent="0.25">
      <c r="A7165" t="s">
        <v>22320</v>
      </c>
      <c r="B7165" t="s">
        <v>8890</v>
      </c>
      <c r="C7165" t="str">
        <f>HYPERLINK("https://nematode.unl.edu/mica13.jpg")</f>
        <v>https://nematode.unl.edu/mica13.jpg</v>
      </c>
      <c r="G7165" t="s">
        <v>2345</v>
      </c>
      <c r="I7165" t="s">
        <v>19</v>
      </c>
      <c r="M7165" t="s">
        <v>8884</v>
      </c>
      <c r="N7165" t="s">
        <v>8884</v>
      </c>
      <c r="O7165" t="s">
        <v>73</v>
      </c>
      <c r="P7165" t="s">
        <v>1268</v>
      </c>
      <c r="Q7165" t="s">
        <v>8885</v>
      </c>
      <c r="R7165" t="s">
        <v>8886</v>
      </c>
    </row>
    <row r="7166" spans="1:18" x14ac:dyDescent="0.25">
      <c r="A7166" t="s">
        <v>22311</v>
      </c>
      <c r="B7166" t="s">
        <v>8891</v>
      </c>
      <c r="C7166" t="str">
        <f>HYPERLINK("https://nematode.unl.edu/mica14.jpg")</f>
        <v>https://nematode.unl.edu/mica14.jpg</v>
      </c>
      <c r="D7166" t="s">
        <v>16</v>
      </c>
      <c r="G7166" t="s">
        <v>34</v>
      </c>
      <c r="H7166" t="s">
        <v>18</v>
      </c>
      <c r="J7166" t="s">
        <v>20</v>
      </c>
      <c r="L7166" t="s">
        <v>29</v>
      </c>
      <c r="M7166" t="s">
        <v>8884</v>
      </c>
      <c r="N7166" t="s">
        <v>8884</v>
      </c>
      <c r="O7166" t="s">
        <v>73</v>
      </c>
      <c r="P7166" t="s">
        <v>1268</v>
      </c>
      <c r="Q7166" t="s">
        <v>8885</v>
      </c>
      <c r="R7166" t="s">
        <v>8886</v>
      </c>
    </row>
    <row r="7167" spans="1:18" x14ac:dyDescent="0.25">
      <c r="A7167" t="s">
        <v>22312</v>
      </c>
      <c r="B7167" t="s">
        <v>8892</v>
      </c>
      <c r="C7167" t="str">
        <f>HYPERLINK("https://nematode.unl.edu/mica2.jpg")</f>
        <v>https://nematode.unl.edu/mica2.jpg</v>
      </c>
      <c r="D7167" t="s">
        <v>43</v>
      </c>
      <c r="G7167" t="s">
        <v>34</v>
      </c>
      <c r="H7167" t="s">
        <v>18</v>
      </c>
      <c r="I7167" t="s">
        <v>45</v>
      </c>
      <c r="M7167" t="s">
        <v>8884</v>
      </c>
      <c r="N7167" t="s">
        <v>8884</v>
      </c>
      <c r="O7167" t="s">
        <v>73</v>
      </c>
      <c r="P7167" t="s">
        <v>1268</v>
      </c>
      <c r="Q7167" t="s">
        <v>8885</v>
      </c>
      <c r="R7167" t="s">
        <v>8886</v>
      </c>
    </row>
    <row r="7168" spans="1:18" x14ac:dyDescent="0.25">
      <c r="A7168" t="s">
        <v>22325</v>
      </c>
      <c r="B7168" t="s">
        <v>8893</v>
      </c>
      <c r="C7168" t="str">
        <f>HYPERLINK("https://nematode.unl.edu/mica3.jpg")</f>
        <v>https://nematode.unl.edu/mica3.jpg</v>
      </c>
      <c r="D7168" t="s">
        <v>43</v>
      </c>
      <c r="G7168" t="s">
        <v>51</v>
      </c>
      <c r="M7168" t="s">
        <v>8884</v>
      </c>
      <c r="N7168" t="s">
        <v>8884</v>
      </c>
      <c r="O7168" t="s">
        <v>73</v>
      </c>
      <c r="P7168" t="s">
        <v>1268</v>
      </c>
      <c r="Q7168" t="s">
        <v>8885</v>
      </c>
      <c r="R7168" t="s">
        <v>8886</v>
      </c>
    </row>
    <row r="7169" spans="1:18" x14ac:dyDescent="0.25">
      <c r="A7169" t="s">
        <v>22313</v>
      </c>
      <c r="B7169" t="s">
        <v>8894</v>
      </c>
      <c r="C7169" t="str">
        <f>HYPERLINK("https://nematode.unl.edu/mica4.jpg")</f>
        <v>https://nematode.unl.edu/mica4.jpg</v>
      </c>
      <c r="D7169" t="s">
        <v>43</v>
      </c>
      <c r="G7169" t="s">
        <v>34</v>
      </c>
      <c r="H7169" t="s">
        <v>18</v>
      </c>
      <c r="J7169" t="s">
        <v>20</v>
      </c>
      <c r="M7169" t="s">
        <v>8884</v>
      </c>
      <c r="N7169" t="s">
        <v>8884</v>
      </c>
      <c r="O7169" t="s">
        <v>73</v>
      </c>
      <c r="P7169" t="s">
        <v>1268</v>
      </c>
      <c r="Q7169" t="s">
        <v>8885</v>
      </c>
      <c r="R7169" t="s">
        <v>8886</v>
      </c>
    </row>
    <row r="7170" spans="1:18" x14ac:dyDescent="0.25">
      <c r="A7170" t="s">
        <v>22318</v>
      </c>
      <c r="B7170" t="s">
        <v>8895</v>
      </c>
      <c r="C7170" t="str">
        <f>HYPERLINK("https://nematode.unl.edu/mica5.jpg")</f>
        <v>https://nematode.unl.edu/mica5.jpg</v>
      </c>
      <c r="D7170" t="s">
        <v>77</v>
      </c>
      <c r="G7170" t="s">
        <v>44</v>
      </c>
      <c r="I7170" t="s">
        <v>91</v>
      </c>
      <c r="J7170" t="s">
        <v>20</v>
      </c>
      <c r="L7170" t="s">
        <v>64</v>
      </c>
      <c r="M7170" t="s">
        <v>8884</v>
      </c>
      <c r="N7170" t="s">
        <v>8884</v>
      </c>
      <c r="O7170" t="s">
        <v>73</v>
      </c>
      <c r="P7170" t="s">
        <v>1268</v>
      </c>
      <c r="Q7170" t="s">
        <v>8885</v>
      </c>
      <c r="R7170" t="s">
        <v>8886</v>
      </c>
    </row>
    <row r="7171" spans="1:18" x14ac:dyDescent="0.25">
      <c r="A7171" t="s">
        <v>22323</v>
      </c>
      <c r="B7171" t="s">
        <v>8896</v>
      </c>
      <c r="C7171" t="str">
        <f>HYPERLINK("https://nematode.unl.edu/mica6.jpg")</f>
        <v>https://nematode.unl.edu/mica6.jpg</v>
      </c>
      <c r="D7171" t="s">
        <v>77</v>
      </c>
      <c r="G7171" t="s">
        <v>28</v>
      </c>
      <c r="I7171" t="s">
        <v>45</v>
      </c>
      <c r="J7171" t="s">
        <v>20</v>
      </c>
      <c r="L7171" t="s">
        <v>64</v>
      </c>
      <c r="M7171" t="s">
        <v>8884</v>
      </c>
      <c r="N7171" t="s">
        <v>8884</v>
      </c>
      <c r="O7171" t="s">
        <v>73</v>
      </c>
      <c r="P7171" t="s">
        <v>1268</v>
      </c>
      <c r="Q7171" t="s">
        <v>8885</v>
      </c>
      <c r="R7171" t="s">
        <v>8886</v>
      </c>
    </row>
    <row r="7172" spans="1:18" x14ac:dyDescent="0.25">
      <c r="A7172" t="s">
        <v>22314</v>
      </c>
      <c r="B7172" t="s">
        <v>8897</v>
      </c>
      <c r="C7172" t="str">
        <f>HYPERLINK("https://nematode.unl.edu/mica7.jpg")</f>
        <v>https://nematode.unl.edu/mica7.jpg</v>
      </c>
      <c r="D7172" t="s">
        <v>77</v>
      </c>
      <c r="G7172" t="s">
        <v>34</v>
      </c>
      <c r="H7172" t="s">
        <v>18</v>
      </c>
      <c r="I7172" t="s">
        <v>45</v>
      </c>
      <c r="J7172" t="s">
        <v>20</v>
      </c>
      <c r="L7172" t="s">
        <v>64</v>
      </c>
      <c r="M7172" t="s">
        <v>8884</v>
      </c>
      <c r="N7172" t="s">
        <v>8884</v>
      </c>
      <c r="O7172" t="s">
        <v>73</v>
      </c>
      <c r="P7172" t="s">
        <v>1268</v>
      </c>
      <c r="Q7172" t="s">
        <v>8885</v>
      </c>
      <c r="R7172" t="s">
        <v>8886</v>
      </c>
    </row>
    <row r="7173" spans="1:18" x14ac:dyDescent="0.25">
      <c r="A7173" t="s">
        <v>22315</v>
      </c>
      <c r="B7173" t="s">
        <v>8898</v>
      </c>
      <c r="C7173" t="str">
        <f>HYPERLINK("https://nematode.unl.edu/mica8.jpg")</f>
        <v>https://nematode.unl.edu/mica8.jpg</v>
      </c>
      <c r="D7173" t="s">
        <v>77</v>
      </c>
      <c r="G7173" t="s">
        <v>34</v>
      </c>
      <c r="H7173" t="s">
        <v>18</v>
      </c>
      <c r="J7173" t="s">
        <v>20</v>
      </c>
      <c r="L7173" t="s">
        <v>64</v>
      </c>
      <c r="M7173" t="s">
        <v>8884</v>
      </c>
      <c r="N7173" t="s">
        <v>8884</v>
      </c>
      <c r="O7173" t="s">
        <v>73</v>
      </c>
      <c r="P7173" t="s">
        <v>1268</v>
      </c>
      <c r="Q7173" t="s">
        <v>8885</v>
      </c>
      <c r="R7173" t="s">
        <v>8886</v>
      </c>
    </row>
    <row r="7174" spans="1:18" x14ac:dyDescent="0.25">
      <c r="A7174" t="s">
        <v>22310</v>
      </c>
      <c r="B7174" t="s">
        <v>8899</v>
      </c>
      <c r="C7174" t="str">
        <f>HYPERLINK("https://nematode.unl.edu/mica9.jpg")</f>
        <v>https://nematode.unl.edu/mica9.jpg</v>
      </c>
      <c r="D7174" t="s">
        <v>77</v>
      </c>
      <c r="G7174" t="s">
        <v>17</v>
      </c>
      <c r="H7174" t="s">
        <v>18</v>
      </c>
      <c r="I7174" t="s">
        <v>19</v>
      </c>
      <c r="J7174" t="s">
        <v>20</v>
      </c>
      <c r="L7174" t="s">
        <v>64</v>
      </c>
      <c r="M7174" t="s">
        <v>8884</v>
      </c>
      <c r="N7174" t="s">
        <v>8884</v>
      </c>
      <c r="O7174" t="s">
        <v>73</v>
      </c>
      <c r="P7174" t="s">
        <v>1268</v>
      </c>
      <c r="Q7174" t="s">
        <v>8885</v>
      </c>
      <c r="R7174" t="s">
        <v>8886</v>
      </c>
    </row>
    <row r="7175" spans="1:18" x14ac:dyDescent="0.25">
      <c r="A7175" t="s">
        <v>22316</v>
      </c>
      <c r="B7175" t="s">
        <v>8900</v>
      </c>
      <c r="C7175" t="str">
        <f>HYPERLINK("https://nematode.unl.edu/micacmp.jpg")</f>
        <v>https://nematode.unl.edu/micacmp.jpg</v>
      </c>
      <c r="D7175" t="s">
        <v>43</v>
      </c>
      <c r="G7175" t="s">
        <v>34</v>
      </c>
      <c r="H7175" t="s">
        <v>18</v>
      </c>
      <c r="M7175" t="s">
        <v>8884</v>
      </c>
      <c r="N7175" t="s">
        <v>8884</v>
      </c>
      <c r="O7175" t="s">
        <v>73</v>
      </c>
      <c r="P7175" t="s">
        <v>1268</v>
      </c>
      <c r="Q7175" t="s">
        <v>8885</v>
      </c>
      <c r="R7175" t="s">
        <v>8886</v>
      </c>
    </row>
    <row r="7176" spans="1:18" x14ac:dyDescent="0.25">
      <c r="A7176" t="s">
        <v>22319</v>
      </c>
      <c r="B7176" t="s">
        <v>8901</v>
      </c>
      <c r="C7176" t="str">
        <f>HYPERLINK("https://nematode.unl.edu/micali1.jpg")</f>
        <v>https://nematode.unl.edu/micali1.jpg</v>
      </c>
      <c r="D7176" t="s">
        <v>16</v>
      </c>
      <c r="G7176" t="s">
        <v>44</v>
      </c>
      <c r="I7176" t="s">
        <v>91</v>
      </c>
      <c r="J7176" t="s">
        <v>46</v>
      </c>
      <c r="L7176" t="s">
        <v>105</v>
      </c>
      <c r="M7176" t="s">
        <v>8884</v>
      </c>
      <c r="N7176" t="s">
        <v>8884</v>
      </c>
      <c r="O7176" t="s">
        <v>73</v>
      </c>
      <c r="P7176" t="s">
        <v>1268</v>
      </c>
      <c r="Q7176" t="s">
        <v>8885</v>
      </c>
      <c r="R7176" t="s">
        <v>8886</v>
      </c>
    </row>
    <row r="7177" spans="1:18" x14ac:dyDescent="0.25">
      <c r="A7177" t="s">
        <v>22309</v>
      </c>
      <c r="B7177" t="s">
        <v>8902</v>
      </c>
      <c r="C7177" t="str">
        <f>HYPERLINK("https://nematode.unl.edu/micali2.jpg")</f>
        <v>https://nematode.unl.edu/micali2.jpg</v>
      </c>
      <c r="G7177" t="s">
        <v>96</v>
      </c>
      <c r="H7177" t="s">
        <v>18</v>
      </c>
      <c r="I7177" t="s">
        <v>137</v>
      </c>
      <c r="J7177" t="s">
        <v>46</v>
      </c>
      <c r="L7177" t="s">
        <v>105</v>
      </c>
      <c r="M7177" t="s">
        <v>8884</v>
      </c>
      <c r="N7177" t="s">
        <v>8884</v>
      </c>
      <c r="O7177" t="s">
        <v>73</v>
      </c>
      <c r="P7177" t="s">
        <v>1268</v>
      </c>
      <c r="Q7177" t="s">
        <v>8885</v>
      </c>
      <c r="R7177" t="s">
        <v>8886</v>
      </c>
    </row>
    <row r="7178" spans="1:18" x14ac:dyDescent="0.25">
      <c r="A7178" t="s">
        <v>22324</v>
      </c>
      <c r="B7178" t="s">
        <v>8903</v>
      </c>
      <c r="C7178" t="str">
        <f>HYPERLINK("https://nematode.unl.edu/micali3.jpg")</f>
        <v>https://nematode.unl.edu/micali3.jpg</v>
      </c>
      <c r="D7178" t="s">
        <v>16</v>
      </c>
      <c r="G7178" t="s">
        <v>28</v>
      </c>
      <c r="I7178" t="s">
        <v>137</v>
      </c>
      <c r="J7178" t="s">
        <v>46</v>
      </c>
      <c r="L7178" t="s">
        <v>105</v>
      </c>
      <c r="M7178" t="s">
        <v>8884</v>
      </c>
      <c r="N7178" t="s">
        <v>8884</v>
      </c>
      <c r="O7178" t="s">
        <v>73</v>
      </c>
      <c r="P7178" t="s">
        <v>1268</v>
      </c>
      <c r="Q7178" t="s">
        <v>8885</v>
      </c>
      <c r="R7178" t="s">
        <v>8886</v>
      </c>
    </row>
    <row r="7179" spans="1:18" x14ac:dyDescent="0.25">
      <c r="A7179" t="s">
        <v>21721</v>
      </c>
      <c r="B7179" t="s">
        <v>8956</v>
      </c>
      <c r="C7179" t="str">
        <f>HYPERLINK("https://nematode.unl.edu/micang1.jpg")</f>
        <v>https://nematode.unl.edu/micang1.jpg</v>
      </c>
      <c r="D7179" t="s">
        <v>43</v>
      </c>
      <c r="G7179" t="s">
        <v>44</v>
      </c>
      <c r="I7179" t="s">
        <v>45</v>
      </c>
      <c r="J7179" t="s">
        <v>20</v>
      </c>
      <c r="L7179" t="s">
        <v>85</v>
      </c>
      <c r="M7179" t="s">
        <v>8957</v>
      </c>
      <c r="N7179" t="s">
        <v>8957</v>
      </c>
      <c r="O7179" t="s">
        <v>73</v>
      </c>
      <c r="P7179" t="s">
        <v>81</v>
      </c>
      <c r="Q7179" t="s">
        <v>82</v>
      </c>
      <c r="R7179" t="s">
        <v>8958</v>
      </c>
    </row>
    <row r="7180" spans="1:18" x14ac:dyDescent="0.25">
      <c r="A7180" t="s">
        <v>21715</v>
      </c>
      <c r="B7180" t="s">
        <v>8959</v>
      </c>
      <c r="C7180" t="str">
        <f>HYPERLINK("https://nematode.unl.edu/micang10.jpg")</f>
        <v>https://nematode.unl.edu/micang10.jpg</v>
      </c>
      <c r="D7180" t="s">
        <v>16</v>
      </c>
      <c r="G7180" t="s">
        <v>34</v>
      </c>
      <c r="H7180" t="s">
        <v>18</v>
      </c>
      <c r="J7180" t="s">
        <v>20</v>
      </c>
      <c r="L7180" t="s">
        <v>85</v>
      </c>
      <c r="M7180" t="s">
        <v>8957</v>
      </c>
      <c r="N7180" t="s">
        <v>8957</v>
      </c>
      <c r="O7180" t="s">
        <v>73</v>
      </c>
      <c r="P7180" t="s">
        <v>81</v>
      </c>
      <c r="Q7180" t="s">
        <v>82</v>
      </c>
      <c r="R7180" t="s">
        <v>8958</v>
      </c>
    </row>
    <row r="7181" spans="1:18" x14ac:dyDescent="0.25">
      <c r="A7181" t="s">
        <v>21720</v>
      </c>
      <c r="B7181" t="s">
        <v>8960</v>
      </c>
      <c r="C7181" t="str">
        <f>HYPERLINK("https://nematode.unl.edu/micang11.jpg")</f>
        <v>https://nematode.unl.edu/micang11.jpg</v>
      </c>
      <c r="D7181" t="s">
        <v>16</v>
      </c>
      <c r="G7181" t="s">
        <v>87</v>
      </c>
      <c r="I7181" t="s">
        <v>19</v>
      </c>
      <c r="J7181" t="s">
        <v>20</v>
      </c>
      <c r="L7181" t="s">
        <v>85</v>
      </c>
      <c r="M7181" t="s">
        <v>8957</v>
      </c>
      <c r="N7181" t="s">
        <v>8957</v>
      </c>
      <c r="O7181" t="s">
        <v>73</v>
      </c>
      <c r="P7181" t="s">
        <v>81</v>
      </c>
      <c r="Q7181" t="s">
        <v>82</v>
      </c>
      <c r="R7181" t="s">
        <v>8958</v>
      </c>
    </row>
    <row r="7182" spans="1:18" x14ac:dyDescent="0.25">
      <c r="A7182" t="s">
        <v>21723</v>
      </c>
      <c r="B7182" t="s">
        <v>8961</v>
      </c>
      <c r="C7182" t="str">
        <f>HYPERLINK("https://nematode.unl.edu/micang12.jpg")</f>
        <v>https://nematode.unl.edu/micang12.jpg</v>
      </c>
      <c r="D7182" t="s">
        <v>16</v>
      </c>
      <c r="G7182" t="s">
        <v>28</v>
      </c>
      <c r="I7182" t="s">
        <v>19</v>
      </c>
      <c r="M7182" t="s">
        <v>8957</v>
      </c>
      <c r="N7182" t="s">
        <v>8957</v>
      </c>
      <c r="O7182" t="s">
        <v>73</v>
      </c>
      <c r="P7182" t="s">
        <v>81</v>
      </c>
      <c r="Q7182" t="s">
        <v>82</v>
      </c>
      <c r="R7182" t="s">
        <v>8958</v>
      </c>
    </row>
    <row r="7183" spans="1:18" x14ac:dyDescent="0.25">
      <c r="A7183" t="s">
        <v>21716</v>
      </c>
      <c r="B7183" t="s">
        <v>8962</v>
      </c>
      <c r="C7183" t="str">
        <f>HYPERLINK("https://nematode.unl.edu/micang13.jpg")</f>
        <v>https://nematode.unl.edu/micang13.jpg</v>
      </c>
      <c r="D7183" t="s">
        <v>16</v>
      </c>
      <c r="G7183" t="s">
        <v>34</v>
      </c>
      <c r="H7183" t="s">
        <v>18</v>
      </c>
      <c r="I7183" t="s">
        <v>41</v>
      </c>
      <c r="M7183" t="s">
        <v>8957</v>
      </c>
      <c r="N7183" t="s">
        <v>8957</v>
      </c>
      <c r="O7183" t="s">
        <v>73</v>
      </c>
      <c r="P7183" t="s">
        <v>81</v>
      </c>
      <c r="Q7183" t="s">
        <v>82</v>
      </c>
      <c r="R7183" t="s">
        <v>8958</v>
      </c>
    </row>
    <row r="7184" spans="1:18" x14ac:dyDescent="0.25">
      <c r="A7184" t="s">
        <v>21722</v>
      </c>
      <c r="B7184" t="s">
        <v>8963</v>
      </c>
      <c r="C7184" t="str">
        <f>HYPERLINK("https://nematode.unl.edu/micang14.jpg")</f>
        <v>https://nematode.unl.edu/micang14.jpg</v>
      </c>
      <c r="D7184" t="s">
        <v>43</v>
      </c>
      <c r="G7184" t="s">
        <v>44</v>
      </c>
      <c r="I7184" t="s">
        <v>45</v>
      </c>
      <c r="J7184" t="s">
        <v>20</v>
      </c>
      <c r="L7184" t="s">
        <v>183</v>
      </c>
      <c r="M7184" t="s">
        <v>8957</v>
      </c>
      <c r="N7184" t="s">
        <v>8957</v>
      </c>
      <c r="O7184" t="s">
        <v>73</v>
      </c>
      <c r="P7184" t="s">
        <v>81</v>
      </c>
      <c r="Q7184" t="s">
        <v>82</v>
      </c>
      <c r="R7184" t="s">
        <v>8958</v>
      </c>
    </row>
    <row r="7185" spans="1:18" x14ac:dyDescent="0.25">
      <c r="A7185" t="s">
        <v>21713</v>
      </c>
      <c r="B7185" t="s">
        <v>8964</v>
      </c>
      <c r="C7185" t="str">
        <f>HYPERLINK("https://nematode.unl.edu/micang15.jpg")</f>
        <v>https://nematode.unl.edu/micang15.jpg</v>
      </c>
      <c r="D7185" t="s">
        <v>43</v>
      </c>
      <c r="G7185" t="s">
        <v>96</v>
      </c>
      <c r="H7185" t="s">
        <v>18</v>
      </c>
      <c r="I7185" t="s">
        <v>19</v>
      </c>
      <c r="J7185" t="s">
        <v>20</v>
      </c>
      <c r="L7185" t="s">
        <v>85</v>
      </c>
      <c r="M7185" t="s">
        <v>8957</v>
      </c>
      <c r="N7185" t="s">
        <v>8957</v>
      </c>
      <c r="O7185" t="s">
        <v>73</v>
      </c>
      <c r="P7185" t="s">
        <v>81</v>
      </c>
      <c r="Q7185" t="s">
        <v>82</v>
      </c>
      <c r="R7185" t="s">
        <v>8958</v>
      </c>
    </row>
    <row r="7186" spans="1:18" x14ac:dyDescent="0.25">
      <c r="A7186" t="s">
        <v>21727</v>
      </c>
      <c r="B7186" t="s">
        <v>8965</v>
      </c>
      <c r="C7186" t="str">
        <f>HYPERLINK("https://nematode.unl.edu/micang16.jpg")</f>
        <v>https://nematode.unl.edu/micang16.jpg</v>
      </c>
      <c r="D7186" t="s">
        <v>43</v>
      </c>
      <c r="G7186" t="s">
        <v>51</v>
      </c>
      <c r="I7186" t="s">
        <v>19</v>
      </c>
      <c r="M7186" t="s">
        <v>8957</v>
      </c>
      <c r="N7186" t="s">
        <v>8957</v>
      </c>
      <c r="O7186" t="s">
        <v>73</v>
      </c>
      <c r="P7186" t="s">
        <v>81</v>
      </c>
      <c r="Q7186" t="s">
        <v>82</v>
      </c>
      <c r="R7186" t="s">
        <v>8958</v>
      </c>
    </row>
    <row r="7187" spans="1:18" x14ac:dyDescent="0.25">
      <c r="A7187" t="s">
        <v>21724</v>
      </c>
      <c r="B7187" t="s">
        <v>8966</v>
      </c>
      <c r="C7187" t="str">
        <f>HYPERLINK("https://nematode.unl.edu/micang17.jpg")</f>
        <v>https://nematode.unl.edu/micang17.jpg</v>
      </c>
      <c r="D7187" t="s">
        <v>43</v>
      </c>
      <c r="G7187" t="s">
        <v>28</v>
      </c>
      <c r="J7187" t="s">
        <v>20</v>
      </c>
      <c r="M7187" t="s">
        <v>8957</v>
      </c>
      <c r="N7187" t="s">
        <v>8957</v>
      </c>
      <c r="O7187" t="s">
        <v>73</v>
      </c>
      <c r="P7187" t="s">
        <v>81</v>
      </c>
      <c r="Q7187" t="s">
        <v>82</v>
      </c>
      <c r="R7187" t="s">
        <v>8958</v>
      </c>
    </row>
    <row r="7188" spans="1:18" x14ac:dyDescent="0.25">
      <c r="A7188" t="s">
        <v>21728</v>
      </c>
      <c r="B7188" t="s">
        <v>8967</v>
      </c>
      <c r="C7188" t="str">
        <f>HYPERLINK("https://nematode.unl.edu/micang18.jpg")</f>
        <v>https://nematode.unl.edu/micang18.jpg</v>
      </c>
      <c r="D7188" t="s">
        <v>43</v>
      </c>
      <c r="G7188" t="s">
        <v>51</v>
      </c>
      <c r="I7188" t="s">
        <v>19</v>
      </c>
      <c r="J7188" t="s">
        <v>20</v>
      </c>
      <c r="L7188" t="s">
        <v>64</v>
      </c>
      <c r="M7188" t="s">
        <v>8957</v>
      </c>
      <c r="N7188" t="s">
        <v>8957</v>
      </c>
      <c r="O7188" t="s">
        <v>73</v>
      </c>
      <c r="P7188" t="s">
        <v>81</v>
      </c>
      <c r="Q7188" t="s">
        <v>82</v>
      </c>
      <c r="R7188" t="s">
        <v>8958</v>
      </c>
    </row>
    <row r="7189" spans="1:18" x14ac:dyDescent="0.25">
      <c r="A7189" t="s">
        <v>21717</v>
      </c>
      <c r="B7189" t="s">
        <v>8968</v>
      </c>
      <c r="C7189" t="str">
        <f>HYPERLINK("https://nematode.unl.edu/micang2.jpg")</f>
        <v>https://nematode.unl.edu/micang2.jpg</v>
      </c>
      <c r="D7189" t="s">
        <v>43</v>
      </c>
      <c r="G7189" t="s">
        <v>34</v>
      </c>
      <c r="H7189" t="s">
        <v>18</v>
      </c>
      <c r="J7189" t="s">
        <v>20</v>
      </c>
      <c r="M7189" t="s">
        <v>8957</v>
      </c>
      <c r="N7189" t="s">
        <v>8957</v>
      </c>
      <c r="O7189" t="s">
        <v>73</v>
      </c>
      <c r="P7189" t="s">
        <v>81</v>
      </c>
      <c r="Q7189" t="s">
        <v>82</v>
      </c>
      <c r="R7189" t="s">
        <v>8958</v>
      </c>
    </row>
    <row r="7190" spans="1:18" x14ac:dyDescent="0.25">
      <c r="A7190" t="s">
        <v>21714</v>
      </c>
      <c r="B7190" t="s">
        <v>8969</v>
      </c>
      <c r="C7190" t="str">
        <f>HYPERLINK("https://nematode.unl.edu/micang3.jpg")</f>
        <v>https://nematode.unl.edu/micang3.jpg</v>
      </c>
      <c r="D7190" t="s">
        <v>43</v>
      </c>
      <c r="G7190" t="s">
        <v>17</v>
      </c>
      <c r="H7190" t="s">
        <v>18</v>
      </c>
      <c r="M7190" t="s">
        <v>8957</v>
      </c>
      <c r="N7190" t="s">
        <v>8957</v>
      </c>
      <c r="O7190" t="s">
        <v>73</v>
      </c>
      <c r="P7190" t="s">
        <v>81</v>
      </c>
      <c r="Q7190" t="s">
        <v>82</v>
      </c>
      <c r="R7190" t="s">
        <v>8958</v>
      </c>
    </row>
    <row r="7191" spans="1:18" x14ac:dyDescent="0.25">
      <c r="A7191" t="s">
        <v>21729</v>
      </c>
      <c r="B7191" t="s">
        <v>8970</v>
      </c>
      <c r="C7191" t="str">
        <f>HYPERLINK("https://nematode.unl.edu/micang4.jpg")</f>
        <v>https://nematode.unl.edu/micang4.jpg</v>
      </c>
      <c r="D7191" t="s">
        <v>43</v>
      </c>
      <c r="G7191" t="s">
        <v>51</v>
      </c>
      <c r="I7191" t="s">
        <v>19</v>
      </c>
      <c r="J7191" t="s">
        <v>20</v>
      </c>
      <c r="L7191" t="s">
        <v>85</v>
      </c>
      <c r="M7191" t="s">
        <v>8957</v>
      </c>
      <c r="N7191" t="s">
        <v>8957</v>
      </c>
      <c r="O7191" t="s">
        <v>73</v>
      </c>
      <c r="P7191" t="s">
        <v>81</v>
      </c>
      <c r="Q7191" t="s">
        <v>82</v>
      </c>
      <c r="R7191" t="s">
        <v>8958</v>
      </c>
    </row>
    <row r="7192" spans="1:18" x14ac:dyDescent="0.25">
      <c r="A7192" t="s">
        <v>21725</v>
      </c>
      <c r="B7192" t="s">
        <v>8971</v>
      </c>
      <c r="C7192" t="str">
        <f>HYPERLINK("https://nematode.unl.edu/micang5.jpg")</f>
        <v>https://nematode.unl.edu/micang5.jpg</v>
      </c>
      <c r="D7192" t="s">
        <v>43</v>
      </c>
      <c r="G7192" t="s">
        <v>28</v>
      </c>
      <c r="M7192" t="s">
        <v>8957</v>
      </c>
      <c r="N7192" t="s">
        <v>8957</v>
      </c>
      <c r="O7192" t="s">
        <v>73</v>
      </c>
      <c r="P7192" t="s">
        <v>81</v>
      </c>
      <c r="Q7192" t="s">
        <v>82</v>
      </c>
      <c r="R7192" t="s">
        <v>8958</v>
      </c>
    </row>
    <row r="7193" spans="1:18" x14ac:dyDescent="0.25">
      <c r="A7193" t="s">
        <v>21718</v>
      </c>
      <c r="B7193" t="s">
        <v>8972</v>
      </c>
      <c r="C7193" t="str">
        <f>HYPERLINK("https://nematode.unl.edu/micang6.jpg")</f>
        <v>https://nematode.unl.edu/micang6.jpg</v>
      </c>
      <c r="D7193" t="s">
        <v>43</v>
      </c>
      <c r="G7193" t="s">
        <v>34</v>
      </c>
      <c r="H7193" t="s">
        <v>18</v>
      </c>
      <c r="J7193" t="s">
        <v>20</v>
      </c>
      <c r="L7193" t="s">
        <v>85</v>
      </c>
      <c r="M7193" t="s">
        <v>8957</v>
      </c>
      <c r="N7193" t="s">
        <v>8957</v>
      </c>
      <c r="O7193" t="s">
        <v>73</v>
      </c>
      <c r="P7193" t="s">
        <v>81</v>
      </c>
      <c r="Q7193" t="s">
        <v>82</v>
      </c>
      <c r="R7193" t="s">
        <v>8958</v>
      </c>
    </row>
    <row r="7194" spans="1:18" x14ac:dyDescent="0.25">
      <c r="A7194" t="s">
        <v>21719</v>
      </c>
      <c r="B7194" t="s">
        <v>8973</v>
      </c>
      <c r="C7194" t="str">
        <f>HYPERLINK("https://nematode.unl.edu/micang7.jpg")</f>
        <v>https://nematode.unl.edu/micang7.jpg</v>
      </c>
      <c r="D7194" t="s">
        <v>43</v>
      </c>
      <c r="G7194" t="s">
        <v>34</v>
      </c>
      <c r="H7194" t="s">
        <v>18</v>
      </c>
      <c r="J7194" t="s">
        <v>20</v>
      </c>
      <c r="L7194" t="s">
        <v>64</v>
      </c>
      <c r="M7194" t="s">
        <v>8957</v>
      </c>
      <c r="N7194" t="s">
        <v>8957</v>
      </c>
      <c r="O7194" t="s">
        <v>73</v>
      </c>
      <c r="P7194" t="s">
        <v>81</v>
      </c>
      <c r="Q7194" t="s">
        <v>82</v>
      </c>
      <c r="R7194" t="s">
        <v>8958</v>
      </c>
    </row>
    <row r="7195" spans="1:18" x14ac:dyDescent="0.25">
      <c r="A7195" t="s">
        <v>21726</v>
      </c>
      <c r="B7195" t="s">
        <v>8974</v>
      </c>
      <c r="C7195" t="str">
        <f>HYPERLINK("https://nematode.unl.edu/micang8.jpg")</f>
        <v>https://nematode.unl.edu/micang8.jpg</v>
      </c>
      <c r="D7195" t="s">
        <v>43</v>
      </c>
      <c r="G7195" t="s">
        <v>28</v>
      </c>
      <c r="J7195" t="s">
        <v>20</v>
      </c>
      <c r="L7195" t="s">
        <v>64</v>
      </c>
      <c r="M7195" t="s">
        <v>8957</v>
      </c>
      <c r="N7195" t="s">
        <v>8957</v>
      </c>
      <c r="O7195" t="s">
        <v>73</v>
      </c>
      <c r="P7195" t="s">
        <v>81</v>
      </c>
      <c r="Q7195" t="s">
        <v>82</v>
      </c>
      <c r="R7195" t="s">
        <v>8958</v>
      </c>
    </row>
    <row r="7196" spans="1:18" x14ac:dyDescent="0.25">
      <c r="A7196" t="s">
        <v>21730</v>
      </c>
      <c r="B7196" t="s">
        <v>8975</v>
      </c>
      <c r="C7196" t="str">
        <f>HYPERLINK("https://nematode.unl.edu/micang9.jpg")</f>
        <v>https://nematode.unl.edu/micang9.jpg</v>
      </c>
      <c r="D7196" t="s">
        <v>43</v>
      </c>
      <c r="G7196" t="s">
        <v>51</v>
      </c>
      <c r="I7196" t="s">
        <v>19</v>
      </c>
      <c r="J7196" t="s">
        <v>20</v>
      </c>
      <c r="M7196" t="s">
        <v>8957</v>
      </c>
      <c r="N7196" t="s">
        <v>8957</v>
      </c>
      <c r="O7196" t="s">
        <v>73</v>
      </c>
      <c r="P7196" t="s">
        <v>81</v>
      </c>
      <c r="Q7196" t="s">
        <v>82</v>
      </c>
      <c r="R7196" t="s">
        <v>8958</v>
      </c>
    </row>
    <row r="7197" spans="1:18" x14ac:dyDescent="0.25">
      <c r="A7197" t="s">
        <v>21733</v>
      </c>
      <c r="B7197" t="s">
        <v>8976</v>
      </c>
      <c r="C7197" t="str">
        <f>HYPERLINK("https://nematode.unl.edu/miclo1.jpg")</f>
        <v>https://nematode.unl.edu/miclo1.jpg</v>
      </c>
      <c r="D7197" t="s">
        <v>43</v>
      </c>
      <c r="G7197" t="s">
        <v>44</v>
      </c>
      <c r="I7197" t="s">
        <v>499</v>
      </c>
      <c r="J7197" t="s">
        <v>20</v>
      </c>
      <c r="L7197" t="s">
        <v>78</v>
      </c>
      <c r="M7197" t="s">
        <v>8977</v>
      </c>
      <c r="N7197" t="s">
        <v>8977</v>
      </c>
      <c r="O7197" t="s">
        <v>73</v>
      </c>
      <c r="P7197" t="s">
        <v>81</v>
      </c>
      <c r="Q7197" t="s">
        <v>82</v>
      </c>
      <c r="R7197" t="s">
        <v>8958</v>
      </c>
    </row>
    <row r="7198" spans="1:18" x14ac:dyDescent="0.25">
      <c r="A7198" t="s">
        <v>21731</v>
      </c>
      <c r="B7198" t="s">
        <v>8978</v>
      </c>
      <c r="C7198" t="str">
        <f>HYPERLINK("https://nematode.unl.edu/miclo2.jpg")</f>
        <v>https://nematode.unl.edu/miclo2.jpg</v>
      </c>
      <c r="D7198" t="s">
        <v>43</v>
      </c>
      <c r="G7198" t="s">
        <v>96</v>
      </c>
      <c r="H7198" t="s">
        <v>18</v>
      </c>
      <c r="I7198" t="s">
        <v>19</v>
      </c>
      <c r="J7198" t="s">
        <v>20</v>
      </c>
      <c r="L7198" t="s">
        <v>85</v>
      </c>
      <c r="M7198" t="s">
        <v>8977</v>
      </c>
      <c r="N7198" t="s">
        <v>8977</v>
      </c>
      <c r="O7198" t="s">
        <v>73</v>
      </c>
      <c r="P7198" t="s">
        <v>81</v>
      </c>
      <c r="Q7198" t="s">
        <v>82</v>
      </c>
      <c r="R7198" t="s">
        <v>8958</v>
      </c>
    </row>
    <row r="7199" spans="1:18" x14ac:dyDescent="0.25">
      <c r="A7199" t="s">
        <v>21737</v>
      </c>
      <c r="B7199" t="s">
        <v>8979</v>
      </c>
      <c r="C7199" t="str">
        <f>HYPERLINK("https://nematode.unl.edu/miclo3.jpg")</f>
        <v>https://nematode.unl.edu/miclo3.jpg</v>
      </c>
      <c r="D7199" t="s">
        <v>43</v>
      </c>
      <c r="G7199" t="s">
        <v>51</v>
      </c>
      <c r="I7199" t="s">
        <v>19</v>
      </c>
      <c r="M7199" t="s">
        <v>8977</v>
      </c>
      <c r="N7199" t="s">
        <v>8977</v>
      </c>
      <c r="O7199" t="s">
        <v>73</v>
      </c>
      <c r="P7199" t="s">
        <v>81</v>
      </c>
      <c r="Q7199" t="s">
        <v>82</v>
      </c>
      <c r="R7199" t="s">
        <v>8958</v>
      </c>
    </row>
    <row r="7200" spans="1:18" x14ac:dyDescent="0.25">
      <c r="A7200" t="s">
        <v>21732</v>
      </c>
      <c r="B7200" t="s">
        <v>8980</v>
      </c>
      <c r="C7200" t="str">
        <f>HYPERLINK("https://nematode.unl.edu/miclo4.jpg")</f>
        <v>https://nematode.unl.edu/miclo4.jpg</v>
      </c>
      <c r="D7200" t="s">
        <v>43</v>
      </c>
      <c r="G7200" t="s">
        <v>34</v>
      </c>
      <c r="H7200" t="s">
        <v>18</v>
      </c>
      <c r="I7200" t="s">
        <v>19</v>
      </c>
      <c r="J7200" t="s">
        <v>20</v>
      </c>
      <c r="L7200" t="s">
        <v>752</v>
      </c>
      <c r="M7200" t="s">
        <v>8977</v>
      </c>
      <c r="N7200" t="s">
        <v>8977</v>
      </c>
      <c r="O7200" t="s">
        <v>73</v>
      </c>
      <c r="P7200" t="s">
        <v>81</v>
      </c>
      <c r="Q7200" t="s">
        <v>82</v>
      </c>
      <c r="R7200" t="s">
        <v>8958</v>
      </c>
    </row>
    <row r="7201" spans="1:18" x14ac:dyDescent="0.25">
      <c r="A7201" t="s">
        <v>21738</v>
      </c>
      <c r="B7201" t="s">
        <v>8981</v>
      </c>
      <c r="C7201" t="str">
        <f>HYPERLINK("https://nematode.unl.edu/miclo5.jpg")</f>
        <v>https://nematode.unl.edu/miclo5.jpg</v>
      </c>
      <c r="D7201" t="s">
        <v>43</v>
      </c>
      <c r="G7201" t="s">
        <v>51</v>
      </c>
      <c r="J7201" t="s">
        <v>20</v>
      </c>
      <c r="L7201" t="s">
        <v>752</v>
      </c>
      <c r="M7201" t="s">
        <v>8977</v>
      </c>
      <c r="N7201" t="s">
        <v>8977</v>
      </c>
      <c r="O7201" t="s">
        <v>73</v>
      </c>
      <c r="P7201" t="s">
        <v>81</v>
      </c>
      <c r="Q7201" t="s">
        <v>82</v>
      </c>
      <c r="R7201" t="s">
        <v>8958</v>
      </c>
    </row>
    <row r="7202" spans="1:18" x14ac:dyDescent="0.25">
      <c r="A7202" t="s">
        <v>21735</v>
      </c>
      <c r="B7202" t="s">
        <v>8982</v>
      </c>
      <c r="C7202" t="str">
        <f>HYPERLINK("https://nematode.unl.edu/miclo6.jpg")</f>
        <v>https://nematode.unl.edu/miclo6.jpg</v>
      </c>
      <c r="D7202" t="s">
        <v>43</v>
      </c>
      <c r="G7202" t="s">
        <v>28</v>
      </c>
      <c r="J7202" t="s">
        <v>20</v>
      </c>
      <c r="L7202" t="s">
        <v>752</v>
      </c>
      <c r="M7202" t="s">
        <v>8977</v>
      </c>
      <c r="N7202" t="s">
        <v>8977</v>
      </c>
      <c r="O7202" t="s">
        <v>73</v>
      </c>
      <c r="P7202" t="s">
        <v>81</v>
      </c>
      <c r="Q7202" t="s">
        <v>82</v>
      </c>
      <c r="R7202" t="s">
        <v>8958</v>
      </c>
    </row>
    <row r="7203" spans="1:18" x14ac:dyDescent="0.25">
      <c r="A7203" t="s">
        <v>21734</v>
      </c>
      <c r="B7203" t="s">
        <v>8983</v>
      </c>
      <c r="C7203" t="str">
        <f>HYPERLINK("https://nematode.unl.edu/miclo7.jpg")</f>
        <v>https://nematode.unl.edu/miclo7.jpg</v>
      </c>
      <c r="D7203" t="s">
        <v>43</v>
      </c>
      <c r="G7203" t="s">
        <v>44</v>
      </c>
      <c r="I7203" t="s">
        <v>45</v>
      </c>
      <c r="J7203" t="s">
        <v>20</v>
      </c>
      <c r="L7203" t="s">
        <v>752</v>
      </c>
      <c r="M7203" t="s">
        <v>8977</v>
      </c>
      <c r="N7203" t="s">
        <v>8977</v>
      </c>
      <c r="O7203" t="s">
        <v>73</v>
      </c>
      <c r="P7203" t="s">
        <v>81</v>
      </c>
      <c r="Q7203" t="s">
        <v>82</v>
      </c>
      <c r="R7203" t="s">
        <v>8958</v>
      </c>
    </row>
    <row r="7204" spans="1:18" x14ac:dyDescent="0.25">
      <c r="A7204" t="s">
        <v>21739</v>
      </c>
      <c r="B7204" t="s">
        <v>8984</v>
      </c>
      <c r="C7204" t="str">
        <f>HYPERLINK("https://nematode.unl.edu/miclo8.jpg")</f>
        <v>https://nematode.unl.edu/miclo8.jpg</v>
      </c>
      <c r="D7204" t="s">
        <v>43</v>
      </c>
      <c r="G7204" t="s">
        <v>51</v>
      </c>
      <c r="I7204" t="s">
        <v>19</v>
      </c>
      <c r="J7204" t="s">
        <v>20</v>
      </c>
      <c r="L7204" t="s">
        <v>752</v>
      </c>
      <c r="M7204" t="s">
        <v>8977</v>
      </c>
      <c r="N7204" t="s">
        <v>8977</v>
      </c>
      <c r="O7204" t="s">
        <v>73</v>
      </c>
      <c r="P7204" t="s">
        <v>81</v>
      </c>
      <c r="Q7204" t="s">
        <v>82</v>
      </c>
      <c r="R7204" t="s">
        <v>8958</v>
      </c>
    </row>
    <row r="7205" spans="1:18" x14ac:dyDescent="0.25">
      <c r="A7205" t="s">
        <v>21736</v>
      </c>
      <c r="B7205" t="s">
        <v>8985</v>
      </c>
      <c r="C7205" t="str">
        <f>HYPERLINK("https://nematode.unl.edu/miclo9.jpg")</f>
        <v>https://nematode.unl.edu/miclo9.jpg</v>
      </c>
      <c r="D7205" t="s">
        <v>43</v>
      </c>
      <c r="G7205" t="s">
        <v>28</v>
      </c>
      <c r="J7205" t="s">
        <v>20</v>
      </c>
      <c r="L7205" t="s">
        <v>752</v>
      </c>
      <c r="M7205" t="s">
        <v>8977</v>
      </c>
      <c r="N7205" t="s">
        <v>8977</v>
      </c>
      <c r="O7205" t="s">
        <v>73</v>
      </c>
      <c r="P7205" t="s">
        <v>81</v>
      </c>
      <c r="Q7205" t="s">
        <v>82</v>
      </c>
      <c r="R7205" t="s">
        <v>8958</v>
      </c>
    </row>
    <row r="7206" spans="1:18" x14ac:dyDescent="0.25">
      <c r="A7206" t="s">
        <v>22353</v>
      </c>
      <c r="B7206" t="s">
        <v>8904</v>
      </c>
      <c r="C7206" t="str">
        <f>HYPERLINK("https://nematode.unl.edu/micof1.jpg")</f>
        <v>https://nematode.unl.edu/micof1.jpg</v>
      </c>
      <c r="D7206" t="s">
        <v>43</v>
      </c>
      <c r="G7206" t="s">
        <v>28</v>
      </c>
      <c r="I7206" t="s">
        <v>45</v>
      </c>
      <c r="J7206" t="s">
        <v>20</v>
      </c>
      <c r="M7206" t="s">
        <v>8905</v>
      </c>
      <c r="N7206" t="s">
        <v>8905</v>
      </c>
      <c r="O7206" t="s">
        <v>73</v>
      </c>
      <c r="P7206" t="s">
        <v>1268</v>
      </c>
      <c r="Q7206" t="s">
        <v>8885</v>
      </c>
      <c r="R7206" t="s">
        <v>8886</v>
      </c>
    </row>
    <row r="7207" spans="1:18" x14ac:dyDescent="0.25">
      <c r="A7207" t="s">
        <v>22346</v>
      </c>
      <c r="B7207" t="s">
        <v>8906</v>
      </c>
      <c r="C7207" t="str">
        <f>HYPERLINK("https://nematode.unl.edu/micof10.jpg")</f>
        <v>https://nematode.unl.edu/micof10.jpg</v>
      </c>
      <c r="D7207" t="s">
        <v>43</v>
      </c>
      <c r="G7207" t="s">
        <v>1000</v>
      </c>
      <c r="I7207" t="s">
        <v>516</v>
      </c>
      <c r="J7207" t="s">
        <v>20</v>
      </c>
      <c r="L7207" t="s">
        <v>64</v>
      </c>
      <c r="M7207" t="s">
        <v>8905</v>
      </c>
      <c r="N7207" t="s">
        <v>8905</v>
      </c>
      <c r="O7207" t="s">
        <v>73</v>
      </c>
      <c r="P7207" t="s">
        <v>1268</v>
      </c>
      <c r="Q7207" t="s">
        <v>8885</v>
      </c>
      <c r="R7207" t="s">
        <v>8886</v>
      </c>
    </row>
    <row r="7208" spans="1:18" x14ac:dyDescent="0.25">
      <c r="A7208" t="s">
        <v>22329</v>
      </c>
      <c r="B7208" t="s">
        <v>8907</v>
      </c>
      <c r="C7208" t="str">
        <f>HYPERLINK("https://nematode.unl.edu/micof11.jpg")</f>
        <v>https://nematode.unl.edu/micof11.jpg</v>
      </c>
      <c r="D7208" t="s">
        <v>43</v>
      </c>
      <c r="G7208" t="s">
        <v>34</v>
      </c>
      <c r="H7208" t="s">
        <v>18</v>
      </c>
      <c r="J7208" t="s">
        <v>20</v>
      </c>
      <c r="L7208" t="s">
        <v>64</v>
      </c>
      <c r="M7208" t="s">
        <v>8905</v>
      </c>
      <c r="N7208" t="s">
        <v>8905</v>
      </c>
      <c r="O7208" t="s">
        <v>73</v>
      </c>
      <c r="P7208" t="s">
        <v>1268</v>
      </c>
      <c r="Q7208" t="s">
        <v>8885</v>
      </c>
      <c r="R7208" t="s">
        <v>8886</v>
      </c>
    </row>
    <row r="7209" spans="1:18" x14ac:dyDescent="0.25">
      <c r="A7209" t="s">
        <v>22363</v>
      </c>
      <c r="B7209" t="s">
        <v>8908</v>
      </c>
      <c r="C7209" t="str">
        <f>HYPERLINK("https://nematode.unl.edu/micof12.jpg")</f>
        <v>https://nematode.unl.edu/micof12.jpg</v>
      </c>
      <c r="D7209" t="s">
        <v>43</v>
      </c>
      <c r="G7209" t="s">
        <v>51</v>
      </c>
      <c r="I7209" t="s">
        <v>516</v>
      </c>
      <c r="J7209" t="s">
        <v>20</v>
      </c>
      <c r="L7209" t="s">
        <v>64</v>
      </c>
      <c r="M7209" t="s">
        <v>8905</v>
      </c>
      <c r="N7209" t="s">
        <v>8905</v>
      </c>
      <c r="O7209" t="s">
        <v>73</v>
      </c>
      <c r="P7209" t="s">
        <v>1268</v>
      </c>
      <c r="Q7209" t="s">
        <v>8885</v>
      </c>
      <c r="R7209" t="s">
        <v>8886</v>
      </c>
    </row>
    <row r="7210" spans="1:18" x14ac:dyDescent="0.25">
      <c r="A7210" t="s">
        <v>22371</v>
      </c>
      <c r="B7210" t="s">
        <v>8909</v>
      </c>
      <c r="C7210" t="str">
        <f>HYPERLINK("https://nematode.unl.edu/micof13.jpg")</f>
        <v>https://nematode.unl.edu/micof13.jpg</v>
      </c>
      <c r="D7210" t="s">
        <v>43</v>
      </c>
      <c r="G7210" t="s">
        <v>3058</v>
      </c>
      <c r="I7210" t="s">
        <v>516</v>
      </c>
      <c r="J7210" t="s">
        <v>20</v>
      </c>
      <c r="L7210" t="s">
        <v>64</v>
      </c>
      <c r="M7210" t="s">
        <v>8905</v>
      </c>
      <c r="N7210" t="s">
        <v>8905</v>
      </c>
      <c r="O7210" t="s">
        <v>73</v>
      </c>
      <c r="P7210" t="s">
        <v>1268</v>
      </c>
      <c r="Q7210" t="s">
        <v>8885</v>
      </c>
      <c r="R7210" t="s">
        <v>8886</v>
      </c>
    </row>
    <row r="7211" spans="1:18" x14ac:dyDescent="0.25">
      <c r="A7211" t="s">
        <v>22348</v>
      </c>
      <c r="B7211" t="s">
        <v>8910</v>
      </c>
      <c r="C7211" t="str">
        <f>HYPERLINK("https://nematode.unl.edu/micof14.jpg")</f>
        <v>https://nematode.unl.edu/micof14.jpg</v>
      </c>
      <c r="D7211" t="s">
        <v>43</v>
      </c>
      <c r="G7211" t="s">
        <v>8911</v>
      </c>
      <c r="I7211" t="s">
        <v>516</v>
      </c>
      <c r="J7211" t="s">
        <v>20</v>
      </c>
      <c r="L7211" t="s">
        <v>64</v>
      </c>
      <c r="M7211" t="s">
        <v>8905</v>
      </c>
      <c r="N7211" t="s">
        <v>8905</v>
      </c>
      <c r="O7211" t="s">
        <v>73</v>
      </c>
      <c r="P7211" t="s">
        <v>1268</v>
      </c>
      <c r="Q7211" t="s">
        <v>8885</v>
      </c>
      <c r="R7211" t="s">
        <v>8886</v>
      </c>
    </row>
    <row r="7212" spans="1:18" x14ac:dyDescent="0.25">
      <c r="A7212" t="s">
        <v>22330</v>
      </c>
      <c r="B7212" t="s">
        <v>8912</v>
      </c>
      <c r="C7212" t="str">
        <f>HYPERLINK("https://nematode.unl.edu/micof15.jpg")</f>
        <v>https://nematode.unl.edu/micof15.jpg</v>
      </c>
      <c r="D7212" t="s">
        <v>43</v>
      </c>
      <c r="G7212" t="s">
        <v>34</v>
      </c>
      <c r="H7212" t="s">
        <v>18</v>
      </c>
      <c r="I7212" t="s">
        <v>137</v>
      </c>
      <c r="J7212" t="s">
        <v>20</v>
      </c>
      <c r="L7212" t="s">
        <v>141</v>
      </c>
      <c r="M7212" t="s">
        <v>8905</v>
      </c>
      <c r="N7212" t="s">
        <v>8905</v>
      </c>
      <c r="O7212" t="s">
        <v>73</v>
      </c>
      <c r="P7212" t="s">
        <v>1268</v>
      </c>
      <c r="Q7212" t="s">
        <v>8885</v>
      </c>
      <c r="R7212" t="s">
        <v>8886</v>
      </c>
    </row>
    <row r="7213" spans="1:18" x14ac:dyDescent="0.25">
      <c r="A7213" t="s">
        <v>22345</v>
      </c>
      <c r="B7213" t="s">
        <v>8913</v>
      </c>
      <c r="C7213" t="str">
        <f>HYPERLINK("https://nematode.unl.edu/micof16.jpg")</f>
        <v>https://nematode.unl.edu/micof16.jpg</v>
      </c>
      <c r="G7213" t="s">
        <v>205</v>
      </c>
      <c r="J7213" t="s">
        <v>20</v>
      </c>
      <c r="L7213" t="s">
        <v>352</v>
      </c>
      <c r="M7213" t="s">
        <v>8905</v>
      </c>
      <c r="N7213" t="s">
        <v>8905</v>
      </c>
      <c r="O7213" t="s">
        <v>73</v>
      </c>
      <c r="P7213" t="s">
        <v>1268</v>
      </c>
      <c r="Q7213" t="s">
        <v>8885</v>
      </c>
      <c r="R7213" t="s">
        <v>8886</v>
      </c>
    </row>
    <row r="7214" spans="1:18" x14ac:dyDescent="0.25">
      <c r="A7214" t="s">
        <v>22354</v>
      </c>
      <c r="B7214" t="s">
        <v>8914</v>
      </c>
      <c r="C7214" t="str">
        <f>HYPERLINK("https://nematode.unl.edu/micof17.jpg")</f>
        <v>https://nematode.unl.edu/micof17.jpg</v>
      </c>
      <c r="D7214" t="s">
        <v>43</v>
      </c>
      <c r="G7214" t="s">
        <v>28</v>
      </c>
      <c r="I7214" t="s">
        <v>137</v>
      </c>
      <c r="J7214" t="s">
        <v>20</v>
      </c>
      <c r="L7214" t="s">
        <v>141</v>
      </c>
      <c r="M7214" t="s">
        <v>8905</v>
      </c>
      <c r="N7214" t="s">
        <v>8905</v>
      </c>
      <c r="O7214" t="s">
        <v>73</v>
      </c>
      <c r="P7214" t="s">
        <v>1268</v>
      </c>
      <c r="Q7214" t="s">
        <v>8885</v>
      </c>
      <c r="R7214" t="s">
        <v>8886</v>
      </c>
    </row>
    <row r="7215" spans="1:18" x14ac:dyDescent="0.25">
      <c r="A7215" t="s">
        <v>22331</v>
      </c>
      <c r="B7215" t="s">
        <v>8915</v>
      </c>
      <c r="C7215" t="str">
        <f>HYPERLINK("https://nematode.unl.edu/micof18.jpg")</f>
        <v>https://nematode.unl.edu/micof18.jpg</v>
      </c>
      <c r="D7215" t="s">
        <v>43</v>
      </c>
      <c r="G7215" t="s">
        <v>34</v>
      </c>
      <c r="H7215" t="s">
        <v>18</v>
      </c>
      <c r="I7215" t="s">
        <v>137</v>
      </c>
      <c r="J7215" t="s">
        <v>20</v>
      </c>
      <c r="L7215" t="s">
        <v>141</v>
      </c>
      <c r="M7215" t="s">
        <v>8905</v>
      </c>
      <c r="N7215" t="s">
        <v>8905</v>
      </c>
      <c r="O7215" t="s">
        <v>73</v>
      </c>
      <c r="P7215" t="s">
        <v>1268</v>
      </c>
      <c r="Q7215" t="s">
        <v>8885</v>
      </c>
      <c r="R7215" t="s">
        <v>8886</v>
      </c>
    </row>
    <row r="7216" spans="1:18" x14ac:dyDescent="0.25">
      <c r="A7216" t="s">
        <v>22332</v>
      </c>
      <c r="B7216" t="s">
        <v>8916</v>
      </c>
      <c r="C7216" t="str">
        <f>HYPERLINK("https://nematode.unl.edu/micof19.jpg")</f>
        <v>https://nematode.unl.edu/micof19.jpg</v>
      </c>
      <c r="D7216" t="s">
        <v>43</v>
      </c>
      <c r="G7216" t="s">
        <v>34</v>
      </c>
      <c r="H7216" t="s">
        <v>18</v>
      </c>
      <c r="I7216" t="s">
        <v>137</v>
      </c>
      <c r="J7216" t="s">
        <v>20</v>
      </c>
      <c r="L7216" t="s">
        <v>141</v>
      </c>
      <c r="M7216" t="s">
        <v>8905</v>
      </c>
      <c r="N7216" t="s">
        <v>8905</v>
      </c>
      <c r="O7216" t="s">
        <v>73</v>
      </c>
      <c r="P7216" t="s">
        <v>1268</v>
      </c>
      <c r="Q7216" t="s">
        <v>8885</v>
      </c>
      <c r="R7216" t="s">
        <v>8886</v>
      </c>
    </row>
    <row r="7217" spans="1:18" x14ac:dyDescent="0.25">
      <c r="A7217" t="s">
        <v>22364</v>
      </c>
      <c r="B7217" t="s">
        <v>8917</v>
      </c>
      <c r="C7217" t="str">
        <f>HYPERLINK("https://nematode.unl.edu/micof2.jpg")</f>
        <v>https://nematode.unl.edu/micof2.jpg</v>
      </c>
      <c r="D7217" t="s">
        <v>43</v>
      </c>
      <c r="G7217" t="s">
        <v>51</v>
      </c>
      <c r="I7217" t="s">
        <v>137</v>
      </c>
      <c r="M7217" t="s">
        <v>8905</v>
      </c>
      <c r="N7217" t="s">
        <v>8905</v>
      </c>
      <c r="O7217" t="s">
        <v>73</v>
      </c>
      <c r="P7217" t="s">
        <v>1268</v>
      </c>
      <c r="Q7217" t="s">
        <v>8885</v>
      </c>
      <c r="R7217" t="s">
        <v>8886</v>
      </c>
    </row>
    <row r="7218" spans="1:18" x14ac:dyDescent="0.25">
      <c r="A7218" t="s">
        <v>22355</v>
      </c>
      <c r="B7218" t="s">
        <v>8918</v>
      </c>
      <c r="C7218" t="str">
        <f>HYPERLINK("https://nematode.unl.edu/micof20.jpg")</f>
        <v>https://nematode.unl.edu/micof20.jpg</v>
      </c>
      <c r="D7218" t="s">
        <v>43</v>
      </c>
      <c r="G7218" t="s">
        <v>28</v>
      </c>
      <c r="I7218" t="s">
        <v>137</v>
      </c>
      <c r="M7218" t="s">
        <v>8905</v>
      </c>
      <c r="N7218" t="s">
        <v>8905</v>
      </c>
      <c r="O7218" t="s">
        <v>73</v>
      </c>
      <c r="P7218" t="s">
        <v>1268</v>
      </c>
      <c r="Q7218" t="s">
        <v>8885</v>
      </c>
      <c r="R7218" t="s">
        <v>8886</v>
      </c>
    </row>
    <row r="7219" spans="1:18" x14ac:dyDescent="0.25">
      <c r="A7219" t="s">
        <v>22356</v>
      </c>
      <c r="B7219" t="s">
        <v>8919</v>
      </c>
      <c r="C7219" t="str">
        <f>HYPERLINK("https://nematode.unl.edu/micof21.jpg")</f>
        <v>https://nematode.unl.edu/micof21.jpg</v>
      </c>
      <c r="D7219" t="s">
        <v>43</v>
      </c>
      <c r="G7219" t="s">
        <v>28</v>
      </c>
      <c r="I7219" t="s">
        <v>45</v>
      </c>
      <c r="M7219" t="s">
        <v>8905</v>
      </c>
      <c r="N7219" t="s">
        <v>8905</v>
      </c>
      <c r="O7219" t="s">
        <v>73</v>
      </c>
      <c r="P7219" t="s">
        <v>1268</v>
      </c>
      <c r="Q7219" t="s">
        <v>8885</v>
      </c>
      <c r="R7219" t="s">
        <v>8886</v>
      </c>
    </row>
    <row r="7220" spans="1:18" x14ac:dyDescent="0.25">
      <c r="A7220" t="s">
        <v>22362</v>
      </c>
      <c r="B7220" t="s">
        <v>8920</v>
      </c>
      <c r="C7220" t="str">
        <f>HYPERLINK("https://nematode.unl.edu/micof22.jpg")</f>
        <v>https://nematode.unl.edu/micof22.jpg</v>
      </c>
      <c r="D7220" t="s">
        <v>43</v>
      </c>
      <c r="G7220" t="s">
        <v>8921</v>
      </c>
      <c r="I7220" t="s">
        <v>19</v>
      </c>
      <c r="J7220" t="s">
        <v>20</v>
      </c>
      <c r="L7220" t="s">
        <v>8922</v>
      </c>
      <c r="M7220" t="s">
        <v>8905</v>
      </c>
      <c r="N7220" t="s">
        <v>8905</v>
      </c>
      <c r="O7220" t="s">
        <v>73</v>
      </c>
      <c r="P7220" t="s">
        <v>1268</v>
      </c>
      <c r="Q7220" t="s">
        <v>8885</v>
      </c>
      <c r="R7220" t="s">
        <v>8886</v>
      </c>
    </row>
    <row r="7221" spans="1:18" x14ac:dyDescent="0.25">
      <c r="A7221" t="s">
        <v>22326</v>
      </c>
      <c r="B7221" t="s">
        <v>8923</v>
      </c>
      <c r="C7221" t="str">
        <f>HYPERLINK("https://nematode.unl.edu/micof23.jpg")</f>
        <v>https://nematode.unl.edu/micof23.jpg</v>
      </c>
      <c r="D7221" t="s">
        <v>43</v>
      </c>
      <c r="G7221" t="s">
        <v>96</v>
      </c>
      <c r="H7221" t="s">
        <v>18</v>
      </c>
      <c r="I7221" t="s">
        <v>45</v>
      </c>
      <c r="J7221" t="s">
        <v>20</v>
      </c>
      <c r="L7221" t="s">
        <v>352</v>
      </c>
      <c r="M7221" t="s">
        <v>8905</v>
      </c>
      <c r="N7221" t="s">
        <v>8905</v>
      </c>
      <c r="O7221" t="s">
        <v>73</v>
      </c>
      <c r="P7221" t="s">
        <v>1268</v>
      </c>
      <c r="Q7221" t="s">
        <v>8885</v>
      </c>
      <c r="R7221" t="s">
        <v>8886</v>
      </c>
    </row>
    <row r="7222" spans="1:18" x14ac:dyDescent="0.25">
      <c r="A7222" t="s">
        <v>22365</v>
      </c>
      <c r="B7222" t="s">
        <v>8924</v>
      </c>
      <c r="C7222" t="str">
        <f>HYPERLINK("https://nematode.unl.edu/micof24.jpg")</f>
        <v>https://nematode.unl.edu/micof24.jpg</v>
      </c>
      <c r="D7222" t="s">
        <v>43</v>
      </c>
      <c r="G7222" t="s">
        <v>51</v>
      </c>
      <c r="I7222" t="s">
        <v>45</v>
      </c>
      <c r="J7222" t="s">
        <v>20</v>
      </c>
      <c r="L7222" t="s">
        <v>85</v>
      </c>
      <c r="M7222" t="s">
        <v>8905</v>
      </c>
      <c r="N7222" t="s">
        <v>8905</v>
      </c>
      <c r="O7222" t="s">
        <v>73</v>
      </c>
      <c r="P7222" t="s">
        <v>1268</v>
      </c>
      <c r="Q7222" t="s">
        <v>8885</v>
      </c>
      <c r="R7222" t="s">
        <v>8886</v>
      </c>
    </row>
    <row r="7223" spans="1:18" x14ac:dyDescent="0.25">
      <c r="A7223" t="s">
        <v>22357</v>
      </c>
      <c r="B7223" t="s">
        <v>8925</v>
      </c>
      <c r="C7223" t="str">
        <f>HYPERLINK("https://nematode.unl.edu/micof25.jpg")</f>
        <v>https://nematode.unl.edu/micof25.jpg</v>
      </c>
      <c r="D7223" t="s">
        <v>43</v>
      </c>
      <c r="G7223" t="s">
        <v>28</v>
      </c>
      <c r="I7223" t="s">
        <v>45</v>
      </c>
      <c r="J7223" t="s">
        <v>20</v>
      </c>
      <c r="L7223" t="s">
        <v>352</v>
      </c>
      <c r="M7223" t="s">
        <v>8905</v>
      </c>
      <c r="N7223" t="s">
        <v>8905</v>
      </c>
      <c r="O7223" t="s">
        <v>73</v>
      </c>
      <c r="P7223" t="s">
        <v>1268</v>
      </c>
      <c r="Q7223" t="s">
        <v>8885</v>
      </c>
      <c r="R7223" t="s">
        <v>8886</v>
      </c>
    </row>
    <row r="7224" spans="1:18" x14ac:dyDescent="0.25">
      <c r="A7224" t="s">
        <v>22342</v>
      </c>
      <c r="B7224" t="s">
        <v>8926</v>
      </c>
      <c r="C7224" t="str">
        <f>HYPERLINK("https://nematode.unl.edu/micof26.jpg")</f>
        <v>https://nematode.unl.edu/micof26.jpg</v>
      </c>
      <c r="D7224" t="s">
        <v>43</v>
      </c>
      <c r="G7224" t="s">
        <v>87</v>
      </c>
      <c r="I7224" t="s">
        <v>137</v>
      </c>
      <c r="J7224" t="s">
        <v>20</v>
      </c>
      <c r="L7224" t="s">
        <v>352</v>
      </c>
      <c r="M7224" t="s">
        <v>8905</v>
      </c>
      <c r="N7224" t="s">
        <v>8905</v>
      </c>
      <c r="O7224" t="s">
        <v>73</v>
      </c>
      <c r="P7224" t="s">
        <v>1268</v>
      </c>
      <c r="Q7224" t="s">
        <v>8885</v>
      </c>
      <c r="R7224" t="s">
        <v>8886</v>
      </c>
    </row>
    <row r="7225" spans="1:18" x14ac:dyDescent="0.25">
      <c r="A7225" t="s">
        <v>22366</v>
      </c>
      <c r="B7225" t="s">
        <v>8927</v>
      </c>
      <c r="C7225" t="str">
        <f>HYPERLINK("https://nematode.unl.edu/micof27.jpg")</f>
        <v>https://nematode.unl.edu/micof27.jpg</v>
      </c>
      <c r="D7225" t="s">
        <v>43</v>
      </c>
      <c r="G7225" t="s">
        <v>51</v>
      </c>
      <c r="I7225" t="s">
        <v>137</v>
      </c>
      <c r="J7225" t="s">
        <v>20</v>
      </c>
      <c r="L7225" t="s">
        <v>352</v>
      </c>
      <c r="M7225" t="s">
        <v>8905</v>
      </c>
      <c r="N7225" t="s">
        <v>8905</v>
      </c>
      <c r="O7225" t="s">
        <v>73</v>
      </c>
      <c r="P7225" t="s">
        <v>1268</v>
      </c>
      <c r="Q7225" t="s">
        <v>8885</v>
      </c>
      <c r="R7225" t="s">
        <v>8886</v>
      </c>
    </row>
    <row r="7226" spans="1:18" x14ac:dyDescent="0.25">
      <c r="A7226" t="s">
        <v>22358</v>
      </c>
      <c r="B7226" t="s">
        <v>8928</v>
      </c>
      <c r="C7226" t="str">
        <f>HYPERLINK("https://nematode.unl.edu/micof28.jpg")</f>
        <v>https://nematode.unl.edu/micof28.jpg</v>
      </c>
      <c r="D7226" t="s">
        <v>77</v>
      </c>
      <c r="G7226" t="s">
        <v>28</v>
      </c>
      <c r="I7226" t="s">
        <v>45</v>
      </c>
      <c r="J7226" t="s">
        <v>20</v>
      </c>
      <c r="L7226" t="s">
        <v>141</v>
      </c>
      <c r="M7226" t="s">
        <v>8905</v>
      </c>
      <c r="N7226" t="s">
        <v>8905</v>
      </c>
      <c r="O7226" t="s">
        <v>73</v>
      </c>
      <c r="P7226" t="s">
        <v>1268</v>
      </c>
      <c r="Q7226" t="s">
        <v>8885</v>
      </c>
      <c r="R7226" t="s">
        <v>8886</v>
      </c>
    </row>
    <row r="7227" spans="1:18" x14ac:dyDescent="0.25">
      <c r="A7227" t="s">
        <v>22333</v>
      </c>
      <c r="B7227" t="s">
        <v>8929</v>
      </c>
      <c r="C7227" t="str">
        <f>HYPERLINK("https://nematode.unl.edu/micof29.jpg")</f>
        <v>https://nematode.unl.edu/micof29.jpg</v>
      </c>
      <c r="D7227" t="s">
        <v>77</v>
      </c>
      <c r="G7227" t="s">
        <v>34</v>
      </c>
      <c r="H7227" t="s">
        <v>18</v>
      </c>
      <c r="I7227" t="s">
        <v>45</v>
      </c>
      <c r="J7227" t="s">
        <v>20</v>
      </c>
      <c r="L7227" t="s">
        <v>141</v>
      </c>
      <c r="M7227" t="s">
        <v>8905</v>
      </c>
      <c r="N7227" t="s">
        <v>8905</v>
      </c>
      <c r="O7227" t="s">
        <v>73</v>
      </c>
      <c r="P7227" t="s">
        <v>1268</v>
      </c>
      <c r="Q7227" t="s">
        <v>8885</v>
      </c>
      <c r="R7227" t="s">
        <v>8886</v>
      </c>
    </row>
    <row r="7228" spans="1:18" x14ac:dyDescent="0.25">
      <c r="A7228" t="s">
        <v>22334</v>
      </c>
      <c r="B7228" t="s">
        <v>8930</v>
      </c>
      <c r="C7228" t="str">
        <f>HYPERLINK("https://nematode.unl.edu/micof3.jpg")</f>
        <v>https://nematode.unl.edu/micof3.jpg</v>
      </c>
      <c r="D7228" t="s">
        <v>43</v>
      </c>
      <c r="G7228" t="s">
        <v>34</v>
      </c>
      <c r="H7228" t="s">
        <v>18</v>
      </c>
      <c r="I7228" t="s">
        <v>19</v>
      </c>
      <c r="J7228" t="s">
        <v>20</v>
      </c>
      <c r="M7228" t="s">
        <v>8905</v>
      </c>
      <c r="N7228" t="s">
        <v>8905</v>
      </c>
      <c r="O7228" t="s">
        <v>73</v>
      </c>
      <c r="P7228" t="s">
        <v>1268</v>
      </c>
      <c r="Q7228" t="s">
        <v>8885</v>
      </c>
      <c r="R7228" t="s">
        <v>8886</v>
      </c>
    </row>
    <row r="7229" spans="1:18" x14ac:dyDescent="0.25">
      <c r="A7229" t="s">
        <v>22349</v>
      </c>
      <c r="B7229" t="s">
        <v>8931</v>
      </c>
      <c r="C7229" t="str">
        <f>HYPERLINK("https://nematode.unl.edu/micof30.jpg")</f>
        <v>https://nematode.unl.edu/micof30.jpg</v>
      </c>
      <c r="D7229" t="s">
        <v>77</v>
      </c>
      <c r="G7229" t="s">
        <v>112</v>
      </c>
      <c r="I7229" t="s">
        <v>137</v>
      </c>
      <c r="J7229" t="s">
        <v>20</v>
      </c>
      <c r="L7229" t="s">
        <v>141</v>
      </c>
      <c r="M7229" t="s">
        <v>8905</v>
      </c>
      <c r="N7229" t="s">
        <v>8905</v>
      </c>
      <c r="O7229" t="s">
        <v>73</v>
      </c>
      <c r="P7229" t="s">
        <v>1268</v>
      </c>
      <c r="Q7229" t="s">
        <v>8885</v>
      </c>
      <c r="R7229" t="s">
        <v>8886</v>
      </c>
    </row>
    <row r="7230" spans="1:18" x14ac:dyDescent="0.25">
      <c r="A7230" t="s">
        <v>22335</v>
      </c>
      <c r="B7230" t="s">
        <v>8932</v>
      </c>
      <c r="C7230" t="str">
        <f>HYPERLINK("https://nematode.unl.edu/micof31.jpg")</f>
        <v>https://nematode.unl.edu/micof31.jpg</v>
      </c>
      <c r="D7230" t="s">
        <v>77</v>
      </c>
      <c r="G7230" t="s">
        <v>34</v>
      </c>
      <c r="H7230" t="s">
        <v>18</v>
      </c>
      <c r="I7230" t="s">
        <v>137</v>
      </c>
      <c r="J7230" t="s">
        <v>20</v>
      </c>
      <c r="L7230" t="s">
        <v>141</v>
      </c>
      <c r="M7230" t="s">
        <v>8905</v>
      </c>
      <c r="N7230" t="s">
        <v>8905</v>
      </c>
      <c r="O7230" t="s">
        <v>73</v>
      </c>
      <c r="P7230" t="s">
        <v>1268</v>
      </c>
      <c r="Q7230" t="s">
        <v>8885</v>
      </c>
      <c r="R7230" t="s">
        <v>8886</v>
      </c>
    </row>
    <row r="7231" spans="1:18" x14ac:dyDescent="0.25">
      <c r="A7231" t="s">
        <v>22350</v>
      </c>
      <c r="B7231" t="s">
        <v>8933</v>
      </c>
      <c r="C7231" t="str">
        <f>HYPERLINK("https://nematode.unl.edu/micof33.jpg")</f>
        <v>https://nematode.unl.edu/micof33.jpg</v>
      </c>
      <c r="D7231" t="s">
        <v>77</v>
      </c>
      <c r="G7231" t="s">
        <v>112</v>
      </c>
      <c r="I7231" t="s">
        <v>137</v>
      </c>
      <c r="J7231" t="s">
        <v>20</v>
      </c>
      <c r="L7231" t="s">
        <v>64</v>
      </c>
      <c r="M7231" t="s">
        <v>8905</v>
      </c>
      <c r="N7231" t="s">
        <v>8905</v>
      </c>
      <c r="O7231" t="s">
        <v>73</v>
      </c>
      <c r="P7231" t="s">
        <v>1268</v>
      </c>
      <c r="Q7231" t="s">
        <v>8885</v>
      </c>
      <c r="R7231" t="s">
        <v>8886</v>
      </c>
    </row>
    <row r="7232" spans="1:18" x14ac:dyDescent="0.25">
      <c r="A7232" t="s">
        <v>22336</v>
      </c>
      <c r="B7232" t="s">
        <v>8934</v>
      </c>
      <c r="C7232" t="str">
        <f>HYPERLINK("https://nematode.unl.edu/micof34.jpg")</f>
        <v>https://nematode.unl.edu/micof34.jpg</v>
      </c>
      <c r="D7232" t="s">
        <v>77</v>
      </c>
      <c r="G7232" t="s">
        <v>34</v>
      </c>
      <c r="H7232" t="s">
        <v>18</v>
      </c>
      <c r="I7232" t="s">
        <v>137</v>
      </c>
      <c r="J7232" t="s">
        <v>20</v>
      </c>
      <c r="L7232" t="s">
        <v>64</v>
      </c>
      <c r="M7232" t="s">
        <v>8905</v>
      </c>
      <c r="N7232" t="s">
        <v>8905</v>
      </c>
      <c r="O7232" t="s">
        <v>73</v>
      </c>
      <c r="P7232" t="s">
        <v>1268</v>
      </c>
      <c r="Q7232" t="s">
        <v>8885</v>
      </c>
      <c r="R7232" t="s">
        <v>8886</v>
      </c>
    </row>
    <row r="7233" spans="1:18" x14ac:dyDescent="0.25">
      <c r="A7233" t="s">
        <v>22351</v>
      </c>
      <c r="B7233" t="s">
        <v>8935</v>
      </c>
      <c r="C7233" t="str">
        <f>HYPERLINK("https://nematode.unl.edu/micof35.jpg")</f>
        <v>https://nematode.unl.edu/micof35.jpg</v>
      </c>
      <c r="D7233" t="s">
        <v>77</v>
      </c>
      <c r="G7233" t="s">
        <v>112</v>
      </c>
      <c r="J7233" t="s">
        <v>20</v>
      </c>
      <c r="L7233" t="s">
        <v>64</v>
      </c>
      <c r="M7233" t="s">
        <v>8905</v>
      </c>
      <c r="N7233" t="s">
        <v>8905</v>
      </c>
      <c r="O7233" t="s">
        <v>73</v>
      </c>
      <c r="P7233" t="s">
        <v>1268</v>
      </c>
      <c r="Q7233" t="s">
        <v>8885</v>
      </c>
      <c r="R7233" t="s">
        <v>8886</v>
      </c>
    </row>
    <row r="7234" spans="1:18" x14ac:dyDescent="0.25">
      <c r="A7234" t="s">
        <v>22359</v>
      </c>
      <c r="B7234" t="s">
        <v>8936</v>
      </c>
      <c r="C7234" t="str">
        <f>HYPERLINK("https://nematode.unl.edu/micof36.jpg")</f>
        <v>https://nematode.unl.edu/micof36.jpg</v>
      </c>
      <c r="D7234" t="s">
        <v>16</v>
      </c>
      <c r="G7234" t="s">
        <v>28</v>
      </c>
      <c r="I7234" t="s">
        <v>137</v>
      </c>
      <c r="M7234" t="s">
        <v>8905</v>
      </c>
      <c r="N7234" t="s">
        <v>8905</v>
      </c>
      <c r="O7234" t="s">
        <v>73</v>
      </c>
      <c r="P7234" t="s">
        <v>1268</v>
      </c>
      <c r="Q7234" t="s">
        <v>8885</v>
      </c>
      <c r="R7234" t="s">
        <v>8886</v>
      </c>
    </row>
    <row r="7235" spans="1:18" x14ac:dyDescent="0.25">
      <c r="A7235" t="s">
        <v>22337</v>
      </c>
      <c r="B7235" t="s">
        <v>8937</v>
      </c>
      <c r="C7235" t="str">
        <f>HYPERLINK("https://nematode.unl.edu/micof37.jpg")</f>
        <v>https://nematode.unl.edu/micof37.jpg</v>
      </c>
      <c r="G7235" t="s">
        <v>34</v>
      </c>
      <c r="H7235" t="s">
        <v>18</v>
      </c>
      <c r="I7235" t="s">
        <v>137</v>
      </c>
      <c r="J7235" t="s">
        <v>20</v>
      </c>
      <c r="L7235" t="s">
        <v>35</v>
      </c>
      <c r="M7235" t="s">
        <v>8905</v>
      </c>
      <c r="N7235" t="s">
        <v>8905</v>
      </c>
      <c r="O7235" t="s">
        <v>73</v>
      </c>
      <c r="P7235" t="s">
        <v>1268</v>
      </c>
      <c r="Q7235" t="s">
        <v>8885</v>
      </c>
      <c r="R7235" t="s">
        <v>8886</v>
      </c>
    </row>
    <row r="7236" spans="1:18" x14ac:dyDescent="0.25">
      <c r="A7236" t="s">
        <v>22338</v>
      </c>
      <c r="B7236" t="s">
        <v>8938</v>
      </c>
      <c r="C7236" t="str">
        <f>HYPERLINK("https://nematode.unl.edu/micof38.jpg")</f>
        <v>https://nematode.unl.edu/micof38.jpg</v>
      </c>
      <c r="D7236" t="s">
        <v>16</v>
      </c>
      <c r="G7236" t="s">
        <v>34</v>
      </c>
      <c r="H7236" t="s">
        <v>18</v>
      </c>
      <c r="I7236" t="s">
        <v>137</v>
      </c>
      <c r="J7236" t="s">
        <v>20</v>
      </c>
      <c r="L7236" t="s">
        <v>141</v>
      </c>
      <c r="M7236" t="s">
        <v>8905</v>
      </c>
      <c r="N7236" t="s">
        <v>8905</v>
      </c>
      <c r="O7236" t="s">
        <v>73</v>
      </c>
      <c r="P7236" t="s">
        <v>1268</v>
      </c>
      <c r="Q7236" t="s">
        <v>8885</v>
      </c>
      <c r="R7236" t="s">
        <v>8886</v>
      </c>
    </row>
    <row r="7237" spans="1:18" x14ac:dyDescent="0.25">
      <c r="A7237" t="s">
        <v>22360</v>
      </c>
      <c r="B7237" t="s">
        <v>8939</v>
      </c>
      <c r="C7237" t="str">
        <f>HYPERLINK("https://nematode.unl.edu/micof39.jpg")</f>
        <v>https://nematode.unl.edu/micof39.jpg</v>
      </c>
      <c r="D7237" t="s">
        <v>16</v>
      </c>
      <c r="G7237" t="s">
        <v>28</v>
      </c>
      <c r="I7237" t="s">
        <v>137</v>
      </c>
      <c r="M7237" t="s">
        <v>8905</v>
      </c>
      <c r="N7237" t="s">
        <v>8905</v>
      </c>
      <c r="O7237" t="s">
        <v>73</v>
      </c>
      <c r="P7237" t="s">
        <v>1268</v>
      </c>
      <c r="Q7237" t="s">
        <v>8885</v>
      </c>
      <c r="R7237" t="s">
        <v>8886</v>
      </c>
    </row>
    <row r="7238" spans="1:18" x14ac:dyDescent="0.25">
      <c r="A7238" t="s">
        <v>22367</v>
      </c>
      <c r="B7238" t="s">
        <v>8940</v>
      </c>
      <c r="C7238" t="str">
        <f>HYPERLINK("https://nematode.unl.edu/micof4.jpg")</f>
        <v>https://nematode.unl.edu/micof4.jpg</v>
      </c>
      <c r="D7238" t="s">
        <v>43</v>
      </c>
      <c r="G7238" t="s">
        <v>51</v>
      </c>
      <c r="I7238" t="s">
        <v>45</v>
      </c>
      <c r="M7238" t="s">
        <v>8905</v>
      </c>
      <c r="N7238" t="s">
        <v>8905</v>
      </c>
      <c r="O7238" t="s">
        <v>73</v>
      </c>
      <c r="P7238" t="s">
        <v>1268</v>
      </c>
      <c r="Q7238" t="s">
        <v>8885</v>
      </c>
      <c r="R7238" t="s">
        <v>8886</v>
      </c>
    </row>
    <row r="7239" spans="1:18" x14ac:dyDescent="0.25">
      <c r="A7239" t="s">
        <v>22339</v>
      </c>
      <c r="B7239" t="s">
        <v>8941</v>
      </c>
      <c r="C7239" t="str">
        <f>HYPERLINK("https://nematode.unl.edu/micof40.jpg")</f>
        <v>https://nematode.unl.edu/micof40.jpg</v>
      </c>
      <c r="D7239" t="s">
        <v>43</v>
      </c>
      <c r="G7239" t="s">
        <v>34</v>
      </c>
      <c r="H7239" t="s">
        <v>18</v>
      </c>
      <c r="I7239" t="s">
        <v>137</v>
      </c>
      <c r="J7239" t="s">
        <v>20</v>
      </c>
      <c r="L7239" t="s">
        <v>206</v>
      </c>
      <c r="M7239" t="s">
        <v>8905</v>
      </c>
      <c r="N7239" t="s">
        <v>8905</v>
      </c>
      <c r="O7239" t="s">
        <v>73</v>
      </c>
      <c r="P7239" t="s">
        <v>1268</v>
      </c>
      <c r="Q7239" t="s">
        <v>8885</v>
      </c>
      <c r="R7239" t="s">
        <v>8886</v>
      </c>
    </row>
    <row r="7240" spans="1:18" x14ac:dyDescent="0.25">
      <c r="A7240" t="s">
        <v>22368</v>
      </c>
      <c r="B7240" t="s">
        <v>8942</v>
      </c>
      <c r="C7240" t="str">
        <f>HYPERLINK("https://nematode.unl.edu/micof41.jpg")</f>
        <v>https://nematode.unl.edu/micof41.jpg</v>
      </c>
      <c r="D7240" t="s">
        <v>43</v>
      </c>
      <c r="G7240" t="s">
        <v>51</v>
      </c>
      <c r="I7240" t="s">
        <v>137</v>
      </c>
      <c r="J7240" t="s">
        <v>20</v>
      </c>
      <c r="M7240" t="s">
        <v>8905</v>
      </c>
      <c r="N7240" t="s">
        <v>8905</v>
      </c>
      <c r="O7240" t="s">
        <v>73</v>
      </c>
      <c r="P7240" t="s">
        <v>1268</v>
      </c>
      <c r="Q7240" t="s">
        <v>8885</v>
      </c>
      <c r="R7240" t="s">
        <v>8886</v>
      </c>
    </row>
    <row r="7241" spans="1:18" x14ac:dyDescent="0.25">
      <c r="A7241" t="s">
        <v>22361</v>
      </c>
      <c r="B7241" t="s">
        <v>8943</v>
      </c>
      <c r="C7241" t="str">
        <f>HYPERLINK("https://nematode.unl.edu/micof42.jpg")</f>
        <v>https://nematode.unl.edu/micof42.jpg</v>
      </c>
      <c r="D7241" t="s">
        <v>43</v>
      </c>
      <c r="G7241" t="s">
        <v>28</v>
      </c>
      <c r="I7241" t="s">
        <v>45</v>
      </c>
      <c r="L7241" t="s">
        <v>206</v>
      </c>
      <c r="M7241" t="s">
        <v>8905</v>
      </c>
      <c r="N7241" t="s">
        <v>8905</v>
      </c>
      <c r="O7241" t="s">
        <v>73</v>
      </c>
      <c r="P7241" t="s">
        <v>1268</v>
      </c>
      <c r="Q7241" t="s">
        <v>8885</v>
      </c>
      <c r="R7241" t="s">
        <v>8886</v>
      </c>
    </row>
    <row r="7242" spans="1:18" x14ac:dyDescent="0.25">
      <c r="A7242" t="s">
        <v>22344</v>
      </c>
      <c r="B7242" t="s">
        <v>8944</v>
      </c>
      <c r="C7242" t="str">
        <f>HYPERLINK("https://nematode.unl.edu/micof43.jpg")</f>
        <v>https://nematode.unl.edu/micof43.jpg</v>
      </c>
      <c r="D7242" t="s">
        <v>77</v>
      </c>
      <c r="G7242" t="s">
        <v>44</v>
      </c>
      <c r="I7242" t="s">
        <v>91</v>
      </c>
      <c r="J7242" t="s">
        <v>20</v>
      </c>
      <c r="L7242" t="s">
        <v>8945</v>
      </c>
      <c r="M7242" t="s">
        <v>8905</v>
      </c>
      <c r="N7242" t="s">
        <v>8905</v>
      </c>
      <c r="O7242" t="s">
        <v>73</v>
      </c>
      <c r="P7242" t="s">
        <v>1268</v>
      </c>
      <c r="Q7242" t="s">
        <v>8885</v>
      </c>
      <c r="R7242" t="s">
        <v>8886</v>
      </c>
    </row>
    <row r="7243" spans="1:18" x14ac:dyDescent="0.25">
      <c r="A7243" t="s">
        <v>22327</v>
      </c>
      <c r="B7243" t="s">
        <v>8946</v>
      </c>
      <c r="C7243" t="str">
        <f>HYPERLINK("https://nematode.unl.edu/micof44.jpg")</f>
        <v>https://nematode.unl.edu/micof44.jpg</v>
      </c>
      <c r="D7243" t="s">
        <v>77</v>
      </c>
      <c r="G7243" t="s">
        <v>96</v>
      </c>
      <c r="H7243" t="s">
        <v>18</v>
      </c>
      <c r="I7243" t="s">
        <v>45</v>
      </c>
      <c r="J7243" t="s">
        <v>20</v>
      </c>
      <c r="M7243" t="s">
        <v>8905</v>
      </c>
      <c r="N7243" t="s">
        <v>8905</v>
      </c>
      <c r="O7243" t="s">
        <v>73</v>
      </c>
      <c r="P7243" t="s">
        <v>1268</v>
      </c>
      <c r="Q7243" t="s">
        <v>8885</v>
      </c>
      <c r="R7243" t="s">
        <v>8886</v>
      </c>
    </row>
    <row r="7244" spans="1:18" x14ac:dyDescent="0.25">
      <c r="A7244" t="s">
        <v>22347</v>
      </c>
      <c r="B7244" t="s">
        <v>8947</v>
      </c>
      <c r="C7244" t="str">
        <f>HYPERLINK("https://nematode.unl.edu/micof45.jpg")</f>
        <v>https://nematode.unl.edu/micof45.jpg</v>
      </c>
      <c r="D7244" t="s">
        <v>77</v>
      </c>
      <c r="G7244" t="s">
        <v>181</v>
      </c>
      <c r="I7244" t="s">
        <v>45</v>
      </c>
      <c r="J7244" t="s">
        <v>20</v>
      </c>
      <c r="M7244" t="s">
        <v>8905</v>
      </c>
      <c r="N7244" t="s">
        <v>8905</v>
      </c>
      <c r="O7244" t="s">
        <v>73</v>
      </c>
      <c r="P7244" t="s">
        <v>1268</v>
      </c>
      <c r="Q7244" t="s">
        <v>8885</v>
      </c>
      <c r="R7244" t="s">
        <v>8886</v>
      </c>
    </row>
    <row r="7245" spans="1:18" x14ac:dyDescent="0.25">
      <c r="A7245" t="s">
        <v>22340</v>
      </c>
      <c r="B7245" t="s">
        <v>8948</v>
      </c>
      <c r="C7245" t="str">
        <f>HYPERLINK("https://nematode.unl.edu/micof46.jpg")</f>
        <v>https://nematode.unl.edu/micof46.jpg</v>
      </c>
      <c r="D7245" t="s">
        <v>77</v>
      </c>
      <c r="G7245" t="s">
        <v>34</v>
      </c>
      <c r="H7245" t="s">
        <v>18</v>
      </c>
      <c r="I7245" t="s">
        <v>19</v>
      </c>
      <c r="J7245" t="s">
        <v>20</v>
      </c>
      <c r="M7245" t="s">
        <v>8905</v>
      </c>
      <c r="N7245" t="s">
        <v>8905</v>
      </c>
      <c r="O7245" t="s">
        <v>73</v>
      </c>
      <c r="P7245" t="s">
        <v>1268</v>
      </c>
      <c r="Q7245" t="s">
        <v>8885</v>
      </c>
      <c r="R7245" t="s">
        <v>8886</v>
      </c>
    </row>
    <row r="7246" spans="1:18" x14ac:dyDescent="0.25">
      <c r="A7246" t="s">
        <v>22328</v>
      </c>
      <c r="B7246" t="s">
        <v>8949</v>
      </c>
      <c r="C7246" t="str">
        <f>HYPERLINK("https://nematode.unl.edu/micof47.jpg")</f>
        <v>https://nematode.unl.edu/micof47.jpg</v>
      </c>
      <c r="G7246" t="s">
        <v>17</v>
      </c>
      <c r="H7246" t="s">
        <v>18</v>
      </c>
      <c r="J7246" t="s">
        <v>20</v>
      </c>
      <c r="M7246" t="s">
        <v>8905</v>
      </c>
      <c r="N7246" t="s">
        <v>8905</v>
      </c>
      <c r="O7246" t="s">
        <v>73</v>
      </c>
      <c r="P7246" t="s">
        <v>1268</v>
      </c>
      <c r="Q7246" t="s">
        <v>8885</v>
      </c>
      <c r="R7246" t="s">
        <v>8886</v>
      </c>
    </row>
    <row r="7247" spans="1:18" x14ac:dyDescent="0.25">
      <c r="A7247" t="s">
        <v>22352</v>
      </c>
      <c r="B7247" t="s">
        <v>8950</v>
      </c>
      <c r="C7247" t="str">
        <f>HYPERLINK("https://nematode.unl.edu/micof48.jpg")</f>
        <v>https://nematode.unl.edu/micof48.jpg</v>
      </c>
      <c r="D7247" t="s">
        <v>77</v>
      </c>
      <c r="G7247" t="s">
        <v>112</v>
      </c>
      <c r="J7247" t="s">
        <v>20</v>
      </c>
      <c r="M7247" t="s">
        <v>8905</v>
      </c>
      <c r="N7247" t="s">
        <v>8905</v>
      </c>
      <c r="O7247" t="s">
        <v>73</v>
      </c>
      <c r="P7247" t="s">
        <v>1268</v>
      </c>
      <c r="Q7247" t="s">
        <v>8885</v>
      </c>
      <c r="R7247" t="s">
        <v>8886</v>
      </c>
    </row>
    <row r="7248" spans="1:18" x14ac:dyDescent="0.25">
      <c r="A7248" t="s">
        <v>22369</v>
      </c>
      <c r="B7248" t="s">
        <v>8951</v>
      </c>
      <c r="C7248" t="str">
        <f>HYPERLINK("https://nematode.unl.edu/micof5.jpg")</f>
        <v>https://nematode.unl.edu/micof5.jpg</v>
      </c>
      <c r="D7248" t="s">
        <v>43</v>
      </c>
      <c r="G7248" t="s">
        <v>51</v>
      </c>
      <c r="I7248" t="s">
        <v>19</v>
      </c>
      <c r="J7248" t="s">
        <v>20</v>
      </c>
      <c r="M7248" t="s">
        <v>8905</v>
      </c>
      <c r="N7248" t="s">
        <v>8905</v>
      </c>
      <c r="O7248" t="s">
        <v>73</v>
      </c>
      <c r="P7248" t="s">
        <v>1268</v>
      </c>
      <c r="Q7248" t="s">
        <v>8885</v>
      </c>
      <c r="R7248" t="s">
        <v>8886</v>
      </c>
    </row>
    <row r="7249" spans="1:18" x14ac:dyDescent="0.25">
      <c r="A7249" t="s">
        <v>22341</v>
      </c>
      <c r="B7249" t="s">
        <v>8952</v>
      </c>
      <c r="C7249" t="str">
        <f>HYPERLINK("https://nematode.unl.edu/micof6.jpg")</f>
        <v>https://nematode.unl.edu/micof6.jpg</v>
      </c>
      <c r="D7249" t="s">
        <v>43</v>
      </c>
      <c r="G7249" t="s">
        <v>34</v>
      </c>
      <c r="H7249" t="s">
        <v>18</v>
      </c>
      <c r="I7249" t="s">
        <v>19</v>
      </c>
      <c r="J7249" t="s">
        <v>20</v>
      </c>
      <c r="L7249" t="s">
        <v>64</v>
      </c>
      <c r="M7249" t="s">
        <v>8905</v>
      </c>
      <c r="N7249" t="s">
        <v>8905</v>
      </c>
      <c r="O7249" t="s">
        <v>73</v>
      </c>
      <c r="P7249" t="s">
        <v>1268</v>
      </c>
      <c r="Q7249" t="s">
        <v>8885</v>
      </c>
      <c r="R7249" t="s">
        <v>8886</v>
      </c>
    </row>
    <row r="7250" spans="1:18" x14ac:dyDescent="0.25">
      <c r="A7250" t="s">
        <v>22343</v>
      </c>
      <c r="B7250" t="s">
        <v>8953</v>
      </c>
      <c r="C7250" t="str">
        <f>HYPERLINK("https://nematode.unl.edu/micof7.jpg")</f>
        <v>https://nematode.unl.edu/micof7.jpg</v>
      </c>
      <c r="D7250" t="s">
        <v>43</v>
      </c>
      <c r="G7250" t="s">
        <v>87</v>
      </c>
      <c r="I7250" t="s">
        <v>19</v>
      </c>
      <c r="J7250" t="s">
        <v>20</v>
      </c>
      <c r="L7250" t="s">
        <v>64</v>
      </c>
      <c r="M7250" t="s">
        <v>8905</v>
      </c>
      <c r="N7250" t="s">
        <v>8905</v>
      </c>
      <c r="O7250" t="s">
        <v>73</v>
      </c>
      <c r="P7250" t="s">
        <v>1268</v>
      </c>
      <c r="Q7250" t="s">
        <v>8885</v>
      </c>
      <c r="R7250" t="s">
        <v>8886</v>
      </c>
    </row>
    <row r="7251" spans="1:18" x14ac:dyDescent="0.25">
      <c r="A7251" t="s">
        <v>22370</v>
      </c>
      <c r="B7251" t="s">
        <v>8954</v>
      </c>
      <c r="C7251" t="str">
        <f>HYPERLINK("https://nematode.unl.edu/micof8.jpg")</f>
        <v>https://nematode.unl.edu/micof8.jpg</v>
      </c>
      <c r="D7251" t="s">
        <v>43</v>
      </c>
      <c r="G7251" t="s">
        <v>51</v>
      </c>
      <c r="I7251" t="s">
        <v>19</v>
      </c>
      <c r="M7251" t="s">
        <v>8905</v>
      </c>
      <c r="N7251" t="s">
        <v>8905</v>
      </c>
      <c r="O7251" t="s">
        <v>73</v>
      </c>
      <c r="P7251" t="s">
        <v>1268</v>
      </c>
      <c r="Q7251" t="s">
        <v>8885</v>
      </c>
      <c r="R7251" t="s">
        <v>8886</v>
      </c>
    </row>
    <row r="7252" spans="1:18" x14ac:dyDescent="0.25">
      <c r="A7252" t="s">
        <v>22372</v>
      </c>
      <c r="B7252" t="s">
        <v>8955</v>
      </c>
      <c r="C7252" t="str">
        <f>HYPERLINK("https://nematode.unl.edu/micof9.jpg")</f>
        <v>https://nematode.unl.edu/micof9.jpg</v>
      </c>
      <c r="D7252" t="s">
        <v>43</v>
      </c>
      <c r="G7252" t="s">
        <v>3058</v>
      </c>
      <c r="I7252" t="s">
        <v>19</v>
      </c>
      <c r="J7252" t="s">
        <v>20</v>
      </c>
      <c r="L7252" t="s">
        <v>64</v>
      </c>
      <c r="M7252" t="s">
        <v>8905</v>
      </c>
      <c r="N7252" t="s">
        <v>8905</v>
      </c>
      <c r="O7252" t="s">
        <v>73</v>
      </c>
      <c r="P7252" t="s">
        <v>1268</v>
      </c>
      <c r="Q7252" t="s">
        <v>8885</v>
      </c>
      <c r="R7252" t="s">
        <v>8886</v>
      </c>
    </row>
    <row r="7253" spans="1:18" x14ac:dyDescent="0.25">
      <c r="A7253" t="s">
        <v>21804</v>
      </c>
      <c r="B7253" t="s">
        <v>9051</v>
      </c>
      <c r="C7253" t="str">
        <f>HYPERLINK("https://nematode.unl.edu/micrap1.jpg")</f>
        <v>https://nematode.unl.edu/micrap1.jpg</v>
      </c>
      <c r="D7253" t="s">
        <v>43</v>
      </c>
      <c r="G7253" t="s">
        <v>44</v>
      </c>
      <c r="I7253" t="s">
        <v>45</v>
      </c>
      <c r="J7253" t="s">
        <v>20</v>
      </c>
      <c r="L7253" t="s">
        <v>752</v>
      </c>
      <c r="M7253" t="s">
        <v>9052</v>
      </c>
      <c r="N7253" t="s">
        <v>9052</v>
      </c>
      <c r="O7253" t="s">
        <v>73</v>
      </c>
      <c r="P7253" t="s">
        <v>81</v>
      </c>
      <c r="Q7253" t="s">
        <v>82</v>
      </c>
      <c r="R7253" t="s">
        <v>8958</v>
      </c>
    </row>
    <row r="7254" spans="1:18" x14ac:dyDescent="0.25">
      <c r="A7254" t="s">
        <v>21800</v>
      </c>
      <c r="B7254" t="s">
        <v>9053</v>
      </c>
      <c r="C7254" t="str">
        <f>HYPERLINK("https://nematode.unl.edu/micrap2.jpg")</f>
        <v>https://nematode.unl.edu/micrap2.jpg</v>
      </c>
      <c r="D7254" t="s">
        <v>43</v>
      </c>
      <c r="G7254" t="s">
        <v>34</v>
      </c>
      <c r="H7254" t="s">
        <v>18</v>
      </c>
      <c r="J7254" t="s">
        <v>20</v>
      </c>
      <c r="L7254" t="s">
        <v>752</v>
      </c>
      <c r="M7254" t="s">
        <v>9052</v>
      </c>
      <c r="N7254" t="s">
        <v>9052</v>
      </c>
      <c r="O7254" t="s">
        <v>73</v>
      </c>
      <c r="P7254" t="s">
        <v>81</v>
      </c>
      <c r="Q7254" t="s">
        <v>82</v>
      </c>
      <c r="R7254" t="s">
        <v>8958</v>
      </c>
    </row>
    <row r="7255" spans="1:18" x14ac:dyDescent="0.25">
      <c r="A7255" t="s">
        <v>21802</v>
      </c>
      <c r="B7255" t="s">
        <v>9054</v>
      </c>
      <c r="C7255" t="str">
        <f>HYPERLINK("https://nematode.unl.edu/micrap3.jpg")</f>
        <v>https://nematode.unl.edu/micrap3.jpg</v>
      </c>
      <c r="D7255" t="s">
        <v>43</v>
      </c>
      <c r="G7255" t="s">
        <v>87</v>
      </c>
      <c r="J7255" t="s">
        <v>20</v>
      </c>
      <c r="L7255" t="s">
        <v>752</v>
      </c>
      <c r="M7255" t="s">
        <v>9052</v>
      </c>
      <c r="N7255" t="s">
        <v>9052</v>
      </c>
      <c r="O7255" t="s">
        <v>73</v>
      </c>
      <c r="P7255" t="s">
        <v>81</v>
      </c>
      <c r="Q7255" t="s">
        <v>82</v>
      </c>
      <c r="R7255" t="s">
        <v>8958</v>
      </c>
    </row>
    <row r="7256" spans="1:18" x14ac:dyDescent="0.25">
      <c r="A7256" t="s">
        <v>21807</v>
      </c>
      <c r="B7256" t="s">
        <v>9055</v>
      </c>
      <c r="C7256" t="str">
        <f>HYPERLINK("https://nematode.unl.edu/micrap4.jpg")</f>
        <v>https://nematode.unl.edu/micrap4.jpg</v>
      </c>
      <c r="D7256" t="s">
        <v>43</v>
      </c>
      <c r="G7256" t="s">
        <v>51</v>
      </c>
      <c r="I7256" t="s">
        <v>19</v>
      </c>
      <c r="J7256" t="s">
        <v>20</v>
      </c>
      <c r="L7256" t="s">
        <v>752</v>
      </c>
      <c r="M7256" t="s">
        <v>9052</v>
      </c>
      <c r="N7256" t="s">
        <v>9052</v>
      </c>
      <c r="O7256" t="s">
        <v>73</v>
      </c>
      <c r="P7256" t="s">
        <v>81</v>
      </c>
      <c r="Q7256" t="s">
        <v>82</v>
      </c>
      <c r="R7256" t="s">
        <v>8958</v>
      </c>
    </row>
    <row r="7257" spans="1:18" x14ac:dyDescent="0.25">
      <c r="A7257" t="s">
        <v>21805</v>
      </c>
      <c r="B7257" t="s">
        <v>9056</v>
      </c>
      <c r="C7257" t="str">
        <f>HYPERLINK("https://nematode.unl.edu/micrap5.jpg")</f>
        <v>https://nematode.unl.edu/micrap5.jpg</v>
      </c>
      <c r="D7257" t="s">
        <v>43</v>
      </c>
      <c r="G7257" t="s">
        <v>28</v>
      </c>
      <c r="I7257" t="s">
        <v>19</v>
      </c>
      <c r="J7257" t="s">
        <v>20</v>
      </c>
      <c r="L7257" t="s">
        <v>752</v>
      </c>
      <c r="M7257" t="s">
        <v>9052</v>
      </c>
      <c r="N7257" t="s">
        <v>9052</v>
      </c>
      <c r="O7257" t="s">
        <v>73</v>
      </c>
      <c r="P7257" t="s">
        <v>81</v>
      </c>
      <c r="Q7257" t="s">
        <v>82</v>
      </c>
      <c r="R7257" t="s">
        <v>8958</v>
      </c>
    </row>
    <row r="7258" spans="1:18" x14ac:dyDescent="0.25">
      <c r="A7258" t="s">
        <v>21801</v>
      </c>
      <c r="B7258" t="s">
        <v>9057</v>
      </c>
      <c r="C7258" t="str">
        <f>HYPERLINK("https://nematode.unl.edu/micrap6.jpg")</f>
        <v>https://nematode.unl.edu/micrap6.jpg</v>
      </c>
      <c r="D7258" t="s">
        <v>43</v>
      </c>
      <c r="G7258" t="s">
        <v>257</v>
      </c>
      <c r="H7258" t="s">
        <v>18</v>
      </c>
      <c r="J7258" t="s">
        <v>20</v>
      </c>
      <c r="L7258" t="s">
        <v>752</v>
      </c>
      <c r="M7258" t="s">
        <v>9052</v>
      </c>
      <c r="N7258" t="s">
        <v>9052</v>
      </c>
      <c r="O7258" t="s">
        <v>73</v>
      </c>
      <c r="P7258" t="s">
        <v>81</v>
      </c>
      <c r="Q7258" t="s">
        <v>82</v>
      </c>
      <c r="R7258" t="s">
        <v>8958</v>
      </c>
    </row>
    <row r="7259" spans="1:18" x14ac:dyDescent="0.25">
      <c r="A7259" t="s">
        <v>21803</v>
      </c>
      <c r="B7259" t="s">
        <v>9058</v>
      </c>
      <c r="C7259" t="str">
        <f>HYPERLINK("https://nematode.unl.edu/micrap7.jpg")</f>
        <v>https://nematode.unl.edu/micrap7.jpg</v>
      </c>
      <c r="D7259" t="s">
        <v>43</v>
      </c>
      <c r="G7259" t="s">
        <v>87</v>
      </c>
      <c r="I7259" t="s">
        <v>529</v>
      </c>
      <c r="J7259" t="s">
        <v>20</v>
      </c>
      <c r="L7259" t="s">
        <v>752</v>
      </c>
      <c r="M7259" t="s">
        <v>9052</v>
      </c>
      <c r="N7259" t="s">
        <v>9052</v>
      </c>
      <c r="O7259" t="s">
        <v>73</v>
      </c>
      <c r="P7259" t="s">
        <v>81</v>
      </c>
      <c r="Q7259" t="s">
        <v>82</v>
      </c>
      <c r="R7259" t="s">
        <v>8958</v>
      </c>
    </row>
    <row r="7260" spans="1:18" x14ac:dyDescent="0.25">
      <c r="A7260" t="s">
        <v>21806</v>
      </c>
      <c r="B7260" t="s">
        <v>9059</v>
      </c>
      <c r="C7260" t="str">
        <f>HYPERLINK("https://nematode.unl.edu/micrap8.jpg")</f>
        <v>https://nematode.unl.edu/micrap8.jpg</v>
      </c>
      <c r="D7260" t="s">
        <v>43</v>
      </c>
      <c r="G7260" t="s">
        <v>28</v>
      </c>
      <c r="I7260" t="s">
        <v>41</v>
      </c>
      <c r="J7260" t="s">
        <v>20</v>
      </c>
      <c r="L7260" t="s">
        <v>752</v>
      </c>
      <c r="M7260" t="s">
        <v>9052</v>
      </c>
      <c r="N7260" t="s">
        <v>9052</v>
      </c>
      <c r="O7260" t="s">
        <v>73</v>
      </c>
      <c r="P7260" t="s">
        <v>81</v>
      </c>
      <c r="Q7260" t="s">
        <v>82</v>
      </c>
      <c r="R7260" t="s">
        <v>8958</v>
      </c>
    </row>
    <row r="7261" spans="1:18" x14ac:dyDescent="0.25">
      <c r="A7261" t="s">
        <v>21772</v>
      </c>
      <c r="B7261" t="s">
        <v>9013</v>
      </c>
      <c r="C7261" t="str">
        <f>HYPERLINK("https://nematode.unl.edu/microm1.jpg")</f>
        <v>https://nematode.unl.edu/microm1.jpg</v>
      </c>
      <c r="D7261" t="s">
        <v>43</v>
      </c>
      <c r="G7261" t="s">
        <v>44</v>
      </c>
      <c r="I7261" t="s">
        <v>45</v>
      </c>
      <c r="J7261" t="s">
        <v>20</v>
      </c>
      <c r="L7261" t="s">
        <v>64</v>
      </c>
      <c r="M7261" t="s">
        <v>9014</v>
      </c>
      <c r="N7261" t="s">
        <v>9014</v>
      </c>
      <c r="O7261" t="s">
        <v>73</v>
      </c>
      <c r="P7261" t="s">
        <v>81</v>
      </c>
      <c r="Q7261" t="s">
        <v>82</v>
      </c>
      <c r="R7261" t="s">
        <v>8958</v>
      </c>
    </row>
    <row r="7262" spans="1:18" x14ac:dyDescent="0.25">
      <c r="A7262" t="s">
        <v>21773</v>
      </c>
      <c r="B7262" t="s">
        <v>9015</v>
      </c>
      <c r="C7262" t="str">
        <f>HYPERLINK("https://nematode.unl.edu/microm10.jpg")</f>
        <v>https://nematode.unl.edu/microm10.jpg</v>
      </c>
      <c r="D7262" t="s">
        <v>43</v>
      </c>
      <c r="G7262" t="s">
        <v>44</v>
      </c>
      <c r="I7262" t="s">
        <v>499</v>
      </c>
      <c r="J7262" t="s">
        <v>20</v>
      </c>
      <c r="L7262" t="s">
        <v>183</v>
      </c>
      <c r="M7262" t="s">
        <v>9014</v>
      </c>
      <c r="N7262" t="s">
        <v>9014</v>
      </c>
      <c r="O7262" t="s">
        <v>73</v>
      </c>
      <c r="P7262" t="s">
        <v>81</v>
      </c>
      <c r="Q7262" t="s">
        <v>82</v>
      </c>
      <c r="R7262" t="s">
        <v>8958</v>
      </c>
    </row>
    <row r="7263" spans="1:18" x14ac:dyDescent="0.25">
      <c r="A7263" t="s">
        <v>21768</v>
      </c>
      <c r="B7263" t="s">
        <v>9016</v>
      </c>
      <c r="C7263" t="str">
        <f>HYPERLINK("https://nematode.unl.edu/microm11.jpg")</f>
        <v>https://nematode.unl.edu/microm11.jpg</v>
      </c>
      <c r="D7263" t="s">
        <v>43</v>
      </c>
      <c r="G7263" t="s">
        <v>34</v>
      </c>
      <c r="H7263" t="s">
        <v>18</v>
      </c>
      <c r="M7263" t="s">
        <v>9014</v>
      </c>
      <c r="N7263" t="s">
        <v>9014</v>
      </c>
      <c r="O7263" t="s">
        <v>73</v>
      </c>
      <c r="P7263" t="s">
        <v>81</v>
      </c>
      <c r="Q7263" t="s">
        <v>82</v>
      </c>
      <c r="R7263" t="s">
        <v>8958</v>
      </c>
    </row>
    <row r="7264" spans="1:18" x14ac:dyDescent="0.25">
      <c r="A7264" t="s">
        <v>21766</v>
      </c>
      <c r="B7264" t="s">
        <v>9017</v>
      </c>
      <c r="C7264" t="str">
        <f>HYPERLINK("https://nematode.unl.edu/microm12.jpg")</f>
        <v>https://nematode.unl.edu/microm12.jpg</v>
      </c>
      <c r="D7264" t="s">
        <v>43</v>
      </c>
      <c r="G7264" t="s">
        <v>17</v>
      </c>
      <c r="H7264" t="s">
        <v>18</v>
      </c>
      <c r="M7264" t="s">
        <v>9014</v>
      </c>
      <c r="N7264" t="s">
        <v>9014</v>
      </c>
      <c r="O7264" t="s">
        <v>73</v>
      </c>
      <c r="P7264" t="s">
        <v>81</v>
      </c>
      <c r="Q7264" t="s">
        <v>82</v>
      </c>
      <c r="R7264" t="s">
        <v>8958</v>
      </c>
    </row>
    <row r="7265" spans="1:18" x14ac:dyDescent="0.25">
      <c r="A7265" t="s">
        <v>21777</v>
      </c>
      <c r="B7265" t="s">
        <v>9018</v>
      </c>
      <c r="C7265" t="str">
        <f>HYPERLINK("https://nematode.unl.edu/microm13.jpg")</f>
        <v>https://nematode.unl.edu/microm13.jpg</v>
      </c>
      <c r="D7265" t="s">
        <v>43</v>
      </c>
      <c r="G7265" t="s">
        <v>51</v>
      </c>
      <c r="I7265" t="s">
        <v>19</v>
      </c>
      <c r="M7265" t="s">
        <v>9014</v>
      </c>
      <c r="N7265" t="s">
        <v>9014</v>
      </c>
      <c r="O7265" t="s">
        <v>73</v>
      </c>
      <c r="P7265" t="s">
        <v>81</v>
      </c>
      <c r="Q7265" t="s">
        <v>82</v>
      </c>
      <c r="R7265" t="s">
        <v>8958</v>
      </c>
    </row>
    <row r="7266" spans="1:18" x14ac:dyDescent="0.25">
      <c r="A7266" t="s">
        <v>21769</v>
      </c>
      <c r="B7266" t="s">
        <v>9019</v>
      </c>
      <c r="C7266" t="str">
        <f>HYPERLINK("https://nematode.unl.edu/microm14.jpg")</f>
        <v>https://nematode.unl.edu/microm14.jpg</v>
      </c>
      <c r="G7266" t="s">
        <v>34</v>
      </c>
      <c r="H7266" t="s">
        <v>18</v>
      </c>
      <c r="I7266" t="s">
        <v>41</v>
      </c>
      <c r="J7266" t="s">
        <v>20</v>
      </c>
      <c r="L7266" t="s">
        <v>64</v>
      </c>
      <c r="M7266" t="s">
        <v>9014</v>
      </c>
      <c r="N7266" t="s">
        <v>9014</v>
      </c>
      <c r="O7266" t="s">
        <v>73</v>
      </c>
      <c r="P7266" t="s">
        <v>81</v>
      </c>
      <c r="Q7266" t="s">
        <v>82</v>
      </c>
      <c r="R7266" t="s">
        <v>8958</v>
      </c>
    </row>
    <row r="7267" spans="1:18" x14ac:dyDescent="0.25">
      <c r="A7267" t="s">
        <v>21770</v>
      </c>
      <c r="B7267" t="s">
        <v>9020</v>
      </c>
      <c r="C7267" t="str">
        <f>HYPERLINK("https://nematode.unl.edu/microm2.jpg")</f>
        <v>https://nematode.unl.edu/microm2.jpg</v>
      </c>
      <c r="D7267" t="s">
        <v>43</v>
      </c>
      <c r="G7267" t="s">
        <v>34</v>
      </c>
      <c r="H7267" t="s">
        <v>18</v>
      </c>
      <c r="I7267" t="s">
        <v>19</v>
      </c>
      <c r="J7267" t="s">
        <v>20</v>
      </c>
      <c r="L7267" t="s">
        <v>64</v>
      </c>
      <c r="M7267" t="s">
        <v>9014</v>
      </c>
      <c r="N7267" t="s">
        <v>9014</v>
      </c>
      <c r="O7267" t="s">
        <v>73</v>
      </c>
      <c r="P7267" t="s">
        <v>81</v>
      </c>
      <c r="Q7267" t="s">
        <v>82</v>
      </c>
      <c r="R7267" t="s">
        <v>8958</v>
      </c>
    </row>
    <row r="7268" spans="1:18" x14ac:dyDescent="0.25">
      <c r="A7268" t="s">
        <v>21778</v>
      </c>
      <c r="B7268" t="s">
        <v>9021</v>
      </c>
      <c r="C7268" t="str">
        <f>HYPERLINK("https://nematode.unl.edu/microm3.jpg")</f>
        <v>https://nematode.unl.edu/microm3.jpg</v>
      </c>
      <c r="D7268" t="s">
        <v>43</v>
      </c>
      <c r="G7268" t="s">
        <v>51</v>
      </c>
      <c r="I7268" t="s">
        <v>19</v>
      </c>
      <c r="J7268" t="s">
        <v>20</v>
      </c>
      <c r="L7268" t="s">
        <v>64</v>
      </c>
      <c r="M7268" t="s">
        <v>9014</v>
      </c>
      <c r="N7268" t="s">
        <v>9014</v>
      </c>
      <c r="O7268" t="s">
        <v>73</v>
      </c>
      <c r="P7268" t="s">
        <v>81</v>
      </c>
      <c r="Q7268" t="s">
        <v>82</v>
      </c>
      <c r="R7268" t="s">
        <v>8958</v>
      </c>
    </row>
    <row r="7269" spans="1:18" x14ac:dyDescent="0.25">
      <c r="A7269" t="s">
        <v>21767</v>
      </c>
      <c r="B7269" t="s">
        <v>9022</v>
      </c>
      <c r="C7269" t="str">
        <f>HYPERLINK("https://nematode.unl.edu/microm4.jpg")</f>
        <v>https://nematode.unl.edu/microm4.jpg</v>
      </c>
      <c r="D7269" t="s">
        <v>43</v>
      </c>
      <c r="G7269" t="s">
        <v>17</v>
      </c>
      <c r="H7269" t="s">
        <v>18</v>
      </c>
      <c r="I7269" t="s">
        <v>19</v>
      </c>
      <c r="J7269" t="s">
        <v>20</v>
      </c>
      <c r="L7269" t="s">
        <v>64</v>
      </c>
      <c r="M7269" t="s">
        <v>9014</v>
      </c>
      <c r="N7269" t="s">
        <v>9014</v>
      </c>
      <c r="O7269" t="s">
        <v>73</v>
      </c>
      <c r="P7269" t="s">
        <v>81</v>
      </c>
      <c r="Q7269" t="s">
        <v>82</v>
      </c>
      <c r="R7269" t="s">
        <v>8958</v>
      </c>
    </row>
    <row r="7270" spans="1:18" x14ac:dyDescent="0.25">
      <c r="A7270" t="s">
        <v>21775</v>
      </c>
      <c r="B7270" t="s">
        <v>9023</v>
      </c>
      <c r="C7270" t="str">
        <f>HYPERLINK("https://nematode.unl.edu/microm5.jpg")</f>
        <v>https://nematode.unl.edu/microm5.jpg</v>
      </c>
      <c r="D7270" t="s">
        <v>43</v>
      </c>
      <c r="G7270" t="s">
        <v>28</v>
      </c>
      <c r="J7270" t="s">
        <v>20</v>
      </c>
      <c r="L7270" t="s">
        <v>64</v>
      </c>
      <c r="M7270" t="s">
        <v>9014</v>
      </c>
      <c r="N7270" t="s">
        <v>9014</v>
      </c>
      <c r="O7270" t="s">
        <v>73</v>
      </c>
      <c r="P7270" t="s">
        <v>81</v>
      </c>
      <c r="Q7270" t="s">
        <v>82</v>
      </c>
      <c r="R7270" t="s">
        <v>8958</v>
      </c>
    </row>
    <row r="7271" spans="1:18" x14ac:dyDescent="0.25">
      <c r="A7271" t="s">
        <v>21774</v>
      </c>
      <c r="B7271" t="s">
        <v>9024</v>
      </c>
      <c r="C7271" t="str">
        <f>HYPERLINK("https://nematode.unl.edu/microm6.jpg")</f>
        <v>https://nematode.unl.edu/microm6.jpg</v>
      </c>
      <c r="D7271" t="s">
        <v>43</v>
      </c>
      <c r="G7271" t="s">
        <v>44</v>
      </c>
      <c r="I7271" t="s">
        <v>45</v>
      </c>
      <c r="J7271" t="s">
        <v>20</v>
      </c>
      <c r="L7271" t="s">
        <v>183</v>
      </c>
      <c r="M7271" t="s">
        <v>9014</v>
      </c>
      <c r="N7271" t="s">
        <v>9014</v>
      </c>
      <c r="O7271" t="s">
        <v>73</v>
      </c>
      <c r="P7271" t="s">
        <v>81</v>
      </c>
      <c r="Q7271" t="s">
        <v>82</v>
      </c>
      <c r="R7271" t="s">
        <v>8958</v>
      </c>
    </row>
    <row r="7272" spans="1:18" x14ac:dyDescent="0.25">
      <c r="A7272" t="s">
        <v>21771</v>
      </c>
      <c r="B7272" t="s">
        <v>9025</v>
      </c>
      <c r="C7272" t="str">
        <f>HYPERLINK("https://nematode.unl.edu/microm7.jpg")</f>
        <v>https://nematode.unl.edu/microm7.jpg</v>
      </c>
      <c r="D7272" t="s">
        <v>43</v>
      </c>
      <c r="G7272" t="s">
        <v>34</v>
      </c>
      <c r="H7272" t="s">
        <v>18</v>
      </c>
      <c r="M7272" t="s">
        <v>9014</v>
      </c>
      <c r="N7272" t="s">
        <v>9014</v>
      </c>
      <c r="O7272" t="s">
        <v>73</v>
      </c>
      <c r="P7272" t="s">
        <v>81</v>
      </c>
      <c r="Q7272" t="s">
        <v>82</v>
      </c>
      <c r="R7272" t="s">
        <v>8958</v>
      </c>
    </row>
    <row r="7273" spans="1:18" x14ac:dyDescent="0.25">
      <c r="A7273" t="s">
        <v>21779</v>
      </c>
      <c r="B7273" t="s">
        <v>9026</v>
      </c>
      <c r="C7273" t="str">
        <f>HYPERLINK("https://nematode.unl.edu/microm8.jpg")</f>
        <v>https://nematode.unl.edu/microm8.jpg</v>
      </c>
      <c r="D7273" t="s">
        <v>43</v>
      </c>
      <c r="G7273" t="s">
        <v>51</v>
      </c>
      <c r="I7273" t="s">
        <v>19</v>
      </c>
      <c r="M7273" t="s">
        <v>9014</v>
      </c>
      <c r="N7273" t="s">
        <v>9014</v>
      </c>
      <c r="O7273" t="s">
        <v>73</v>
      </c>
      <c r="P7273" t="s">
        <v>81</v>
      </c>
      <c r="Q7273" t="s">
        <v>82</v>
      </c>
      <c r="R7273" t="s">
        <v>8958</v>
      </c>
    </row>
    <row r="7274" spans="1:18" x14ac:dyDescent="0.25">
      <c r="A7274" t="s">
        <v>21776</v>
      </c>
      <c r="B7274" t="s">
        <v>9027</v>
      </c>
      <c r="C7274" t="str">
        <f>HYPERLINK("https://nematode.unl.edu/microm9.jpg")</f>
        <v>https://nematode.unl.edu/microm9.jpg</v>
      </c>
      <c r="D7274" t="s">
        <v>43</v>
      </c>
      <c r="G7274" t="s">
        <v>28</v>
      </c>
      <c r="M7274" t="s">
        <v>9014</v>
      </c>
      <c r="N7274" t="s">
        <v>9014</v>
      </c>
      <c r="O7274" t="s">
        <v>73</v>
      </c>
      <c r="P7274" t="s">
        <v>81</v>
      </c>
      <c r="Q7274" t="s">
        <v>82</v>
      </c>
      <c r="R7274" t="s">
        <v>8958</v>
      </c>
    </row>
    <row r="7275" spans="1:18" x14ac:dyDescent="0.25">
      <c r="A7275" t="s">
        <v>21791</v>
      </c>
      <c r="B7275" t="s">
        <v>9039</v>
      </c>
      <c r="C7275" t="str">
        <f>HYPERLINK("https://nematode.unl.edu/microp1.jpg")</f>
        <v>https://nematode.unl.edu/microp1.jpg</v>
      </c>
      <c r="D7275" t="s">
        <v>77</v>
      </c>
      <c r="G7275" t="s">
        <v>44</v>
      </c>
      <c r="I7275" t="s">
        <v>45</v>
      </c>
      <c r="J7275" t="s">
        <v>20</v>
      </c>
      <c r="L7275" t="s">
        <v>29</v>
      </c>
      <c r="M7275" t="s">
        <v>9040</v>
      </c>
      <c r="N7275" t="s">
        <v>9040</v>
      </c>
      <c r="O7275" t="s">
        <v>73</v>
      </c>
      <c r="P7275" t="s">
        <v>81</v>
      </c>
      <c r="Q7275" t="s">
        <v>82</v>
      </c>
      <c r="R7275" t="s">
        <v>8958</v>
      </c>
    </row>
    <row r="7276" spans="1:18" x14ac:dyDescent="0.25">
      <c r="A7276" t="s">
        <v>21790</v>
      </c>
      <c r="B7276" t="s">
        <v>9041</v>
      </c>
      <c r="C7276" t="str">
        <f>HYPERLINK("https://nematode.unl.edu/microp2.jpg")</f>
        <v>https://nematode.unl.edu/microp2.jpg</v>
      </c>
      <c r="D7276" t="s">
        <v>43</v>
      </c>
      <c r="G7276" t="s">
        <v>34</v>
      </c>
      <c r="H7276" t="s">
        <v>18</v>
      </c>
      <c r="J7276" t="s">
        <v>20</v>
      </c>
      <c r="M7276" t="s">
        <v>9040</v>
      </c>
      <c r="N7276" t="s">
        <v>9040</v>
      </c>
      <c r="O7276" t="s">
        <v>73</v>
      </c>
      <c r="P7276" t="s">
        <v>81</v>
      </c>
      <c r="Q7276" t="s">
        <v>82</v>
      </c>
      <c r="R7276" t="s">
        <v>8958</v>
      </c>
    </row>
    <row r="7277" spans="1:18" x14ac:dyDescent="0.25">
      <c r="A7277" t="s">
        <v>21793</v>
      </c>
      <c r="B7277" t="s">
        <v>9042</v>
      </c>
      <c r="C7277" t="str">
        <f>HYPERLINK("https://nematode.unl.edu/microp3.jpg")</f>
        <v>https://nematode.unl.edu/microp3.jpg</v>
      </c>
      <c r="D7277" t="s">
        <v>43</v>
      </c>
      <c r="G7277" t="s">
        <v>51</v>
      </c>
      <c r="I7277" t="s">
        <v>19</v>
      </c>
      <c r="J7277" t="s">
        <v>20</v>
      </c>
      <c r="M7277" t="s">
        <v>9040</v>
      </c>
      <c r="N7277" t="s">
        <v>9040</v>
      </c>
      <c r="O7277" t="s">
        <v>73</v>
      </c>
      <c r="P7277" t="s">
        <v>81</v>
      </c>
      <c r="Q7277" t="s">
        <v>82</v>
      </c>
      <c r="R7277" t="s">
        <v>8958</v>
      </c>
    </row>
    <row r="7278" spans="1:18" x14ac:dyDescent="0.25">
      <c r="A7278" t="s">
        <v>21792</v>
      </c>
      <c r="B7278" t="s">
        <v>9043</v>
      </c>
      <c r="C7278" t="str">
        <f>HYPERLINK("https://nematode.unl.edu/microp4.jpg")</f>
        <v>https://nematode.unl.edu/microp4.jpg</v>
      </c>
      <c r="D7278" t="s">
        <v>43</v>
      </c>
      <c r="G7278" t="s">
        <v>28</v>
      </c>
      <c r="I7278" t="s">
        <v>19</v>
      </c>
      <c r="M7278" t="s">
        <v>9040</v>
      </c>
      <c r="N7278" t="s">
        <v>9040</v>
      </c>
      <c r="O7278" t="s">
        <v>73</v>
      </c>
      <c r="P7278" t="s">
        <v>81</v>
      </c>
      <c r="Q7278" t="s">
        <v>82</v>
      </c>
      <c r="R7278" t="s">
        <v>8958</v>
      </c>
    </row>
    <row r="7279" spans="1:18" x14ac:dyDescent="0.25">
      <c r="A7279" t="s">
        <v>21808</v>
      </c>
      <c r="B7279" t="s">
        <v>9060</v>
      </c>
      <c r="C7279" t="str">
        <f>HYPERLINK("https://nematode.unl.edu/microth1.jpg")</f>
        <v>https://nematode.unl.edu/microth1.jpg</v>
      </c>
      <c r="D7279" t="s">
        <v>43</v>
      </c>
      <c r="G7279" t="s">
        <v>34</v>
      </c>
      <c r="H7279" t="s">
        <v>18</v>
      </c>
      <c r="I7279" t="s">
        <v>19</v>
      </c>
      <c r="J7279" t="s">
        <v>20</v>
      </c>
      <c r="L7279" t="s">
        <v>64</v>
      </c>
      <c r="M7279" t="s">
        <v>9061</v>
      </c>
      <c r="N7279" t="s">
        <v>9061</v>
      </c>
      <c r="O7279" t="s">
        <v>73</v>
      </c>
      <c r="P7279" t="s">
        <v>81</v>
      </c>
      <c r="Q7279" t="s">
        <v>82</v>
      </c>
      <c r="R7279" t="s">
        <v>8958</v>
      </c>
    </row>
    <row r="7280" spans="1:18" x14ac:dyDescent="0.25">
      <c r="A7280" t="s">
        <v>21810</v>
      </c>
      <c r="B7280" t="s">
        <v>9062</v>
      </c>
      <c r="C7280" t="str">
        <f>HYPERLINK("https://nematode.unl.edu/microth2.jpg")</f>
        <v>https://nematode.unl.edu/microth2.jpg</v>
      </c>
      <c r="D7280" t="s">
        <v>43</v>
      </c>
      <c r="G7280" t="s">
        <v>28</v>
      </c>
      <c r="J7280" t="s">
        <v>20</v>
      </c>
      <c r="L7280" t="s">
        <v>64</v>
      </c>
      <c r="M7280" t="s">
        <v>9061</v>
      </c>
      <c r="N7280" t="s">
        <v>9061</v>
      </c>
      <c r="O7280" t="s">
        <v>73</v>
      </c>
      <c r="P7280" t="s">
        <v>81</v>
      </c>
      <c r="Q7280" t="s">
        <v>82</v>
      </c>
      <c r="R7280" t="s">
        <v>8958</v>
      </c>
    </row>
    <row r="7281" spans="1:18" x14ac:dyDescent="0.25">
      <c r="A7281" t="s">
        <v>21809</v>
      </c>
      <c r="B7281" t="s">
        <v>9063</v>
      </c>
      <c r="C7281" t="str">
        <f>HYPERLINK("https://nematode.unl.edu/microth3.jpg")</f>
        <v>https://nematode.unl.edu/microth3.jpg</v>
      </c>
      <c r="D7281" t="s">
        <v>43</v>
      </c>
      <c r="G7281" t="s">
        <v>34</v>
      </c>
      <c r="H7281" t="s">
        <v>18</v>
      </c>
      <c r="I7281" t="s">
        <v>41</v>
      </c>
      <c r="J7281" t="s">
        <v>20</v>
      </c>
      <c r="L7281" t="s">
        <v>64</v>
      </c>
      <c r="M7281" t="s">
        <v>9061</v>
      </c>
      <c r="N7281" t="s">
        <v>9061</v>
      </c>
      <c r="O7281" t="s">
        <v>73</v>
      </c>
      <c r="P7281" t="s">
        <v>81</v>
      </c>
      <c r="Q7281" t="s">
        <v>82</v>
      </c>
      <c r="R7281" t="s">
        <v>8958</v>
      </c>
    </row>
    <row r="7282" spans="1:18" x14ac:dyDescent="0.25">
      <c r="A7282" t="s">
        <v>21811</v>
      </c>
      <c r="B7282" t="s">
        <v>9064</v>
      </c>
      <c r="C7282" t="str">
        <f>HYPERLINK("https://nematode.unl.edu/microth4.jpg")</f>
        <v>https://nematode.unl.edu/microth4.jpg</v>
      </c>
      <c r="D7282" t="s">
        <v>43</v>
      </c>
      <c r="G7282" t="s">
        <v>28</v>
      </c>
      <c r="I7282" t="s">
        <v>516</v>
      </c>
      <c r="J7282" t="s">
        <v>20</v>
      </c>
      <c r="L7282" t="s">
        <v>29</v>
      </c>
      <c r="M7282" t="s">
        <v>9061</v>
      </c>
      <c r="N7282" t="s">
        <v>9061</v>
      </c>
      <c r="O7282" t="s">
        <v>73</v>
      </c>
      <c r="P7282" t="s">
        <v>81</v>
      </c>
      <c r="Q7282" t="s">
        <v>82</v>
      </c>
      <c r="R7282" t="s">
        <v>8958</v>
      </c>
    </row>
    <row r="7283" spans="1:18" x14ac:dyDescent="0.25">
      <c r="A7283" t="s">
        <v>21749</v>
      </c>
      <c r="B7283" t="s">
        <v>8986</v>
      </c>
      <c r="C7283" t="str">
        <f>HYPERLINK("https://nematode.unl.edu/mimis1.jpg")</f>
        <v>https://nematode.unl.edu/mimis1.jpg</v>
      </c>
      <c r="D7283" t="s">
        <v>43</v>
      </c>
      <c r="G7283" t="s">
        <v>44</v>
      </c>
      <c r="I7283" t="s">
        <v>45</v>
      </c>
      <c r="J7283" t="s">
        <v>57</v>
      </c>
      <c r="L7283" t="s">
        <v>29</v>
      </c>
      <c r="M7283" t="s">
        <v>8987</v>
      </c>
      <c r="N7283" t="s">
        <v>8987</v>
      </c>
      <c r="O7283" t="s">
        <v>73</v>
      </c>
      <c r="P7283" t="s">
        <v>81</v>
      </c>
      <c r="Q7283" t="s">
        <v>82</v>
      </c>
      <c r="R7283" t="s">
        <v>8958</v>
      </c>
    </row>
    <row r="7284" spans="1:18" x14ac:dyDescent="0.25">
      <c r="A7284" t="s">
        <v>21742</v>
      </c>
      <c r="B7284" t="s">
        <v>8988</v>
      </c>
      <c r="C7284" t="str">
        <f>HYPERLINK("https://nematode.unl.edu/mimis2.jpg")</f>
        <v>https://nematode.unl.edu/mimis2.jpg</v>
      </c>
      <c r="D7284" t="s">
        <v>43</v>
      </c>
      <c r="G7284" t="s">
        <v>34</v>
      </c>
      <c r="H7284" t="s">
        <v>18</v>
      </c>
      <c r="J7284" t="s">
        <v>57</v>
      </c>
      <c r="M7284" t="s">
        <v>8987</v>
      </c>
      <c r="N7284" t="s">
        <v>8987</v>
      </c>
      <c r="O7284" t="s">
        <v>73</v>
      </c>
      <c r="P7284" t="s">
        <v>81</v>
      </c>
      <c r="Q7284" t="s">
        <v>82</v>
      </c>
      <c r="R7284" t="s">
        <v>8958</v>
      </c>
    </row>
    <row r="7285" spans="1:18" x14ac:dyDescent="0.25">
      <c r="A7285" t="s">
        <v>21760</v>
      </c>
      <c r="B7285" t="s">
        <v>8989</v>
      </c>
      <c r="C7285" t="str">
        <f>HYPERLINK("https://nematode.unl.edu/mimis3.jpg")</f>
        <v>https://nematode.unl.edu/mimis3.jpg</v>
      </c>
      <c r="D7285" t="s">
        <v>43</v>
      </c>
      <c r="G7285" t="s">
        <v>51</v>
      </c>
      <c r="J7285" t="s">
        <v>57</v>
      </c>
      <c r="M7285" t="s">
        <v>8987</v>
      </c>
      <c r="N7285" t="s">
        <v>8987</v>
      </c>
      <c r="O7285" t="s">
        <v>73</v>
      </c>
      <c r="P7285" t="s">
        <v>81</v>
      </c>
      <c r="Q7285" t="s">
        <v>82</v>
      </c>
      <c r="R7285" t="s">
        <v>8958</v>
      </c>
    </row>
    <row r="7286" spans="1:18" x14ac:dyDescent="0.25">
      <c r="A7286" t="s">
        <v>21753</v>
      </c>
      <c r="B7286" t="s">
        <v>8990</v>
      </c>
      <c r="C7286" t="str">
        <f>HYPERLINK("https://nematode.unl.edu/mimis4.jpg")</f>
        <v>https://nematode.unl.edu/mimis4.jpg</v>
      </c>
      <c r="D7286" t="s">
        <v>43</v>
      </c>
      <c r="G7286" t="s">
        <v>28</v>
      </c>
      <c r="I7286" t="s">
        <v>19</v>
      </c>
      <c r="J7286" t="s">
        <v>57</v>
      </c>
      <c r="M7286" t="s">
        <v>8987</v>
      </c>
      <c r="N7286" t="s">
        <v>8987</v>
      </c>
      <c r="O7286" t="s">
        <v>73</v>
      </c>
      <c r="P7286" t="s">
        <v>81</v>
      </c>
      <c r="Q7286" t="s">
        <v>82</v>
      </c>
      <c r="R7286" t="s">
        <v>8958</v>
      </c>
    </row>
    <row r="7287" spans="1:18" x14ac:dyDescent="0.25">
      <c r="A7287" t="s">
        <v>21740</v>
      </c>
      <c r="B7287" t="s">
        <v>8991</v>
      </c>
      <c r="C7287" t="str">
        <f>HYPERLINK("https://nematode.unl.edu/mimis5.jpg")</f>
        <v>https://nematode.unl.edu/mimis5.jpg</v>
      </c>
      <c r="D7287" t="s">
        <v>43</v>
      </c>
      <c r="G7287" t="s">
        <v>96</v>
      </c>
      <c r="H7287" t="s">
        <v>18</v>
      </c>
      <c r="I7287" t="s">
        <v>19</v>
      </c>
      <c r="J7287" t="s">
        <v>57</v>
      </c>
      <c r="M7287" t="s">
        <v>8987</v>
      </c>
      <c r="N7287" t="s">
        <v>8987</v>
      </c>
      <c r="O7287" t="s">
        <v>73</v>
      </c>
      <c r="P7287" t="s">
        <v>81</v>
      </c>
      <c r="Q7287" t="s">
        <v>82</v>
      </c>
      <c r="R7287" t="s">
        <v>8958</v>
      </c>
    </row>
    <row r="7288" spans="1:18" x14ac:dyDescent="0.25">
      <c r="A7288" t="s">
        <v>21761</v>
      </c>
      <c r="B7288" t="s">
        <v>8992</v>
      </c>
      <c r="C7288" t="str">
        <f>HYPERLINK("https://nematode.unl.edu/mimis6.jpg")</f>
        <v>https://nematode.unl.edu/mimis6.jpg</v>
      </c>
      <c r="D7288" t="s">
        <v>43</v>
      </c>
      <c r="G7288" t="s">
        <v>51</v>
      </c>
      <c r="J7288" t="s">
        <v>57</v>
      </c>
      <c r="M7288" t="s">
        <v>8987</v>
      </c>
      <c r="N7288" t="s">
        <v>8987</v>
      </c>
      <c r="O7288" t="s">
        <v>73</v>
      </c>
      <c r="P7288" t="s">
        <v>81</v>
      </c>
      <c r="Q7288" t="s">
        <v>82</v>
      </c>
      <c r="R7288" t="s">
        <v>8958</v>
      </c>
    </row>
    <row r="7289" spans="1:18" x14ac:dyDescent="0.25">
      <c r="A7289" t="s">
        <v>21754</v>
      </c>
      <c r="B7289" t="s">
        <v>8993</v>
      </c>
      <c r="C7289" t="str">
        <f>HYPERLINK("https://nematode.unl.edu/mimis7.jpg")</f>
        <v>https://nematode.unl.edu/mimis7.jpg</v>
      </c>
      <c r="D7289" t="s">
        <v>43</v>
      </c>
      <c r="G7289" t="s">
        <v>28</v>
      </c>
      <c r="J7289" t="s">
        <v>57</v>
      </c>
      <c r="M7289" t="s">
        <v>8987</v>
      </c>
      <c r="N7289" t="s">
        <v>8987</v>
      </c>
      <c r="O7289" t="s">
        <v>73</v>
      </c>
      <c r="P7289" t="s">
        <v>81</v>
      </c>
      <c r="Q7289" t="s">
        <v>82</v>
      </c>
      <c r="R7289" t="s">
        <v>8958</v>
      </c>
    </row>
    <row r="7290" spans="1:18" x14ac:dyDescent="0.25">
      <c r="A7290" t="s">
        <v>21743</v>
      </c>
      <c r="B7290" t="s">
        <v>8994</v>
      </c>
      <c r="C7290" t="str">
        <f>HYPERLINK("https://nematode.unl.edu/mimis8.jpg")</f>
        <v>https://nematode.unl.edu/mimis8.jpg</v>
      </c>
      <c r="D7290" t="s">
        <v>43</v>
      </c>
      <c r="G7290" t="s">
        <v>34</v>
      </c>
      <c r="H7290" t="s">
        <v>18</v>
      </c>
      <c r="I7290" t="s">
        <v>41</v>
      </c>
      <c r="J7290" t="s">
        <v>57</v>
      </c>
      <c r="M7290" t="s">
        <v>8987</v>
      </c>
      <c r="N7290" t="s">
        <v>8987</v>
      </c>
      <c r="O7290" t="s">
        <v>73</v>
      </c>
      <c r="P7290" t="s">
        <v>81</v>
      </c>
      <c r="Q7290" t="s">
        <v>82</v>
      </c>
      <c r="R7290" t="s">
        <v>8958</v>
      </c>
    </row>
    <row r="7291" spans="1:18" x14ac:dyDescent="0.25">
      <c r="A7291" t="s">
        <v>21750</v>
      </c>
      <c r="B7291" t="s">
        <v>8995</v>
      </c>
      <c r="C7291" t="str">
        <f>HYPERLINK("https://nematode.unl.edu/mimiser1.jpg")</f>
        <v>https://nematode.unl.edu/mimiser1.jpg</v>
      </c>
      <c r="D7291" t="s">
        <v>43</v>
      </c>
      <c r="G7291" t="s">
        <v>44</v>
      </c>
      <c r="I7291" t="s">
        <v>45</v>
      </c>
      <c r="J7291" t="s">
        <v>20</v>
      </c>
      <c r="L7291" t="s">
        <v>78</v>
      </c>
      <c r="M7291" t="s">
        <v>8987</v>
      </c>
      <c r="N7291" t="s">
        <v>8987</v>
      </c>
      <c r="O7291" t="s">
        <v>73</v>
      </c>
      <c r="P7291" t="s">
        <v>81</v>
      </c>
      <c r="Q7291" t="s">
        <v>82</v>
      </c>
      <c r="R7291" t="s">
        <v>8958</v>
      </c>
    </row>
    <row r="7292" spans="1:18" x14ac:dyDescent="0.25">
      <c r="A7292" t="s">
        <v>21762</v>
      </c>
      <c r="B7292" t="s">
        <v>8996</v>
      </c>
      <c r="C7292" t="str">
        <f>HYPERLINK("https://nematode.unl.edu/mimiser10.jpg")</f>
        <v>https://nematode.unl.edu/mimiser10.jpg</v>
      </c>
      <c r="D7292" t="s">
        <v>43</v>
      </c>
      <c r="G7292" t="s">
        <v>51</v>
      </c>
      <c r="J7292" t="s">
        <v>20</v>
      </c>
      <c r="L7292" t="s">
        <v>85</v>
      </c>
      <c r="M7292" t="s">
        <v>8987</v>
      </c>
      <c r="N7292" t="s">
        <v>8987</v>
      </c>
      <c r="O7292" t="s">
        <v>73</v>
      </c>
      <c r="P7292" t="s">
        <v>81</v>
      </c>
      <c r="Q7292" t="s">
        <v>82</v>
      </c>
      <c r="R7292" t="s">
        <v>8958</v>
      </c>
    </row>
    <row r="7293" spans="1:18" x14ac:dyDescent="0.25">
      <c r="A7293" t="s">
        <v>21755</v>
      </c>
      <c r="B7293" t="s">
        <v>8997</v>
      </c>
      <c r="C7293" t="str">
        <f>HYPERLINK("https://nematode.unl.edu/mimiser11.jpg")</f>
        <v>https://nematode.unl.edu/mimiser11.jpg</v>
      </c>
      <c r="D7293" t="s">
        <v>43</v>
      </c>
      <c r="G7293" t="s">
        <v>28</v>
      </c>
      <c r="I7293" t="s">
        <v>19</v>
      </c>
      <c r="J7293" t="s">
        <v>20</v>
      </c>
      <c r="M7293" t="s">
        <v>8987</v>
      </c>
      <c r="N7293" t="s">
        <v>8987</v>
      </c>
      <c r="O7293" t="s">
        <v>73</v>
      </c>
      <c r="P7293" t="s">
        <v>81</v>
      </c>
      <c r="Q7293" t="s">
        <v>82</v>
      </c>
      <c r="R7293" t="s">
        <v>8958</v>
      </c>
    </row>
    <row r="7294" spans="1:18" x14ac:dyDescent="0.25">
      <c r="A7294" t="s">
        <v>21744</v>
      </c>
      <c r="B7294" t="s">
        <v>8998</v>
      </c>
      <c r="C7294" t="str">
        <f>HYPERLINK("https://nematode.unl.edu/mimiser13.jpg")</f>
        <v>https://nematode.unl.edu/mimiser13.jpg</v>
      </c>
      <c r="D7294" t="s">
        <v>43</v>
      </c>
      <c r="G7294" t="s">
        <v>34</v>
      </c>
      <c r="H7294" t="s">
        <v>18</v>
      </c>
      <c r="I7294" t="s">
        <v>19</v>
      </c>
      <c r="J7294" t="s">
        <v>20</v>
      </c>
      <c r="L7294" t="s">
        <v>183</v>
      </c>
      <c r="M7294" t="s">
        <v>8987</v>
      </c>
      <c r="N7294" t="s">
        <v>8987</v>
      </c>
      <c r="O7294" t="s">
        <v>73</v>
      </c>
      <c r="P7294" t="s">
        <v>81</v>
      </c>
      <c r="Q7294" t="s">
        <v>82</v>
      </c>
      <c r="R7294" t="s">
        <v>8958</v>
      </c>
    </row>
    <row r="7295" spans="1:18" x14ac:dyDescent="0.25">
      <c r="A7295" t="s">
        <v>21763</v>
      </c>
      <c r="B7295" t="s">
        <v>8999</v>
      </c>
      <c r="C7295" t="str">
        <f>HYPERLINK("https://nematode.unl.edu/mimiser14.jpg")</f>
        <v>https://nematode.unl.edu/mimiser14.jpg</v>
      </c>
      <c r="D7295" t="s">
        <v>43</v>
      </c>
      <c r="G7295" t="s">
        <v>51</v>
      </c>
      <c r="I7295" t="s">
        <v>19</v>
      </c>
      <c r="M7295" t="s">
        <v>8987</v>
      </c>
      <c r="N7295" t="s">
        <v>8987</v>
      </c>
      <c r="O7295" t="s">
        <v>73</v>
      </c>
      <c r="P7295" t="s">
        <v>81</v>
      </c>
      <c r="Q7295" t="s">
        <v>82</v>
      </c>
      <c r="R7295" t="s">
        <v>8958</v>
      </c>
    </row>
    <row r="7296" spans="1:18" x14ac:dyDescent="0.25">
      <c r="A7296" t="s">
        <v>21756</v>
      </c>
      <c r="B7296" t="s">
        <v>9000</v>
      </c>
      <c r="C7296" t="str">
        <f>HYPERLINK("https://nematode.unl.edu/mimiser15.jpg")</f>
        <v>https://nematode.unl.edu/mimiser15.jpg</v>
      </c>
      <c r="D7296" t="s">
        <v>43</v>
      </c>
      <c r="G7296" t="s">
        <v>28</v>
      </c>
      <c r="M7296" t="s">
        <v>8987</v>
      </c>
      <c r="N7296" t="s">
        <v>8987</v>
      </c>
      <c r="O7296" t="s">
        <v>73</v>
      </c>
      <c r="P7296" t="s">
        <v>81</v>
      </c>
      <c r="Q7296" t="s">
        <v>82</v>
      </c>
      <c r="R7296" t="s">
        <v>8958</v>
      </c>
    </row>
    <row r="7297" spans="1:18" x14ac:dyDescent="0.25">
      <c r="A7297" t="s">
        <v>21745</v>
      </c>
      <c r="B7297" t="s">
        <v>9001</v>
      </c>
      <c r="C7297" t="str">
        <f>HYPERLINK("https://nematode.unl.edu/mimiser16.jpg")</f>
        <v>https://nematode.unl.edu/mimiser16.jpg</v>
      </c>
      <c r="D7297" t="s">
        <v>16</v>
      </c>
      <c r="G7297" t="s">
        <v>34</v>
      </c>
      <c r="H7297" t="s">
        <v>18</v>
      </c>
      <c r="I7297" t="s">
        <v>19</v>
      </c>
      <c r="J7297" t="s">
        <v>20</v>
      </c>
      <c r="M7297" t="s">
        <v>8987</v>
      </c>
      <c r="N7297" t="s">
        <v>8987</v>
      </c>
      <c r="O7297" t="s">
        <v>73</v>
      </c>
      <c r="P7297" t="s">
        <v>81</v>
      </c>
      <c r="Q7297" t="s">
        <v>82</v>
      </c>
      <c r="R7297" t="s">
        <v>8958</v>
      </c>
    </row>
    <row r="7298" spans="1:18" x14ac:dyDescent="0.25">
      <c r="A7298" t="s">
        <v>21757</v>
      </c>
      <c r="B7298" t="s">
        <v>9002</v>
      </c>
      <c r="C7298" t="str">
        <f>HYPERLINK("https://nematode.unl.edu/mimiser17.jpg")</f>
        <v>https://nematode.unl.edu/mimiser17.jpg</v>
      </c>
      <c r="D7298" t="s">
        <v>16</v>
      </c>
      <c r="G7298" t="s">
        <v>28</v>
      </c>
      <c r="I7298" t="s">
        <v>19</v>
      </c>
      <c r="J7298" t="s">
        <v>20</v>
      </c>
      <c r="M7298" t="s">
        <v>8987</v>
      </c>
      <c r="N7298" t="s">
        <v>8987</v>
      </c>
      <c r="O7298" t="s">
        <v>73</v>
      </c>
      <c r="P7298" t="s">
        <v>81</v>
      </c>
      <c r="Q7298" t="s">
        <v>82</v>
      </c>
      <c r="R7298" t="s">
        <v>8958</v>
      </c>
    </row>
    <row r="7299" spans="1:18" x14ac:dyDescent="0.25">
      <c r="A7299" t="s">
        <v>21746</v>
      </c>
      <c r="B7299" t="s">
        <v>9003</v>
      </c>
      <c r="C7299" t="str">
        <f>HYPERLINK("https://nematode.unl.edu/mimiser18.jpg")</f>
        <v>https://nematode.unl.edu/mimiser18.jpg</v>
      </c>
      <c r="D7299" t="s">
        <v>16</v>
      </c>
      <c r="G7299" t="s">
        <v>34</v>
      </c>
      <c r="H7299" t="s">
        <v>18</v>
      </c>
      <c r="I7299" t="s">
        <v>19</v>
      </c>
      <c r="J7299" t="s">
        <v>20</v>
      </c>
      <c r="L7299" t="s">
        <v>173</v>
      </c>
      <c r="M7299" t="s">
        <v>8987</v>
      </c>
      <c r="N7299" t="s">
        <v>8987</v>
      </c>
      <c r="O7299" t="s">
        <v>73</v>
      </c>
      <c r="P7299" t="s">
        <v>81</v>
      </c>
      <c r="Q7299" t="s">
        <v>82</v>
      </c>
      <c r="R7299" t="s">
        <v>8958</v>
      </c>
    </row>
    <row r="7300" spans="1:18" x14ac:dyDescent="0.25">
      <c r="A7300" t="s">
        <v>21758</v>
      </c>
      <c r="B7300" t="s">
        <v>9004</v>
      </c>
      <c r="C7300" t="str">
        <f>HYPERLINK("https://nematode.unl.edu/mimiser19.jpg")</f>
        <v>https://nematode.unl.edu/mimiser19.jpg</v>
      </c>
      <c r="D7300" t="s">
        <v>16</v>
      </c>
      <c r="G7300" t="s">
        <v>28</v>
      </c>
      <c r="L7300" t="s">
        <v>352</v>
      </c>
      <c r="M7300" t="s">
        <v>8987</v>
      </c>
      <c r="N7300" t="s">
        <v>8987</v>
      </c>
      <c r="O7300" t="s">
        <v>73</v>
      </c>
      <c r="P7300" t="s">
        <v>81</v>
      </c>
      <c r="Q7300" t="s">
        <v>82</v>
      </c>
      <c r="R7300" t="s">
        <v>8958</v>
      </c>
    </row>
    <row r="7301" spans="1:18" x14ac:dyDescent="0.25">
      <c r="A7301" t="s">
        <v>21741</v>
      </c>
      <c r="B7301" t="s">
        <v>9005</v>
      </c>
      <c r="C7301" t="str">
        <f>HYPERLINK("https://nematode.unl.edu/mimiser2.jpg")</f>
        <v>https://nematode.unl.edu/mimiser2.jpg</v>
      </c>
      <c r="D7301" t="s">
        <v>43</v>
      </c>
      <c r="G7301" t="s">
        <v>96</v>
      </c>
      <c r="H7301" t="s">
        <v>18</v>
      </c>
      <c r="I7301" t="s">
        <v>19</v>
      </c>
      <c r="J7301" t="s">
        <v>20</v>
      </c>
      <c r="L7301" t="s">
        <v>85</v>
      </c>
      <c r="M7301" t="s">
        <v>8987</v>
      </c>
      <c r="N7301" t="s">
        <v>8987</v>
      </c>
      <c r="O7301" t="s">
        <v>73</v>
      </c>
      <c r="P7301" t="s">
        <v>81</v>
      </c>
      <c r="Q7301" t="s">
        <v>82</v>
      </c>
      <c r="R7301" t="s">
        <v>8958</v>
      </c>
    </row>
    <row r="7302" spans="1:18" x14ac:dyDescent="0.25">
      <c r="A7302" t="s">
        <v>21764</v>
      </c>
      <c r="B7302" t="s">
        <v>9006</v>
      </c>
      <c r="C7302" t="str">
        <f>HYPERLINK("https://nematode.unl.edu/mimiser3.jpg")</f>
        <v>https://nematode.unl.edu/mimiser3.jpg</v>
      </c>
      <c r="D7302" t="s">
        <v>43</v>
      </c>
      <c r="G7302" t="s">
        <v>51</v>
      </c>
      <c r="J7302" t="s">
        <v>20</v>
      </c>
      <c r="L7302" t="s">
        <v>85</v>
      </c>
      <c r="M7302" t="s">
        <v>8987</v>
      </c>
      <c r="N7302" t="s">
        <v>8987</v>
      </c>
      <c r="O7302" t="s">
        <v>73</v>
      </c>
      <c r="P7302" t="s">
        <v>81</v>
      </c>
      <c r="Q7302" t="s">
        <v>82</v>
      </c>
      <c r="R7302" t="s">
        <v>8958</v>
      </c>
    </row>
    <row r="7303" spans="1:18" x14ac:dyDescent="0.25">
      <c r="A7303" t="s">
        <v>21759</v>
      </c>
      <c r="B7303" t="s">
        <v>9007</v>
      </c>
      <c r="C7303" t="str">
        <f>HYPERLINK("https://nematode.unl.edu/mimiser4.jpg")</f>
        <v>https://nematode.unl.edu/mimiser4.jpg</v>
      </c>
      <c r="D7303" t="s">
        <v>43</v>
      </c>
      <c r="G7303" t="s">
        <v>28</v>
      </c>
      <c r="J7303" t="s">
        <v>20</v>
      </c>
      <c r="L7303" t="s">
        <v>85</v>
      </c>
      <c r="M7303" t="s">
        <v>8987</v>
      </c>
      <c r="N7303" t="s">
        <v>8987</v>
      </c>
      <c r="O7303" t="s">
        <v>73</v>
      </c>
      <c r="P7303" t="s">
        <v>81</v>
      </c>
      <c r="Q7303" t="s">
        <v>82</v>
      </c>
      <c r="R7303" t="s">
        <v>8958</v>
      </c>
    </row>
    <row r="7304" spans="1:18" x14ac:dyDescent="0.25">
      <c r="A7304" t="s">
        <v>21751</v>
      </c>
      <c r="B7304" t="s">
        <v>9008</v>
      </c>
      <c r="C7304" t="str">
        <f>HYPERLINK("https://nematode.unl.edu/mimiser5.jpg")</f>
        <v>https://nematode.unl.edu/mimiser5.jpg</v>
      </c>
      <c r="D7304" t="s">
        <v>43</v>
      </c>
      <c r="G7304" t="s">
        <v>44</v>
      </c>
      <c r="I7304" t="s">
        <v>91</v>
      </c>
      <c r="J7304" t="s">
        <v>20</v>
      </c>
      <c r="L7304" t="s">
        <v>85</v>
      </c>
      <c r="M7304" t="s">
        <v>8987</v>
      </c>
      <c r="N7304" t="s">
        <v>8987</v>
      </c>
      <c r="O7304" t="s">
        <v>73</v>
      </c>
      <c r="P7304" t="s">
        <v>81</v>
      </c>
      <c r="Q7304" t="s">
        <v>82</v>
      </c>
      <c r="R7304" t="s">
        <v>8958</v>
      </c>
    </row>
    <row r="7305" spans="1:18" x14ac:dyDescent="0.25">
      <c r="A7305" t="s">
        <v>21765</v>
      </c>
      <c r="B7305" t="s">
        <v>9009</v>
      </c>
      <c r="C7305" t="str">
        <f>HYPERLINK("https://nematode.unl.edu/mimiser6.jpg")</f>
        <v>https://nematode.unl.edu/mimiser6.jpg</v>
      </c>
      <c r="D7305" t="s">
        <v>43</v>
      </c>
      <c r="G7305" t="s">
        <v>51</v>
      </c>
      <c r="M7305" t="s">
        <v>8987</v>
      </c>
      <c r="N7305" t="s">
        <v>8987</v>
      </c>
      <c r="O7305" t="s">
        <v>73</v>
      </c>
      <c r="P7305" t="s">
        <v>81</v>
      </c>
      <c r="Q7305" t="s">
        <v>82</v>
      </c>
      <c r="R7305" t="s">
        <v>8958</v>
      </c>
    </row>
    <row r="7306" spans="1:18" x14ac:dyDescent="0.25">
      <c r="A7306" t="s">
        <v>21747</v>
      </c>
      <c r="B7306" t="s">
        <v>9010</v>
      </c>
      <c r="C7306" t="str">
        <f>HYPERLINK("https://nematode.unl.edu/mimiser7.jpg")</f>
        <v>https://nematode.unl.edu/mimiser7.jpg</v>
      </c>
      <c r="D7306" t="s">
        <v>43</v>
      </c>
      <c r="G7306" t="s">
        <v>34</v>
      </c>
      <c r="H7306" t="s">
        <v>18</v>
      </c>
      <c r="I7306" t="s">
        <v>41</v>
      </c>
      <c r="J7306" t="s">
        <v>20</v>
      </c>
      <c r="M7306" t="s">
        <v>8987</v>
      </c>
      <c r="N7306" t="s">
        <v>8987</v>
      </c>
      <c r="O7306" t="s">
        <v>73</v>
      </c>
      <c r="P7306" t="s">
        <v>81</v>
      </c>
      <c r="Q7306" t="s">
        <v>82</v>
      </c>
      <c r="R7306" t="s">
        <v>8958</v>
      </c>
    </row>
    <row r="7307" spans="1:18" x14ac:dyDescent="0.25">
      <c r="A7307" t="s">
        <v>21752</v>
      </c>
      <c r="B7307" t="s">
        <v>9011</v>
      </c>
      <c r="C7307" t="str">
        <f>HYPERLINK("https://nematode.unl.edu/mimiser8.jpg")</f>
        <v>https://nematode.unl.edu/mimiser8.jpg</v>
      </c>
      <c r="D7307" t="s">
        <v>43</v>
      </c>
      <c r="G7307" t="s">
        <v>44</v>
      </c>
      <c r="I7307" t="s">
        <v>45</v>
      </c>
      <c r="J7307" t="s">
        <v>20</v>
      </c>
      <c r="L7307" t="s">
        <v>85</v>
      </c>
      <c r="M7307" t="s">
        <v>8987</v>
      </c>
      <c r="N7307" t="s">
        <v>8987</v>
      </c>
      <c r="O7307" t="s">
        <v>73</v>
      </c>
      <c r="P7307" t="s">
        <v>81</v>
      </c>
      <c r="Q7307" t="s">
        <v>82</v>
      </c>
      <c r="R7307" t="s">
        <v>8958</v>
      </c>
    </row>
    <row r="7308" spans="1:18" x14ac:dyDescent="0.25">
      <c r="A7308" t="s">
        <v>21748</v>
      </c>
      <c r="B7308" t="s">
        <v>9012</v>
      </c>
      <c r="C7308" t="str">
        <f>HYPERLINK("https://nematode.unl.edu/mimiser9.jpg")</f>
        <v>https://nematode.unl.edu/mimiser9.jpg</v>
      </c>
      <c r="D7308" t="s">
        <v>43</v>
      </c>
      <c r="G7308" t="s">
        <v>34</v>
      </c>
      <c r="H7308" t="s">
        <v>18</v>
      </c>
      <c r="J7308" t="s">
        <v>20</v>
      </c>
      <c r="M7308" t="s">
        <v>8987</v>
      </c>
      <c r="N7308" t="s">
        <v>8987</v>
      </c>
      <c r="O7308" t="s">
        <v>73</v>
      </c>
      <c r="P7308" t="s">
        <v>81</v>
      </c>
      <c r="Q7308" t="s">
        <v>82</v>
      </c>
      <c r="R7308" t="s">
        <v>8958</v>
      </c>
    </row>
    <row r="7309" spans="1:18" x14ac:dyDescent="0.25">
      <c r="A7309" t="s">
        <v>21784</v>
      </c>
      <c r="B7309" t="s">
        <v>9028</v>
      </c>
      <c r="C7309" t="str">
        <f>HYPERLINK("https://nematode.unl.edu/mimod1.jpg")</f>
        <v>https://nematode.unl.edu/mimod1.jpg</v>
      </c>
      <c r="D7309" t="s">
        <v>43</v>
      </c>
      <c r="G7309" t="s">
        <v>44</v>
      </c>
      <c r="I7309" t="s">
        <v>1008</v>
      </c>
      <c r="J7309" t="s">
        <v>20</v>
      </c>
      <c r="L7309" t="s">
        <v>752</v>
      </c>
      <c r="M7309" t="s">
        <v>9029</v>
      </c>
      <c r="N7309" t="s">
        <v>9029</v>
      </c>
      <c r="O7309" t="s">
        <v>73</v>
      </c>
      <c r="P7309" t="s">
        <v>81</v>
      </c>
      <c r="Q7309" t="s">
        <v>82</v>
      </c>
      <c r="R7309" t="s">
        <v>8958</v>
      </c>
    </row>
    <row r="7310" spans="1:18" x14ac:dyDescent="0.25">
      <c r="A7310" t="s">
        <v>21786</v>
      </c>
      <c r="B7310" t="s">
        <v>9030</v>
      </c>
      <c r="C7310" t="str">
        <f>HYPERLINK("https://nematode.unl.edu/mimod10.jpg")</f>
        <v>https://nematode.unl.edu/mimod10.jpg</v>
      </c>
      <c r="D7310" t="s">
        <v>43</v>
      </c>
      <c r="G7310" t="s">
        <v>28</v>
      </c>
      <c r="J7310" t="s">
        <v>20</v>
      </c>
      <c r="L7310" t="s">
        <v>752</v>
      </c>
      <c r="M7310" t="s">
        <v>9029</v>
      </c>
      <c r="N7310" t="s">
        <v>9029</v>
      </c>
      <c r="O7310" t="s">
        <v>73</v>
      </c>
      <c r="P7310" t="s">
        <v>81</v>
      </c>
      <c r="Q7310" t="s">
        <v>82</v>
      </c>
      <c r="R7310" t="s">
        <v>8958</v>
      </c>
    </row>
    <row r="7311" spans="1:18" x14ac:dyDescent="0.25">
      <c r="A7311" t="s">
        <v>21780</v>
      </c>
      <c r="B7311" t="s">
        <v>9031</v>
      </c>
      <c r="C7311" t="str">
        <f>HYPERLINK("https://nematode.unl.edu/mimod2.jpg")</f>
        <v>https://nematode.unl.edu/mimod2.jpg</v>
      </c>
      <c r="D7311" t="s">
        <v>43</v>
      </c>
      <c r="G7311" t="s">
        <v>34</v>
      </c>
      <c r="H7311" t="s">
        <v>18</v>
      </c>
      <c r="J7311" t="s">
        <v>20</v>
      </c>
      <c r="L7311" t="s">
        <v>752</v>
      </c>
      <c r="M7311" t="s">
        <v>9029</v>
      </c>
      <c r="N7311" t="s">
        <v>9029</v>
      </c>
      <c r="O7311" t="s">
        <v>73</v>
      </c>
      <c r="P7311" t="s">
        <v>81</v>
      </c>
      <c r="Q7311" t="s">
        <v>82</v>
      </c>
      <c r="R7311" t="s">
        <v>8958</v>
      </c>
    </row>
    <row r="7312" spans="1:18" x14ac:dyDescent="0.25">
      <c r="A7312" t="s">
        <v>21788</v>
      </c>
      <c r="B7312" t="s">
        <v>9032</v>
      </c>
      <c r="C7312" t="str">
        <f>HYPERLINK("https://nematode.unl.edu/mimod3.jpg")</f>
        <v>https://nematode.unl.edu/mimod3.jpg</v>
      </c>
      <c r="D7312" t="s">
        <v>43</v>
      </c>
      <c r="G7312" t="s">
        <v>51</v>
      </c>
      <c r="I7312" t="s">
        <v>516</v>
      </c>
      <c r="J7312" t="s">
        <v>20</v>
      </c>
      <c r="L7312" t="s">
        <v>752</v>
      </c>
      <c r="M7312" t="s">
        <v>9029</v>
      </c>
      <c r="N7312" t="s">
        <v>9029</v>
      </c>
      <c r="O7312" t="s">
        <v>73</v>
      </c>
      <c r="P7312" t="s">
        <v>81</v>
      </c>
      <c r="Q7312" t="s">
        <v>82</v>
      </c>
      <c r="R7312" t="s">
        <v>8958</v>
      </c>
    </row>
    <row r="7313" spans="1:18" x14ac:dyDescent="0.25">
      <c r="A7313" t="s">
        <v>21787</v>
      </c>
      <c r="B7313" t="s">
        <v>9033</v>
      </c>
      <c r="C7313" t="str">
        <f>HYPERLINK("https://nematode.unl.edu/mimod4.jpg")</f>
        <v>https://nematode.unl.edu/mimod4.jpg</v>
      </c>
      <c r="D7313" t="s">
        <v>43</v>
      </c>
      <c r="G7313" t="s">
        <v>28</v>
      </c>
      <c r="J7313" t="s">
        <v>20</v>
      </c>
      <c r="L7313" t="s">
        <v>752</v>
      </c>
      <c r="M7313" t="s">
        <v>9029</v>
      </c>
      <c r="N7313" t="s">
        <v>9029</v>
      </c>
      <c r="O7313" t="s">
        <v>73</v>
      </c>
      <c r="P7313" t="s">
        <v>81</v>
      </c>
      <c r="Q7313" t="s">
        <v>82</v>
      </c>
      <c r="R7313" t="s">
        <v>8958</v>
      </c>
    </row>
    <row r="7314" spans="1:18" x14ac:dyDescent="0.25">
      <c r="A7314" t="s">
        <v>21781</v>
      </c>
      <c r="B7314" t="s">
        <v>9034</v>
      </c>
      <c r="C7314" t="str">
        <f>HYPERLINK("https://nematode.unl.edu/mimod5.jpg")</f>
        <v>https://nematode.unl.edu/mimod5.jpg</v>
      </c>
      <c r="D7314" t="s">
        <v>43</v>
      </c>
      <c r="G7314" t="s">
        <v>34</v>
      </c>
      <c r="H7314" t="s">
        <v>18</v>
      </c>
      <c r="I7314" t="s">
        <v>41</v>
      </c>
      <c r="J7314" t="s">
        <v>20</v>
      </c>
      <c r="L7314" t="s">
        <v>752</v>
      </c>
      <c r="M7314" t="s">
        <v>9029</v>
      </c>
      <c r="N7314" t="s">
        <v>9029</v>
      </c>
      <c r="O7314" t="s">
        <v>73</v>
      </c>
      <c r="P7314" t="s">
        <v>81</v>
      </c>
      <c r="Q7314" t="s">
        <v>82</v>
      </c>
      <c r="R7314" t="s">
        <v>8958</v>
      </c>
    </row>
    <row r="7315" spans="1:18" x14ac:dyDescent="0.25">
      <c r="A7315" t="s">
        <v>21785</v>
      </c>
      <c r="B7315" t="s">
        <v>9035</v>
      </c>
      <c r="C7315" t="str">
        <f>HYPERLINK("https://nematode.unl.edu/mimod6.jpg")</f>
        <v>https://nematode.unl.edu/mimod6.jpg</v>
      </c>
      <c r="D7315" t="s">
        <v>43</v>
      </c>
      <c r="G7315" t="s">
        <v>44</v>
      </c>
      <c r="I7315" t="s">
        <v>91</v>
      </c>
      <c r="J7315" t="s">
        <v>20</v>
      </c>
      <c r="L7315" t="s">
        <v>752</v>
      </c>
      <c r="M7315" t="s">
        <v>9029</v>
      </c>
      <c r="N7315" t="s">
        <v>9029</v>
      </c>
      <c r="O7315" t="s">
        <v>73</v>
      </c>
      <c r="P7315" t="s">
        <v>81</v>
      </c>
      <c r="Q7315" t="s">
        <v>82</v>
      </c>
      <c r="R7315" t="s">
        <v>8958</v>
      </c>
    </row>
    <row r="7316" spans="1:18" x14ac:dyDescent="0.25">
      <c r="A7316" t="s">
        <v>21782</v>
      </c>
      <c r="B7316" t="s">
        <v>9036</v>
      </c>
      <c r="C7316" t="str">
        <f>HYPERLINK("https://nematode.unl.edu/mimod7.jpg")</f>
        <v>https://nematode.unl.edu/mimod7.jpg</v>
      </c>
      <c r="D7316" t="s">
        <v>43</v>
      </c>
      <c r="G7316" t="s">
        <v>34</v>
      </c>
      <c r="H7316" t="s">
        <v>18</v>
      </c>
      <c r="I7316" t="s">
        <v>19</v>
      </c>
      <c r="J7316" t="s">
        <v>20</v>
      </c>
      <c r="L7316" t="s">
        <v>752</v>
      </c>
      <c r="M7316" t="s">
        <v>9029</v>
      </c>
      <c r="N7316" t="s">
        <v>9029</v>
      </c>
      <c r="O7316" t="s">
        <v>73</v>
      </c>
      <c r="P7316" t="s">
        <v>81</v>
      </c>
      <c r="Q7316" t="s">
        <v>82</v>
      </c>
      <c r="R7316" t="s">
        <v>8958</v>
      </c>
    </row>
    <row r="7317" spans="1:18" x14ac:dyDescent="0.25">
      <c r="A7317" t="s">
        <v>21783</v>
      </c>
      <c r="B7317" t="s">
        <v>9037</v>
      </c>
      <c r="C7317" t="str">
        <f>HYPERLINK("https://nematode.unl.edu/mimod8.jpg")</f>
        <v>https://nematode.unl.edu/mimod8.jpg</v>
      </c>
      <c r="D7317" t="s">
        <v>43</v>
      </c>
      <c r="G7317" t="s">
        <v>87</v>
      </c>
      <c r="J7317" t="s">
        <v>20</v>
      </c>
      <c r="L7317" t="s">
        <v>752</v>
      </c>
      <c r="M7317" t="s">
        <v>9029</v>
      </c>
      <c r="N7317" t="s">
        <v>9029</v>
      </c>
      <c r="O7317" t="s">
        <v>73</v>
      </c>
      <c r="P7317" t="s">
        <v>81</v>
      </c>
      <c r="Q7317" t="s">
        <v>82</v>
      </c>
      <c r="R7317" t="s">
        <v>8958</v>
      </c>
    </row>
    <row r="7318" spans="1:18" x14ac:dyDescent="0.25">
      <c r="A7318" t="s">
        <v>21789</v>
      </c>
      <c r="B7318" t="s">
        <v>9038</v>
      </c>
      <c r="C7318" t="str">
        <f>HYPERLINK("https://nematode.unl.edu/mimod9.jpg")</f>
        <v>https://nematode.unl.edu/mimod9.jpg</v>
      </c>
      <c r="D7318" t="s">
        <v>43</v>
      </c>
      <c r="G7318" t="s">
        <v>51</v>
      </c>
      <c r="I7318" t="s">
        <v>19</v>
      </c>
      <c r="J7318" t="s">
        <v>20</v>
      </c>
      <c r="M7318" t="s">
        <v>9029</v>
      </c>
      <c r="N7318" t="s">
        <v>9029</v>
      </c>
      <c r="O7318" t="s">
        <v>73</v>
      </c>
      <c r="P7318" t="s">
        <v>81</v>
      </c>
      <c r="Q7318" t="s">
        <v>82</v>
      </c>
      <c r="R7318" t="s">
        <v>8958</v>
      </c>
    </row>
    <row r="7319" spans="1:18" x14ac:dyDescent="0.25">
      <c r="A7319" t="s">
        <v>15906</v>
      </c>
      <c r="B7319" t="s">
        <v>1406</v>
      </c>
      <c r="C7319" t="str">
        <f>HYPERLINK("https://nematode.unl.edu/mineat1.jpg")</f>
        <v>https://nematode.unl.edu/mineat1.jpg</v>
      </c>
      <c r="G7319" t="s">
        <v>34</v>
      </c>
      <c r="H7319" t="s">
        <v>18</v>
      </c>
      <c r="M7319" t="s">
        <v>1407</v>
      </c>
      <c r="N7319" t="s">
        <v>1408</v>
      </c>
      <c r="O7319" t="s">
        <v>23</v>
      </c>
      <c r="P7319" t="s">
        <v>24</v>
      </c>
      <c r="Q7319" t="s">
        <v>1071</v>
      </c>
      <c r="R7319" t="s">
        <v>1367</v>
      </c>
    </row>
    <row r="7320" spans="1:18" x14ac:dyDescent="0.25">
      <c r="A7320" t="s">
        <v>15907</v>
      </c>
      <c r="B7320" t="s">
        <v>1409</v>
      </c>
      <c r="C7320" t="str">
        <f>HYPERLINK("https://nematode.unl.edu/mineat2.jpg")</f>
        <v>https://nematode.unl.edu/mineat2.jpg</v>
      </c>
      <c r="D7320" t="s">
        <v>43</v>
      </c>
      <c r="G7320" t="s">
        <v>34</v>
      </c>
      <c r="H7320" t="s">
        <v>18</v>
      </c>
      <c r="I7320" t="s">
        <v>516</v>
      </c>
      <c r="M7320" t="s">
        <v>1407</v>
      </c>
      <c r="N7320" t="s">
        <v>1408</v>
      </c>
      <c r="O7320" t="s">
        <v>23</v>
      </c>
      <c r="P7320" t="s">
        <v>24</v>
      </c>
      <c r="Q7320" t="s">
        <v>1071</v>
      </c>
      <c r="R7320" t="s">
        <v>1367</v>
      </c>
    </row>
    <row r="7321" spans="1:18" x14ac:dyDescent="0.25">
      <c r="A7321" t="s">
        <v>15908</v>
      </c>
      <c r="B7321" t="s">
        <v>1410</v>
      </c>
      <c r="C7321" t="str">
        <f>HYPERLINK("https://nematode.unl.edu/mineat3.jpg")</f>
        <v>https://nematode.unl.edu/mineat3.jpg</v>
      </c>
      <c r="D7321" t="s">
        <v>77</v>
      </c>
      <c r="G7321" t="s">
        <v>112</v>
      </c>
      <c r="M7321" t="s">
        <v>1407</v>
      </c>
      <c r="N7321" t="s">
        <v>1408</v>
      </c>
      <c r="O7321" t="s">
        <v>23</v>
      </c>
      <c r="P7321" t="s">
        <v>24</v>
      </c>
      <c r="Q7321" t="s">
        <v>1071</v>
      </c>
      <c r="R7321" t="s">
        <v>1367</v>
      </c>
    </row>
    <row r="7322" spans="1:18" x14ac:dyDescent="0.25">
      <c r="A7322" t="s">
        <v>21795</v>
      </c>
      <c r="B7322" t="s">
        <v>9044</v>
      </c>
      <c r="C7322" t="str">
        <f>HYPERLINK("https://nematode.unl.edu/miparv1.jpg")</f>
        <v>https://nematode.unl.edu/miparv1.jpg</v>
      </c>
      <c r="D7322" t="s">
        <v>43</v>
      </c>
      <c r="G7322" t="s">
        <v>44</v>
      </c>
      <c r="I7322" t="s">
        <v>45</v>
      </c>
      <c r="J7322" t="s">
        <v>20</v>
      </c>
      <c r="L7322" t="s">
        <v>78</v>
      </c>
      <c r="M7322" t="s">
        <v>9045</v>
      </c>
      <c r="N7322" t="s">
        <v>9045</v>
      </c>
      <c r="O7322" t="s">
        <v>73</v>
      </c>
      <c r="P7322" t="s">
        <v>81</v>
      </c>
      <c r="Q7322" t="s">
        <v>82</v>
      </c>
      <c r="R7322" t="s">
        <v>8958</v>
      </c>
    </row>
    <row r="7323" spans="1:18" x14ac:dyDescent="0.25">
      <c r="A7323" t="s">
        <v>21794</v>
      </c>
      <c r="B7323" t="s">
        <v>9046</v>
      </c>
      <c r="C7323" t="str">
        <f>HYPERLINK("https://nematode.unl.edu/miparv2.jpg")</f>
        <v>https://nematode.unl.edu/miparv2.jpg</v>
      </c>
      <c r="D7323" t="s">
        <v>77</v>
      </c>
      <c r="G7323" t="s">
        <v>34</v>
      </c>
      <c r="H7323" t="s">
        <v>18</v>
      </c>
      <c r="I7323" t="s">
        <v>19</v>
      </c>
      <c r="J7323" t="s">
        <v>20</v>
      </c>
      <c r="L7323" t="s">
        <v>64</v>
      </c>
      <c r="M7323" t="s">
        <v>9045</v>
      </c>
      <c r="N7323" t="s">
        <v>9045</v>
      </c>
      <c r="O7323" t="s">
        <v>73</v>
      </c>
      <c r="P7323" t="s">
        <v>81</v>
      </c>
      <c r="Q7323" t="s">
        <v>82</v>
      </c>
      <c r="R7323" t="s">
        <v>8958</v>
      </c>
    </row>
    <row r="7324" spans="1:18" x14ac:dyDescent="0.25">
      <c r="A7324" t="s">
        <v>21798</v>
      </c>
      <c r="B7324" t="s">
        <v>9047</v>
      </c>
      <c r="C7324" t="str">
        <f>HYPERLINK("https://nematode.unl.edu/miparv3.jpg")</f>
        <v>https://nematode.unl.edu/miparv3.jpg</v>
      </c>
      <c r="D7324" t="s">
        <v>43</v>
      </c>
      <c r="G7324" t="s">
        <v>51</v>
      </c>
      <c r="I7324" t="s">
        <v>19</v>
      </c>
      <c r="J7324" t="s">
        <v>20</v>
      </c>
      <c r="L7324" t="s">
        <v>35</v>
      </c>
      <c r="M7324" t="s">
        <v>9045</v>
      </c>
      <c r="N7324" t="s">
        <v>9045</v>
      </c>
      <c r="O7324" t="s">
        <v>73</v>
      </c>
      <c r="P7324" t="s">
        <v>81</v>
      </c>
      <c r="Q7324" t="s">
        <v>82</v>
      </c>
      <c r="R7324" t="s">
        <v>8958</v>
      </c>
    </row>
    <row r="7325" spans="1:18" x14ac:dyDescent="0.25">
      <c r="A7325" t="s">
        <v>21797</v>
      </c>
      <c r="B7325" t="s">
        <v>9048</v>
      </c>
      <c r="C7325" t="str">
        <f>HYPERLINK("https://nematode.unl.edu/miparv4.jpg")</f>
        <v>https://nematode.unl.edu/miparv4.jpg</v>
      </c>
      <c r="D7325" t="s">
        <v>43</v>
      </c>
      <c r="G7325" t="s">
        <v>28</v>
      </c>
      <c r="J7325" t="s">
        <v>20</v>
      </c>
      <c r="L7325" t="s">
        <v>85</v>
      </c>
      <c r="M7325" t="s">
        <v>9045</v>
      </c>
      <c r="N7325" t="s">
        <v>9045</v>
      </c>
      <c r="O7325" t="s">
        <v>73</v>
      </c>
      <c r="P7325" t="s">
        <v>81</v>
      </c>
      <c r="Q7325" t="s">
        <v>82</v>
      </c>
      <c r="R7325" t="s">
        <v>8958</v>
      </c>
    </row>
    <row r="7326" spans="1:18" x14ac:dyDescent="0.25">
      <c r="A7326" t="s">
        <v>21799</v>
      </c>
      <c r="B7326" t="s">
        <v>9049</v>
      </c>
      <c r="C7326" t="str">
        <f>HYPERLINK("https://nematode.unl.edu/miparv5.jpg")</f>
        <v>https://nematode.unl.edu/miparv5.jpg</v>
      </c>
      <c r="D7326" t="s">
        <v>43</v>
      </c>
      <c r="G7326" t="s">
        <v>51</v>
      </c>
      <c r="J7326" t="s">
        <v>20</v>
      </c>
      <c r="M7326" t="s">
        <v>9045</v>
      </c>
      <c r="N7326" t="s">
        <v>9045</v>
      </c>
      <c r="O7326" t="s">
        <v>73</v>
      </c>
      <c r="P7326" t="s">
        <v>81</v>
      </c>
      <c r="Q7326" t="s">
        <v>82</v>
      </c>
      <c r="R7326" t="s">
        <v>8958</v>
      </c>
    </row>
    <row r="7327" spans="1:18" x14ac:dyDescent="0.25">
      <c r="A7327" t="s">
        <v>21796</v>
      </c>
      <c r="B7327" t="s">
        <v>9050</v>
      </c>
      <c r="C7327" t="str">
        <f>HYPERLINK("https://nematode.unl.edu/miparv6.jpg")</f>
        <v>https://nematode.unl.edu/miparv6.jpg</v>
      </c>
      <c r="D7327" t="s">
        <v>43</v>
      </c>
      <c r="G7327" t="s">
        <v>44</v>
      </c>
      <c r="I7327" t="s">
        <v>45</v>
      </c>
      <c r="J7327" t="s">
        <v>20</v>
      </c>
      <c r="L7327" t="s">
        <v>78</v>
      </c>
      <c r="M7327" t="s">
        <v>9045</v>
      </c>
      <c r="N7327" t="s">
        <v>9045</v>
      </c>
      <c r="O7327" t="s">
        <v>73</v>
      </c>
      <c r="P7327" t="s">
        <v>81</v>
      </c>
      <c r="Q7327" t="s">
        <v>82</v>
      </c>
      <c r="R7327" t="s">
        <v>8958</v>
      </c>
    </row>
    <row r="7328" spans="1:18" x14ac:dyDescent="0.25">
      <c r="A7328" t="s">
        <v>12255</v>
      </c>
      <c r="B7328" t="s">
        <v>1021</v>
      </c>
      <c r="C7328" t="str">
        <f>HYPERLINK("https://nematode.unl.edu/monfili.jpg")</f>
        <v>https://nematode.unl.edu/monfili.jpg</v>
      </c>
      <c r="G7328" t="s">
        <v>108</v>
      </c>
      <c r="J7328" t="s">
        <v>482</v>
      </c>
      <c r="M7328" t="s">
        <v>1022</v>
      </c>
      <c r="N7328" t="s">
        <v>1023</v>
      </c>
      <c r="O7328" t="s">
        <v>23</v>
      </c>
      <c r="P7328" t="s">
        <v>1024</v>
      </c>
      <c r="Q7328" t="s">
        <v>1025</v>
      </c>
      <c r="R7328" t="s">
        <v>1026</v>
      </c>
    </row>
    <row r="7329" spans="1:18" x14ac:dyDescent="0.25">
      <c r="A7329" t="s">
        <v>12291</v>
      </c>
      <c r="B7329" t="s">
        <v>9065</v>
      </c>
      <c r="C7329" t="str">
        <f>HYPERLINK("https://nematode.unl.edu/monhys1.jpg")</f>
        <v>https://nematode.unl.edu/monhys1.jpg</v>
      </c>
      <c r="D7329" t="s">
        <v>43</v>
      </c>
      <c r="G7329" t="s">
        <v>386</v>
      </c>
      <c r="H7329" t="s">
        <v>18</v>
      </c>
      <c r="I7329" t="s">
        <v>41</v>
      </c>
      <c r="M7329" t="s">
        <v>9066</v>
      </c>
      <c r="N7329" t="s">
        <v>9066</v>
      </c>
      <c r="O7329" t="s">
        <v>23</v>
      </c>
      <c r="P7329" t="s">
        <v>1024</v>
      </c>
      <c r="Q7329" t="s">
        <v>1025</v>
      </c>
      <c r="R7329" t="s">
        <v>9066</v>
      </c>
    </row>
    <row r="7330" spans="1:18" x14ac:dyDescent="0.25">
      <c r="A7330" t="s">
        <v>12295</v>
      </c>
      <c r="B7330" t="s">
        <v>9067</v>
      </c>
      <c r="C7330" t="str">
        <f>HYPERLINK("https://nematode.unl.edu/monhys10.jpg")</f>
        <v>https://nematode.unl.edu/monhys10.jpg</v>
      </c>
      <c r="D7330" t="s">
        <v>43</v>
      </c>
      <c r="G7330" t="s">
        <v>34</v>
      </c>
      <c r="H7330" t="s">
        <v>18</v>
      </c>
      <c r="I7330" t="s">
        <v>41</v>
      </c>
      <c r="J7330" t="s">
        <v>20</v>
      </c>
      <c r="M7330" t="s">
        <v>9066</v>
      </c>
      <c r="N7330" t="s">
        <v>9066</v>
      </c>
      <c r="O7330" t="s">
        <v>23</v>
      </c>
      <c r="P7330" t="s">
        <v>1024</v>
      </c>
      <c r="Q7330" t="s">
        <v>1025</v>
      </c>
      <c r="R7330" t="s">
        <v>9066</v>
      </c>
    </row>
    <row r="7331" spans="1:18" x14ac:dyDescent="0.25">
      <c r="A7331" t="s">
        <v>12306</v>
      </c>
      <c r="B7331" t="s">
        <v>9068</v>
      </c>
      <c r="C7331" t="str">
        <f>HYPERLINK("https://nematode.unl.edu/monhys11.jpg")</f>
        <v>https://nematode.unl.edu/monhys11.jpg</v>
      </c>
      <c r="D7331" t="s">
        <v>43</v>
      </c>
      <c r="G7331" t="s">
        <v>51</v>
      </c>
      <c r="I7331" t="s">
        <v>41</v>
      </c>
      <c r="J7331" t="s">
        <v>20</v>
      </c>
      <c r="L7331" t="s">
        <v>29</v>
      </c>
      <c r="M7331" t="s">
        <v>9066</v>
      </c>
      <c r="N7331" t="s">
        <v>9066</v>
      </c>
      <c r="O7331" t="s">
        <v>23</v>
      </c>
      <c r="P7331" t="s">
        <v>1024</v>
      </c>
      <c r="Q7331" t="s">
        <v>1025</v>
      </c>
      <c r="R7331" t="s">
        <v>9066</v>
      </c>
    </row>
    <row r="7332" spans="1:18" x14ac:dyDescent="0.25">
      <c r="A7332" t="s">
        <v>12296</v>
      </c>
      <c r="B7332" t="s">
        <v>9069</v>
      </c>
      <c r="C7332" t="str">
        <f>HYPERLINK("https://nematode.unl.edu/monhys12.jpg")</f>
        <v>https://nematode.unl.edu/monhys12.jpg</v>
      </c>
      <c r="D7332" t="s">
        <v>43</v>
      </c>
      <c r="G7332" t="s">
        <v>34</v>
      </c>
      <c r="H7332" t="s">
        <v>18</v>
      </c>
      <c r="I7332" t="s">
        <v>41</v>
      </c>
      <c r="J7332" t="s">
        <v>20</v>
      </c>
      <c r="L7332" t="s">
        <v>29</v>
      </c>
      <c r="M7332" t="s">
        <v>9066</v>
      </c>
      <c r="N7332" t="s">
        <v>9066</v>
      </c>
      <c r="O7332" t="s">
        <v>23</v>
      </c>
      <c r="P7332" t="s">
        <v>1024</v>
      </c>
      <c r="Q7332" t="s">
        <v>1025</v>
      </c>
      <c r="R7332" t="s">
        <v>9066</v>
      </c>
    </row>
    <row r="7333" spans="1:18" x14ac:dyDescent="0.25">
      <c r="A7333" t="s">
        <v>12297</v>
      </c>
      <c r="B7333" t="s">
        <v>9070</v>
      </c>
      <c r="C7333" t="str">
        <f>HYPERLINK("https://nematode.unl.edu/monhys13.jpg")</f>
        <v>https://nematode.unl.edu/monhys13.jpg</v>
      </c>
      <c r="D7333" t="s">
        <v>16</v>
      </c>
      <c r="G7333" t="s">
        <v>34</v>
      </c>
      <c r="H7333" t="s">
        <v>18</v>
      </c>
      <c r="J7333" t="s">
        <v>20</v>
      </c>
      <c r="M7333" t="s">
        <v>9066</v>
      </c>
      <c r="N7333" t="s">
        <v>9066</v>
      </c>
      <c r="O7333" t="s">
        <v>23</v>
      </c>
      <c r="P7333" t="s">
        <v>1024</v>
      </c>
      <c r="Q7333" t="s">
        <v>1025</v>
      </c>
      <c r="R7333" t="s">
        <v>9066</v>
      </c>
    </row>
    <row r="7334" spans="1:18" x14ac:dyDescent="0.25">
      <c r="A7334" t="s">
        <v>12298</v>
      </c>
      <c r="B7334" t="s">
        <v>9071</v>
      </c>
      <c r="C7334" t="str">
        <f>HYPERLINK("https://nematode.unl.edu/monhys14.jpg")</f>
        <v>https://nematode.unl.edu/monhys14.jpg</v>
      </c>
      <c r="D7334" t="s">
        <v>16</v>
      </c>
      <c r="G7334" t="s">
        <v>34</v>
      </c>
      <c r="H7334" t="s">
        <v>18</v>
      </c>
      <c r="I7334" t="s">
        <v>41</v>
      </c>
      <c r="L7334" t="s">
        <v>29</v>
      </c>
      <c r="M7334" t="s">
        <v>9066</v>
      </c>
      <c r="N7334" t="s">
        <v>9066</v>
      </c>
      <c r="O7334" t="s">
        <v>23</v>
      </c>
      <c r="P7334" t="s">
        <v>1024</v>
      </c>
      <c r="Q7334" t="s">
        <v>1025</v>
      </c>
      <c r="R7334" t="s">
        <v>9066</v>
      </c>
    </row>
    <row r="7335" spans="1:18" x14ac:dyDescent="0.25">
      <c r="A7335" t="s">
        <v>12292</v>
      </c>
      <c r="B7335" t="s">
        <v>9072</v>
      </c>
      <c r="C7335" t="str">
        <f>HYPERLINK("https://nematode.unl.edu/monhys15.jpg")</f>
        <v>https://nematode.unl.edu/monhys15.jpg</v>
      </c>
      <c r="D7335" t="s">
        <v>16</v>
      </c>
      <c r="G7335" t="s">
        <v>386</v>
      </c>
      <c r="H7335" t="s">
        <v>18</v>
      </c>
      <c r="I7335" t="s">
        <v>529</v>
      </c>
      <c r="J7335" t="s">
        <v>20</v>
      </c>
      <c r="L7335" t="s">
        <v>29</v>
      </c>
      <c r="M7335" t="s">
        <v>9066</v>
      </c>
      <c r="N7335" t="s">
        <v>9066</v>
      </c>
      <c r="O7335" t="s">
        <v>23</v>
      </c>
      <c r="P7335" t="s">
        <v>1024</v>
      </c>
      <c r="Q7335" t="s">
        <v>1025</v>
      </c>
      <c r="R7335" t="s">
        <v>9066</v>
      </c>
    </row>
    <row r="7336" spans="1:18" x14ac:dyDescent="0.25">
      <c r="A7336" t="s">
        <v>12294</v>
      </c>
      <c r="B7336" t="s">
        <v>9073</v>
      </c>
      <c r="C7336" t="str">
        <f>HYPERLINK("https://nematode.unl.edu/monhys16.jpg")</f>
        <v>https://nematode.unl.edu/monhys16.jpg</v>
      </c>
      <c r="D7336" t="s">
        <v>16</v>
      </c>
      <c r="G7336" t="s">
        <v>17</v>
      </c>
      <c r="H7336" t="s">
        <v>18</v>
      </c>
      <c r="I7336" t="s">
        <v>41</v>
      </c>
      <c r="M7336" t="s">
        <v>9066</v>
      </c>
      <c r="N7336" t="s">
        <v>9066</v>
      </c>
      <c r="O7336" t="s">
        <v>23</v>
      </c>
      <c r="P7336" t="s">
        <v>1024</v>
      </c>
      <c r="Q7336" t="s">
        <v>1025</v>
      </c>
      <c r="R7336" t="s">
        <v>9066</v>
      </c>
    </row>
    <row r="7337" spans="1:18" x14ac:dyDescent="0.25">
      <c r="A7337" t="s">
        <v>12302</v>
      </c>
      <c r="B7337" t="s">
        <v>9074</v>
      </c>
      <c r="C7337" t="str">
        <f>HYPERLINK("https://nematode.unl.edu/monhys2.jpg")</f>
        <v>https://nematode.unl.edu/monhys2.jpg</v>
      </c>
      <c r="D7337" t="s">
        <v>43</v>
      </c>
      <c r="G7337" t="s">
        <v>87</v>
      </c>
      <c r="I7337" t="s">
        <v>529</v>
      </c>
      <c r="J7337" t="s">
        <v>20</v>
      </c>
      <c r="L7337" t="s">
        <v>38</v>
      </c>
      <c r="M7337" t="s">
        <v>9066</v>
      </c>
      <c r="N7337" t="s">
        <v>9066</v>
      </c>
      <c r="O7337" t="s">
        <v>23</v>
      </c>
      <c r="P7337" t="s">
        <v>1024</v>
      </c>
      <c r="Q7337" t="s">
        <v>1025</v>
      </c>
      <c r="R7337" t="s">
        <v>9066</v>
      </c>
    </row>
    <row r="7338" spans="1:18" x14ac:dyDescent="0.25">
      <c r="A7338" t="s">
        <v>12299</v>
      </c>
      <c r="B7338" t="s">
        <v>9075</v>
      </c>
      <c r="C7338" t="str">
        <f>HYPERLINK("https://nematode.unl.edu/monhys3.jpg")</f>
        <v>https://nematode.unl.edu/monhys3.jpg</v>
      </c>
      <c r="D7338" t="s">
        <v>43</v>
      </c>
      <c r="G7338" t="s">
        <v>34</v>
      </c>
      <c r="H7338" t="s">
        <v>18</v>
      </c>
      <c r="J7338" t="s">
        <v>20</v>
      </c>
      <c r="L7338" t="s">
        <v>38</v>
      </c>
      <c r="M7338" t="s">
        <v>9066</v>
      </c>
      <c r="N7338" t="s">
        <v>9066</v>
      </c>
      <c r="O7338" t="s">
        <v>23</v>
      </c>
      <c r="P7338" t="s">
        <v>1024</v>
      </c>
      <c r="Q7338" t="s">
        <v>1025</v>
      </c>
      <c r="R7338" t="s">
        <v>9066</v>
      </c>
    </row>
    <row r="7339" spans="1:18" x14ac:dyDescent="0.25">
      <c r="A7339" t="s">
        <v>12303</v>
      </c>
      <c r="B7339" t="s">
        <v>9076</v>
      </c>
      <c r="C7339" t="str">
        <f>HYPERLINK("https://nematode.unl.edu/monhys4.jpg")</f>
        <v>https://nematode.unl.edu/monhys4.jpg</v>
      </c>
      <c r="D7339" t="s">
        <v>43</v>
      </c>
      <c r="G7339" t="s">
        <v>87</v>
      </c>
      <c r="J7339" t="s">
        <v>20</v>
      </c>
      <c r="L7339" t="s">
        <v>38</v>
      </c>
      <c r="M7339" t="s">
        <v>9066</v>
      </c>
      <c r="N7339" t="s">
        <v>9066</v>
      </c>
      <c r="O7339" t="s">
        <v>23</v>
      </c>
      <c r="P7339" t="s">
        <v>1024</v>
      </c>
      <c r="Q7339" t="s">
        <v>1025</v>
      </c>
      <c r="R7339" t="s">
        <v>9066</v>
      </c>
    </row>
    <row r="7340" spans="1:18" x14ac:dyDescent="0.25">
      <c r="A7340" t="s">
        <v>12304</v>
      </c>
      <c r="B7340" t="s">
        <v>9077</v>
      </c>
      <c r="C7340" t="str">
        <f>HYPERLINK("https://nematode.unl.edu/monhys5.jpg")</f>
        <v>https://nematode.unl.edu/monhys5.jpg</v>
      </c>
      <c r="D7340" t="s">
        <v>43</v>
      </c>
      <c r="G7340" t="s">
        <v>28</v>
      </c>
      <c r="J7340" t="s">
        <v>20</v>
      </c>
      <c r="L7340" t="s">
        <v>38</v>
      </c>
      <c r="M7340" t="s">
        <v>9066</v>
      </c>
      <c r="N7340" t="s">
        <v>9066</v>
      </c>
      <c r="O7340" t="s">
        <v>23</v>
      </c>
      <c r="P7340" t="s">
        <v>1024</v>
      </c>
      <c r="Q7340" t="s">
        <v>1025</v>
      </c>
      <c r="R7340" t="s">
        <v>9066</v>
      </c>
    </row>
    <row r="7341" spans="1:18" x14ac:dyDescent="0.25">
      <c r="A7341" t="s">
        <v>12300</v>
      </c>
      <c r="B7341" t="s">
        <v>9078</v>
      </c>
      <c r="C7341" t="str">
        <f>HYPERLINK("https://nematode.unl.edu/monhys6.jpg")</f>
        <v>https://nematode.unl.edu/monhys6.jpg</v>
      </c>
      <c r="D7341" t="s">
        <v>43</v>
      </c>
      <c r="G7341" t="s">
        <v>34</v>
      </c>
      <c r="H7341" t="s">
        <v>18</v>
      </c>
      <c r="I7341" t="s">
        <v>41</v>
      </c>
      <c r="J7341" t="s">
        <v>20</v>
      </c>
      <c r="L7341" t="s">
        <v>38</v>
      </c>
      <c r="M7341" t="s">
        <v>9066</v>
      </c>
      <c r="N7341" t="s">
        <v>9066</v>
      </c>
      <c r="O7341" t="s">
        <v>23</v>
      </c>
      <c r="P7341" t="s">
        <v>1024</v>
      </c>
      <c r="Q7341" t="s">
        <v>1025</v>
      </c>
      <c r="R7341" t="s">
        <v>9066</v>
      </c>
    </row>
    <row r="7342" spans="1:18" x14ac:dyDescent="0.25">
      <c r="A7342" t="s">
        <v>12293</v>
      </c>
      <c r="B7342" t="s">
        <v>9079</v>
      </c>
      <c r="C7342" t="str">
        <f>HYPERLINK("https://nematode.unl.edu/monhys7.jpg")</f>
        <v>https://nematode.unl.edu/monhys7.jpg</v>
      </c>
      <c r="D7342" t="s">
        <v>43</v>
      </c>
      <c r="G7342" t="s">
        <v>386</v>
      </c>
      <c r="H7342" t="s">
        <v>18</v>
      </c>
      <c r="I7342" t="s">
        <v>41</v>
      </c>
      <c r="J7342" t="s">
        <v>20</v>
      </c>
      <c r="L7342" t="s">
        <v>38</v>
      </c>
      <c r="M7342" t="s">
        <v>9066</v>
      </c>
      <c r="N7342" t="s">
        <v>9066</v>
      </c>
      <c r="O7342" t="s">
        <v>23</v>
      </c>
      <c r="P7342" t="s">
        <v>1024</v>
      </c>
      <c r="Q7342" t="s">
        <v>1025</v>
      </c>
      <c r="R7342" t="s">
        <v>9066</v>
      </c>
    </row>
    <row r="7343" spans="1:18" x14ac:dyDescent="0.25">
      <c r="A7343" t="s">
        <v>12301</v>
      </c>
      <c r="B7343" t="s">
        <v>9080</v>
      </c>
      <c r="C7343" t="str">
        <f>HYPERLINK("https://nematode.unl.edu/monhys8.jpg")</f>
        <v>https://nematode.unl.edu/monhys8.jpg</v>
      </c>
      <c r="D7343" t="s">
        <v>43</v>
      </c>
      <c r="G7343" t="s">
        <v>34</v>
      </c>
      <c r="H7343" t="s">
        <v>18</v>
      </c>
      <c r="I7343" t="s">
        <v>19</v>
      </c>
      <c r="J7343" t="s">
        <v>20</v>
      </c>
      <c r="L7343" t="s">
        <v>206</v>
      </c>
      <c r="M7343" t="s">
        <v>9066</v>
      </c>
      <c r="N7343" t="s">
        <v>9066</v>
      </c>
      <c r="O7343" t="s">
        <v>23</v>
      </c>
      <c r="P7343" t="s">
        <v>1024</v>
      </c>
      <c r="Q7343" t="s">
        <v>1025</v>
      </c>
      <c r="R7343" t="s">
        <v>9066</v>
      </c>
    </row>
    <row r="7344" spans="1:18" x14ac:dyDescent="0.25">
      <c r="A7344" t="s">
        <v>12305</v>
      </c>
      <c r="B7344" t="s">
        <v>9081</v>
      </c>
      <c r="C7344" t="str">
        <f>HYPERLINK("https://nematode.unl.edu/monhys9.jpg")</f>
        <v>https://nematode.unl.edu/monhys9.jpg</v>
      </c>
      <c r="D7344" t="s">
        <v>43</v>
      </c>
      <c r="G7344" t="s">
        <v>28</v>
      </c>
      <c r="I7344" t="s">
        <v>19</v>
      </c>
      <c r="J7344" t="s">
        <v>20</v>
      </c>
      <c r="M7344" t="s">
        <v>9066</v>
      </c>
      <c r="N7344" t="s">
        <v>9066</v>
      </c>
      <c r="O7344" t="s">
        <v>23</v>
      </c>
      <c r="P7344" t="s">
        <v>1024</v>
      </c>
      <c r="Q7344" t="s">
        <v>1025</v>
      </c>
      <c r="R7344" t="s">
        <v>9066</v>
      </c>
    </row>
    <row r="7345" spans="1:18" x14ac:dyDescent="0.25">
      <c r="A7345" t="s">
        <v>15897</v>
      </c>
      <c r="B7345" t="s">
        <v>1386</v>
      </c>
      <c r="C7345" t="str">
        <f>HYPERLINK("https://nematode.unl.edu/monic1.jpg")</f>
        <v>https://nematode.unl.edu/monic1.jpg</v>
      </c>
      <c r="G7345" t="s">
        <v>112</v>
      </c>
      <c r="I7345" t="s">
        <v>19</v>
      </c>
      <c r="M7345" t="s">
        <v>1387</v>
      </c>
      <c r="N7345" t="s">
        <v>1388</v>
      </c>
      <c r="O7345" t="s">
        <v>23</v>
      </c>
      <c r="P7345" t="s">
        <v>24</v>
      </c>
      <c r="Q7345" t="s">
        <v>1071</v>
      </c>
      <c r="R7345" t="s">
        <v>1367</v>
      </c>
    </row>
    <row r="7346" spans="1:18" x14ac:dyDescent="0.25">
      <c r="A7346" t="s">
        <v>15896</v>
      </c>
      <c r="B7346" t="s">
        <v>1389</v>
      </c>
      <c r="C7346" t="str">
        <f>HYPERLINK("https://nematode.unl.edu/monic2.jpg")</f>
        <v>https://nematode.unl.edu/monic2.jpg</v>
      </c>
      <c r="G7346" t="s">
        <v>1390</v>
      </c>
      <c r="H7346" t="s">
        <v>18</v>
      </c>
      <c r="I7346" t="s">
        <v>19</v>
      </c>
      <c r="M7346" t="s">
        <v>1387</v>
      </c>
      <c r="N7346" t="s">
        <v>1388</v>
      </c>
      <c r="O7346" t="s">
        <v>23</v>
      </c>
      <c r="P7346" t="s">
        <v>24</v>
      </c>
      <c r="Q7346" t="s">
        <v>1071</v>
      </c>
      <c r="R7346" t="s">
        <v>1367</v>
      </c>
    </row>
    <row r="7347" spans="1:18" x14ac:dyDescent="0.25">
      <c r="A7347" t="s">
        <v>15895</v>
      </c>
      <c r="B7347" t="s">
        <v>1391</v>
      </c>
      <c r="C7347" t="str">
        <f>HYPERLINK("https://nematode.unl.edu/monic3.jpg")</f>
        <v>https://nematode.unl.edu/monic3.jpg</v>
      </c>
      <c r="G7347" t="s">
        <v>34</v>
      </c>
      <c r="H7347" t="s">
        <v>18</v>
      </c>
      <c r="I7347" t="s">
        <v>19</v>
      </c>
      <c r="M7347" t="s">
        <v>1387</v>
      </c>
      <c r="N7347" t="s">
        <v>1388</v>
      </c>
      <c r="O7347" t="s">
        <v>23</v>
      </c>
      <c r="P7347" t="s">
        <v>24</v>
      </c>
      <c r="Q7347" t="s">
        <v>1071</v>
      </c>
      <c r="R7347" t="s">
        <v>1367</v>
      </c>
    </row>
    <row r="7348" spans="1:18" x14ac:dyDescent="0.25">
      <c r="A7348" t="s">
        <v>22423</v>
      </c>
      <c r="B7348" t="s">
        <v>9082</v>
      </c>
      <c r="C7348" t="str">
        <f>HYPERLINK("https://nematode.unl.edu/mono10.jpg")</f>
        <v>https://nematode.unl.edu/mono10.jpg</v>
      </c>
      <c r="D7348" t="s">
        <v>16</v>
      </c>
      <c r="G7348" t="s">
        <v>28</v>
      </c>
      <c r="J7348" t="s">
        <v>20</v>
      </c>
      <c r="L7348" t="s">
        <v>64</v>
      </c>
      <c r="M7348" t="s">
        <v>9083</v>
      </c>
      <c r="N7348" t="s">
        <v>9083</v>
      </c>
      <c r="O7348" t="s">
        <v>73</v>
      </c>
      <c r="P7348" t="s">
        <v>1268</v>
      </c>
      <c r="Q7348" t="s">
        <v>3811</v>
      </c>
      <c r="R7348" t="s">
        <v>9083</v>
      </c>
    </row>
    <row r="7349" spans="1:18" x14ac:dyDescent="0.25">
      <c r="A7349" t="s">
        <v>22409</v>
      </c>
      <c r="B7349" t="s">
        <v>9084</v>
      </c>
      <c r="C7349" t="str">
        <f>HYPERLINK("https://nematode.unl.edu/mono11.jpg")</f>
        <v>https://nematode.unl.edu/mono11.jpg</v>
      </c>
      <c r="D7349" t="s">
        <v>16</v>
      </c>
      <c r="G7349" t="s">
        <v>34</v>
      </c>
      <c r="H7349" t="s">
        <v>18</v>
      </c>
      <c r="I7349" t="s">
        <v>19</v>
      </c>
      <c r="J7349" t="s">
        <v>20</v>
      </c>
      <c r="L7349" t="s">
        <v>64</v>
      </c>
      <c r="M7349" t="s">
        <v>9083</v>
      </c>
      <c r="N7349" t="s">
        <v>9083</v>
      </c>
      <c r="O7349" t="s">
        <v>73</v>
      </c>
      <c r="P7349" t="s">
        <v>1268</v>
      </c>
      <c r="Q7349" t="s">
        <v>3811</v>
      </c>
      <c r="R7349" t="s">
        <v>9083</v>
      </c>
    </row>
    <row r="7350" spans="1:18" x14ac:dyDescent="0.25">
      <c r="A7350" t="s">
        <v>22421</v>
      </c>
      <c r="B7350" t="s">
        <v>9085</v>
      </c>
      <c r="C7350" t="str">
        <f>HYPERLINK("https://nematode.unl.edu/mono14.jpg")</f>
        <v>https://nematode.unl.edu/mono14.jpg</v>
      </c>
      <c r="D7350" t="s">
        <v>16</v>
      </c>
      <c r="G7350" t="s">
        <v>9086</v>
      </c>
      <c r="I7350" t="s">
        <v>19</v>
      </c>
      <c r="J7350" t="s">
        <v>20</v>
      </c>
      <c r="L7350" t="s">
        <v>64</v>
      </c>
      <c r="M7350" t="s">
        <v>9083</v>
      </c>
      <c r="N7350" t="s">
        <v>9083</v>
      </c>
      <c r="O7350" t="s">
        <v>73</v>
      </c>
      <c r="P7350" t="s">
        <v>1268</v>
      </c>
      <c r="Q7350" t="s">
        <v>3811</v>
      </c>
      <c r="R7350" t="s">
        <v>9083</v>
      </c>
    </row>
    <row r="7351" spans="1:18" x14ac:dyDescent="0.25">
      <c r="A7351" t="s">
        <v>22410</v>
      </c>
      <c r="B7351" t="s">
        <v>9087</v>
      </c>
      <c r="C7351" t="str">
        <f>HYPERLINK("https://nematode.unl.edu/mono15.jpg")</f>
        <v>https://nematode.unl.edu/mono15.jpg</v>
      </c>
      <c r="D7351" t="s">
        <v>16</v>
      </c>
      <c r="G7351" t="s">
        <v>34</v>
      </c>
      <c r="H7351" t="s">
        <v>18</v>
      </c>
      <c r="J7351" t="s">
        <v>20</v>
      </c>
      <c r="L7351" t="s">
        <v>64</v>
      </c>
      <c r="M7351" t="s">
        <v>9083</v>
      </c>
      <c r="N7351" t="s">
        <v>9083</v>
      </c>
      <c r="O7351" t="s">
        <v>73</v>
      </c>
      <c r="P7351" t="s">
        <v>1268</v>
      </c>
      <c r="Q7351" t="s">
        <v>3811</v>
      </c>
      <c r="R7351" t="s">
        <v>9083</v>
      </c>
    </row>
    <row r="7352" spans="1:18" x14ac:dyDescent="0.25">
      <c r="A7352" t="s">
        <v>22411</v>
      </c>
      <c r="B7352" t="s">
        <v>9088</v>
      </c>
      <c r="C7352" t="str">
        <f>HYPERLINK("https://nematode.unl.edu/mono16.jpg")</f>
        <v>https://nematode.unl.edu/mono16.jpg</v>
      </c>
      <c r="D7352" t="s">
        <v>16</v>
      </c>
      <c r="G7352" t="s">
        <v>34</v>
      </c>
      <c r="H7352" t="s">
        <v>18</v>
      </c>
      <c r="I7352" t="s">
        <v>41</v>
      </c>
      <c r="J7352" t="s">
        <v>20</v>
      </c>
      <c r="L7352" t="s">
        <v>141</v>
      </c>
      <c r="M7352" t="s">
        <v>9083</v>
      </c>
      <c r="N7352" t="s">
        <v>9083</v>
      </c>
      <c r="O7352" t="s">
        <v>73</v>
      </c>
      <c r="P7352" t="s">
        <v>1268</v>
      </c>
      <c r="Q7352" t="s">
        <v>3811</v>
      </c>
      <c r="R7352" t="s">
        <v>9083</v>
      </c>
    </row>
    <row r="7353" spans="1:18" x14ac:dyDescent="0.25">
      <c r="A7353" t="s">
        <v>22412</v>
      </c>
      <c r="B7353" t="s">
        <v>9089</v>
      </c>
      <c r="C7353" t="str">
        <f>HYPERLINK("https://nematode.unl.edu/mono17.jpg")</f>
        <v>https://nematode.unl.edu/mono17.jpg</v>
      </c>
      <c r="D7353" t="s">
        <v>16</v>
      </c>
      <c r="G7353" t="s">
        <v>34</v>
      </c>
      <c r="H7353" t="s">
        <v>18</v>
      </c>
      <c r="I7353" t="s">
        <v>45</v>
      </c>
      <c r="J7353" t="s">
        <v>20</v>
      </c>
      <c r="L7353" t="s">
        <v>64</v>
      </c>
      <c r="M7353" t="s">
        <v>9083</v>
      </c>
      <c r="N7353" t="s">
        <v>9083</v>
      </c>
      <c r="O7353" t="s">
        <v>73</v>
      </c>
      <c r="P7353" t="s">
        <v>1268</v>
      </c>
      <c r="Q7353" t="s">
        <v>3811</v>
      </c>
      <c r="R7353" t="s">
        <v>9083</v>
      </c>
    </row>
    <row r="7354" spans="1:18" x14ac:dyDescent="0.25">
      <c r="A7354" t="s">
        <v>22413</v>
      </c>
      <c r="B7354" t="s">
        <v>9090</v>
      </c>
      <c r="C7354" t="str">
        <f>HYPERLINK("https://nematode.unl.edu/mono18.jpg")</f>
        <v>https://nematode.unl.edu/mono18.jpg</v>
      </c>
      <c r="D7354" t="s">
        <v>43</v>
      </c>
      <c r="G7354" t="s">
        <v>34</v>
      </c>
      <c r="H7354" t="s">
        <v>18</v>
      </c>
      <c r="I7354" t="s">
        <v>19</v>
      </c>
      <c r="J7354" t="s">
        <v>20</v>
      </c>
      <c r="L7354" t="s">
        <v>183</v>
      </c>
      <c r="M7354" t="s">
        <v>9083</v>
      </c>
      <c r="N7354" t="s">
        <v>9083</v>
      </c>
      <c r="O7354" t="s">
        <v>73</v>
      </c>
      <c r="P7354" t="s">
        <v>1268</v>
      </c>
      <c r="Q7354" t="s">
        <v>3811</v>
      </c>
      <c r="R7354" t="s">
        <v>9083</v>
      </c>
    </row>
    <row r="7355" spans="1:18" x14ac:dyDescent="0.25">
      <c r="A7355" t="s">
        <v>22419</v>
      </c>
      <c r="B7355" t="s">
        <v>9091</v>
      </c>
      <c r="C7355" t="str">
        <f>HYPERLINK("https://nematode.unl.edu/mono19.jpg")</f>
        <v>https://nematode.unl.edu/mono19.jpg</v>
      </c>
      <c r="D7355" t="s">
        <v>43</v>
      </c>
      <c r="G7355" t="s">
        <v>87</v>
      </c>
      <c r="I7355" t="s">
        <v>19</v>
      </c>
      <c r="L7355" t="s">
        <v>29</v>
      </c>
      <c r="M7355" t="s">
        <v>9083</v>
      </c>
      <c r="N7355" t="s">
        <v>9083</v>
      </c>
      <c r="O7355" t="s">
        <v>73</v>
      </c>
      <c r="P7355" t="s">
        <v>1268</v>
      </c>
      <c r="Q7355" t="s">
        <v>3811</v>
      </c>
      <c r="R7355" t="s">
        <v>9083</v>
      </c>
    </row>
    <row r="7356" spans="1:18" x14ac:dyDescent="0.25">
      <c r="A7356" t="s">
        <v>22427</v>
      </c>
      <c r="B7356" t="s">
        <v>9092</v>
      </c>
      <c r="C7356" t="str">
        <f>HYPERLINK("https://nematode.unl.edu/mono20.jpg")</f>
        <v>https://nematode.unl.edu/mono20.jpg</v>
      </c>
      <c r="D7356" t="s">
        <v>43</v>
      </c>
      <c r="G7356" t="s">
        <v>51</v>
      </c>
      <c r="M7356" t="s">
        <v>9083</v>
      </c>
      <c r="N7356" t="s">
        <v>9083</v>
      </c>
      <c r="O7356" t="s">
        <v>73</v>
      </c>
      <c r="P7356" t="s">
        <v>1268</v>
      </c>
      <c r="Q7356" t="s">
        <v>3811</v>
      </c>
      <c r="R7356" t="s">
        <v>9083</v>
      </c>
    </row>
    <row r="7357" spans="1:18" x14ac:dyDescent="0.25">
      <c r="A7357" t="s">
        <v>22424</v>
      </c>
      <c r="B7357" t="s">
        <v>9093</v>
      </c>
      <c r="C7357" t="str">
        <f>HYPERLINK("https://nematode.unl.edu/mono21.jpg")</f>
        <v>https://nematode.unl.edu/mono21.jpg</v>
      </c>
      <c r="D7357" t="s">
        <v>43</v>
      </c>
      <c r="G7357" t="s">
        <v>28</v>
      </c>
      <c r="J7357" t="s">
        <v>20</v>
      </c>
      <c r="L7357" t="s">
        <v>183</v>
      </c>
      <c r="M7357" t="s">
        <v>9083</v>
      </c>
      <c r="N7357" t="s">
        <v>9083</v>
      </c>
      <c r="O7357" t="s">
        <v>73</v>
      </c>
      <c r="P7357" t="s">
        <v>1268</v>
      </c>
      <c r="Q7357" t="s">
        <v>3811</v>
      </c>
      <c r="R7357" t="s">
        <v>9083</v>
      </c>
    </row>
    <row r="7358" spans="1:18" x14ac:dyDescent="0.25">
      <c r="A7358" t="s">
        <v>22414</v>
      </c>
      <c r="B7358" t="s">
        <v>9094</v>
      </c>
      <c r="C7358" t="str">
        <f>HYPERLINK("https://nematode.unl.edu/mono5.jpg")</f>
        <v>https://nematode.unl.edu/mono5.jpg</v>
      </c>
      <c r="D7358" t="s">
        <v>43</v>
      </c>
      <c r="G7358" t="s">
        <v>34</v>
      </c>
      <c r="H7358" t="s">
        <v>18</v>
      </c>
      <c r="J7358" t="s">
        <v>20</v>
      </c>
      <c r="L7358" t="s">
        <v>64</v>
      </c>
      <c r="M7358" t="s">
        <v>9083</v>
      </c>
      <c r="N7358" t="s">
        <v>9083</v>
      </c>
      <c r="O7358" t="s">
        <v>73</v>
      </c>
      <c r="P7358" t="s">
        <v>1268</v>
      </c>
      <c r="Q7358" t="s">
        <v>3811</v>
      </c>
      <c r="R7358" t="s">
        <v>9083</v>
      </c>
    </row>
    <row r="7359" spans="1:18" x14ac:dyDescent="0.25">
      <c r="A7359" t="s">
        <v>22425</v>
      </c>
      <c r="B7359" t="s">
        <v>9095</v>
      </c>
      <c r="C7359" t="str">
        <f>HYPERLINK("https://nematode.unl.edu/mono6.jpg")</f>
        <v>https://nematode.unl.edu/mono6.jpg</v>
      </c>
      <c r="D7359" t="s">
        <v>43</v>
      </c>
      <c r="G7359" t="s">
        <v>28</v>
      </c>
      <c r="L7359" t="s">
        <v>141</v>
      </c>
      <c r="M7359" t="s">
        <v>9083</v>
      </c>
      <c r="N7359" t="s">
        <v>9083</v>
      </c>
      <c r="O7359" t="s">
        <v>73</v>
      </c>
      <c r="P7359" t="s">
        <v>1268</v>
      </c>
      <c r="Q7359" t="s">
        <v>3811</v>
      </c>
      <c r="R7359" t="s">
        <v>9083</v>
      </c>
    </row>
    <row r="7360" spans="1:18" x14ac:dyDescent="0.25">
      <c r="A7360" t="s">
        <v>22415</v>
      </c>
      <c r="B7360" t="s">
        <v>9096</v>
      </c>
      <c r="C7360" t="str">
        <f>HYPERLINK("https://nematode.unl.edu/mono7.jpg")</f>
        <v>https://nematode.unl.edu/mono7.jpg</v>
      </c>
      <c r="D7360" t="s">
        <v>43</v>
      </c>
      <c r="G7360" t="s">
        <v>34</v>
      </c>
      <c r="H7360" t="s">
        <v>18</v>
      </c>
      <c r="J7360" t="s">
        <v>20</v>
      </c>
      <c r="L7360" t="s">
        <v>141</v>
      </c>
      <c r="M7360" t="s">
        <v>9083</v>
      </c>
      <c r="N7360" t="s">
        <v>9083</v>
      </c>
      <c r="O7360" t="s">
        <v>73</v>
      </c>
      <c r="P7360" t="s">
        <v>1268</v>
      </c>
      <c r="Q7360" t="s">
        <v>3811</v>
      </c>
      <c r="R7360" t="s">
        <v>9083</v>
      </c>
    </row>
    <row r="7361" spans="1:18" x14ac:dyDescent="0.25">
      <c r="A7361" t="s">
        <v>22420</v>
      </c>
      <c r="B7361" t="s">
        <v>9097</v>
      </c>
      <c r="C7361" t="str">
        <f>HYPERLINK("https://nematode.unl.edu/monogs1.jpg")</f>
        <v>https://nematode.unl.edu/monogs1.jpg</v>
      </c>
      <c r="D7361" t="s">
        <v>43</v>
      </c>
      <c r="G7361" t="s">
        <v>44</v>
      </c>
      <c r="I7361" t="s">
        <v>19</v>
      </c>
      <c r="J7361" t="s">
        <v>2350</v>
      </c>
      <c r="M7361" t="s">
        <v>9083</v>
      </c>
      <c r="N7361" t="s">
        <v>9083</v>
      </c>
      <c r="O7361" t="s">
        <v>73</v>
      </c>
      <c r="P7361" t="s">
        <v>1268</v>
      </c>
      <c r="Q7361" t="s">
        <v>3811</v>
      </c>
      <c r="R7361" t="s">
        <v>9083</v>
      </c>
    </row>
    <row r="7362" spans="1:18" x14ac:dyDescent="0.25">
      <c r="A7362" t="s">
        <v>22416</v>
      </c>
      <c r="B7362" t="s">
        <v>9098</v>
      </c>
      <c r="C7362" t="str">
        <f>HYPERLINK("https://nematode.unl.edu/monogs2.jpg")</f>
        <v>https://nematode.unl.edu/monogs2.jpg</v>
      </c>
      <c r="D7362" t="s">
        <v>43</v>
      </c>
      <c r="G7362" t="s">
        <v>34</v>
      </c>
      <c r="H7362" t="s">
        <v>18</v>
      </c>
      <c r="I7362" t="s">
        <v>41</v>
      </c>
      <c r="J7362" t="s">
        <v>2350</v>
      </c>
      <c r="M7362" t="s">
        <v>9083</v>
      </c>
      <c r="N7362" t="s">
        <v>9083</v>
      </c>
      <c r="O7362" t="s">
        <v>73</v>
      </c>
      <c r="P7362" t="s">
        <v>1268</v>
      </c>
      <c r="Q7362" t="s">
        <v>3811</v>
      </c>
      <c r="R7362" t="s">
        <v>9083</v>
      </c>
    </row>
    <row r="7363" spans="1:18" x14ac:dyDescent="0.25">
      <c r="A7363" t="s">
        <v>22422</v>
      </c>
      <c r="B7363" t="s">
        <v>9099</v>
      </c>
      <c r="C7363" t="str">
        <f>HYPERLINK("https://nematode.unl.edu/monogs3.jpg")</f>
        <v>https://nematode.unl.edu/monogs3.jpg</v>
      </c>
      <c r="D7363" t="s">
        <v>43</v>
      </c>
      <c r="G7363" t="s">
        <v>9086</v>
      </c>
      <c r="I7363" t="s">
        <v>41</v>
      </c>
      <c r="J7363" t="s">
        <v>2350</v>
      </c>
      <c r="L7363" t="s">
        <v>8734</v>
      </c>
      <c r="M7363" t="s">
        <v>9083</v>
      </c>
      <c r="N7363" t="s">
        <v>9083</v>
      </c>
      <c r="O7363" t="s">
        <v>73</v>
      </c>
      <c r="P7363" t="s">
        <v>1268</v>
      </c>
      <c r="Q7363" t="s">
        <v>3811</v>
      </c>
      <c r="R7363" t="s">
        <v>9083</v>
      </c>
    </row>
    <row r="7364" spans="1:18" x14ac:dyDescent="0.25">
      <c r="A7364" t="s">
        <v>22426</v>
      </c>
      <c r="B7364" t="s">
        <v>9100</v>
      </c>
      <c r="C7364" t="str">
        <f>HYPERLINK("https://nematode.unl.edu/monogs4.jpg")</f>
        <v>https://nematode.unl.edu/monogs4.jpg</v>
      </c>
      <c r="D7364" t="s">
        <v>43</v>
      </c>
      <c r="G7364" t="s">
        <v>28</v>
      </c>
      <c r="I7364" t="s">
        <v>41</v>
      </c>
      <c r="J7364" t="s">
        <v>2350</v>
      </c>
      <c r="M7364" t="s">
        <v>9083</v>
      </c>
      <c r="N7364" t="s">
        <v>9083</v>
      </c>
      <c r="O7364" t="s">
        <v>73</v>
      </c>
      <c r="P7364" t="s">
        <v>1268</v>
      </c>
      <c r="Q7364" t="s">
        <v>3811</v>
      </c>
      <c r="R7364" t="s">
        <v>9083</v>
      </c>
    </row>
    <row r="7365" spans="1:18" x14ac:dyDescent="0.25">
      <c r="A7365" t="s">
        <v>22417</v>
      </c>
      <c r="B7365" t="s">
        <v>9101</v>
      </c>
      <c r="C7365" t="str">
        <f>HYPERLINK("https://nematode.unl.edu/monon1.jpg")</f>
        <v>https://nematode.unl.edu/monon1.jpg</v>
      </c>
      <c r="D7365" t="s">
        <v>16</v>
      </c>
      <c r="G7365" t="s">
        <v>34</v>
      </c>
      <c r="H7365" t="s">
        <v>18</v>
      </c>
      <c r="J7365" t="s">
        <v>46</v>
      </c>
      <c r="L7365" t="s">
        <v>85</v>
      </c>
      <c r="M7365" t="s">
        <v>9083</v>
      </c>
      <c r="N7365" t="s">
        <v>9083</v>
      </c>
      <c r="O7365" t="s">
        <v>73</v>
      </c>
      <c r="P7365" t="s">
        <v>1268</v>
      </c>
      <c r="Q7365" t="s">
        <v>3811</v>
      </c>
      <c r="R7365" t="s">
        <v>9083</v>
      </c>
    </row>
    <row r="7366" spans="1:18" x14ac:dyDescent="0.25">
      <c r="A7366" t="s">
        <v>22418</v>
      </c>
      <c r="B7366" t="s">
        <v>9102</v>
      </c>
      <c r="C7366" t="str">
        <f>HYPERLINK("https://nematode.unl.edu/monon2.jpg")</f>
        <v>https://nematode.unl.edu/monon2.jpg</v>
      </c>
      <c r="D7366" t="s">
        <v>43</v>
      </c>
      <c r="G7366" t="s">
        <v>34</v>
      </c>
      <c r="H7366" t="s">
        <v>18</v>
      </c>
      <c r="J7366" t="s">
        <v>46</v>
      </c>
      <c r="M7366" t="s">
        <v>9083</v>
      </c>
      <c r="N7366" t="s">
        <v>9083</v>
      </c>
      <c r="O7366" t="s">
        <v>73</v>
      </c>
      <c r="P7366" t="s">
        <v>1268</v>
      </c>
      <c r="Q7366" t="s">
        <v>3811</v>
      </c>
      <c r="R7366" t="s">
        <v>9083</v>
      </c>
    </row>
    <row r="7367" spans="1:18" x14ac:dyDescent="0.25">
      <c r="A7367" t="s">
        <v>12290</v>
      </c>
      <c r="B7367" t="s">
        <v>1076</v>
      </c>
      <c r="C7367" t="str">
        <f>HYPERLINK("https://nematode.unl.edu/monvillo.jpg")</f>
        <v>https://nematode.unl.edu/monvillo.jpg</v>
      </c>
      <c r="G7367" t="s">
        <v>108</v>
      </c>
      <c r="J7367" t="s">
        <v>482</v>
      </c>
      <c r="M7367" t="s">
        <v>1077</v>
      </c>
      <c r="N7367" t="s">
        <v>1078</v>
      </c>
      <c r="O7367" t="s">
        <v>23</v>
      </c>
      <c r="P7367" t="s">
        <v>1024</v>
      </c>
      <c r="Q7367" t="s">
        <v>1025</v>
      </c>
      <c r="R7367" t="s">
        <v>1079</v>
      </c>
    </row>
    <row r="7368" spans="1:18" x14ac:dyDescent="0.25">
      <c r="A7368" t="s">
        <v>15043</v>
      </c>
      <c r="B7368" t="s">
        <v>8424</v>
      </c>
      <c r="C7368" t="str">
        <f>HYPERLINK("https://nematode.unl.edu/mornams1.jpg")</f>
        <v>https://nematode.unl.edu/mornams1.jpg</v>
      </c>
      <c r="D7368" t="s">
        <v>43</v>
      </c>
      <c r="G7368" t="s">
        <v>44</v>
      </c>
      <c r="I7368" t="s">
        <v>19</v>
      </c>
      <c r="J7368" t="s">
        <v>8425</v>
      </c>
      <c r="L7368" t="s">
        <v>1087</v>
      </c>
      <c r="M7368" t="s">
        <v>8333</v>
      </c>
      <c r="N7368" t="s">
        <v>8333</v>
      </c>
      <c r="O7368" t="s">
        <v>23</v>
      </c>
      <c r="P7368" t="s">
        <v>24</v>
      </c>
      <c r="Q7368" t="s">
        <v>642</v>
      </c>
      <c r="R7368" t="s">
        <v>1214</v>
      </c>
    </row>
    <row r="7369" spans="1:18" x14ac:dyDescent="0.25">
      <c r="A7369" t="s">
        <v>15073</v>
      </c>
      <c r="B7369" t="s">
        <v>8426</v>
      </c>
      <c r="C7369" t="str">
        <f>HYPERLINK("https://nematode.unl.edu/mornams10.jpg")</f>
        <v>https://nematode.unl.edu/mornams10.jpg</v>
      </c>
      <c r="D7369" t="s">
        <v>16</v>
      </c>
      <c r="G7369" t="s">
        <v>28</v>
      </c>
      <c r="I7369" t="s">
        <v>41</v>
      </c>
      <c r="M7369" t="s">
        <v>8333</v>
      </c>
      <c r="N7369" t="s">
        <v>8333</v>
      </c>
      <c r="O7369" t="s">
        <v>23</v>
      </c>
      <c r="P7369" t="s">
        <v>24</v>
      </c>
      <c r="Q7369" t="s">
        <v>642</v>
      </c>
      <c r="R7369" t="s">
        <v>1214</v>
      </c>
    </row>
    <row r="7370" spans="1:18" x14ac:dyDescent="0.25">
      <c r="A7370" t="s">
        <v>15015</v>
      </c>
      <c r="B7370" t="s">
        <v>8427</v>
      </c>
      <c r="C7370" t="str">
        <f>HYPERLINK("https://nematode.unl.edu/mornams11.jpg")</f>
        <v>https://nematode.unl.edu/mornams11.jpg</v>
      </c>
      <c r="D7370" t="s">
        <v>16</v>
      </c>
      <c r="G7370" t="s">
        <v>34</v>
      </c>
      <c r="H7370" t="s">
        <v>18</v>
      </c>
      <c r="I7370" t="s">
        <v>41</v>
      </c>
      <c r="M7370" t="s">
        <v>8333</v>
      </c>
      <c r="N7370" t="s">
        <v>8333</v>
      </c>
      <c r="O7370" t="s">
        <v>23</v>
      </c>
      <c r="P7370" t="s">
        <v>24</v>
      </c>
      <c r="Q7370" t="s">
        <v>642</v>
      </c>
      <c r="R7370" t="s">
        <v>1214</v>
      </c>
    </row>
    <row r="7371" spans="1:18" x14ac:dyDescent="0.25">
      <c r="A7371" t="s">
        <v>15074</v>
      </c>
      <c r="B7371" t="s">
        <v>8428</v>
      </c>
      <c r="C7371" t="str">
        <f>HYPERLINK("https://nematode.unl.edu/mornams12.jpg")</f>
        <v>https://nematode.unl.edu/mornams12.jpg</v>
      </c>
      <c r="D7371" t="s">
        <v>16</v>
      </c>
      <c r="G7371" t="s">
        <v>28</v>
      </c>
      <c r="I7371" t="s">
        <v>41</v>
      </c>
      <c r="M7371" t="s">
        <v>8333</v>
      </c>
      <c r="N7371" t="s">
        <v>8333</v>
      </c>
      <c r="O7371" t="s">
        <v>23</v>
      </c>
      <c r="P7371" t="s">
        <v>24</v>
      </c>
      <c r="Q7371" t="s">
        <v>642</v>
      </c>
      <c r="R7371" t="s">
        <v>1214</v>
      </c>
    </row>
    <row r="7372" spans="1:18" x14ac:dyDescent="0.25">
      <c r="A7372" t="s">
        <v>15016</v>
      </c>
      <c r="B7372" t="s">
        <v>8429</v>
      </c>
      <c r="C7372" t="str">
        <f>HYPERLINK("https://nematode.unl.edu/mornams2.jpg")</f>
        <v>https://nematode.unl.edu/mornams2.jpg</v>
      </c>
      <c r="D7372" t="s">
        <v>43</v>
      </c>
      <c r="G7372" t="s">
        <v>34</v>
      </c>
      <c r="H7372" t="s">
        <v>18</v>
      </c>
      <c r="I7372" t="s">
        <v>41</v>
      </c>
      <c r="M7372" t="s">
        <v>8333</v>
      </c>
      <c r="N7372" t="s">
        <v>8333</v>
      </c>
      <c r="O7372" t="s">
        <v>23</v>
      </c>
      <c r="P7372" t="s">
        <v>24</v>
      </c>
      <c r="Q7372" t="s">
        <v>642</v>
      </c>
      <c r="R7372" t="s">
        <v>1214</v>
      </c>
    </row>
    <row r="7373" spans="1:18" x14ac:dyDescent="0.25">
      <c r="A7373" t="s">
        <v>15075</v>
      </c>
      <c r="B7373" t="s">
        <v>8430</v>
      </c>
      <c r="C7373" t="str">
        <f>HYPERLINK("https://nematode.unl.edu/mornams3.jpg")</f>
        <v>https://nematode.unl.edu/mornams3.jpg</v>
      </c>
      <c r="D7373" t="s">
        <v>43</v>
      </c>
      <c r="G7373" t="s">
        <v>28</v>
      </c>
      <c r="I7373" t="s">
        <v>41</v>
      </c>
      <c r="M7373" t="s">
        <v>8333</v>
      </c>
      <c r="N7373" t="s">
        <v>8333</v>
      </c>
      <c r="O7373" t="s">
        <v>23</v>
      </c>
      <c r="P7373" t="s">
        <v>24</v>
      </c>
      <c r="Q7373" t="s">
        <v>642</v>
      </c>
      <c r="R7373" t="s">
        <v>1214</v>
      </c>
    </row>
    <row r="7374" spans="1:18" x14ac:dyDescent="0.25">
      <c r="A7374" t="s">
        <v>15080</v>
      </c>
      <c r="B7374" t="s">
        <v>8431</v>
      </c>
      <c r="C7374" t="str">
        <f>HYPERLINK("https://nematode.unl.edu/mornams4.jpg")</f>
        <v>https://nematode.unl.edu/mornams4.jpg</v>
      </c>
      <c r="D7374" t="s">
        <v>43</v>
      </c>
      <c r="G7374" t="s">
        <v>51</v>
      </c>
      <c r="I7374" t="s">
        <v>19</v>
      </c>
      <c r="M7374" t="s">
        <v>8333</v>
      </c>
      <c r="N7374" t="s">
        <v>8333</v>
      </c>
      <c r="O7374" t="s">
        <v>23</v>
      </c>
      <c r="P7374" t="s">
        <v>24</v>
      </c>
      <c r="Q7374" t="s">
        <v>642</v>
      </c>
      <c r="R7374" t="s">
        <v>1214</v>
      </c>
    </row>
    <row r="7375" spans="1:18" x14ac:dyDescent="0.25">
      <c r="A7375" t="s">
        <v>14992</v>
      </c>
      <c r="B7375" t="s">
        <v>8432</v>
      </c>
      <c r="C7375" t="str">
        <f>HYPERLINK("https://nematode.unl.edu/mornams5.jpg")</f>
        <v>https://nematode.unl.edu/mornams5.jpg</v>
      </c>
      <c r="D7375" t="s">
        <v>43</v>
      </c>
      <c r="G7375" t="s">
        <v>96</v>
      </c>
      <c r="H7375" t="s">
        <v>18</v>
      </c>
      <c r="I7375" t="s">
        <v>41</v>
      </c>
      <c r="M7375" t="s">
        <v>8333</v>
      </c>
      <c r="N7375" t="s">
        <v>8333</v>
      </c>
      <c r="O7375" t="s">
        <v>23</v>
      </c>
      <c r="P7375" t="s">
        <v>24</v>
      </c>
      <c r="Q7375" t="s">
        <v>642</v>
      </c>
      <c r="R7375" t="s">
        <v>1214</v>
      </c>
    </row>
    <row r="7376" spans="1:18" x14ac:dyDescent="0.25">
      <c r="A7376" t="s">
        <v>15017</v>
      </c>
      <c r="B7376" t="s">
        <v>8433</v>
      </c>
      <c r="C7376" t="str">
        <f>HYPERLINK("https://nematode.unl.edu/mornams6.jpg")</f>
        <v>https://nematode.unl.edu/mornams6.jpg</v>
      </c>
      <c r="D7376" t="s">
        <v>43</v>
      </c>
      <c r="G7376" t="s">
        <v>34</v>
      </c>
      <c r="H7376" t="s">
        <v>18</v>
      </c>
      <c r="I7376" t="s">
        <v>41</v>
      </c>
      <c r="M7376" t="s">
        <v>8333</v>
      </c>
      <c r="N7376" t="s">
        <v>8333</v>
      </c>
      <c r="O7376" t="s">
        <v>23</v>
      </c>
      <c r="P7376" t="s">
        <v>24</v>
      </c>
      <c r="Q7376" t="s">
        <v>642</v>
      </c>
      <c r="R7376" t="s">
        <v>1214</v>
      </c>
    </row>
    <row r="7377" spans="1:18" x14ac:dyDescent="0.25">
      <c r="A7377" t="s">
        <v>15076</v>
      </c>
      <c r="B7377" t="s">
        <v>8434</v>
      </c>
      <c r="C7377" t="str">
        <f>HYPERLINK("https://nematode.unl.edu/mornams7.jpg")</f>
        <v>https://nematode.unl.edu/mornams7.jpg</v>
      </c>
      <c r="D7377" t="s">
        <v>43</v>
      </c>
      <c r="G7377" t="s">
        <v>28</v>
      </c>
      <c r="I7377" t="s">
        <v>41</v>
      </c>
      <c r="M7377" t="s">
        <v>8333</v>
      </c>
      <c r="N7377" t="s">
        <v>8333</v>
      </c>
      <c r="O7377" t="s">
        <v>23</v>
      </c>
      <c r="P7377" t="s">
        <v>24</v>
      </c>
      <c r="Q7377" t="s">
        <v>642</v>
      </c>
      <c r="R7377" t="s">
        <v>1214</v>
      </c>
    </row>
    <row r="7378" spans="1:18" x14ac:dyDescent="0.25">
      <c r="A7378" t="s">
        <v>15044</v>
      </c>
      <c r="B7378" t="s">
        <v>8435</v>
      </c>
      <c r="C7378" t="str">
        <f>HYPERLINK("https://nematode.unl.edu/mornams8.jpg")</f>
        <v>https://nematode.unl.edu/mornams8.jpg</v>
      </c>
      <c r="D7378" t="s">
        <v>16</v>
      </c>
      <c r="G7378" t="s">
        <v>44</v>
      </c>
      <c r="I7378" t="s">
        <v>19</v>
      </c>
      <c r="J7378" t="s">
        <v>8425</v>
      </c>
      <c r="L7378" t="s">
        <v>1087</v>
      </c>
      <c r="M7378" t="s">
        <v>8333</v>
      </c>
      <c r="N7378" t="s">
        <v>8333</v>
      </c>
      <c r="O7378" t="s">
        <v>23</v>
      </c>
      <c r="P7378" t="s">
        <v>24</v>
      </c>
      <c r="Q7378" t="s">
        <v>642</v>
      </c>
      <c r="R7378" t="s">
        <v>1214</v>
      </c>
    </row>
    <row r="7379" spans="1:18" x14ac:dyDescent="0.25">
      <c r="A7379" t="s">
        <v>15018</v>
      </c>
      <c r="B7379" t="s">
        <v>8436</v>
      </c>
      <c r="C7379" t="str">
        <f>HYPERLINK("https://nematode.unl.edu/mornams9.jpg")</f>
        <v>https://nematode.unl.edu/mornams9.jpg</v>
      </c>
      <c r="D7379" t="s">
        <v>16</v>
      </c>
      <c r="G7379" t="s">
        <v>34</v>
      </c>
      <c r="H7379" t="s">
        <v>18</v>
      </c>
      <c r="I7379" t="s">
        <v>41</v>
      </c>
      <c r="M7379" t="s">
        <v>8333</v>
      </c>
      <c r="N7379" t="s">
        <v>8333</v>
      </c>
      <c r="O7379" t="s">
        <v>23</v>
      </c>
      <c r="P7379" t="s">
        <v>24</v>
      </c>
      <c r="Q7379" t="s">
        <v>642</v>
      </c>
      <c r="R7379" t="s">
        <v>1214</v>
      </c>
    </row>
    <row r="7380" spans="1:18" x14ac:dyDescent="0.25">
      <c r="A7380" t="s">
        <v>18459</v>
      </c>
      <c r="B7380" t="s">
        <v>1185</v>
      </c>
      <c r="C7380" t="str">
        <f>HYPERLINK("https://nematode.unl.edu/musiform1.jpg")</f>
        <v>https://nematode.unl.edu/musiform1.jpg</v>
      </c>
      <c r="D7380" t="s">
        <v>16</v>
      </c>
      <c r="G7380" t="s">
        <v>44</v>
      </c>
      <c r="I7380" t="s">
        <v>45</v>
      </c>
      <c r="J7380" t="s">
        <v>20</v>
      </c>
      <c r="L7380" t="s">
        <v>78</v>
      </c>
      <c r="M7380" t="s">
        <v>1176</v>
      </c>
      <c r="N7380" t="s">
        <v>1177</v>
      </c>
      <c r="O7380" t="s">
        <v>23</v>
      </c>
      <c r="P7380" t="s">
        <v>24</v>
      </c>
      <c r="Q7380" t="s">
        <v>69</v>
      </c>
      <c r="R7380" t="s">
        <v>1178</v>
      </c>
    </row>
    <row r="7381" spans="1:18" x14ac:dyDescent="0.25">
      <c r="A7381" t="s">
        <v>18451</v>
      </c>
      <c r="B7381" t="s">
        <v>1186</v>
      </c>
      <c r="C7381" t="str">
        <f>HYPERLINK("https://nematode.unl.edu/musiform10.jpg")</f>
        <v>https://nematode.unl.edu/musiform10.jpg</v>
      </c>
      <c r="D7381" t="s">
        <v>43</v>
      </c>
      <c r="G7381" t="s">
        <v>34</v>
      </c>
      <c r="H7381" t="s">
        <v>18</v>
      </c>
      <c r="I7381" t="s">
        <v>41</v>
      </c>
      <c r="M7381" t="s">
        <v>1176</v>
      </c>
      <c r="N7381" t="s">
        <v>1177</v>
      </c>
      <c r="O7381" t="s">
        <v>23</v>
      </c>
      <c r="P7381" t="s">
        <v>24</v>
      </c>
      <c r="Q7381" t="s">
        <v>69</v>
      </c>
      <c r="R7381" t="s">
        <v>1178</v>
      </c>
    </row>
    <row r="7382" spans="1:18" x14ac:dyDescent="0.25">
      <c r="A7382" t="s">
        <v>18469</v>
      </c>
      <c r="B7382" t="s">
        <v>1187</v>
      </c>
      <c r="C7382" t="str">
        <f>HYPERLINK("https://nematode.unl.edu/musiform11.jpg")</f>
        <v>https://nematode.unl.edu/musiform11.jpg</v>
      </c>
      <c r="D7382" t="s">
        <v>43</v>
      </c>
      <c r="G7382" t="s">
        <v>51</v>
      </c>
      <c r="I7382" t="s">
        <v>41</v>
      </c>
      <c r="J7382" t="s">
        <v>20</v>
      </c>
      <c r="M7382" t="s">
        <v>1176</v>
      </c>
      <c r="N7382" t="s">
        <v>1177</v>
      </c>
      <c r="O7382" t="s">
        <v>23</v>
      </c>
      <c r="P7382" t="s">
        <v>24</v>
      </c>
      <c r="Q7382" t="s">
        <v>69</v>
      </c>
      <c r="R7382" t="s">
        <v>1178</v>
      </c>
    </row>
    <row r="7383" spans="1:18" x14ac:dyDescent="0.25">
      <c r="A7383" t="s">
        <v>18452</v>
      </c>
      <c r="B7383" t="s">
        <v>1188</v>
      </c>
      <c r="C7383" t="str">
        <f>HYPERLINK("https://nematode.unl.edu/musiform12.jpg")</f>
        <v>https://nematode.unl.edu/musiform12.jpg</v>
      </c>
      <c r="D7383" t="s">
        <v>43</v>
      </c>
      <c r="G7383" t="s">
        <v>34</v>
      </c>
      <c r="H7383" t="s">
        <v>18</v>
      </c>
      <c r="I7383" t="s">
        <v>41</v>
      </c>
      <c r="J7383" t="s">
        <v>20</v>
      </c>
      <c r="L7383" t="s">
        <v>141</v>
      </c>
      <c r="M7383" t="s">
        <v>1176</v>
      </c>
      <c r="N7383" t="s">
        <v>1177</v>
      </c>
      <c r="O7383" t="s">
        <v>23</v>
      </c>
      <c r="P7383" t="s">
        <v>24</v>
      </c>
      <c r="Q7383" t="s">
        <v>69</v>
      </c>
      <c r="R7383" t="s">
        <v>1178</v>
      </c>
    </row>
    <row r="7384" spans="1:18" x14ac:dyDescent="0.25">
      <c r="A7384" t="s">
        <v>18470</v>
      </c>
      <c r="B7384" t="s">
        <v>1189</v>
      </c>
      <c r="C7384" t="str">
        <f>HYPERLINK("https://nematode.unl.edu/musiform13.jpg")</f>
        <v>https://nematode.unl.edu/musiform13.jpg</v>
      </c>
      <c r="D7384" t="s">
        <v>43</v>
      </c>
      <c r="G7384" t="s">
        <v>51</v>
      </c>
      <c r="I7384" t="s">
        <v>41</v>
      </c>
      <c r="J7384" t="s">
        <v>20</v>
      </c>
      <c r="L7384" t="s">
        <v>141</v>
      </c>
      <c r="M7384" t="s">
        <v>1176</v>
      </c>
      <c r="N7384" t="s">
        <v>1177</v>
      </c>
      <c r="O7384" t="s">
        <v>23</v>
      </c>
      <c r="P7384" t="s">
        <v>24</v>
      </c>
      <c r="Q7384" t="s">
        <v>69</v>
      </c>
      <c r="R7384" t="s">
        <v>1178</v>
      </c>
    </row>
    <row r="7385" spans="1:18" x14ac:dyDescent="0.25">
      <c r="A7385" t="s">
        <v>18464</v>
      </c>
      <c r="B7385" t="s">
        <v>1190</v>
      </c>
      <c r="C7385" t="str">
        <f>HYPERLINK("https://nematode.unl.edu/musiform14.jpg")</f>
        <v>https://nematode.unl.edu/musiform14.jpg</v>
      </c>
      <c r="D7385" t="s">
        <v>43</v>
      </c>
      <c r="G7385" t="s">
        <v>28</v>
      </c>
      <c r="I7385" t="s">
        <v>41</v>
      </c>
      <c r="J7385" t="s">
        <v>20</v>
      </c>
      <c r="L7385" t="s">
        <v>141</v>
      </c>
      <c r="M7385" t="s">
        <v>1176</v>
      </c>
      <c r="N7385" t="s">
        <v>1177</v>
      </c>
      <c r="O7385" t="s">
        <v>23</v>
      </c>
      <c r="P7385" t="s">
        <v>24</v>
      </c>
      <c r="Q7385" t="s">
        <v>69</v>
      </c>
      <c r="R7385" t="s">
        <v>1178</v>
      </c>
    </row>
    <row r="7386" spans="1:18" x14ac:dyDescent="0.25">
      <c r="A7386" t="s">
        <v>18448</v>
      </c>
      <c r="B7386" t="s">
        <v>1191</v>
      </c>
      <c r="C7386" t="str">
        <f>HYPERLINK("https://nematode.unl.edu/musiform15.jpg")</f>
        <v>https://nematode.unl.edu/musiform15.jpg</v>
      </c>
      <c r="D7386" t="s">
        <v>43</v>
      </c>
      <c r="G7386" t="s">
        <v>96</v>
      </c>
      <c r="H7386" t="s">
        <v>18</v>
      </c>
      <c r="J7386" t="s">
        <v>20</v>
      </c>
      <c r="L7386" t="s">
        <v>141</v>
      </c>
      <c r="M7386" t="s">
        <v>1176</v>
      </c>
      <c r="N7386" t="s">
        <v>1177</v>
      </c>
      <c r="O7386" t="s">
        <v>23</v>
      </c>
      <c r="P7386" t="s">
        <v>24</v>
      </c>
      <c r="Q7386" t="s">
        <v>69</v>
      </c>
      <c r="R7386" t="s">
        <v>1178</v>
      </c>
    </row>
    <row r="7387" spans="1:18" x14ac:dyDescent="0.25">
      <c r="A7387" t="s">
        <v>18465</v>
      </c>
      <c r="B7387" t="s">
        <v>1192</v>
      </c>
      <c r="C7387" t="str">
        <f>HYPERLINK("https://nematode.unl.edu/musiform16.jpg")</f>
        <v>https://nematode.unl.edu/musiform16.jpg</v>
      </c>
      <c r="D7387" t="s">
        <v>43</v>
      </c>
      <c r="G7387" t="s">
        <v>28</v>
      </c>
      <c r="J7387" t="s">
        <v>20</v>
      </c>
      <c r="L7387" t="s">
        <v>141</v>
      </c>
      <c r="M7387" t="s">
        <v>1176</v>
      </c>
      <c r="N7387" t="s">
        <v>1177</v>
      </c>
      <c r="O7387" t="s">
        <v>23</v>
      </c>
      <c r="P7387" t="s">
        <v>24</v>
      </c>
      <c r="Q7387" t="s">
        <v>69</v>
      </c>
      <c r="R7387" t="s">
        <v>1178</v>
      </c>
    </row>
    <row r="7388" spans="1:18" x14ac:dyDescent="0.25">
      <c r="A7388" t="s">
        <v>18453</v>
      </c>
      <c r="B7388" t="s">
        <v>1193</v>
      </c>
      <c r="C7388" t="str">
        <f>HYPERLINK("https://nematode.unl.edu/musiform2.jpg")</f>
        <v>https://nematode.unl.edu/musiform2.jpg</v>
      </c>
      <c r="D7388" t="s">
        <v>16</v>
      </c>
      <c r="G7388" t="s">
        <v>34</v>
      </c>
      <c r="H7388" t="s">
        <v>18</v>
      </c>
      <c r="I7388" t="s">
        <v>41</v>
      </c>
      <c r="J7388" t="s">
        <v>20</v>
      </c>
      <c r="L7388" t="s">
        <v>85</v>
      </c>
      <c r="M7388" t="s">
        <v>1176</v>
      </c>
      <c r="N7388" t="s">
        <v>1177</v>
      </c>
      <c r="O7388" t="s">
        <v>23</v>
      </c>
      <c r="P7388" t="s">
        <v>24</v>
      </c>
      <c r="Q7388" t="s">
        <v>69</v>
      </c>
      <c r="R7388" t="s">
        <v>1178</v>
      </c>
    </row>
    <row r="7389" spans="1:18" x14ac:dyDescent="0.25">
      <c r="A7389" t="s">
        <v>18454</v>
      </c>
      <c r="B7389" t="s">
        <v>1194</v>
      </c>
      <c r="C7389" t="str">
        <f>HYPERLINK("https://nematode.unl.edu/musiform3.jpg")</f>
        <v>https://nematode.unl.edu/musiform3.jpg</v>
      </c>
      <c r="D7389" t="s">
        <v>16</v>
      </c>
      <c r="G7389" t="s">
        <v>34</v>
      </c>
      <c r="H7389" t="s">
        <v>18</v>
      </c>
      <c r="I7389" t="s">
        <v>41</v>
      </c>
      <c r="L7389" t="s">
        <v>352</v>
      </c>
      <c r="M7389" t="s">
        <v>1176</v>
      </c>
      <c r="N7389" t="s">
        <v>1177</v>
      </c>
      <c r="O7389" t="s">
        <v>23</v>
      </c>
      <c r="P7389" t="s">
        <v>24</v>
      </c>
      <c r="Q7389" t="s">
        <v>69</v>
      </c>
      <c r="R7389" t="s">
        <v>1178</v>
      </c>
    </row>
    <row r="7390" spans="1:18" x14ac:dyDescent="0.25">
      <c r="A7390" t="s">
        <v>18455</v>
      </c>
      <c r="B7390" t="s">
        <v>1195</v>
      </c>
      <c r="C7390" t="str">
        <f>HYPERLINK("https://nematode.unl.edu/musiform4.jpg")</f>
        <v>https://nematode.unl.edu/musiform4.jpg</v>
      </c>
      <c r="D7390" t="s">
        <v>16</v>
      </c>
      <c r="G7390" t="s">
        <v>34</v>
      </c>
      <c r="H7390" t="s">
        <v>18</v>
      </c>
      <c r="I7390" t="s">
        <v>41</v>
      </c>
      <c r="J7390" t="s">
        <v>20</v>
      </c>
      <c r="L7390" t="s">
        <v>64</v>
      </c>
      <c r="M7390" t="s">
        <v>1176</v>
      </c>
      <c r="N7390" t="s">
        <v>1177</v>
      </c>
      <c r="O7390" t="s">
        <v>23</v>
      </c>
      <c r="P7390" t="s">
        <v>24</v>
      </c>
      <c r="Q7390" t="s">
        <v>69</v>
      </c>
      <c r="R7390" t="s">
        <v>1178</v>
      </c>
    </row>
    <row r="7391" spans="1:18" x14ac:dyDescent="0.25">
      <c r="A7391" t="s">
        <v>18466</v>
      </c>
      <c r="B7391" t="s">
        <v>1196</v>
      </c>
      <c r="C7391" t="str">
        <f>HYPERLINK("https://nematode.unl.edu/musiform5.jpg")</f>
        <v>https://nematode.unl.edu/musiform5.jpg</v>
      </c>
      <c r="D7391" t="s">
        <v>16</v>
      </c>
      <c r="G7391" t="s">
        <v>28</v>
      </c>
      <c r="M7391" t="s">
        <v>1176</v>
      </c>
      <c r="N7391" t="s">
        <v>1177</v>
      </c>
      <c r="O7391" t="s">
        <v>23</v>
      </c>
      <c r="P7391" t="s">
        <v>24</v>
      </c>
      <c r="Q7391" t="s">
        <v>69</v>
      </c>
      <c r="R7391" t="s">
        <v>1178</v>
      </c>
    </row>
    <row r="7392" spans="1:18" x14ac:dyDescent="0.25">
      <c r="A7392" t="s">
        <v>18460</v>
      </c>
      <c r="B7392" t="s">
        <v>1197</v>
      </c>
      <c r="C7392" t="str">
        <f>HYPERLINK("https://nematode.unl.edu/musiform6.jpg")</f>
        <v>https://nematode.unl.edu/musiform6.jpg</v>
      </c>
      <c r="D7392" t="s">
        <v>77</v>
      </c>
      <c r="G7392" t="s">
        <v>44</v>
      </c>
      <c r="I7392" t="s">
        <v>45</v>
      </c>
      <c r="J7392" t="s">
        <v>20</v>
      </c>
      <c r="L7392" t="s">
        <v>206</v>
      </c>
      <c r="M7392" t="s">
        <v>1176</v>
      </c>
      <c r="N7392" t="s">
        <v>1177</v>
      </c>
      <c r="O7392" t="s">
        <v>23</v>
      </c>
      <c r="P7392" t="s">
        <v>24</v>
      </c>
      <c r="Q7392" t="s">
        <v>69</v>
      </c>
      <c r="R7392" t="s">
        <v>1178</v>
      </c>
    </row>
    <row r="7393" spans="1:18" x14ac:dyDescent="0.25">
      <c r="A7393" t="s">
        <v>18463</v>
      </c>
      <c r="B7393" t="s">
        <v>1198</v>
      </c>
      <c r="C7393" t="str">
        <f>HYPERLINK("https://nematode.unl.edu/musiform7.jpg")</f>
        <v>https://nematode.unl.edu/musiform7.jpg</v>
      </c>
      <c r="D7393" t="s">
        <v>77</v>
      </c>
      <c r="G7393" t="s">
        <v>112</v>
      </c>
      <c r="I7393" t="s">
        <v>19</v>
      </c>
      <c r="M7393" t="s">
        <v>1176</v>
      </c>
      <c r="N7393" t="s">
        <v>1177</v>
      </c>
      <c r="O7393" t="s">
        <v>23</v>
      </c>
      <c r="P7393" t="s">
        <v>24</v>
      </c>
      <c r="Q7393" t="s">
        <v>69</v>
      </c>
      <c r="R7393" t="s">
        <v>1178</v>
      </c>
    </row>
    <row r="7394" spans="1:18" x14ac:dyDescent="0.25">
      <c r="A7394" t="s">
        <v>18456</v>
      </c>
      <c r="B7394" t="s">
        <v>1199</v>
      </c>
      <c r="C7394" t="str">
        <f>HYPERLINK("https://nematode.unl.edu/musiform8.jpg")</f>
        <v>https://nematode.unl.edu/musiform8.jpg</v>
      </c>
      <c r="D7394" t="s">
        <v>77</v>
      </c>
      <c r="G7394" t="s">
        <v>34</v>
      </c>
      <c r="H7394" t="s">
        <v>18</v>
      </c>
      <c r="M7394" t="s">
        <v>1176</v>
      </c>
      <c r="N7394" t="s">
        <v>1177</v>
      </c>
      <c r="O7394" t="s">
        <v>23</v>
      </c>
      <c r="P7394" t="s">
        <v>24</v>
      </c>
      <c r="Q7394" t="s">
        <v>69</v>
      </c>
      <c r="R7394" t="s">
        <v>1178</v>
      </c>
    </row>
    <row r="7395" spans="1:18" x14ac:dyDescent="0.25">
      <c r="A7395" t="s">
        <v>18457</v>
      </c>
      <c r="B7395" t="s">
        <v>1200</v>
      </c>
      <c r="C7395" t="str">
        <f>HYPERLINK("https://nematode.unl.edu/musiform9.jpg")</f>
        <v>https://nematode.unl.edu/musiform9.jpg</v>
      </c>
      <c r="D7395" t="s">
        <v>43</v>
      </c>
      <c r="G7395" t="s">
        <v>34</v>
      </c>
      <c r="H7395" t="s">
        <v>18</v>
      </c>
      <c r="I7395" t="s">
        <v>19</v>
      </c>
      <c r="J7395" t="s">
        <v>20</v>
      </c>
      <c r="M7395" t="s">
        <v>1176</v>
      </c>
      <c r="N7395" t="s">
        <v>1177</v>
      </c>
      <c r="O7395" t="s">
        <v>23</v>
      </c>
      <c r="P7395" t="s">
        <v>24</v>
      </c>
      <c r="Q7395" t="s">
        <v>69</v>
      </c>
      <c r="R7395" t="s">
        <v>1178</v>
      </c>
    </row>
    <row r="7396" spans="1:18" x14ac:dyDescent="0.25">
      <c r="A7396" t="s">
        <v>15335</v>
      </c>
      <c r="B7396" t="s">
        <v>8796</v>
      </c>
      <c r="C7396" t="str">
        <f>HYPERLINK("https://nematode.unl.edu/mxenmile1.jpg")</f>
        <v>https://nematode.unl.edu/mxenmile1.jpg</v>
      </c>
      <c r="D7396" t="s">
        <v>43</v>
      </c>
      <c r="G7396" t="s">
        <v>44</v>
      </c>
      <c r="I7396" t="s">
        <v>19</v>
      </c>
      <c r="J7396" t="s">
        <v>46</v>
      </c>
      <c r="M7396" t="s">
        <v>8559</v>
      </c>
      <c r="N7396" t="s">
        <v>8559</v>
      </c>
      <c r="O7396" t="s">
        <v>23</v>
      </c>
      <c r="P7396" t="s">
        <v>24</v>
      </c>
      <c r="Q7396" t="s">
        <v>642</v>
      </c>
      <c r="R7396" t="s">
        <v>1214</v>
      </c>
    </row>
    <row r="7397" spans="1:18" x14ac:dyDescent="0.25">
      <c r="A7397" t="s">
        <v>14218</v>
      </c>
      <c r="B7397" t="s">
        <v>7547</v>
      </c>
      <c r="C7397" t="str">
        <f>HYPERLINK("https://nematode.unl.edu/mxenmile10.jpg")</f>
        <v>https://nematode.unl.edu/mxenmile10.jpg</v>
      </c>
      <c r="D7397" t="s">
        <v>43</v>
      </c>
      <c r="G7397" t="s">
        <v>28</v>
      </c>
      <c r="J7397" t="s">
        <v>46</v>
      </c>
      <c r="M7397" t="s">
        <v>1214</v>
      </c>
      <c r="N7397" t="s">
        <v>1214</v>
      </c>
      <c r="O7397" t="s">
        <v>23</v>
      </c>
      <c r="P7397" t="s">
        <v>24</v>
      </c>
      <c r="Q7397" t="s">
        <v>642</v>
      </c>
      <c r="R7397" t="s">
        <v>1214</v>
      </c>
    </row>
    <row r="7398" spans="1:18" x14ac:dyDescent="0.25">
      <c r="A7398" t="s">
        <v>14163</v>
      </c>
      <c r="B7398" t="s">
        <v>7548</v>
      </c>
      <c r="C7398" t="str">
        <f>HYPERLINK("https://nematode.unl.edu/mxenmile11.jpg")</f>
        <v>https://nematode.unl.edu/mxenmile11.jpg</v>
      </c>
      <c r="D7398" t="s">
        <v>43</v>
      </c>
      <c r="G7398" t="s">
        <v>44</v>
      </c>
      <c r="I7398" t="s">
        <v>41</v>
      </c>
      <c r="J7398" t="s">
        <v>46</v>
      </c>
      <c r="M7398" t="s">
        <v>1214</v>
      </c>
      <c r="N7398" t="s">
        <v>1214</v>
      </c>
      <c r="O7398" t="s">
        <v>23</v>
      </c>
      <c r="P7398" t="s">
        <v>24</v>
      </c>
      <c r="Q7398" t="s">
        <v>642</v>
      </c>
      <c r="R7398" t="s">
        <v>1214</v>
      </c>
    </row>
    <row r="7399" spans="1:18" x14ac:dyDescent="0.25">
      <c r="A7399" t="s">
        <v>14164</v>
      </c>
      <c r="B7399" t="s">
        <v>7549</v>
      </c>
      <c r="C7399" t="str">
        <f>HYPERLINK("https://nematode.unl.edu/mxenmile12.jpg")</f>
        <v>https://nematode.unl.edu/mxenmile12.jpg</v>
      </c>
      <c r="D7399" t="s">
        <v>43</v>
      </c>
      <c r="G7399" t="s">
        <v>44</v>
      </c>
      <c r="I7399" t="s">
        <v>19</v>
      </c>
      <c r="J7399" t="s">
        <v>46</v>
      </c>
      <c r="M7399" t="s">
        <v>1214</v>
      </c>
      <c r="N7399" t="s">
        <v>1214</v>
      </c>
      <c r="O7399" t="s">
        <v>23</v>
      </c>
      <c r="P7399" t="s">
        <v>24</v>
      </c>
      <c r="Q7399" t="s">
        <v>642</v>
      </c>
      <c r="R7399" t="s">
        <v>1214</v>
      </c>
    </row>
    <row r="7400" spans="1:18" x14ac:dyDescent="0.25">
      <c r="A7400" t="s">
        <v>14098</v>
      </c>
      <c r="B7400" t="s">
        <v>7550</v>
      </c>
      <c r="C7400" t="str">
        <f>HYPERLINK("https://nematode.unl.edu/mxenmile13.jpg")</f>
        <v>https://nematode.unl.edu/mxenmile13.jpg</v>
      </c>
      <c r="D7400" t="s">
        <v>16</v>
      </c>
      <c r="G7400" t="s">
        <v>34</v>
      </c>
      <c r="H7400" t="s">
        <v>18</v>
      </c>
      <c r="I7400" t="s">
        <v>41</v>
      </c>
      <c r="J7400" t="s">
        <v>46</v>
      </c>
      <c r="M7400" t="s">
        <v>1214</v>
      </c>
      <c r="N7400" t="s">
        <v>1214</v>
      </c>
      <c r="O7400" t="s">
        <v>23</v>
      </c>
      <c r="P7400" t="s">
        <v>24</v>
      </c>
      <c r="Q7400" t="s">
        <v>642</v>
      </c>
      <c r="R7400" t="s">
        <v>1214</v>
      </c>
    </row>
    <row r="7401" spans="1:18" x14ac:dyDescent="0.25">
      <c r="A7401" t="s">
        <v>14219</v>
      </c>
      <c r="B7401" t="s">
        <v>7551</v>
      </c>
      <c r="C7401" t="str">
        <f>HYPERLINK("https://nematode.unl.edu/mxenmile14.jpg")</f>
        <v>https://nematode.unl.edu/mxenmile14.jpg</v>
      </c>
      <c r="D7401" t="s">
        <v>16</v>
      </c>
      <c r="G7401" t="s">
        <v>28</v>
      </c>
      <c r="I7401" t="s">
        <v>41</v>
      </c>
      <c r="J7401" t="s">
        <v>46</v>
      </c>
      <c r="M7401" t="s">
        <v>1214</v>
      </c>
      <c r="N7401" t="s">
        <v>1214</v>
      </c>
      <c r="O7401" t="s">
        <v>23</v>
      </c>
      <c r="P7401" t="s">
        <v>24</v>
      </c>
      <c r="Q7401" t="s">
        <v>642</v>
      </c>
      <c r="R7401" t="s">
        <v>1214</v>
      </c>
    </row>
    <row r="7402" spans="1:18" x14ac:dyDescent="0.25">
      <c r="A7402" t="s">
        <v>14165</v>
      </c>
      <c r="B7402" t="s">
        <v>7552</v>
      </c>
      <c r="C7402" t="str">
        <f>HYPERLINK("https://nematode.unl.edu/mxenmile15.jpg")</f>
        <v>https://nematode.unl.edu/mxenmile15.jpg</v>
      </c>
      <c r="D7402" t="s">
        <v>16</v>
      </c>
      <c r="G7402" t="s">
        <v>44</v>
      </c>
      <c r="I7402" t="s">
        <v>41</v>
      </c>
      <c r="J7402" t="s">
        <v>46</v>
      </c>
      <c r="M7402" t="s">
        <v>1214</v>
      </c>
      <c r="N7402" t="s">
        <v>1214</v>
      </c>
      <c r="O7402" t="s">
        <v>23</v>
      </c>
      <c r="P7402" t="s">
        <v>24</v>
      </c>
      <c r="Q7402" t="s">
        <v>642</v>
      </c>
      <c r="R7402" t="s">
        <v>1214</v>
      </c>
    </row>
    <row r="7403" spans="1:18" x14ac:dyDescent="0.25">
      <c r="A7403" t="s">
        <v>15197</v>
      </c>
      <c r="B7403" t="s">
        <v>8555</v>
      </c>
      <c r="C7403" t="str">
        <f>HYPERLINK("https://nematode.unl.edu/mxenmile2.jpg")</f>
        <v>https://nematode.unl.edu/mxenmile2.jpg</v>
      </c>
      <c r="D7403" t="s">
        <v>43</v>
      </c>
      <c r="G7403" t="s">
        <v>34</v>
      </c>
      <c r="H7403" t="s">
        <v>18</v>
      </c>
      <c r="J7403" t="s">
        <v>46</v>
      </c>
      <c r="M7403" t="s">
        <v>8556</v>
      </c>
      <c r="N7403" t="s">
        <v>8556</v>
      </c>
      <c r="O7403" t="s">
        <v>23</v>
      </c>
      <c r="P7403" t="s">
        <v>24</v>
      </c>
      <c r="Q7403" t="s">
        <v>642</v>
      </c>
      <c r="R7403" t="s">
        <v>1214</v>
      </c>
    </row>
    <row r="7404" spans="1:18" x14ac:dyDescent="0.25">
      <c r="A7404" t="s">
        <v>15262</v>
      </c>
      <c r="B7404" t="s">
        <v>8797</v>
      </c>
      <c r="C7404" t="str">
        <f>HYPERLINK("https://nematode.unl.edu/mxenmile3.jpg")</f>
        <v>https://nematode.unl.edu/mxenmile3.jpg</v>
      </c>
      <c r="D7404" t="s">
        <v>43</v>
      </c>
      <c r="G7404" t="s">
        <v>34</v>
      </c>
      <c r="H7404" t="s">
        <v>18</v>
      </c>
      <c r="J7404" t="s">
        <v>46</v>
      </c>
      <c r="M7404" t="s">
        <v>8559</v>
      </c>
      <c r="N7404" t="s">
        <v>8559</v>
      </c>
      <c r="O7404" t="s">
        <v>23</v>
      </c>
      <c r="P7404" t="s">
        <v>24</v>
      </c>
      <c r="Q7404" t="s">
        <v>642</v>
      </c>
      <c r="R7404" t="s">
        <v>1214</v>
      </c>
    </row>
    <row r="7405" spans="1:18" x14ac:dyDescent="0.25">
      <c r="A7405" t="s">
        <v>15336</v>
      </c>
      <c r="B7405" t="s">
        <v>8798</v>
      </c>
      <c r="C7405" t="str">
        <f>HYPERLINK("https://nematode.unl.edu/mxenmile4.jpg")</f>
        <v>https://nematode.unl.edu/mxenmile4.jpg</v>
      </c>
      <c r="D7405" t="s">
        <v>43</v>
      </c>
      <c r="G7405" t="s">
        <v>44</v>
      </c>
      <c r="I7405" t="s">
        <v>19</v>
      </c>
      <c r="J7405" t="s">
        <v>46</v>
      </c>
      <c r="M7405" t="s">
        <v>8559</v>
      </c>
      <c r="N7405" t="s">
        <v>8559</v>
      </c>
      <c r="O7405" t="s">
        <v>23</v>
      </c>
      <c r="P7405" t="s">
        <v>24</v>
      </c>
      <c r="Q7405" t="s">
        <v>642</v>
      </c>
      <c r="R7405" t="s">
        <v>1214</v>
      </c>
    </row>
    <row r="7406" spans="1:18" x14ac:dyDescent="0.25">
      <c r="A7406" t="s">
        <v>15263</v>
      </c>
      <c r="B7406" t="s">
        <v>8799</v>
      </c>
      <c r="C7406" t="str">
        <f>HYPERLINK("https://nematode.unl.edu/mxenmile5.jpg")</f>
        <v>https://nematode.unl.edu/mxenmile5.jpg</v>
      </c>
      <c r="D7406" t="s">
        <v>43</v>
      </c>
      <c r="G7406" t="s">
        <v>34</v>
      </c>
      <c r="H7406" t="s">
        <v>18</v>
      </c>
      <c r="I7406" t="s">
        <v>41</v>
      </c>
      <c r="J7406" t="s">
        <v>46</v>
      </c>
      <c r="M7406" t="s">
        <v>8559</v>
      </c>
      <c r="N7406" t="s">
        <v>8559</v>
      </c>
      <c r="O7406" t="s">
        <v>23</v>
      </c>
      <c r="P7406" t="s">
        <v>24</v>
      </c>
      <c r="Q7406" t="s">
        <v>642</v>
      </c>
      <c r="R7406" t="s">
        <v>1214</v>
      </c>
    </row>
    <row r="7407" spans="1:18" x14ac:dyDescent="0.25">
      <c r="A7407" t="s">
        <v>15413</v>
      </c>
      <c r="B7407" t="s">
        <v>8800</v>
      </c>
      <c r="C7407" t="str">
        <f>HYPERLINK("https://nematode.unl.edu/mxenmile6.jpg")</f>
        <v>https://nematode.unl.edu/mxenmile6.jpg</v>
      </c>
      <c r="D7407" t="s">
        <v>43</v>
      </c>
      <c r="G7407" t="s">
        <v>28</v>
      </c>
      <c r="I7407" t="s">
        <v>41</v>
      </c>
      <c r="M7407" t="s">
        <v>8559</v>
      </c>
      <c r="N7407" t="s">
        <v>8559</v>
      </c>
      <c r="O7407" t="s">
        <v>23</v>
      </c>
      <c r="P7407" t="s">
        <v>24</v>
      </c>
      <c r="Q7407" t="s">
        <v>642</v>
      </c>
      <c r="R7407" t="s">
        <v>1214</v>
      </c>
    </row>
    <row r="7408" spans="1:18" x14ac:dyDescent="0.25">
      <c r="A7408" t="s">
        <v>15424</v>
      </c>
      <c r="B7408" t="s">
        <v>8801</v>
      </c>
      <c r="C7408" t="str">
        <f>HYPERLINK("https://nematode.unl.edu/mxenmile7.jpg")</f>
        <v>https://nematode.unl.edu/mxenmile7.jpg</v>
      </c>
      <c r="D7408" t="s">
        <v>43</v>
      </c>
      <c r="G7408" t="s">
        <v>51</v>
      </c>
      <c r="I7408" t="s">
        <v>41</v>
      </c>
      <c r="M7408" t="s">
        <v>8559</v>
      </c>
      <c r="N7408" t="s">
        <v>8559</v>
      </c>
      <c r="O7408" t="s">
        <v>23</v>
      </c>
      <c r="P7408" t="s">
        <v>24</v>
      </c>
      <c r="Q7408" t="s">
        <v>642</v>
      </c>
      <c r="R7408" t="s">
        <v>1214</v>
      </c>
    </row>
    <row r="7409" spans="1:18" x14ac:dyDescent="0.25">
      <c r="A7409" t="s">
        <v>15337</v>
      </c>
      <c r="B7409" t="s">
        <v>8802</v>
      </c>
      <c r="C7409" t="str">
        <f>HYPERLINK("https://nematode.unl.edu/mxenmile8.jpg")</f>
        <v>https://nematode.unl.edu/mxenmile8.jpg</v>
      </c>
      <c r="D7409" t="s">
        <v>43</v>
      </c>
      <c r="G7409" t="s">
        <v>44</v>
      </c>
      <c r="I7409" t="s">
        <v>19</v>
      </c>
      <c r="J7409" t="s">
        <v>46</v>
      </c>
      <c r="M7409" t="s">
        <v>8559</v>
      </c>
      <c r="N7409" t="s">
        <v>8559</v>
      </c>
      <c r="O7409" t="s">
        <v>23</v>
      </c>
      <c r="P7409" t="s">
        <v>24</v>
      </c>
      <c r="Q7409" t="s">
        <v>642</v>
      </c>
      <c r="R7409" t="s">
        <v>1214</v>
      </c>
    </row>
    <row r="7410" spans="1:18" x14ac:dyDescent="0.25">
      <c r="A7410" t="s">
        <v>15264</v>
      </c>
      <c r="B7410" t="s">
        <v>8803</v>
      </c>
      <c r="C7410" t="str">
        <f>HYPERLINK("https://nematode.unl.edu/mxenmile9.jpg")</f>
        <v>https://nematode.unl.edu/mxenmile9.jpg</v>
      </c>
      <c r="D7410" t="s">
        <v>43</v>
      </c>
      <c r="G7410" t="s">
        <v>34</v>
      </c>
      <c r="H7410" t="s">
        <v>18</v>
      </c>
      <c r="J7410" t="s">
        <v>46</v>
      </c>
      <c r="M7410" t="s">
        <v>8559</v>
      </c>
      <c r="N7410" t="s">
        <v>8559</v>
      </c>
      <c r="O7410" t="s">
        <v>23</v>
      </c>
      <c r="P7410" t="s">
        <v>24</v>
      </c>
      <c r="Q7410" t="s">
        <v>642</v>
      </c>
      <c r="R7410" t="s">
        <v>1214</v>
      </c>
    </row>
    <row r="7411" spans="1:18" x14ac:dyDescent="0.25">
      <c r="A7411" t="s">
        <v>22511</v>
      </c>
      <c r="B7411" t="s">
        <v>9103</v>
      </c>
      <c r="C7411" t="str">
        <f>HYPERLINK("https://nematode.unl.edu/mybra1.jpg")</f>
        <v>https://nematode.unl.edu/mybra1.jpg</v>
      </c>
      <c r="D7411" t="s">
        <v>43</v>
      </c>
      <c r="G7411" t="s">
        <v>44</v>
      </c>
      <c r="I7411" t="s">
        <v>91</v>
      </c>
      <c r="J7411" t="s">
        <v>20</v>
      </c>
      <c r="L7411" t="s">
        <v>85</v>
      </c>
      <c r="M7411" t="s">
        <v>9104</v>
      </c>
      <c r="N7411" t="s">
        <v>9104</v>
      </c>
      <c r="O7411" t="s">
        <v>73</v>
      </c>
      <c r="P7411" t="s">
        <v>1268</v>
      </c>
      <c r="Q7411" t="s">
        <v>1269</v>
      </c>
      <c r="R7411" t="s">
        <v>1321</v>
      </c>
    </row>
    <row r="7412" spans="1:18" x14ac:dyDescent="0.25">
      <c r="A7412" t="s">
        <v>22512</v>
      </c>
      <c r="B7412" t="s">
        <v>9105</v>
      </c>
      <c r="C7412" t="str">
        <f>HYPERLINK("https://nematode.unl.edu/mybra10.jpg")</f>
        <v>https://nematode.unl.edu/mybra10.jpg</v>
      </c>
      <c r="D7412" t="s">
        <v>43</v>
      </c>
      <c r="G7412" t="s">
        <v>44</v>
      </c>
      <c r="I7412" t="s">
        <v>91</v>
      </c>
      <c r="J7412" t="s">
        <v>20</v>
      </c>
      <c r="L7412" t="s">
        <v>9106</v>
      </c>
      <c r="M7412" t="s">
        <v>9104</v>
      </c>
      <c r="N7412" t="s">
        <v>9104</v>
      </c>
      <c r="O7412" t="s">
        <v>73</v>
      </c>
      <c r="P7412" t="s">
        <v>1268</v>
      </c>
      <c r="Q7412" t="s">
        <v>1269</v>
      </c>
      <c r="R7412" t="s">
        <v>1321</v>
      </c>
    </row>
    <row r="7413" spans="1:18" x14ac:dyDescent="0.25">
      <c r="A7413" t="s">
        <v>22506</v>
      </c>
      <c r="B7413" t="s">
        <v>9107</v>
      </c>
      <c r="C7413" t="str">
        <f>HYPERLINK("https://nematode.unl.edu/mybra11.jpg")</f>
        <v>https://nematode.unl.edu/mybra11.jpg</v>
      </c>
      <c r="D7413" t="s">
        <v>43</v>
      </c>
      <c r="G7413" t="s">
        <v>34</v>
      </c>
      <c r="H7413" t="s">
        <v>18</v>
      </c>
      <c r="I7413" t="s">
        <v>19</v>
      </c>
      <c r="J7413" t="s">
        <v>20</v>
      </c>
      <c r="M7413" t="s">
        <v>9104</v>
      </c>
      <c r="N7413" t="s">
        <v>9104</v>
      </c>
      <c r="O7413" t="s">
        <v>73</v>
      </c>
      <c r="P7413" t="s">
        <v>1268</v>
      </c>
      <c r="Q7413" t="s">
        <v>1269</v>
      </c>
      <c r="R7413" t="s">
        <v>1321</v>
      </c>
    </row>
    <row r="7414" spans="1:18" x14ac:dyDescent="0.25">
      <c r="A7414" t="s">
        <v>22514</v>
      </c>
      <c r="B7414" t="s">
        <v>9108</v>
      </c>
      <c r="C7414" t="str">
        <f>HYPERLINK("https://nematode.unl.edu/mybra12.jpg")</f>
        <v>https://nematode.unl.edu/mybra12.jpg</v>
      </c>
      <c r="G7414" t="s">
        <v>205</v>
      </c>
      <c r="I7414" t="s">
        <v>137</v>
      </c>
      <c r="J7414" t="s">
        <v>20</v>
      </c>
      <c r="L7414" t="s">
        <v>141</v>
      </c>
      <c r="M7414" t="s">
        <v>9104</v>
      </c>
      <c r="N7414" t="s">
        <v>9104</v>
      </c>
      <c r="O7414" t="s">
        <v>73</v>
      </c>
      <c r="P7414" t="s">
        <v>1268</v>
      </c>
      <c r="Q7414" t="s">
        <v>1269</v>
      </c>
      <c r="R7414" t="s">
        <v>1321</v>
      </c>
    </row>
    <row r="7415" spans="1:18" x14ac:dyDescent="0.25">
      <c r="A7415" t="s">
        <v>22507</v>
      </c>
      <c r="B7415" t="s">
        <v>9109</v>
      </c>
      <c r="C7415" t="str">
        <f>HYPERLINK("https://nematode.unl.edu/mybra13.jpg")</f>
        <v>https://nematode.unl.edu/mybra13.jpg</v>
      </c>
      <c r="D7415" t="s">
        <v>43</v>
      </c>
      <c r="G7415" t="s">
        <v>34</v>
      </c>
      <c r="H7415" t="s">
        <v>18</v>
      </c>
      <c r="I7415" t="s">
        <v>19</v>
      </c>
      <c r="J7415" t="s">
        <v>20</v>
      </c>
      <c r="M7415" t="s">
        <v>9104</v>
      </c>
      <c r="N7415" t="s">
        <v>9104</v>
      </c>
      <c r="O7415" t="s">
        <v>73</v>
      </c>
      <c r="P7415" t="s">
        <v>1268</v>
      </c>
      <c r="Q7415" t="s">
        <v>1269</v>
      </c>
      <c r="R7415" t="s">
        <v>1321</v>
      </c>
    </row>
    <row r="7416" spans="1:18" x14ac:dyDescent="0.25">
      <c r="A7416" t="s">
        <v>22508</v>
      </c>
      <c r="B7416" t="s">
        <v>9110</v>
      </c>
      <c r="C7416" t="str">
        <f>HYPERLINK("https://nematode.unl.edu/mybra2.jpg")</f>
        <v>https://nematode.unl.edu/mybra2.jpg</v>
      </c>
      <c r="D7416" t="s">
        <v>43</v>
      </c>
      <c r="G7416" t="s">
        <v>34</v>
      </c>
      <c r="H7416" t="s">
        <v>18</v>
      </c>
      <c r="I7416" t="s">
        <v>19</v>
      </c>
      <c r="J7416" t="s">
        <v>20</v>
      </c>
      <c r="M7416" t="s">
        <v>9104</v>
      </c>
      <c r="N7416" t="s">
        <v>9104</v>
      </c>
      <c r="O7416" t="s">
        <v>73</v>
      </c>
      <c r="P7416" t="s">
        <v>1268</v>
      </c>
      <c r="Q7416" t="s">
        <v>1269</v>
      </c>
      <c r="R7416" t="s">
        <v>1321</v>
      </c>
    </row>
    <row r="7417" spans="1:18" x14ac:dyDescent="0.25">
      <c r="A7417" t="s">
        <v>22515</v>
      </c>
      <c r="B7417" t="s">
        <v>9111</v>
      </c>
      <c r="C7417" t="str">
        <f>HYPERLINK("https://nematode.unl.edu/mybra3.jpg")</f>
        <v>https://nematode.unl.edu/mybra3.jpg</v>
      </c>
      <c r="G7417" t="s">
        <v>1000</v>
      </c>
      <c r="I7417" t="s">
        <v>45</v>
      </c>
      <c r="M7417" t="s">
        <v>9104</v>
      </c>
      <c r="N7417" t="s">
        <v>9104</v>
      </c>
      <c r="O7417" t="s">
        <v>73</v>
      </c>
      <c r="P7417" t="s">
        <v>1268</v>
      </c>
      <c r="Q7417" t="s">
        <v>1269</v>
      </c>
      <c r="R7417" t="s">
        <v>1321</v>
      </c>
    </row>
    <row r="7418" spans="1:18" x14ac:dyDescent="0.25">
      <c r="A7418" t="s">
        <v>22516</v>
      </c>
      <c r="B7418" t="s">
        <v>9112</v>
      </c>
      <c r="C7418" t="str">
        <f>HYPERLINK("https://nematode.unl.edu/mybra4.jpg")</f>
        <v>https://nematode.unl.edu/mybra4.jpg</v>
      </c>
      <c r="D7418" t="s">
        <v>43</v>
      </c>
      <c r="G7418" t="s">
        <v>28</v>
      </c>
      <c r="I7418" t="s">
        <v>19</v>
      </c>
      <c r="J7418" t="s">
        <v>20</v>
      </c>
      <c r="L7418" t="s">
        <v>85</v>
      </c>
      <c r="M7418" t="s">
        <v>9104</v>
      </c>
      <c r="N7418" t="s">
        <v>9104</v>
      </c>
      <c r="O7418" t="s">
        <v>73</v>
      </c>
      <c r="P7418" t="s">
        <v>1268</v>
      </c>
      <c r="Q7418" t="s">
        <v>1269</v>
      </c>
      <c r="R7418" t="s">
        <v>1321</v>
      </c>
    </row>
    <row r="7419" spans="1:18" x14ac:dyDescent="0.25">
      <c r="A7419" t="s">
        <v>22513</v>
      </c>
      <c r="B7419" t="s">
        <v>9113</v>
      </c>
      <c r="C7419" t="str">
        <f>HYPERLINK("https://nematode.unl.edu/mybra5.jpg")</f>
        <v>https://nematode.unl.edu/mybra5.jpg</v>
      </c>
      <c r="D7419" t="s">
        <v>43</v>
      </c>
      <c r="G7419" t="s">
        <v>44</v>
      </c>
      <c r="I7419" t="s">
        <v>91</v>
      </c>
      <c r="J7419" t="s">
        <v>20</v>
      </c>
      <c r="L7419" t="s">
        <v>78</v>
      </c>
      <c r="M7419" t="s">
        <v>9104</v>
      </c>
      <c r="N7419" t="s">
        <v>9104</v>
      </c>
      <c r="O7419" t="s">
        <v>73</v>
      </c>
      <c r="P7419" t="s">
        <v>1268</v>
      </c>
      <c r="Q7419" t="s">
        <v>1269</v>
      </c>
      <c r="R7419" t="s">
        <v>1321</v>
      </c>
    </row>
    <row r="7420" spans="1:18" x14ac:dyDescent="0.25">
      <c r="A7420" t="s">
        <v>22517</v>
      </c>
      <c r="B7420" t="s">
        <v>9114</v>
      </c>
      <c r="C7420" t="str">
        <f>HYPERLINK("https://nematode.unl.edu/mybra6.jpg")</f>
        <v>https://nematode.unl.edu/mybra6.jpg</v>
      </c>
      <c r="D7420" t="s">
        <v>43</v>
      </c>
      <c r="G7420" t="s">
        <v>28</v>
      </c>
      <c r="J7420" t="s">
        <v>20</v>
      </c>
      <c r="L7420" t="s">
        <v>35</v>
      </c>
      <c r="M7420" t="s">
        <v>9104</v>
      </c>
      <c r="N7420" t="s">
        <v>9104</v>
      </c>
      <c r="O7420" t="s">
        <v>73</v>
      </c>
      <c r="P7420" t="s">
        <v>1268</v>
      </c>
      <c r="Q7420" t="s">
        <v>1269</v>
      </c>
      <c r="R7420" t="s">
        <v>1321</v>
      </c>
    </row>
    <row r="7421" spans="1:18" x14ac:dyDescent="0.25">
      <c r="A7421" t="s">
        <v>22518</v>
      </c>
      <c r="B7421" t="s">
        <v>9115</v>
      </c>
      <c r="C7421" t="str">
        <f>HYPERLINK("https://nematode.unl.edu/mybra7.jpg")</f>
        <v>https://nematode.unl.edu/mybra7.jpg</v>
      </c>
      <c r="D7421" t="s">
        <v>43</v>
      </c>
      <c r="G7421" t="s">
        <v>51</v>
      </c>
      <c r="J7421" t="s">
        <v>20</v>
      </c>
      <c r="L7421" t="s">
        <v>85</v>
      </c>
      <c r="M7421" t="s">
        <v>9104</v>
      </c>
      <c r="N7421" t="s">
        <v>9104</v>
      </c>
      <c r="O7421" t="s">
        <v>73</v>
      </c>
      <c r="P7421" t="s">
        <v>1268</v>
      </c>
      <c r="Q7421" t="s">
        <v>1269</v>
      </c>
      <c r="R7421" t="s">
        <v>1321</v>
      </c>
    </row>
    <row r="7422" spans="1:18" x14ac:dyDescent="0.25">
      <c r="A7422" t="s">
        <v>22510</v>
      </c>
      <c r="B7422" t="s">
        <v>9116</v>
      </c>
      <c r="C7422" t="str">
        <f>HYPERLINK("https://nematode.unl.edu/mybra8.jpg")</f>
        <v>https://nematode.unl.edu/mybra8.jpg</v>
      </c>
      <c r="D7422" t="s">
        <v>43</v>
      </c>
      <c r="G7422" t="s">
        <v>87</v>
      </c>
      <c r="J7422" t="s">
        <v>20</v>
      </c>
      <c r="L7422" t="s">
        <v>64</v>
      </c>
      <c r="M7422" t="s">
        <v>9104</v>
      </c>
      <c r="N7422" t="s">
        <v>9104</v>
      </c>
      <c r="O7422" t="s">
        <v>73</v>
      </c>
      <c r="P7422" t="s">
        <v>1268</v>
      </c>
      <c r="Q7422" t="s">
        <v>1269</v>
      </c>
      <c r="R7422" t="s">
        <v>1321</v>
      </c>
    </row>
    <row r="7423" spans="1:18" x14ac:dyDescent="0.25">
      <c r="A7423" t="s">
        <v>22509</v>
      </c>
      <c r="B7423" t="s">
        <v>9117</v>
      </c>
      <c r="C7423" t="str">
        <f>HYPERLINK("https://nematode.unl.edu/mybra9.jpg")</f>
        <v>https://nematode.unl.edu/mybra9.jpg</v>
      </c>
      <c r="D7423" t="s">
        <v>43</v>
      </c>
      <c r="G7423" t="s">
        <v>34</v>
      </c>
      <c r="H7423" t="s">
        <v>18</v>
      </c>
      <c r="M7423" t="s">
        <v>9104</v>
      </c>
      <c r="N7423" t="s">
        <v>9104</v>
      </c>
      <c r="O7423" t="s">
        <v>73</v>
      </c>
      <c r="P7423" t="s">
        <v>1268</v>
      </c>
      <c r="Q7423" t="s">
        <v>1269</v>
      </c>
      <c r="R7423" t="s">
        <v>1321</v>
      </c>
    </row>
    <row r="7424" spans="1:18" x14ac:dyDescent="0.25">
      <c r="A7424" t="s">
        <v>22520</v>
      </c>
      <c r="B7424" t="s">
        <v>9118</v>
      </c>
      <c r="C7424" t="str">
        <f>HYPERLINK("https://nematode.unl.edu/mycurv1.jpg")</f>
        <v>https://nematode.unl.edu/mycurv1.jpg</v>
      </c>
      <c r="G7424" t="s">
        <v>34</v>
      </c>
      <c r="H7424" t="s">
        <v>18</v>
      </c>
      <c r="I7424" t="s">
        <v>19</v>
      </c>
      <c r="J7424" t="s">
        <v>20</v>
      </c>
      <c r="L7424" t="s">
        <v>85</v>
      </c>
      <c r="M7424" t="s">
        <v>9119</v>
      </c>
      <c r="N7424" t="s">
        <v>9119</v>
      </c>
      <c r="O7424" t="s">
        <v>73</v>
      </c>
      <c r="P7424" t="s">
        <v>1268</v>
      </c>
      <c r="Q7424" t="s">
        <v>1269</v>
      </c>
      <c r="R7424" t="s">
        <v>1321</v>
      </c>
    </row>
    <row r="7425" spans="1:18" x14ac:dyDescent="0.25">
      <c r="A7425" t="s">
        <v>22537</v>
      </c>
      <c r="B7425" t="s">
        <v>9120</v>
      </c>
      <c r="C7425" t="str">
        <f>HYPERLINK("https://nematode.unl.edu/mycurv10.jpg")</f>
        <v>https://nematode.unl.edu/mycurv10.jpg</v>
      </c>
      <c r="D7425" t="s">
        <v>43</v>
      </c>
      <c r="G7425" t="s">
        <v>9121</v>
      </c>
      <c r="I7425" t="s">
        <v>41</v>
      </c>
      <c r="J7425" t="s">
        <v>20</v>
      </c>
      <c r="L7425" t="s">
        <v>141</v>
      </c>
      <c r="M7425" t="s">
        <v>9119</v>
      </c>
      <c r="N7425" t="s">
        <v>9119</v>
      </c>
      <c r="O7425" t="s">
        <v>73</v>
      </c>
      <c r="P7425" t="s">
        <v>1268</v>
      </c>
      <c r="Q7425" t="s">
        <v>1269</v>
      </c>
      <c r="R7425" t="s">
        <v>1321</v>
      </c>
    </row>
    <row r="7426" spans="1:18" x14ac:dyDescent="0.25">
      <c r="A7426" t="s">
        <v>22528</v>
      </c>
      <c r="B7426" t="s">
        <v>9122</v>
      </c>
      <c r="C7426" t="str">
        <f>HYPERLINK("https://nematode.unl.edu/mycurv11.jpg")</f>
        <v>https://nematode.unl.edu/mycurv11.jpg</v>
      </c>
      <c r="D7426" t="s">
        <v>43</v>
      </c>
      <c r="G7426" t="s">
        <v>1295</v>
      </c>
      <c r="I7426" t="s">
        <v>41</v>
      </c>
      <c r="J7426" t="s">
        <v>20</v>
      </c>
      <c r="L7426" t="s">
        <v>141</v>
      </c>
      <c r="M7426" t="s">
        <v>9119</v>
      </c>
      <c r="N7426" t="s">
        <v>9119</v>
      </c>
      <c r="O7426" t="s">
        <v>73</v>
      </c>
      <c r="P7426" t="s">
        <v>1268</v>
      </c>
      <c r="Q7426" t="s">
        <v>1269</v>
      </c>
      <c r="R7426" t="s">
        <v>1321</v>
      </c>
    </row>
    <row r="7427" spans="1:18" x14ac:dyDescent="0.25">
      <c r="A7427" t="s">
        <v>22530</v>
      </c>
      <c r="B7427" t="s">
        <v>9123</v>
      </c>
      <c r="C7427" t="str">
        <f>HYPERLINK("https://nematode.unl.edu/mycurv12.jpg")</f>
        <v>https://nematode.unl.edu/mycurv12.jpg</v>
      </c>
      <c r="D7427" t="s">
        <v>43</v>
      </c>
      <c r="G7427" t="s">
        <v>28</v>
      </c>
      <c r="I7427" t="s">
        <v>41</v>
      </c>
      <c r="J7427" t="s">
        <v>20</v>
      </c>
      <c r="L7427" t="s">
        <v>141</v>
      </c>
      <c r="M7427" t="s">
        <v>9119</v>
      </c>
      <c r="N7427" t="s">
        <v>9119</v>
      </c>
      <c r="O7427" t="s">
        <v>73</v>
      </c>
      <c r="P7427" t="s">
        <v>1268</v>
      </c>
      <c r="Q7427" t="s">
        <v>1269</v>
      </c>
      <c r="R7427" t="s">
        <v>1321</v>
      </c>
    </row>
    <row r="7428" spans="1:18" x14ac:dyDescent="0.25">
      <c r="A7428" t="s">
        <v>22526</v>
      </c>
      <c r="B7428" t="s">
        <v>9124</v>
      </c>
      <c r="C7428" t="str">
        <f>HYPERLINK("https://nematode.unl.edu/mycurv13.jpg")</f>
        <v>https://nematode.unl.edu/mycurv13.jpg</v>
      </c>
      <c r="D7428" t="s">
        <v>43</v>
      </c>
      <c r="G7428" t="s">
        <v>44</v>
      </c>
      <c r="I7428" t="s">
        <v>1008</v>
      </c>
      <c r="J7428" t="s">
        <v>20</v>
      </c>
      <c r="L7428" t="s">
        <v>141</v>
      </c>
      <c r="M7428" t="s">
        <v>9119</v>
      </c>
      <c r="N7428" t="s">
        <v>9119</v>
      </c>
      <c r="O7428" t="s">
        <v>73</v>
      </c>
      <c r="P7428" t="s">
        <v>1268</v>
      </c>
      <c r="Q7428" t="s">
        <v>1269</v>
      </c>
      <c r="R7428" t="s">
        <v>1321</v>
      </c>
    </row>
    <row r="7429" spans="1:18" x14ac:dyDescent="0.25">
      <c r="A7429" t="s">
        <v>22529</v>
      </c>
      <c r="B7429" t="s">
        <v>9125</v>
      </c>
      <c r="C7429" t="str">
        <f>HYPERLINK("https://nematode.unl.edu/mycurv14.jpg")</f>
        <v>https://nematode.unl.edu/mycurv14.jpg</v>
      </c>
      <c r="G7429" t="s">
        <v>205</v>
      </c>
      <c r="I7429" t="s">
        <v>137</v>
      </c>
      <c r="J7429" t="s">
        <v>20</v>
      </c>
      <c r="L7429" t="s">
        <v>193</v>
      </c>
      <c r="M7429" t="s">
        <v>9119</v>
      </c>
      <c r="N7429" t="s">
        <v>9119</v>
      </c>
      <c r="O7429" t="s">
        <v>73</v>
      </c>
      <c r="P7429" t="s">
        <v>1268</v>
      </c>
      <c r="Q7429" t="s">
        <v>1269</v>
      </c>
      <c r="R7429" t="s">
        <v>1321</v>
      </c>
    </row>
    <row r="7430" spans="1:18" x14ac:dyDescent="0.25">
      <c r="A7430" t="s">
        <v>22521</v>
      </c>
      <c r="B7430" t="s">
        <v>9126</v>
      </c>
      <c r="C7430" t="str">
        <f>HYPERLINK("https://nematode.unl.edu/mycurv15.jpg")</f>
        <v>https://nematode.unl.edu/mycurv15.jpg</v>
      </c>
      <c r="D7430" t="s">
        <v>43</v>
      </c>
      <c r="G7430" t="s">
        <v>34</v>
      </c>
      <c r="H7430" t="s">
        <v>18</v>
      </c>
      <c r="J7430" t="s">
        <v>20</v>
      </c>
      <c r="L7430" t="s">
        <v>141</v>
      </c>
      <c r="M7430" t="s">
        <v>9119</v>
      </c>
      <c r="N7430" t="s">
        <v>9119</v>
      </c>
      <c r="O7430" t="s">
        <v>73</v>
      </c>
      <c r="P7430" t="s">
        <v>1268</v>
      </c>
      <c r="Q7430" t="s">
        <v>1269</v>
      </c>
      <c r="R7430" t="s">
        <v>1321</v>
      </c>
    </row>
    <row r="7431" spans="1:18" x14ac:dyDescent="0.25">
      <c r="A7431" t="s">
        <v>22531</v>
      </c>
      <c r="B7431" t="s">
        <v>9127</v>
      </c>
      <c r="C7431" t="str">
        <f>HYPERLINK("https://nematode.unl.edu/mycurv16.jpg")</f>
        <v>https://nematode.unl.edu/mycurv16.jpg</v>
      </c>
      <c r="D7431" t="s">
        <v>43</v>
      </c>
      <c r="G7431" t="s">
        <v>28</v>
      </c>
      <c r="I7431" t="s">
        <v>19</v>
      </c>
      <c r="J7431" t="s">
        <v>20</v>
      </c>
      <c r="L7431" t="s">
        <v>141</v>
      </c>
      <c r="M7431" t="s">
        <v>9119</v>
      </c>
      <c r="N7431" t="s">
        <v>9119</v>
      </c>
      <c r="O7431" t="s">
        <v>73</v>
      </c>
      <c r="P7431" t="s">
        <v>1268</v>
      </c>
      <c r="Q7431" t="s">
        <v>1269</v>
      </c>
      <c r="R7431" t="s">
        <v>1321</v>
      </c>
    </row>
    <row r="7432" spans="1:18" x14ac:dyDescent="0.25">
      <c r="A7432" t="s">
        <v>22527</v>
      </c>
      <c r="B7432" t="s">
        <v>9128</v>
      </c>
      <c r="C7432" t="str">
        <f>HYPERLINK("https://nematode.unl.edu/mycurv17.jpg")</f>
        <v>https://nematode.unl.edu/mycurv17.jpg</v>
      </c>
      <c r="D7432" t="s">
        <v>43</v>
      </c>
      <c r="G7432" t="s">
        <v>44</v>
      </c>
      <c r="I7432" t="s">
        <v>91</v>
      </c>
      <c r="J7432" t="s">
        <v>20</v>
      </c>
      <c r="L7432" t="s">
        <v>217</v>
      </c>
      <c r="M7432" t="s">
        <v>9119</v>
      </c>
      <c r="N7432" t="s">
        <v>9119</v>
      </c>
      <c r="O7432" t="s">
        <v>73</v>
      </c>
      <c r="P7432" t="s">
        <v>1268</v>
      </c>
      <c r="Q7432" t="s">
        <v>1269</v>
      </c>
      <c r="R7432" t="s">
        <v>1321</v>
      </c>
    </row>
    <row r="7433" spans="1:18" x14ac:dyDescent="0.25">
      <c r="A7433" t="s">
        <v>22522</v>
      </c>
      <c r="B7433" t="s">
        <v>9129</v>
      </c>
      <c r="C7433" t="str">
        <f>HYPERLINK("https://nematode.unl.edu/mycurv18.jpg")</f>
        <v>https://nematode.unl.edu/mycurv18.jpg</v>
      </c>
      <c r="D7433" t="s">
        <v>43</v>
      </c>
      <c r="G7433" t="s">
        <v>34</v>
      </c>
      <c r="H7433" t="s">
        <v>18</v>
      </c>
      <c r="I7433" t="s">
        <v>19</v>
      </c>
      <c r="J7433" t="s">
        <v>20</v>
      </c>
      <c r="L7433" t="s">
        <v>141</v>
      </c>
      <c r="M7433" t="s">
        <v>9119</v>
      </c>
      <c r="N7433" t="s">
        <v>9119</v>
      </c>
      <c r="O7433" t="s">
        <v>73</v>
      </c>
      <c r="P7433" t="s">
        <v>1268</v>
      </c>
      <c r="Q7433" t="s">
        <v>1269</v>
      </c>
      <c r="R7433" t="s">
        <v>1321</v>
      </c>
    </row>
    <row r="7434" spans="1:18" x14ac:dyDescent="0.25">
      <c r="A7434" t="s">
        <v>22538</v>
      </c>
      <c r="B7434" t="s">
        <v>9130</v>
      </c>
      <c r="C7434" t="str">
        <f>HYPERLINK("https://nematode.unl.edu/mycurv19.jpg")</f>
        <v>https://nematode.unl.edu/mycurv19.jpg</v>
      </c>
      <c r="D7434" t="s">
        <v>43</v>
      </c>
      <c r="G7434" t="s">
        <v>51</v>
      </c>
      <c r="J7434" t="s">
        <v>20</v>
      </c>
      <c r="L7434" t="s">
        <v>193</v>
      </c>
      <c r="M7434" t="s">
        <v>9119</v>
      </c>
      <c r="N7434" t="s">
        <v>9119</v>
      </c>
      <c r="O7434" t="s">
        <v>73</v>
      </c>
      <c r="P7434" t="s">
        <v>1268</v>
      </c>
      <c r="Q7434" t="s">
        <v>1269</v>
      </c>
      <c r="R7434" t="s">
        <v>1321</v>
      </c>
    </row>
    <row r="7435" spans="1:18" x14ac:dyDescent="0.25">
      <c r="A7435" t="s">
        <v>22532</v>
      </c>
      <c r="B7435" t="s">
        <v>9131</v>
      </c>
      <c r="C7435" t="str">
        <f>HYPERLINK("https://nematode.unl.edu/mycurv2.jpg")</f>
        <v>https://nematode.unl.edu/mycurv2.jpg</v>
      </c>
      <c r="G7435" t="s">
        <v>28</v>
      </c>
      <c r="I7435" t="s">
        <v>19</v>
      </c>
      <c r="J7435" t="s">
        <v>20</v>
      </c>
      <c r="M7435" t="s">
        <v>9119</v>
      </c>
      <c r="N7435" t="s">
        <v>9119</v>
      </c>
      <c r="O7435" t="s">
        <v>73</v>
      </c>
      <c r="P7435" t="s">
        <v>1268</v>
      </c>
      <c r="Q7435" t="s">
        <v>1269</v>
      </c>
      <c r="R7435" t="s">
        <v>1321</v>
      </c>
    </row>
    <row r="7436" spans="1:18" x14ac:dyDescent="0.25">
      <c r="A7436" t="s">
        <v>22533</v>
      </c>
      <c r="B7436" t="s">
        <v>9132</v>
      </c>
      <c r="C7436" t="str">
        <f>HYPERLINK("https://nematode.unl.edu/mycurv20.jpg")</f>
        <v>https://nematode.unl.edu/mycurv20.jpg</v>
      </c>
      <c r="D7436" t="s">
        <v>43</v>
      </c>
      <c r="G7436" t="s">
        <v>28</v>
      </c>
      <c r="J7436" t="s">
        <v>20</v>
      </c>
      <c r="L7436" t="s">
        <v>352</v>
      </c>
      <c r="M7436" t="s">
        <v>9119</v>
      </c>
      <c r="N7436" t="s">
        <v>9119</v>
      </c>
      <c r="O7436" t="s">
        <v>73</v>
      </c>
      <c r="P7436" t="s">
        <v>1268</v>
      </c>
      <c r="Q7436" t="s">
        <v>1269</v>
      </c>
      <c r="R7436" t="s">
        <v>1321</v>
      </c>
    </row>
    <row r="7437" spans="1:18" x14ac:dyDescent="0.25">
      <c r="A7437" t="s">
        <v>22523</v>
      </c>
      <c r="B7437" t="s">
        <v>9133</v>
      </c>
      <c r="C7437" t="str">
        <f>HYPERLINK("https://nematode.unl.edu/mycurv21.jpg")</f>
        <v>https://nematode.unl.edu/mycurv21.jpg</v>
      </c>
      <c r="D7437" t="s">
        <v>16</v>
      </c>
      <c r="G7437" t="s">
        <v>34</v>
      </c>
      <c r="H7437" t="s">
        <v>18</v>
      </c>
      <c r="I7437" t="s">
        <v>19</v>
      </c>
      <c r="M7437" t="s">
        <v>9119</v>
      </c>
      <c r="N7437" t="s">
        <v>9119</v>
      </c>
      <c r="O7437" t="s">
        <v>73</v>
      </c>
      <c r="P7437" t="s">
        <v>1268</v>
      </c>
      <c r="Q7437" t="s">
        <v>1269</v>
      </c>
      <c r="R7437" t="s">
        <v>1321</v>
      </c>
    </row>
    <row r="7438" spans="1:18" x14ac:dyDescent="0.25">
      <c r="A7438" t="s">
        <v>22534</v>
      </c>
      <c r="B7438" t="s">
        <v>9134</v>
      </c>
      <c r="C7438" t="str">
        <f>HYPERLINK("https://nematode.unl.edu/mycurv22.jpg")</f>
        <v>https://nematode.unl.edu/mycurv22.jpg</v>
      </c>
      <c r="D7438" t="s">
        <v>16</v>
      </c>
      <c r="G7438" t="s">
        <v>28</v>
      </c>
      <c r="I7438" t="s">
        <v>19</v>
      </c>
      <c r="J7438" t="s">
        <v>20</v>
      </c>
      <c r="L7438" t="s">
        <v>64</v>
      </c>
      <c r="M7438" t="s">
        <v>9119</v>
      </c>
      <c r="N7438" t="s">
        <v>9119</v>
      </c>
      <c r="O7438" t="s">
        <v>73</v>
      </c>
      <c r="P7438" t="s">
        <v>1268</v>
      </c>
      <c r="Q7438" t="s">
        <v>1269</v>
      </c>
      <c r="R7438" t="s">
        <v>1321</v>
      </c>
    </row>
    <row r="7439" spans="1:18" x14ac:dyDescent="0.25">
      <c r="A7439" t="s">
        <v>22524</v>
      </c>
      <c r="B7439" t="s">
        <v>9135</v>
      </c>
      <c r="C7439" t="str">
        <f>HYPERLINK("https://nematode.unl.edu/mycurv3.jpg")</f>
        <v>https://nematode.unl.edu/mycurv3.jpg</v>
      </c>
      <c r="D7439" t="s">
        <v>43</v>
      </c>
      <c r="G7439" t="s">
        <v>34</v>
      </c>
      <c r="H7439" t="s">
        <v>18</v>
      </c>
      <c r="J7439" t="s">
        <v>20</v>
      </c>
      <c r="L7439" t="s">
        <v>64</v>
      </c>
      <c r="M7439" t="s">
        <v>9119</v>
      </c>
      <c r="N7439" t="s">
        <v>9119</v>
      </c>
      <c r="O7439" t="s">
        <v>73</v>
      </c>
      <c r="P7439" t="s">
        <v>1268</v>
      </c>
      <c r="Q7439" t="s">
        <v>1269</v>
      </c>
      <c r="R7439" t="s">
        <v>1321</v>
      </c>
    </row>
    <row r="7440" spans="1:18" x14ac:dyDescent="0.25">
      <c r="A7440" t="s">
        <v>22519</v>
      </c>
      <c r="B7440" t="s">
        <v>9136</v>
      </c>
      <c r="C7440" t="str">
        <f>HYPERLINK("https://nematode.unl.edu/mycurv4.jpg")</f>
        <v>https://nematode.unl.edu/mycurv4.jpg</v>
      </c>
      <c r="D7440" t="s">
        <v>43</v>
      </c>
      <c r="G7440" t="s">
        <v>17</v>
      </c>
      <c r="H7440" t="s">
        <v>18</v>
      </c>
      <c r="J7440" t="s">
        <v>20</v>
      </c>
      <c r="L7440" t="s">
        <v>64</v>
      </c>
      <c r="M7440" t="s">
        <v>9119</v>
      </c>
      <c r="N7440" t="s">
        <v>9119</v>
      </c>
      <c r="O7440" t="s">
        <v>73</v>
      </c>
      <c r="P7440" t="s">
        <v>1268</v>
      </c>
      <c r="Q7440" t="s">
        <v>1269</v>
      </c>
      <c r="R7440" t="s">
        <v>1321</v>
      </c>
    </row>
    <row r="7441" spans="1:18" x14ac:dyDescent="0.25">
      <c r="A7441" t="s">
        <v>22539</v>
      </c>
      <c r="B7441" t="s">
        <v>9137</v>
      </c>
      <c r="C7441" t="str">
        <f>HYPERLINK("https://nematode.unl.edu/mycurv5.jpg")</f>
        <v>https://nematode.unl.edu/mycurv5.jpg</v>
      </c>
      <c r="D7441" t="s">
        <v>43</v>
      </c>
      <c r="G7441" t="s">
        <v>51</v>
      </c>
      <c r="I7441" t="s">
        <v>19</v>
      </c>
      <c r="J7441" t="s">
        <v>20</v>
      </c>
      <c r="L7441" t="s">
        <v>64</v>
      </c>
      <c r="M7441" t="s">
        <v>9119</v>
      </c>
      <c r="N7441" t="s">
        <v>9119</v>
      </c>
      <c r="O7441" t="s">
        <v>73</v>
      </c>
      <c r="P7441" t="s">
        <v>1268</v>
      </c>
      <c r="Q7441" t="s">
        <v>1269</v>
      </c>
      <c r="R7441" t="s">
        <v>1321</v>
      </c>
    </row>
    <row r="7442" spans="1:18" x14ac:dyDescent="0.25">
      <c r="A7442" t="s">
        <v>22535</v>
      </c>
      <c r="B7442" t="s">
        <v>9138</v>
      </c>
      <c r="C7442" t="str">
        <f>HYPERLINK("https://nematode.unl.edu/mycurv6.jpg")</f>
        <v>https://nematode.unl.edu/mycurv6.jpg</v>
      </c>
      <c r="D7442" t="s">
        <v>43</v>
      </c>
      <c r="G7442" t="s">
        <v>28</v>
      </c>
      <c r="J7442" t="s">
        <v>20</v>
      </c>
      <c r="L7442" t="s">
        <v>64</v>
      </c>
      <c r="M7442" t="s">
        <v>9119</v>
      </c>
      <c r="N7442" t="s">
        <v>9119</v>
      </c>
      <c r="O7442" t="s">
        <v>73</v>
      </c>
      <c r="P7442" t="s">
        <v>1268</v>
      </c>
      <c r="Q7442" t="s">
        <v>1269</v>
      </c>
      <c r="R7442" t="s">
        <v>1321</v>
      </c>
    </row>
    <row r="7443" spans="1:18" x14ac:dyDescent="0.25">
      <c r="A7443" t="s">
        <v>22525</v>
      </c>
      <c r="B7443" t="s">
        <v>9139</v>
      </c>
      <c r="C7443" t="str">
        <f>HYPERLINK("https://nematode.unl.edu/mycurv7.jpg")</f>
        <v>https://nematode.unl.edu/mycurv7.jpg</v>
      </c>
      <c r="D7443" t="s">
        <v>77</v>
      </c>
      <c r="G7443" t="s">
        <v>34</v>
      </c>
      <c r="H7443" t="s">
        <v>18</v>
      </c>
      <c r="J7443" t="s">
        <v>20</v>
      </c>
      <c r="L7443" t="s">
        <v>141</v>
      </c>
      <c r="M7443" t="s">
        <v>9119</v>
      </c>
      <c r="N7443" t="s">
        <v>9119</v>
      </c>
      <c r="O7443" t="s">
        <v>73</v>
      </c>
      <c r="P7443" t="s">
        <v>1268</v>
      </c>
      <c r="Q7443" t="s">
        <v>1269</v>
      </c>
      <c r="R7443" t="s">
        <v>1321</v>
      </c>
    </row>
    <row r="7444" spans="1:18" x14ac:dyDescent="0.25">
      <c r="A7444" t="s">
        <v>22540</v>
      </c>
      <c r="B7444" t="s">
        <v>9140</v>
      </c>
      <c r="C7444" t="str">
        <f>HYPERLINK("https://nematode.unl.edu/mycurv8.jpg")</f>
        <v>https://nematode.unl.edu/mycurv8.jpg</v>
      </c>
      <c r="D7444" t="s">
        <v>43</v>
      </c>
      <c r="G7444" t="s">
        <v>51</v>
      </c>
      <c r="I7444" t="s">
        <v>19</v>
      </c>
      <c r="J7444" t="s">
        <v>20</v>
      </c>
      <c r="L7444" t="s">
        <v>141</v>
      </c>
      <c r="M7444" t="s">
        <v>9119</v>
      </c>
      <c r="N7444" t="s">
        <v>9119</v>
      </c>
      <c r="O7444" t="s">
        <v>73</v>
      </c>
      <c r="P7444" t="s">
        <v>1268</v>
      </c>
      <c r="Q7444" t="s">
        <v>1269</v>
      </c>
      <c r="R7444" t="s">
        <v>1321</v>
      </c>
    </row>
    <row r="7445" spans="1:18" x14ac:dyDescent="0.25">
      <c r="A7445" t="s">
        <v>22536</v>
      </c>
      <c r="B7445" t="s">
        <v>9141</v>
      </c>
      <c r="C7445" t="str">
        <f>HYPERLINK("https://nematode.unl.edu/mycurv9.jpg")</f>
        <v>https://nematode.unl.edu/mycurv9.jpg</v>
      </c>
      <c r="D7445" t="s">
        <v>43</v>
      </c>
      <c r="G7445" t="s">
        <v>28</v>
      </c>
      <c r="I7445" t="s">
        <v>19</v>
      </c>
      <c r="J7445" t="s">
        <v>20</v>
      </c>
      <c r="L7445" t="s">
        <v>352</v>
      </c>
      <c r="M7445" t="s">
        <v>9119</v>
      </c>
      <c r="N7445" t="s">
        <v>9119</v>
      </c>
      <c r="O7445" t="s">
        <v>73</v>
      </c>
      <c r="P7445" t="s">
        <v>1268</v>
      </c>
      <c r="Q7445" t="s">
        <v>1269</v>
      </c>
      <c r="R7445" t="s">
        <v>1321</v>
      </c>
    </row>
    <row r="7446" spans="1:18" x14ac:dyDescent="0.25">
      <c r="A7446" t="s">
        <v>22547</v>
      </c>
      <c r="B7446" t="s">
        <v>9142</v>
      </c>
      <c r="C7446" t="str">
        <f>HYPERLINK("https://nematode.unl.edu/myind1.jpg")</f>
        <v>https://nematode.unl.edu/myind1.jpg</v>
      </c>
      <c r="D7446" t="s">
        <v>43</v>
      </c>
      <c r="G7446" t="s">
        <v>44</v>
      </c>
      <c r="I7446" t="s">
        <v>45</v>
      </c>
      <c r="J7446" t="s">
        <v>20</v>
      </c>
      <c r="L7446" t="s">
        <v>64</v>
      </c>
      <c r="M7446" t="s">
        <v>9143</v>
      </c>
      <c r="N7446" t="s">
        <v>9143</v>
      </c>
      <c r="O7446" t="s">
        <v>73</v>
      </c>
      <c r="P7446" t="s">
        <v>1268</v>
      </c>
      <c r="Q7446" t="s">
        <v>1269</v>
      </c>
      <c r="R7446" t="s">
        <v>1321</v>
      </c>
    </row>
    <row r="7447" spans="1:18" x14ac:dyDescent="0.25">
      <c r="A7447" t="s">
        <v>22554</v>
      </c>
      <c r="B7447" t="s">
        <v>9144</v>
      </c>
      <c r="C7447" t="str">
        <f>HYPERLINK("https://nematode.unl.edu/myind12.jpg")</f>
        <v>https://nematode.unl.edu/myind12.jpg</v>
      </c>
      <c r="D7447" t="s">
        <v>43</v>
      </c>
      <c r="G7447" t="s">
        <v>8921</v>
      </c>
      <c r="I7447" t="s">
        <v>41</v>
      </c>
      <c r="J7447" t="s">
        <v>20</v>
      </c>
      <c r="L7447" t="s">
        <v>64</v>
      </c>
      <c r="M7447" t="s">
        <v>9143</v>
      </c>
      <c r="N7447" t="s">
        <v>9143</v>
      </c>
      <c r="O7447" t="s">
        <v>73</v>
      </c>
      <c r="P7447" t="s">
        <v>1268</v>
      </c>
      <c r="Q7447" t="s">
        <v>1269</v>
      </c>
      <c r="R7447" t="s">
        <v>1321</v>
      </c>
    </row>
    <row r="7448" spans="1:18" x14ac:dyDescent="0.25">
      <c r="A7448" t="s">
        <v>22548</v>
      </c>
      <c r="B7448" t="s">
        <v>9145</v>
      </c>
      <c r="C7448" t="str">
        <f>HYPERLINK("https://nematode.unl.edu/myind13.jpg")</f>
        <v>https://nematode.unl.edu/myind13.jpg</v>
      </c>
      <c r="D7448" t="s">
        <v>43</v>
      </c>
      <c r="G7448" t="s">
        <v>1295</v>
      </c>
      <c r="I7448" t="s">
        <v>41</v>
      </c>
      <c r="J7448" t="s">
        <v>20</v>
      </c>
      <c r="L7448" t="s">
        <v>456</v>
      </c>
      <c r="M7448" t="s">
        <v>9143</v>
      </c>
      <c r="N7448" t="s">
        <v>9143</v>
      </c>
      <c r="O7448" t="s">
        <v>73</v>
      </c>
      <c r="P7448" t="s">
        <v>1268</v>
      </c>
      <c r="Q7448" t="s">
        <v>1269</v>
      </c>
      <c r="R7448" t="s">
        <v>1321</v>
      </c>
    </row>
    <row r="7449" spans="1:18" x14ac:dyDescent="0.25">
      <c r="A7449" t="s">
        <v>22541</v>
      </c>
      <c r="B7449" t="s">
        <v>9146</v>
      </c>
      <c r="C7449" t="str">
        <f>HYPERLINK("https://nematode.unl.edu/myind14.jpg")</f>
        <v>https://nematode.unl.edu/myind14.jpg</v>
      </c>
      <c r="D7449" t="s">
        <v>16</v>
      </c>
      <c r="G7449" t="s">
        <v>34</v>
      </c>
      <c r="H7449" t="s">
        <v>18</v>
      </c>
      <c r="I7449" t="s">
        <v>19</v>
      </c>
      <c r="J7449" t="s">
        <v>20</v>
      </c>
      <c r="L7449" t="s">
        <v>29</v>
      </c>
      <c r="M7449" t="s">
        <v>9143</v>
      </c>
      <c r="N7449" t="s">
        <v>9143</v>
      </c>
      <c r="O7449" t="s">
        <v>73</v>
      </c>
      <c r="P7449" t="s">
        <v>1268</v>
      </c>
      <c r="Q7449" t="s">
        <v>1269</v>
      </c>
      <c r="R7449" t="s">
        <v>1321</v>
      </c>
    </row>
    <row r="7450" spans="1:18" x14ac:dyDescent="0.25">
      <c r="A7450" t="s">
        <v>22549</v>
      </c>
      <c r="B7450" t="s">
        <v>9147</v>
      </c>
      <c r="C7450" t="str">
        <f>HYPERLINK("https://nematode.unl.edu/myind15.jpg")</f>
        <v>https://nematode.unl.edu/myind15.jpg</v>
      </c>
      <c r="G7450" t="s">
        <v>28</v>
      </c>
      <c r="J7450" t="s">
        <v>20</v>
      </c>
      <c r="L7450" t="s">
        <v>29</v>
      </c>
      <c r="M7450" t="s">
        <v>9143</v>
      </c>
      <c r="N7450" t="s">
        <v>9143</v>
      </c>
      <c r="O7450" t="s">
        <v>73</v>
      </c>
      <c r="P7450" t="s">
        <v>1268</v>
      </c>
      <c r="Q7450" t="s">
        <v>1269</v>
      </c>
      <c r="R7450" t="s">
        <v>1321</v>
      </c>
    </row>
    <row r="7451" spans="1:18" x14ac:dyDescent="0.25">
      <c r="A7451" t="s">
        <v>22550</v>
      </c>
      <c r="B7451" t="s">
        <v>9148</v>
      </c>
      <c r="C7451" t="str">
        <f>HYPERLINK("https://nematode.unl.edu/myind16.jpg")</f>
        <v>https://nematode.unl.edu/myind16.jpg</v>
      </c>
      <c r="G7451" t="s">
        <v>28</v>
      </c>
      <c r="I7451" t="s">
        <v>41</v>
      </c>
      <c r="J7451" t="s">
        <v>20</v>
      </c>
      <c r="M7451" t="s">
        <v>9143</v>
      </c>
      <c r="N7451" t="s">
        <v>9143</v>
      </c>
      <c r="O7451" t="s">
        <v>73</v>
      </c>
      <c r="P7451" t="s">
        <v>1268</v>
      </c>
      <c r="Q7451" t="s">
        <v>1269</v>
      </c>
      <c r="R7451" t="s">
        <v>1321</v>
      </c>
    </row>
    <row r="7452" spans="1:18" x14ac:dyDescent="0.25">
      <c r="A7452" t="s">
        <v>22542</v>
      </c>
      <c r="B7452" t="s">
        <v>9149</v>
      </c>
      <c r="C7452" t="str">
        <f>HYPERLINK("https://nematode.unl.edu/myind17.jpg")</f>
        <v>https://nematode.unl.edu/myind17.jpg</v>
      </c>
      <c r="G7452" t="s">
        <v>34</v>
      </c>
      <c r="H7452" t="s">
        <v>18</v>
      </c>
      <c r="I7452" t="s">
        <v>41</v>
      </c>
      <c r="J7452" t="s">
        <v>20</v>
      </c>
      <c r="M7452" t="s">
        <v>9143</v>
      </c>
      <c r="N7452" t="s">
        <v>9143</v>
      </c>
      <c r="O7452" t="s">
        <v>73</v>
      </c>
      <c r="P7452" t="s">
        <v>1268</v>
      </c>
      <c r="Q7452" t="s">
        <v>1269</v>
      </c>
      <c r="R7452" t="s">
        <v>1321</v>
      </c>
    </row>
    <row r="7453" spans="1:18" x14ac:dyDescent="0.25">
      <c r="A7453" t="s">
        <v>22543</v>
      </c>
      <c r="B7453" t="s">
        <v>9150</v>
      </c>
      <c r="C7453" t="str">
        <f>HYPERLINK("https://nematode.unl.edu/myind2.jpg")</f>
        <v>https://nematode.unl.edu/myind2.jpg</v>
      </c>
      <c r="D7453" t="s">
        <v>43</v>
      </c>
      <c r="G7453" t="s">
        <v>34</v>
      </c>
      <c r="H7453" t="s">
        <v>18</v>
      </c>
      <c r="J7453" t="s">
        <v>20</v>
      </c>
      <c r="M7453" t="s">
        <v>9143</v>
      </c>
      <c r="N7453" t="s">
        <v>9143</v>
      </c>
      <c r="O7453" t="s">
        <v>73</v>
      </c>
      <c r="P7453" t="s">
        <v>1268</v>
      </c>
      <c r="Q7453" t="s">
        <v>1269</v>
      </c>
      <c r="R7453" t="s">
        <v>1321</v>
      </c>
    </row>
    <row r="7454" spans="1:18" x14ac:dyDescent="0.25">
      <c r="A7454" t="s">
        <v>22551</v>
      </c>
      <c r="B7454" t="s">
        <v>9151</v>
      </c>
      <c r="C7454" t="str">
        <f>HYPERLINK("https://nematode.unl.edu/myind3.jpg")</f>
        <v>https://nematode.unl.edu/myind3.jpg</v>
      </c>
      <c r="D7454" t="s">
        <v>77</v>
      </c>
      <c r="G7454" t="s">
        <v>28</v>
      </c>
      <c r="J7454" t="s">
        <v>20</v>
      </c>
      <c r="L7454" t="s">
        <v>64</v>
      </c>
      <c r="M7454" t="s">
        <v>9143</v>
      </c>
      <c r="N7454" t="s">
        <v>9143</v>
      </c>
      <c r="O7454" t="s">
        <v>73</v>
      </c>
      <c r="P7454" t="s">
        <v>1268</v>
      </c>
      <c r="Q7454" t="s">
        <v>1269</v>
      </c>
      <c r="R7454" t="s">
        <v>1321</v>
      </c>
    </row>
    <row r="7455" spans="1:18" x14ac:dyDescent="0.25">
      <c r="A7455" t="s">
        <v>22544</v>
      </c>
      <c r="B7455" t="s">
        <v>9152</v>
      </c>
      <c r="C7455" t="str">
        <f>HYPERLINK("https://nematode.unl.edu/myind4.jpg")</f>
        <v>https://nematode.unl.edu/myind4.jpg</v>
      </c>
      <c r="G7455" t="s">
        <v>34</v>
      </c>
      <c r="H7455" t="s">
        <v>18</v>
      </c>
      <c r="I7455" t="s">
        <v>41</v>
      </c>
      <c r="J7455" t="s">
        <v>20</v>
      </c>
      <c r="L7455" t="s">
        <v>64</v>
      </c>
      <c r="M7455" t="s">
        <v>9143</v>
      </c>
      <c r="N7455" t="s">
        <v>9143</v>
      </c>
      <c r="O7455" t="s">
        <v>73</v>
      </c>
      <c r="P7455" t="s">
        <v>1268</v>
      </c>
      <c r="Q7455" t="s">
        <v>1269</v>
      </c>
      <c r="R7455" t="s">
        <v>1321</v>
      </c>
    </row>
    <row r="7456" spans="1:18" x14ac:dyDescent="0.25">
      <c r="A7456" t="s">
        <v>22545</v>
      </c>
      <c r="B7456" t="s">
        <v>9153</v>
      </c>
      <c r="C7456" t="str">
        <f>HYPERLINK("https://nematode.unl.edu/myind5.jpg")</f>
        <v>https://nematode.unl.edu/myind5.jpg</v>
      </c>
      <c r="D7456" t="s">
        <v>16</v>
      </c>
      <c r="G7456" t="s">
        <v>34</v>
      </c>
      <c r="H7456" t="s">
        <v>18</v>
      </c>
      <c r="I7456" t="s">
        <v>41</v>
      </c>
      <c r="J7456" t="s">
        <v>20</v>
      </c>
      <c r="L7456" t="s">
        <v>38</v>
      </c>
      <c r="M7456" t="s">
        <v>9143</v>
      </c>
      <c r="N7456" t="s">
        <v>9143</v>
      </c>
      <c r="O7456" t="s">
        <v>73</v>
      </c>
      <c r="P7456" t="s">
        <v>1268</v>
      </c>
      <c r="Q7456" t="s">
        <v>1269</v>
      </c>
      <c r="R7456" t="s">
        <v>1321</v>
      </c>
    </row>
    <row r="7457" spans="1:18" x14ac:dyDescent="0.25">
      <c r="A7457" t="s">
        <v>22552</v>
      </c>
      <c r="B7457" t="s">
        <v>9154</v>
      </c>
      <c r="C7457" t="str">
        <f>HYPERLINK("https://nematode.unl.edu/myind6.jpg")</f>
        <v>https://nematode.unl.edu/myind6.jpg</v>
      </c>
      <c r="D7457" t="s">
        <v>16</v>
      </c>
      <c r="G7457" t="s">
        <v>28</v>
      </c>
      <c r="I7457" t="s">
        <v>45</v>
      </c>
      <c r="J7457" t="s">
        <v>20</v>
      </c>
      <c r="L7457" t="s">
        <v>38</v>
      </c>
      <c r="M7457" t="s">
        <v>9143</v>
      </c>
      <c r="N7457" t="s">
        <v>9143</v>
      </c>
      <c r="O7457" t="s">
        <v>73</v>
      </c>
      <c r="P7457" t="s">
        <v>1268</v>
      </c>
      <c r="Q7457" t="s">
        <v>1269</v>
      </c>
      <c r="R7457" t="s">
        <v>1321</v>
      </c>
    </row>
    <row r="7458" spans="1:18" x14ac:dyDescent="0.25">
      <c r="A7458" t="s">
        <v>22546</v>
      </c>
      <c r="B7458" t="s">
        <v>9155</v>
      </c>
      <c r="C7458" t="str">
        <f>HYPERLINK("https://nematode.unl.edu/myind7.jpg")</f>
        <v>https://nematode.unl.edu/myind7.jpg</v>
      </c>
      <c r="D7458" t="s">
        <v>16</v>
      </c>
      <c r="G7458" t="s">
        <v>34</v>
      </c>
      <c r="H7458" t="s">
        <v>18</v>
      </c>
      <c r="I7458" t="s">
        <v>19</v>
      </c>
      <c r="J7458" t="s">
        <v>20</v>
      </c>
      <c r="L7458" t="s">
        <v>38</v>
      </c>
      <c r="M7458" t="s">
        <v>9143</v>
      </c>
      <c r="N7458" t="s">
        <v>9143</v>
      </c>
      <c r="O7458" t="s">
        <v>73</v>
      </c>
      <c r="P7458" t="s">
        <v>1268</v>
      </c>
      <c r="Q7458" t="s">
        <v>1269</v>
      </c>
      <c r="R7458" t="s">
        <v>1321</v>
      </c>
    </row>
    <row r="7459" spans="1:18" x14ac:dyDescent="0.25">
      <c r="A7459" t="s">
        <v>22553</v>
      </c>
      <c r="B7459" t="s">
        <v>9156</v>
      </c>
      <c r="C7459" t="str">
        <f>HYPERLINK("https://nematode.unl.edu/myindcmp.jpg")</f>
        <v>https://nematode.unl.edu/myindcmp.jpg</v>
      </c>
      <c r="D7459" t="s">
        <v>43</v>
      </c>
      <c r="G7459" t="s">
        <v>28</v>
      </c>
      <c r="M7459" t="s">
        <v>9143</v>
      </c>
      <c r="N7459" t="s">
        <v>9143</v>
      </c>
      <c r="O7459" t="s">
        <v>73</v>
      </c>
      <c r="P7459" t="s">
        <v>1268</v>
      </c>
      <c r="Q7459" t="s">
        <v>1269</v>
      </c>
      <c r="R7459" t="s">
        <v>1321</v>
      </c>
    </row>
    <row r="7460" spans="1:18" x14ac:dyDescent="0.25">
      <c r="A7460" t="s">
        <v>22560</v>
      </c>
      <c r="B7460" t="s">
        <v>9157</v>
      </c>
      <c r="C7460" t="str">
        <f>HYPERLINK("https://nematode.unl.edu/mylac1.jpg")</f>
        <v>https://nematode.unl.edu/mylac1.jpg</v>
      </c>
      <c r="D7460" t="s">
        <v>43</v>
      </c>
      <c r="G7460" t="s">
        <v>44</v>
      </c>
      <c r="I7460" t="s">
        <v>91</v>
      </c>
      <c r="J7460" t="s">
        <v>20</v>
      </c>
      <c r="L7460" t="s">
        <v>141</v>
      </c>
      <c r="M7460" t="s">
        <v>9158</v>
      </c>
      <c r="N7460" t="s">
        <v>9158</v>
      </c>
      <c r="O7460" t="s">
        <v>73</v>
      </c>
      <c r="P7460" t="s">
        <v>1268</v>
      </c>
      <c r="Q7460" t="s">
        <v>1269</v>
      </c>
      <c r="R7460" t="s">
        <v>1321</v>
      </c>
    </row>
    <row r="7461" spans="1:18" x14ac:dyDescent="0.25">
      <c r="A7461" t="s">
        <v>22556</v>
      </c>
      <c r="B7461" t="s">
        <v>9159</v>
      </c>
      <c r="C7461" t="str">
        <f>HYPERLINK("https://nematode.unl.edu/mylac2.jpg")</f>
        <v>https://nematode.unl.edu/mylac2.jpg</v>
      </c>
      <c r="G7461" t="s">
        <v>34</v>
      </c>
      <c r="H7461" t="s">
        <v>18</v>
      </c>
      <c r="I7461" t="s">
        <v>19</v>
      </c>
      <c r="J7461" t="s">
        <v>20</v>
      </c>
      <c r="L7461" t="s">
        <v>141</v>
      </c>
      <c r="M7461" t="s">
        <v>9158</v>
      </c>
      <c r="N7461" t="s">
        <v>9158</v>
      </c>
      <c r="O7461" t="s">
        <v>73</v>
      </c>
      <c r="P7461" t="s">
        <v>1268</v>
      </c>
      <c r="Q7461" t="s">
        <v>1269</v>
      </c>
      <c r="R7461" t="s">
        <v>1321</v>
      </c>
    </row>
    <row r="7462" spans="1:18" x14ac:dyDescent="0.25">
      <c r="A7462" t="s">
        <v>22559</v>
      </c>
      <c r="B7462" t="s">
        <v>9160</v>
      </c>
      <c r="C7462" t="str">
        <f>HYPERLINK("https://nematode.unl.edu/mylac3.jpg")</f>
        <v>https://nematode.unl.edu/mylac3.jpg</v>
      </c>
      <c r="D7462" t="s">
        <v>43</v>
      </c>
      <c r="G7462" t="s">
        <v>87</v>
      </c>
      <c r="I7462" t="s">
        <v>19</v>
      </c>
      <c r="J7462" t="s">
        <v>20</v>
      </c>
      <c r="L7462" t="s">
        <v>141</v>
      </c>
      <c r="M7462" t="s">
        <v>9158</v>
      </c>
      <c r="N7462" t="s">
        <v>9158</v>
      </c>
      <c r="O7462" t="s">
        <v>73</v>
      </c>
      <c r="P7462" t="s">
        <v>1268</v>
      </c>
      <c r="Q7462" t="s">
        <v>1269</v>
      </c>
      <c r="R7462" t="s">
        <v>1321</v>
      </c>
    </row>
    <row r="7463" spans="1:18" x14ac:dyDescent="0.25">
      <c r="A7463" t="s">
        <v>22573</v>
      </c>
      <c r="B7463" t="s">
        <v>9161</v>
      </c>
      <c r="C7463" t="str">
        <f>HYPERLINK("https://nematode.unl.edu/mylac4.jpg")</f>
        <v>https://nematode.unl.edu/mylac4.jpg</v>
      </c>
      <c r="D7463" t="s">
        <v>43</v>
      </c>
      <c r="G7463" t="s">
        <v>51</v>
      </c>
      <c r="I7463" t="s">
        <v>19</v>
      </c>
      <c r="J7463" t="s">
        <v>20</v>
      </c>
      <c r="L7463" t="s">
        <v>141</v>
      </c>
      <c r="M7463" t="s">
        <v>9158</v>
      </c>
      <c r="N7463" t="s">
        <v>9158</v>
      </c>
      <c r="O7463" t="s">
        <v>73</v>
      </c>
      <c r="P7463" t="s">
        <v>1268</v>
      </c>
      <c r="Q7463" t="s">
        <v>1269</v>
      </c>
      <c r="R7463" t="s">
        <v>1321</v>
      </c>
    </row>
    <row r="7464" spans="1:18" x14ac:dyDescent="0.25">
      <c r="A7464" t="s">
        <v>22568</v>
      </c>
      <c r="B7464" t="s">
        <v>9162</v>
      </c>
      <c r="C7464" t="str">
        <f>HYPERLINK("https://nematode.unl.edu/mylac5.jpg")</f>
        <v>https://nematode.unl.edu/mylac5.jpg</v>
      </c>
      <c r="D7464" t="s">
        <v>43</v>
      </c>
      <c r="G7464" t="s">
        <v>28</v>
      </c>
      <c r="I7464" t="s">
        <v>19</v>
      </c>
      <c r="J7464" t="s">
        <v>20</v>
      </c>
      <c r="L7464" t="s">
        <v>141</v>
      </c>
      <c r="M7464" t="s">
        <v>9158</v>
      </c>
      <c r="N7464" t="s">
        <v>9158</v>
      </c>
      <c r="O7464" t="s">
        <v>73</v>
      </c>
      <c r="P7464" t="s">
        <v>1268</v>
      </c>
      <c r="Q7464" t="s">
        <v>1269</v>
      </c>
      <c r="R7464" t="s">
        <v>1321</v>
      </c>
    </row>
    <row r="7465" spans="1:18" x14ac:dyDescent="0.25">
      <c r="A7465" t="s">
        <v>22563</v>
      </c>
      <c r="B7465" t="s">
        <v>9163</v>
      </c>
      <c r="C7465" t="str">
        <f>HYPERLINK("https://nematode.unl.edu/mylac6.jpg")</f>
        <v>https://nematode.unl.edu/mylac6.jpg</v>
      </c>
      <c r="D7465" t="s">
        <v>43</v>
      </c>
      <c r="G7465" t="s">
        <v>1295</v>
      </c>
      <c r="I7465" t="s">
        <v>41</v>
      </c>
      <c r="J7465" t="s">
        <v>20</v>
      </c>
      <c r="L7465" t="s">
        <v>141</v>
      </c>
      <c r="M7465" t="s">
        <v>9158</v>
      </c>
      <c r="N7465" t="s">
        <v>9158</v>
      </c>
      <c r="O7465" t="s">
        <v>73</v>
      </c>
      <c r="P7465" t="s">
        <v>1268</v>
      </c>
      <c r="Q7465" t="s">
        <v>1269</v>
      </c>
      <c r="R7465" t="s">
        <v>1321</v>
      </c>
    </row>
    <row r="7466" spans="1:18" x14ac:dyDescent="0.25">
      <c r="A7466" t="s">
        <v>22564</v>
      </c>
      <c r="B7466" t="s">
        <v>9164</v>
      </c>
      <c r="C7466" t="str">
        <f>HYPERLINK("https://nematode.unl.edu/mylac7.jpg")</f>
        <v>https://nematode.unl.edu/mylac7.jpg</v>
      </c>
      <c r="D7466" t="s">
        <v>43</v>
      </c>
      <c r="G7466" t="s">
        <v>1295</v>
      </c>
      <c r="I7466" t="s">
        <v>41</v>
      </c>
      <c r="J7466" t="s">
        <v>20</v>
      </c>
      <c r="L7466" t="s">
        <v>141</v>
      </c>
      <c r="M7466" t="s">
        <v>9158</v>
      </c>
      <c r="N7466" t="s">
        <v>9158</v>
      </c>
      <c r="O7466" t="s">
        <v>73</v>
      </c>
      <c r="P7466" t="s">
        <v>1268</v>
      </c>
      <c r="Q7466" t="s">
        <v>1269</v>
      </c>
      <c r="R7466" t="s">
        <v>1321</v>
      </c>
    </row>
    <row r="7467" spans="1:18" x14ac:dyDescent="0.25">
      <c r="A7467" t="s">
        <v>22567</v>
      </c>
      <c r="B7467" t="s">
        <v>9165</v>
      </c>
      <c r="C7467" t="str">
        <f>HYPERLINK("https://nematode.unl.edu/mylac8.jpg")</f>
        <v>https://nematode.unl.edu/mylac8.jpg</v>
      </c>
      <c r="D7467" t="s">
        <v>43</v>
      </c>
      <c r="G7467" t="s">
        <v>5955</v>
      </c>
      <c r="I7467" t="s">
        <v>41</v>
      </c>
      <c r="J7467" t="s">
        <v>20</v>
      </c>
      <c r="L7467" t="s">
        <v>352</v>
      </c>
      <c r="M7467" t="s">
        <v>9158</v>
      </c>
      <c r="N7467" t="s">
        <v>9158</v>
      </c>
      <c r="O7467" t="s">
        <v>73</v>
      </c>
      <c r="P7467" t="s">
        <v>1268</v>
      </c>
      <c r="Q7467" t="s">
        <v>1269</v>
      </c>
      <c r="R7467" t="s">
        <v>1321</v>
      </c>
    </row>
    <row r="7468" spans="1:18" x14ac:dyDescent="0.25">
      <c r="A7468" t="s">
        <v>22569</v>
      </c>
      <c r="B7468" t="s">
        <v>9166</v>
      </c>
      <c r="C7468" t="str">
        <f>HYPERLINK("https://nematode.unl.edu/mylacus1.jpg")</f>
        <v>https://nematode.unl.edu/mylacus1.jpg</v>
      </c>
      <c r="D7468" t="s">
        <v>43</v>
      </c>
      <c r="G7468" t="s">
        <v>28</v>
      </c>
      <c r="I7468" t="s">
        <v>41</v>
      </c>
      <c r="J7468" t="s">
        <v>46</v>
      </c>
      <c r="L7468" t="s">
        <v>105</v>
      </c>
      <c r="M7468" t="s">
        <v>9158</v>
      </c>
      <c r="N7468" t="s">
        <v>9158</v>
      </c>
      <c r="O7468" t="s">
        <v>73</v>
      </c>
      <c r="P7468" t="s">
        <v>1268</v>
      </c>
      <c r="Q7468" t="s">
        <v>1269</v>
      </c>
      <c r="R7468" t="s">
        <v>1321</v>
      </c>
    </row>
    <row r="7469" spans="1:18" x14ac:dyDescent="0.25">
      <c r="A7469" t="s">
        <v>22561</v>
      </c>
      <c r="B7469" t="s">
        <v>9167</v>
      </c>
      <c r="C7469" t="str">
        <f>HYPERLINK("https://nematode.unl.edu/mylongs1.jpg")</f>
        <v>https://nematode.unl.edu/mylongs1.jpg</v>
      </c>
      <c r="D7469" t="s">
        <v>77</v>
      </c>
      <c r="G7469" t="s">
        <v>44</v>
      </c>
      <c r="I7469" t="s">
        <v>137</v>
      </c>
      <c r="J7469" t="s">
        <v>9168</v>
      </c>
      <c r="L7469" t="s">
        <v>9169</v>
      </c>
      <c r="M7469" t="s">
        <v>9158</v>
      </c>
      <c r="N7469" t="s">
        <v>9158</v>
      </c>
      <c r="O7469" t="s">
        <v>73</v>
      </c>
      <c r="P7469" t="s">
        <v>1268</v>
      </c>
      <c r="Q7469" t="s">
        <v>1269</v>
      </c>
      <c r="R7469" t="s">
        <v>1321</v>
      </c>
    </row>
    <row r="7470" spans="1:18" x14ac:dyDescent="0.25">
      <c r="A7470" t="s">
        <v>22557</v>
      </c>
      <c r="B7470" t="s">
        <v>9170</v>
      </c>
      <c r="C7470" t="str">
        <f>HYPERLINK("https://nematode.unl.edu/mylongs2.jpg")</f>
        <v>https://nematode.unl.edu/mylongs2.jpg</v>
      </c>
      <c r="G7470" t="s">
        <v>34</v>
      </c>
      <c r="H7470" t="s">
        <v>18</v>
      </c>
      <c r="I7470" t="s">
        <v>41</v>
      </c>
      <c r="J7470" t="s">
        <v>2350</v>
      </c>
      <c r="M7470" t="s">
        <v>9158</v>
      </c>
      <c r="N7470" t="s">
        <v>9158</v>
      </c>
      <c r="O7470" t="s">
        <v>73</v>
      </c>
      <c r="P7470" t="s">
        <v>1268</v>
      </c>
      <c r="Q7470" t="s">
        <v>1269</v>
      </c>
      <c r="R7470" t="s">
        <v>1321</v>
      </c>
    </row>
    <row r="7471" spans="1:18" x14ac:dyDescent="0.25">
      <c r="A7471" t="s">
        <v>22572</v>
      </c>
      <c r="B7471" t="s">
        <v>9171</v>
      </c>
      <c r="C7471" t="str">
        <f>HYPERLINK("https://nematode.unl.edu/mylongs3.jpg")</f>
        <v>https://nematode.unl.edu/mylongs3.jpg</v>
      </c>
      <c r="D7471" t="s">
        <v>43</v>
      </c>
      <c r="G7471" t="s">
        <v>9121</v>
      </c>
      <c r="I7471" t="s">
        <v>529</v>
      </c>
      <c r="J7471" t="s">
        <v>9168</v>
      </c>
      <c r="L7471" t="s">
        <v>9169</v>
      </c>
      <c r="M7471" t="s">
        <v>9158</v>
      </c>
      <c r="N7471" t="s">
        <v>9158</v>
      </c>
      <c r="O7471" t="s">
        <v>73</v>
      </c>
      <c r="P7471" t="s">
        <v>1268</v>
      </c>
      <c r="Q7471" t="s">
        <v>1269</v>
      </c>
      <c r="R7471" t="s">
        <v>1321</v>
      </c>
    </row>
    <row r="7472" spans="1:18" x14ac:dyDescent="0.25">
      <c r="A7472" t="s">
        <v>22566</v>
      </c>
      <c r="B7472" t="s">
        <v>9172</v>
      </c>
      <c r="C7472" t="str">
        <f>HYPERLINK("https://nematode.unl.edu/mylongs4.jpg")</f>
        <v>https://nematode.unl.edu/mylongs4.jpg</v>
      </c>
      <c r="D7472" t="s">
        <v>43</v>
      </c>
      <c r="G7472" t="s">
        <v>674</v>
      </c>
      <c r="I7472" t="s">
        <v>529</v>
      </c>
      <c r="J7472" t="s">
        <v>9168</v>
      </c>
      <c r="L7472" t="s">
        <v>9169</v>
      </c>
      <c r="M7472" t="s">
        <v>9158</v>
      </c>
      <c r="N7472" t="s">
        <v>9158</v>
      </c>
      <c r="O7472" t="s">
        <v>73</v>
      </c>
      <c r="P7472" t="s">
        <v>1268</v>
      </c>
      <c r="Q7472" t="s">
        <v>1269</v>
      </c>
      <c r="R7472" t="s">
        <v>1321</v>
      </c>
    </row>
    <row r="7473" spans="1:18" x14ac:dyDescent="0.25">
      <c r="A7473" t="s">
        <v>22555</v>
      </c>
      <c r="B7473" t="s">
        <v>9173</v>
      </c>
      <c r="C7473" t="str">
        <f>HYPERLINK("https://nematode.unl.edu/mylongs5.jpg")</f>
        <v>https://nematode.unl.edu/mylongs5.jpg</v>
      </c>
      <c r="G7473" t="s">
        <v>96</v>
      </c>
      <c r="H7473" t="s">
        <v>18</v>
      </c>
      <c r="I7473" t="s">
        <v>41</v>
      </c>
      <c r="J7473" t="s">
        <v>2350</v>
      </c>
      <c r="M7473" t="s">
        <v>9158</v>
      </c>
      <c r="N7473" t="s">
        <v>9158</v>
      </c>
      <c r="O7473" t="s">
        <v>73</v>
      </c>
      <c r="P7473" t="s">
        <v>1268</v>
      </c>
      <c r="Q7473" t="s">
        <v>1269</v>
      </c>
      <c r="R7473" t="s">
        <v>1321</v>
      </c>
    </row>
    <row r="7474" spans="1:18" x14ac:dyDescent="0.25">
      <c r="A7474" t="s">
        <v>22565</v>
      </c>
      <c r="B7474" t="s">
        <v>9174</v>
      </c>
      <c r="C7474" t="str">
        <f>HYPERLINK("https://nematode.unl.edu/mylongs6.jpg")</f>
        <v>https://nematode.unl.edu/mylongs6.jpg</v>
      </c>
      <c r="D7474" t="s">
        <v>43</v>
      </c>
      <c r="G7474" t="s">
        <v>2345</v>
      </c>
      <c r="I7474" t="s">
        <v>41</v>
      </c>
      <c r="J7474" t="s">
        <v>2350</v>
      </c>
      <c r="M7474" t="s">
        <v>9158</v>
      </c>
      <c r="N7474" t="s">
        <v>9158</v>
      </c>
      <c r="O7474" t="s">
        <v>73</v>
      </c>
      <c r="P7474" t="s">
        <v>1268</v>
      </c>
      <c r="Q7474" t="s">
        <v>1269</v>
      </c>
      <c r="R7474" t="s">
        <v>1321</v>
      </c>
    </row>
    <row r="7475" spans="1:18" x14ac:dyDescent="0.25">
      <c r="A7475" t="s">
        <v>22570</v>
      </c>
      <c r="B7475" t="s">
        <v>9175</v>
      </c>
      <c r="C7475" t="str">
        <f>HYPERLINK("https://nematode.unl.edu/mylongs7.jpg")</f>
        <v>https://nematode.unl.edu/mylongs7.jpg</v>
      </c>
      <c r="D7475" t="s">
        <v>43</v>
      </c>
      <c r="G7475" t="s">
        <v>28</v>
      </c>
      <c r="I7475" t="s">
        <v>41</v>
      </c>
      <c r="J7475" t="s">
        <v>2350</v>
      </c>
      <c r="M7475" t="s">
        <v>9158</v>
      </c>
      <c r="N7475" t="s">
        <v>9158</v>
      </c>
      <c r="O7475" t="s">
        <v>73</v>
      </c>
      <c r="P7475" t="s">
        <v>1268</v>
      </c>
      <c r="Q7475" t="s">
        <v>1269</v>
      </c>
      <c r="R7475" t="s">
        <v>1321</v>
      </c>
    </row>
    <row r="7476" spans="1:18" x14ac:dyDescent="0.25">
      <c r="A7476" t="s">
        <v>22475</v>
      </c>
      <c r="B7476" t="s">
        <v>1265</v>
      </c>
      <c r="C7476" t="str">
        <f>HYPERLINK("https://nematode.unl.edu/mylonmo1.jpg")</f>
        <v>https://nematode.unl.edu/mylonmo1.jpg</v>
      </c>
      <c r="D7476" t="s">
        <v>16</v>
      </c>
      <c r="G7476" t="s">
        <v>905</v>
      </c>
      <c r="I7476" t="s">
        <v>91</v>
      </c>
      <c r="M7476" t="s">
        <v>1266</v>
      </c>
      <c r="N7476" t="s">
        <v>1267</v>
      </c>
      <c r="O7476" t="s">
        <v>73</v>
      </c>
      <c r="P7476" t="s">
        <v>1268</v>
      </c>
      <c r="Q7476" t="s">
        <v>1269</v>
      </c>
      <c r="R7476" t="s">
        <v>1270</v>
      </c>
    </row>
    <row r="7477" spans="1:18" x14ac:dyDescent="0.25">
      <c r="A7477" t="s">
        <v>22493</v>
      </c>
      <c r="B7477" t="s">
        <v>1271</v>
      </c>
      <c r="C7477" t="str">
        <f>HYPERLINK("https://nematode.unl.edu/mylonmo10.jpg")</f>
        <v>https://nematode.unl.edu/mylonmo10.jpg</v>
      </c>
      <c r="D7477" t="s">
        <v>43</v>
      </c>
      <c r="G7477" t="s">
        <v>28</v>
      </c>
      <c r="I7477" t="s">
        <v>41</v>
      </c>
      <c r="M7477" t="s">
        <v>1266</v>
      </c>
      <c r="N7477" t="s">
        <v>1267</v>
      </c>
      <c r="O7477" t="s">
        <v>73</v>
      </c>
      <c r="P7477" t="s">
        <v>1268</v>
      </c>
      <c r="Q7477" t="s">
        <v>1269</v>
      </c>
      <c r="R7477" t="s">
        <v>1270</v>
      </c>
    </row>
    <row r="7478" spans="1:18" x14ac:dyDescent="0.25">
      <c r="A7478" t="s">
        <v>22464</v>
      </c>
      <c r="B7478" t="s">
        <v>1272</v>
      </c>
      <c r="C7478" t="str">
        <f>HYPERLINK("https://nematode.unl.edu/mylonmo11.jpg")</f>
        <v>https://nematode.unl.edu/mylonmo11.jpg</v>
      </c>
      <c r="D7478" t="s">
        <v>43</v>
      </c>
      <c r="G7478" t="s">
        <v>34</v>
      </c>
      <c r="H7478" t="s">
        <v>18</v>
      </c>
      <c r="I7478" t="s">
        <v>41</v>
      </c>
      <c r="M7478" t="s">
        <v>1266</v>
      </c>
      <c r="N7478" t="s">
        <v>1267</v>
      </c>
      <c r="O7478" t="s">
        <v>73</v>
      </c>
      <c r="P7478" t="s">
        <v>1268</v>
      </c>
      <c r="Q7478" t="s">
        <v>1269</v>
      </c>
      <c r="R7478" t="s">
        <v>1270</v>
      </c>
    </row>
    <row r="7479" spans="1:18" x14ac:dyDescent="0.25">
      <c r="A7479" t="s">
        <v>22494</v>
      </c>
      <c r="B7479" t="s">
        <v>1273</v>
      </c>
      <c r="C7479" t="str">
        <f>HYPERLINK("https://nematode.unl.edu/mylonmo12.jpg")</f>
        <v>https://nematode.unl.edu/mylonmo12.jpg</v>
      </c>
      <c r="D7479" t="s">
        <v>77</v>
      </c>
      <c r="G7479" t="s">
        <v>28</v>
      </c>
      <c r="M7479" t="s">
        <v>1266</v>
      </c>
      <c r="N7479" t="s">
        <v>1267</v>
      </c>
      <c r="O7479" t="s">
        <v>73</v>
      </c>
      <c r="P7479" t="s">
        <v>1268</v>
      </c>
      <c r="Q7479" t="s">
        <v>1269</v>
      </c>
      <c r="R7479" t="s">
        <v>1270</v>
      </c>
    </row>
    <row r="7480" spans="1:18" x14ac:dyDescent="0.25">
      <c r="A7480" t="s">
        <v>22465</v>
      </c>
      <c r="B7480" t="s">
        <v>1274</v>
      </c>
      <c r="C7480" t="str">
        <f>HYPERLINK("https://nematode.unl.edu/mylonmo2.jpg")</f>
        <v>https://nematode.unl.edu/mylonmo2.jpg</v>
      </c>
      <c r="D7480" t="s">
        <v>16</v>
      </c>
      <c r="G7480" t="s">
        <v>34</v>
      </c>
      <c r="H7480" t="s">
        <v>18</v>
      </c>
      <c r="M7480" t="s">
        <v>1266</v>
      </c>
      <c r="N7480" t="s">
        <v>1267</v>
      </c>
      <c r="O7480" t="s">
        <v>73</v>
      </c>
      <c r="P7480" t="s">
        <v>1268</v>
      </c>
      <c r="Q7480" t="s">
        <v>1269</v>
      </c>
      <c r="R7480" t="s">
        <v>1270</v>
      </c>
    </row>
    <row r="7481" spans="1:18" x14ac:dyDescent="0.25">
      <c r="A7481" t="s">
        <v>22462</v>
      </c>
      <c r="B7481" t="s">
        <v>1275</v>
      </c>
      <c r="C7481" t="str">
        <f>HYPERLINK("https://nematode.unl.edu/mylonmo3.jpg")</f>
        <v>https://nematode.unl.edu/mylonmo3.jpg</v>
      </c>
      <c r="D7481" t="s">
        <v>16</v>
      </c>
      <c r="G7481" t="s">
        <v>17</v>
      </c>
      <c r="H7481" t="s">
        <v>18</v>
      </c>
      <c r="I7481" t="s">
        <v>19</v>
      </c>
      <c r="M7481" t="s">
        <v>1266</v>
      </c>
      <c r="N7481" t="s">
        <v>1267</v>
      </c>
      <c r="O7481" t="s">
        <v>73</v>
      </c>
      <c r="P7481" t="s">
        <v>1268</v>
      </c>
      <c r="Q7481" t="s">
        <v>1269</v>
      </c>
      <c r="R7481" t="s">
        <v>1270</v>
      </c>
    </row>
    <row r="7482" spans="1:18" x14ac:dyDescent="0.25">
      <c r="A7482" t="s">
        <v>22495</v>
      </c>
      <c r="B7482" t="s">
        <v>1276</v>
      </c>
      <c r="C7482" t="str">
        <f>HYPERLINK("https://nematode.unl.edu/mylonmo4.jpg")</f>
        <v>https://nematode.unl.edu/mylonmo4.jpg</v>
      </c>
      <c r="D7482" t="s">
        <v>16</v>
      </c>
      <c r="G7482" t="s">
        <v>28</v>
      </c>
      <c r="I7482" t="s">
        <v>19</v>
      </c>
      <c r="M7482" t="s">
        <v>1266</v>
      </c>
      <c r="N7482" t="s">
        <v>1267</v>
      </c>
      <c r="O7482" t="s">
        <v>73</v>
      </c>
      <c r="P7482" t="s">
        <v>1268</v>
      </c>
      <c r="Q7482" t="s">
        <v>1269</v>
      </c>
      <c r="R7482" t="s">
        <v>1270</v>
      </c>
    </row>
    <row r="7483" spans="1:18" x14ac:dyDescent="0.25">
      <c r="A7483" t="s">
        <v>22476</v>
      </c>
      <c r="B7483" t="s">
        <v>1277</v>
      </c>
      <c r="C7483" t="str">
        <f>HYPERLINK("https://nematode.unl.edu/mylonmo5.jpg")</f>
        <v>https://nematode.unl.edu/mylonmo5.jpg</v>
      </c>
      <c r="D7483" t="s">
        <v>43</v>
      </c>
      <c r="G7483" t="s">
        <v>905</v>
      </c>
      <c r="I7483" t="s">
        <v>91</v>
      </c>
      <c r="M7483" t="s">
        <v>1266</v>
      </c>
      <c r="N7483" t="s">
        <v>1267</v>
      </c>
      <c r="O7483" t="s">
        <v>73</v>
      </c>
      <c r="P7483" t="s">
        <v>1268</v>
      </c>
      <c r="Q7483" t="s">
        <v>1269</v>
      </c>
      <c r="R7483" t="s">
        <v>1270</v>
      </c>
    </row>
    <row r="7484" spans="1:18" x14ac:dyDescent="0.25">
      <c r="A7484" t="s">
        <v>22466</v>
      </c>
      <c r="B7484" t="s">
        <v>1278</v>
      </c>
      <c r="C7484" t="str">
        <f>HYPERLINK("https://nematode.unl.edu/mylonmo6.jpg")</f>
        <v>https://nematode.unl.edu/mylonmo6.jpg</v>
      </c>
      <c r="D7484" t="s">
        <v>43</v>
      </c>
      <c r="G7484" t="s">
        <v>34</v>
      </c>
      <c r="H7484" t="s">
        <v>18</v>
      </c>
      <c r="I7484" t="s">
        <v>19</v>
      </c>
      <c r="M7484" t="s">
        <v>1266</v>
      </c>
      <c r="N7484" t="s">
        <v>1267</v>
      </c>
      <c r="O7484" t="s">
        <v>73</v>
      </c>
      <c r="P7484" t="s">
        <v>1268</v>
      </c>
      <c r="Q7484" t="s">
        <v>1269</v>
      </c>
      <c r="R7484" t="s">
        <v>1270</v>
      </c>
    </row>
    <row r="7485" spans="1:18" x14ac:dyDescent="0.25">
      <c r="A7485" t="s">
        <v>22490</v>
      </c>
      <c r="B7485" t="s">
        <v>1279</v>
      </c>
      <c r="C7485" t="str">
        <f>HYPERLINK("https://nematode.unl.edu/mylonmo7.jpg")</f>
        <v>https://nematode.unl.edu/mylonmo7.jpg</v>
      </c>
      <c r="D7485" t="s">
        <v>43</v>
      </c>
      <c r="G7485" t="s">
        <v>87</v>
      </c>
      <c r="M7485" t="s">
        <v>1266</v>
      </c>
      <c r="N7485" t="s">
        <v>1267</v>
      </c>
      <c r="O7485" t="s">
        <v>73</v>
      </c>
      <c r="P7485" t="s">
        <v>1268</v>
      </c>
      <c r="Q7485" t="s">
        <v>1269</v>
      </c>
      <c r="R7485" t="s">
        <v>1270</v>
      </c>
    </row>
    <row r="7486" spans="1:18" x14ac:dyDescent="0.25">
      <c r="A7486" t="s">
        <v>22496</v>
      </c>
      <c r="B7486" t="s">
        <v>1280</v>
      </c>
      <c r="C7486" t="str">
        <f>HYPERLINK("https://nematode.unl.edu/mylonmo8.jpg")</f>
        <v>https://nematode.unl.edu/mylonmo8.jpg</v>
      </c>
      <c r="D7486" t="s">
        <v>43</v>
      </c>
      <c r="G7486" t="s">
        <v>28</v>
      </c>
      <c r="M7486" t="s">
        <v>1266</v>
      </c>
      <c r="N7486" t="s">
        <v>1267</v>
      </c>
      <c r="O7486" t="s">
        <v>73</v>
      </c>
      <c r="P7486" t="s">
        <v>1268</v>
      </c>
      <c r="Q7486" t="s">
        <v>1269</v>
      </c>
      <c r="R7486" t="s">
        <v>1270</v>
      </c>
    </row>
    <row r="7487" spans="1:18" x14ac:dyDescent="0.25">
      <c r="A7487" t="s">
        <v>22467</v>
      </c>
      <c r="B7487" t="s">
        <v>1281</v>
      </c>
      <c r="C7487" t="str">
        <f>HYPERLINK("https://nematode.unl.edu/mylonmo9.jpg")</f>
        <v>https://nematode.unl.edu/mylonmo9.jpg</v>
      </c>
      <c r="D7487" t="s">
        <v>43</v>
      </c>
      <c r="G7487" t="s">
        <v>34</v>
      </c>
      <c r="H7487" t="s">
        <v>18</v>
      </c>
      <c r="I7487" t="s">
        <v>41</v>
      </c>
      <c r="M7487" t="s">
        <v>1266</v>
      </c>
      <c r="N7487" t="s">
        <v>1267</v>
      </c>
      <c r="O7487" t="s">
        <v>73</v>
      </c>
      <c r="P7487" t="s">
        <v>1268</v>
      </c>
      <c r="Q7487" t="s">
        <v>1269</v>
      </c>
      <c r="R7487" t="s">
        <v>1270</v>
      </c>
    </row>
    <row r="7488" spans="1:18" x14ac:dyDescent="0.25">
      <c r="A7488" t="s">
        <v>22593</v>
      </c>
      <c r="B7488" t="s">
        <v>1318</v>
      </c>
      <c r="C7488" t="str">
        <f>HYPERLINK("https://nematode.unl.edu/mylopar1.jpg")</f>
        <v>https://nematode.unl.edu/mylopar1.jpg</v>
      </c>
      <c r="D7488" t="s">
        <v>16</v>
      </c>
      <c r="G7488" t="s">
        <v>44</v>
      </c>
      <c r="I7488" t="s">
        <v>91</v>
      </c>
      <c r="J7488" t="s">
        <v>46</v>
      </c>
      <c r="L7488" t="s">
        <v>727</v>
      </c>
      <c r="M7488" t="s">
        <v>1319</v>
      </c>
      <c r="N7488" t="s">
        <v>1320</v>
      </c>
      <c r="O7488" t="s">
        <v>73</v>
      </c>
      <c r="P7488" t="s">
        <v>1268</v>
      </c>
      <c r="Q7488" t="s">
        <v>1269</v>
      </c>
      <c r="R7488" t="s">
        <v>1321</v>
      </c>
    </row>
    <row r="7489" spans="1:18" x14ac:dyDescent="0.25">
      <c r="A7489" t="s">
        <v>22575</v>
      </c>
      <c r="B7489" t="s">
        <v>1322</v>
      </c>
      <c r="C7489" t="str">
        <f>HYPERLINK("https://nematode.unl.edu/mylopar2.jpg")</f>
        <v>https://nematode.unl.edu/mylopar2.jpg</v>
      </c>
      <c r="D7489" t="s">
        <v>16</v>
      </c>
      <c r="G7489" t="s">
        <v>96</v>
      </c>
      <c r="H7489" t="s">
        <v>18</v>
      </c>
      <c r="J7489" t="s">
        <v>46</v>
      </c>
      <c r="L7489" t="s">
        <v>727</v>
      </c>
      <c r="M7489" t="s">
        <v>1319</v>
      </c>
      <c r="N7489" t="s">
        <v>1320</v>
      </c>
      <c r="O7489" t="s">
        <v>73</v>
      </c>
      <c r="P7489" t="s">
        <v>1268</v>
      </c>
      <c r="Q7489" t="s">
        <v>1269</v>
      </c>
      <c r="R7489" t="s">
        <v>1321</v>
      </c>
    </row>
    <row r="7490" spans="1:18" x14ac:dyDescent="0.25">
      <c r="A7490" t="s">
        <v>22577</v>
      </c>
      <c r="B7490" t="s">
        <v>1323</v>
      </c>
      <c r="C7490" t="str">
        <f>HYPERLINK("https://nematode.unl.edu/mylopar3.jpg")</f>
        <v>https://nematode.unl.edu/mylopar3.jpg</v>
      </c>
      <c r="D7490" t="s">
        <v>16</v>
      </c>
      <c r="G7490" t="s">
        <v>34</v>
      </c>
      <c r="H7490" t="s">
        <v>18</v>
      </c>
      <c r="J7490" t="s">
        <v>46</v>
      </c>
      <c r="L7490" t="s">
        <v>727</v>
      </c>
      <c r="M7490" t="s">
        <v>1319</v>
      </c>
      <c r="N7490" t="s">
        <v>1320</v>
      </c>
      <c r="O7490" t="s">
        <v>73</v>
      </c>
      <c r="P7490" t="s">
        <v>1268</v>
      </c>
      <c r="Q7490" t="s">
        <v>1269</v>
      </c>
      <c r="R7490" t="s">
        <v>1321</v>
      </c>
    </row>
    <row r="7491" spans="1:18" x14ac:dyDescent="0.25">
      <c r="A7491" t="s">
        <v>22602</v>
      </c>
      <c r="B7491" t="s">
        <v>1324</v>
      </c>
      <c r="C7491" t="str">
        <f>HYPERLINK("https://nematode.unl.edu/mylopar4.jpg")</f>
        <v>https://nematode.unl.edu/mylopar4.jpg</v>
      </c>
      <c r="D7491" t="s">
        <v>16</v>
      </c>
      <c r="G7491" t="s">
        <v>28</v>
      </c>
      <c r="I7491" t="s">
        <v>19</v>
      </c>
      <c r="J7491" t="s">
        <v>46</v>
      </c>
      <c r="L7491" t="s">
        <v>727</v>
      </c>
      <c r="M7491" t="s">
        <v>1319</v>
      </c>
      <c r="N7491" t="s">
        <v>1320</v>
      </c>
      <c r="O7491" t="s">
        <v>73</v>
      </c>
      <c r="P7491" t="s">
        <v>1268</v>
      </c>
      <c r="Q7491" t="s">
        <v>1269</v>
      </c>
      <c r="R7491" t="s">
        <v>1321</v>
      </c>
    </row>
    <row r="7492" spans="1:18" x14ac:dyDescent="0.25">
      <c r="A7492" t="s">
        <v>22594</v>
      </c>
      <c r="B7492" t="s">
        <v>1325</v>
      </c>
      <c r="C7492" t="str">
        <f>HYPERLINK("https://nematode.unl.edu/mylopar5.jpg")</f>
        <v>https://nematode.unl.edu/mylopar5.jpg</v>
      </c>
      <c r="D7492" t="s">
        <v>43</v>
      </c>
      <c r="G7492" t="s">
        <v>44</v>
      </c>
      <c r="I7492" t="s">
        <v>45</v>
      </c>
      <c r="J7492" t="s">
        <v>46</v>
      </c>
      <c r="L7492" t="s">
        <v>105</v>
      </c>
      <c r="M7492" t="s">
        <v>1319</v>
      </c>
      <c r="N7492" t="s">
        <v>1320</v>
      </c>
      <c r="O7492" t="s">
        <v>73</v>
      </c>
      <c r="P7492" t="s">
        <v>1268</v>
      </c>
      <c r="Q7492" t="s">
        <v>1269</v>
      </c>
      <c r="R7492" t="s">
        <v>1321</v>
      </c>
    </row>
    <row r="7493" spans="1:18" x14ac:dyDescent="0.25">
      <c r="A7493" t="s">
        <v>22578</v>
      </c>
      <c r="B7493" t="s">
        <v>1326</v>
      </c>
      <c r="C7493" t="str">
        <f>HYPERLINK("https://nematode.unl.edu/mylopar6.jpg")</f>
        <v>https://nematode.unl.edu/mylopar6.jpg</v>
      </c>
      <c r="D7493" t="s">
        <v>43</v>
      </c>
      <c r="G7493" t="s">
        <v>34</v>
      </c>
      <c r="H7493" t="s">
        <v>18</v>
      </c>
      <c r="I7493" t="s">
        <v>19</v>
      </c>
      <c r="J7493" t="s">
        <v>46</v>
      </c>
      <c r="M7493" t="s">
        <v>1319</v>
      </c>
      <c r="N7493" t="s">
        <v>1320</v>
      </c>
      <c r="O7493" t="s">
        <v>73</v>
      </c>
      <c r="P7493" t="s">
        <v>1268</v>
      </c>
      <c r="Q7493" t="s">
        <v>1269</v>
      </c>
      <c r="R7493" t="s">
        <v>1321</v>
      </c>
    </row>
    <row r="7494" spans="1:18" x14ac:dyDescent="0.25">
      <c r="A7494" t="s">
        <v>22576</v>
      </c>
      <c r="B7494" t="s">
        <v>1327</v>
      </c>
      <c r="C7494" t="str">
        <f>HYPERLINK("https://nematode.unl.edu/mylopar7.jpg")</f>
        <v>https://nematode.unl.edu/mylopar7.jpg</v>
      </c>
      <c r="D7494" t="s">
        <v>43</v>
      </c>
      <c r="G7494" t="s">
        <v>17</v>
      </c>
      <c r="H7494" t="s">
        <v>18</v>
      </c>
      <c r="I7494" t="s">
        <v>19</v>
      </c>
      <c r="J7494" t="s">
        <v>46</v>
      </c>
      <c r="L7494" t="s">
        <v>105</v>
      </c>
      <c r="M7494" t="s">
        <v>1319</v>
      </c>
      <c r="N7494" t="s">
        <v>1320</v>
      </c>
      <c r="O7494" t="s">
        <v>73</v>
      </c>
      <c r="P7494" t="s">
        <v>1268</v>
      </c>
      <c r="Q7494" t="s">
        <v>1269</v>
      </c>
      <c r="R7494" t="s">
        <v>1321</v>
      </c>
    </row>
    <row r="7495" spans="1:18" x14ac:dyDescent="0.25">
      <c r="A7495" t="s">
        <v>22603</v>
      </c>
      <c r="B7495" t="s">
        <v>1328</v>
      </c>
      <c r="C7495" t="str">
        <f>HYPERLINK("https://nematode.unl.edu/mylopar8.jpg")</f>
        <v>https://nematode.unl.edu/mylopar8.jpg</v>
      </c>
      <c r="D7495" t="s">
        <v>43</v>
      </c>
      <c r="G7495" t="s">
        <v>28</v>
      </c>
      <c r="I7495" t="s">
        <v>19</v>
      </c>
      <c r="J7495" t="s">
        <v>46</v>
      </c>
      <c r="L7495" t="s">
        <v>105</v>
      </c>
      <c r="M7495" t="s">
        <v>1319</v>
      </c>
      <c r="N7495" t="s">
        <v>1320</v>
      </c>
      <c r="O7495" t="s">
        <v>73</v>
      </c>
      <c r="P7495" t="s">
        <v>1268</v>
      </c>
      <c r="Q7495" t="s">
        <v>1269</v>
      </c>
      <c r="R7495" t="s">
        <v>1321</v>
      </c>
    </row>
    <row r="7496" spans="1:18" x14ac:dyDescent="0.25">
      <c r="A7496" t="s">
        <v>22562</v>
      </c>
      <c r="B7496" t="s">
        <v>9176</v>
      </c>
      <c r="C7496" t="str">
        <f>HYPERLINK("https://nematode.unl.edu/mylust1.jpg")</f>
        <v>https://nematode.unl.edu/mylust1.jpg</v>
      </c>
      <c r="D7496" t="s">
        <v>43</v>
      </c>
      <c r="G7496" t="s">
        <v>44</v>
      </c>
      <c r="I7496" t="s">
        <v>91</v>
      </c>
      <c r="J7496" t="s">
        <v>116</v>
      </c>
      <c r="L7496" t="s">
        <v>85</v>
      </c>
      <c r="M7496" t="s">
        <v>9158</v>
      </c>
      <c r="N7496" t="s">
        <v>9158</v>
      </c>
      <c r="O7496" t="s">
        <v>73</v>
      </c>
      <c r="P7496" t="s">
        <v>1268</v>
      </c>
      <c r="Q7496" t="s">
        <v>1269</v>
      </c>
      <c r="R7496" t="s">
        <v>1321</v>
      </c>
    </row>
    <row r="7497" spans="1:18" x14ac:dyDescent="0.25">
      <c r="A7497" t="s">
        <v>22558</v>
      </c>
      <c r="B7497" t="s">
        <v>9177</v>
      </c>
      <c r="C7497" t="str">
        <f>HYPERLINK("https://nematode.unl.edu/mylust2.jpg")</f>
        <v>https://nematode.unl.edu/mylust2.jpg</v>
      </c>
      <c r="D7497" t="s">
        <v>43</v>
      </c>
      <c r="G7497" t="s">
        <v>34</v>
      </c>
      <c r="H7497" t="s">
        <v>18</v>
      </c>
      <c r="L7497" t="s">
        <v>85</v>
      </c>
      <c r="M7497" t="s">
        <v>9158</v>
      </c>
      <c r="N7497" t="s">
        <v>9158</v>
      </c>
      <c r="O7497" t="s">
        <v>73</v>
      </c>
      <c r="P7497" t="s">
        <v>1268</v>
      </c>
      <c r="Q7497" t="s">
        <v>1269</v>
      </c>
      <c r="R7497" t="s">
        <v>1321</v>
      </c>
    </row>
    <row r="7498" spans="1:18" x14ac:dyDescent="0.25">
      <c r="A7498" t="s">
        <v>22574</v>
      </c>
      <c r="B7498" t="s">
        <v>9178</v>
      </c>
      <c r="C7498" t="str">
        <f>HYPERLINK("https://nematode.unl.edu/mylust3.jpg")</f>
        <v>https://nematode.unl.edu/mylust3.jpg</v>
      </c>
      <c r="D7498" t="s">
        <v>43</v>
      </c>
      <c r="G7498" t="s">
        <v>51</v>
      </c>
      <c r="I7498" t="s">
        <v>19</v>
      </c>
      <c r="L7498" t="s">
        <v>85</v>
      </c>
      <c r="M7498" t="s">
        <v>9158</v>
      </c>
      <c r="N7498" t="s">
        <v>9158</v>
      </c>
      <c r="O7498" t="s">
        <v>73</v>
      </c>
      <c r="P7498" t="s">
        <v>1268</v>
      </c>
      <c r="Q7498" t="s">
        <v>1269</v>
      </c>
      <c r="R7498" t="s">
        <v>1321</v>
      </c>
    </row>
    <row r="7499" spans="1:18" x14ac:dyDescent="0.25">
      <c r="A7499" t="s">
        <v>22571</v>
      </c>
      <c r="B7499" t="s">
        <v>9179</v>
      </c>
      <c r="C7499" t="str">
        <f>HYPERLINK("https://nematode.unl.edu/mylust4.jpg")</f>
        <v>https://nematode.unl.edu/mylust4.jpg</v>
      </c>
      <c r="D7499" t="s">
        <v>77</v>
      </c>
      <c r="G7499" t="s">
        <v>28</v>
      </c>
      <c r="L7499" t="s">
        <v>85</v>
      </c>
      <c r="M7499" t="s">
        <v>9158</v>
      </c>
      <c r="N7499" t="s">
        <v>9158</v>
      </c>
      <c r="O7499" t="s">
        <v>73</v>
      </c>
      <c r="P7499" t="s">
        <v>1268</v>
      </c>
      <c r="Q7499" t="s">
        <v>1269</v>
      </c>
      <c r="R7499" t="s">
        <v>1321</v>
      </c>
    </row>
    <row r="7500" spans="1:18" x14ac:dyDescent="0.25">
      <c r="A7500" t="s">
        <v>22491</v>
      </c>
      <c r="B7500" t="s">
        <v>1282</v>
      </c>
      <c r="C7500" t="str">
        <f>HYPERLINK("https://nematode.unl.edu/mymont1.jpg")</f>
        <v>https://nematode.unl.edu/mymont1.jpg</v>
      </c>
      <c r="D7500" t="s">
        <v>43</v>
      </c>
      <c r="G7500" t="s">
        <v>44</v>
      </c>
      <c r="I7500" t="s">
        <v>91</v>
      </c>
      <c r="J7500" t="s">
        <v>20</v>
      </c>
      <c r="L7500" t="s">
        <v>85</v>
      </c>
      <c r="M7500" t="s">
        <v>1266</v>
      </c>
      <c r="N7500" t="s">
        <v>1267</v>
      </c>
      <c r="O7500" t="s">
        <v>73</v>
      </c>
      <c r="P7500" t="s">
        <v>1268</v>
      </c>
      <c r="Q7500" t="s">
        <v>1269</v>
      </c>
      <c r="R7500" t="s">
        <v>1270</v>
      </c>
    </row>
    <row r="7501" spans="1:18" x14ac:dyDescent="0.25">
      <c r="A7501" t="s">
        <v>22468</v>
      </c>
      <c r="B7501" t="s">
        <v>1283</v>
      </c>
      <c r="C7501" t="str">
        <f>HYPERLINK("https://nematode.unl.edu/mymont2.jpg")</f>
        <v>https://nematode.unl.edu/mymont2.jpg</v>
      </c>
      <c r="D7501" t="s">
        <v>43</v>
      </c>
      <c r="G7501" t="s">
        <v>34</v>
      </c>
      <c r="H7501" t="s">
        <v>18</v>
      </c>
      <c r="J7501" t="s">
        <v>20</v>
      </c>
      <c r="M7501" t="s">
        <v>1266</v>
      </c>
      <c r="N7501" t="s">
        <v>1267</v>
      </c>
      <c r="O7501" t="s">
        <v>73</v>
      </c>
      <c r="P7501" t="s">
        <v>1268</v>
      </c>
      <c r="Q7501" t="s">
        <v>1269</v>
      </c>
      <c r="R7501" t="s">
        <v>1270</v>
      </c>
    </row>
    <row r="7502" spans="1:18" x14ac:dyDescent="0.25">
      <c r="A7502" t="s">
        <v>22503</v>
      </c>
      <c r="B7502" t="s">
        <v>1284</v>
      </c>
      <c r="C7502" t="str">
        <f>HYPERLINK("https://nematode.unl.edu/mymont3.jpg")</f>
        <v>https://nematode.unl.edu/mymont3.jpg</v>
      </c>
      <c r="D7502" t="s">
        <v>43</v>
      </c>
      <c r="G7502" t="s">
        <v>51</v>
      </c>
      <c r="L7502" t="s">
        <v>85</v>
      </c>
      <c r="M7502" t="s">
        <v>1266</v>
      </c>
      <c r="N7502" t="s">
        <v>1267</v>
      </c>
      <c r="O7502" t="s">
        <v>73</v>
      </c>
      <c r="P7502" t="s">
        <v>1268</v>
      </c>
      <c r="Q7502" t="s">
        <v>1269</v>
      </c>
      <c r="R7502" t="s">
        <v>1270</v>
      </c>
    </row>
    <row r="7503" spans="1:18" x14ac:dyDescent="0.25">
      <c r="A7503" t="s">
        <v>22497</v>
      </c>
      <c r="B7503" t="s">
        <v>1285</v>
      </c>
      <c r="C7503" t="str">
        <f>HYPERLINK("https://nematode.unl.edu/mymont4.jpg")</f>
        <v>https://nematode.unl.edu/mymont4.jpg</v>
      </c>
      <c r="D7503" t="s">
        <v>43</v>
      </c>
      <c r="G7503" t="s">
        <v>28</v>
      </c>
      <c r="M7503" t="s">
        <v>1266</v>
      </c>
      <c r="N7503" t="s">
        <v>1267</v>
      </c>
      <c r="O7503" t="s">
        <v>73</v>
      </c>
      <c r="P7503" t="s">
        <v>1268</v>
      </c>
      <c r="Q7503" t="s">
        <v>1269</v>
      </c>
      <c r="R7503" t="s">
        <v>1270</v>
      </c>
    </row>
    <row r="7504" spans="1:18" x14ac:dyDescent="0.25">
      <c r="A7504" t="s">
        <v>22477</v>
      </c>
      <c r="B7504" t="s">
        <v>1286</v>
      </c>
      <c r="C7504" t="str">
        <f>HYPERLINK("https://nematode.unl.edu/mymont5.jpg")</f>
        <v>https://nematode.unl.edu/mymont5.jpg</v>
      </c>
      <c r="D7504" t="s">
        <v>43</v>
      </c>
      <c r="G7504" t="s">
        <v>905</v>
      </c>
      <c r="I7504" t="s">
        <v>41</v>
      </c>
      <c r="M7504" t="s">
        <v>1266</v>
      </c>
      <c r="N7504" t="s">
        <v>1267</v>
      </c>
      <c r="O7504" t="s">
        <v>73</v>
      </c>
      <c r="P7504" t="s">
        <v>1268</v>
      </c>
      <c r="Q7504" t="s">
        <v>1269</v>
      </c>
      <c r="R7504" t="s">
        <v>1270</v>
      </c>
    </row>
    <row r="7505" spans="1:18" x14ac:dyDescent="0.25">
      <c r="A7505" t="s">
        <v>22469</v>
      </c>
      <c r="B7505" t="s">
        <v>1287</v>
      </c>
      <c r="C7505" t="str">
        <f>HYPERLINK("https://nematode.unl.edu/mymont6.jpg")</f>
        <v>https://nematode.unl.edu/mymont6.jpg</v>
      </c>
      <c r="D7505" t="s">
        <v>43</v>
      </c>
      <c r="G7505" t="s">
        <v>34</v>
      </c>
      <c r="H7505" t="s">
        <v>18</v>
      </c>
      <c r="I7505" t="s">
        <v>41</v>
      </c>
      <c r="M7505" t="s">
        <v>1266</v>
      </c>
      <c r="N7505" t="s">
        <v>1267</v>
      </c>
      <c r="O7505" t="s">
        <v>73</v>
      </c>
      <c r="P7505" t="s">
        <v>1268</v>
      </c>
      <c r="Q7505" t="s">
        <v>1269</v>
      </c>
      <c r="R7505" t="s">
        <v>1270</v>
      </c>
    </row>
    <row r="7506" spans="1:18" x14ac:dyDescent="0.25">
      <c r="A7506" t="s">
        <v>22498</v>
      </c>
      <c r="B7506" t="s">
        <v>1288</v>
      </c>
      <c r="C7506" t="str">
        <f>HYPERLINK("https://nematode.unl.edu/mymont7.jpg")</f>
        <v>https://nematode.unl.edu/mymont7.jpg</v>
      </c>
      <c r="D7506" t="s">
        <v>43</v>
      </c>
      <c r="G7506" t="s">
        <v>28</v>
      </c>
      <c r="I7506" t="s">
        <v>41</v>
      </c>
      <c r="J7506" t="s">
        <v>20</v>
      </c>
      <c r="M7506" t="s">
        <v>1266</v>
      </c>
      <c r="N7506" t="s">
        <v>1267</v>
      </c>
      <c r="O7506" t="s">
        <v>73</v>
      </c>
      <c r="P7506" t="s">
        <v>1268</v>
      </c>
      <c r="Q7506" t="s">
        <v>1269</v>
      </c>
      <c r="R7506" t="s">
        <v>1270</v>
      </c>
    </row>
    <row r="7507" spans="1:18" x14ac:dyDescent="0.25">
      <c r="A7507" t="s">
        <v>22478</v>
      </c>
      <c r="B7507" t="s">
        <v>1289</v>
      </c>
      <c r="C7507" t="str">
        <f>HYPERLINK("https://nematode.unl.edu/mymonta1.jpg")</f>
        <v>https://nematode.unl.edu/mymonta1.jpg</v>
      </c>
      <c r="D7507" t="s">
        <v>43</v>
      </c>
      <c r="G7507" t="s">
        <v>905</v>
      </c>
      <c r="I7507" t="s">
        <v>45</v>
      </c>
      <c r="M7507" t="s">
        <v>1266</v>
      </c>
      <c r="N7507" t="s">
        <v>1267</v>
      </c>
      <c r="O7507" t="s">
        <v>73</v>
      </c>
      <c r="P7507" t="s">
        <v>1268</v>
      </c>
      <c r="Q7507" t="s">
        <v>1269</v>
      </c>
      <c r="R7507" t="s">
        <v>1270</v>
      </c>
    </row>
    <row r="7508" spans="1:18" x14ac:dyDescent="0.25">
      <c r="A7508" t="s">
        <v>22499</v>
      </c>
      <c r="B7508" t="s">
        <v>1290</v>
      </c>
      <c r="C7508" t="str">
        <f>HYPERLINK("https://nematode.unl.edu/mymonta10.jpg")</f>
        <v>https://nematode.unl.edu/mymonta10.jpg</v>
      </c>
      <c r="D7508" t="s">
        <v>43</v>
      </c>
      <c r="G7508" t="s">
        <v>28</v>
      </c>
      <c r="M7508" t="s">
        <v>1266</v>
      </c>
      <c r="N7508" t="s">
        <v>1267</v>
      </c>
      <c r="O7508" t="s">
        <v>73</v>
      </c>
      <c r="P7508" t="s">
        <v>1268</v>
      </c>
      <c r="Q7508" t="s">
        <v>1269</v>
      </c>
      <c r="R7508" t="s">
        <v>1270</v>
      </c>
    </row>
    <row r="7509" spans="1:18" x14ac:dyDescent="0.25">
      <c r="A7509" t="s">
        <v>22470</v>
      </c>
      <c r="B7509" t="s">
        <v>1291</v>
      </c>
      <c r="C7509" t="str">
        <f>HYPERLINK("https://nematode.unl.edu/mymonta11.jpg")</f>
        <v>https://nematode.unl.edu/mymonta11.jpg</v>
      </c>
      <c r="D7509" t="s">
        <v>77</v>
      </c>
      <c r="G7509" t="s">
        <v>34</v>
      </c>
      <c r="H7509" t="s">
        <v>18</v>
      </c>
      <c r="I7509" t="s">
        <v>41</v>
      </c>
      <c r="J7509" t="s">
        <v>1292</v>
      </c>
      <c r="M7509" t="s">
        <v>1266</v>
      </c>
      <c r="N7509" t="s">
        <v>1267</v>
      </c>
      <c r="O7509" t="s">
        <v>73</v>
      </c>
      <c r="P7509" t="s">
        <v>1268</v>
      </c>
      <c r="Q7509" t="s">
        <v>1269</v>
      </c>
      <c r="R7509" t="s">
        <v>1270</v>
      </c>
    </row>
    <row r="7510" spans="1:18" x14ac:dyDescent="0.25">
      <c r="A7510" t="s">
        <v>22500</v>
      </c>
      <c r="B7510" t="s">
        <v>1293</v>
      </c>
      <c r="C7510" t="str">
        <f>HYPERLINK("https://nematode.unl.edu/mymonta12.jpg")</f>
        <v>https://nematode.unl.edu/mymonta12.jpg</v>
      </c>
      <c r="D7510" t="s">
        <v>77</v>
      </c>
      <c r="G7510" t="s">
        <v>28</v>
      </c>
      <c r="I7510" t="s">
        <v>41</v>
      </c>
      <c r="J7510" t="s">
        <v>1292</v>
      </c>
      <c r="M7510" t="s">
        <v>1266</v>
      </c>
      <c r="N7510" t="s">
        <v>1267</v>
      </c>
      <c r="O7510" t="s">
        <v>73</v>
      </c>
      <c r="P7510" t="s">
        <v>1268</v>
      </c>
      <c r="Q7510" t="s">
        <v>1269</v>
      </c>
      <c r="R7510" t="s">
        <v>1270</v>
      </c>
    </row>
    <row r="7511" spans="1:18" x14ac:dyDescent="0.25">
      <c r="A7511" t="s">
        <v>22492</v>
      </c>
      <c r="B7511" t="s">
        <v>1294</v>
      </c>
      <c r="C7511" t="str">
        <f>HYPERLINK("https://nematode.unl.edu/mymonta13.jpg")</f>
        <v>https://nematode.unl.edu/mymonta13.jpg</v>
      </c>
      <c r="D7511" t="s">
        <v>43</v>
      </c>
      <c r="G7511" t="s">
        <v>1295</v>
      </c>
      <c r="I7511" t="s">
        <v>529</v>
      </c>
      <c r="J7511" t="s">
        <v>1296</v>
      </c>
      <c r="L7511" t="s">
        <v>1297</v>
      </c>
      <c r="M7511" t="s">
        <v>1266</v>
      </c>
      <c r="N7511" t="s">
        <v>1267</v>
      </c>
      <c r="O7511" t="s">
        <v>73</v>
      </c>
      <c r="P7511" t="s">
        <v>1268</v>
      </c>
      <c r="Q7511" t="s">
        <v>1269</v>
      </c>
      <c r="R7511" t="s">
        <v>1270</v>
      </c>
    </row>
    <row r="7512" spans="1:18" x14ac:dyDescent="0.25">
      <c r="A7512" t="s">
        <v>22501</v>
      </c>
      <c r="B7512" t="s">
        <v>1298</v>
      </c>
      <c r="C7512" t="str">
        <f>HYPERLINK("https://nematode.unl.edu/mymonta14.jpg")</f>
        <v>https://nematode.unl.edu/mymonta14.jpg</v>
      </c>
      <c r="D7512" t="s">
        <v>43</v>
      </c>
      <c r="G7512" t="s">
        <v>28</v>
      </c>
      <c r="I7512" t="s">
        <v>41</v>
      </c>
      <c r="M7512" t="s">
        <v>1266</v>
      </c>
      <c r="N7512" t="s">
        <v>1267</v>
      </c>
      <c r="O7512" t="s">
        <v>73</v>
      </c>
      <c r="P7512" t="s">
        <v>1268</v>
      </c>
      <c r="Q7512" t="s">
        <v>1269</v>
      </c>
      <c r="R7512" t="s">
        <v>1270</v>
      </c>
    </row>
    <row r="7513" spans="1:18" x14ac:dyDescent="0.25">
      <c r="A7513" t="s">
        <v>22479</v>
      </c>
      <c r="B7513" t="s">
        <v>1299</v>
      </c>
      <c r="C7513" t="str">
        <f>HYPERLINK("https://nematode.unl.edu/mymonta15.jpg")</f>
        <v>https://nematode.unl.edu/mymonta15.jpg</v>
      </c>
      <c r="D7513" t="s">
        <v>43</v>
      </c>
      <c r="G7513" t="s">
        <v>905</v>
      </c>
      <c r="I7513" t="s">
        <v>529</v>
      </c>
      <c r="J7513" t="s">
        <v>1296</v>
      </c>
      <c r="L7513" t="s">
        <v>1297</v>
      </c>
      <c r="M7513" t="s">
        <v>1266</v>
      </c>
      <c r="N7513" t="s">
        <v>1267</v>
      </c>
      <c r="O7513" t="s">
        <v>73</v>
      </c>
      <c r="P7513" t="s">
        <v>1268</v>
      </c>
      <c r="Q7513" t="s">
        <v>1269</v>
      </c>
      <c r="R7513" t="s">
        <v>1270</v>
      </c>
    </row>
    <row r="7514" spans="1:18" x14ac:dyDescent="0.25">
      <c r="A7514" t="s">
        <v>22471</v>
      </c>
      <c r="B7514" t="s">
        <v>1300</v>
      </c>
      <c r="C7514" t="str">
        <f>HYPERLINK("https://nematode.unl.edu/mymonta2.jpg")</f>
        <v>https://nematode.unl.edu/mymonta2.jpg</v>
      </c>
      <c r="D7514" t="s">
        <v>43</v>
      </c>
      <c r="G7514" t="s">
        <v>34</v>
      </c>
      <c r="H7514" t="s">
        <v>18</v>
      </c>
      <c r="I7514" t="s">
        <v>19</v>
      </c>
      <c r="J7514" t="s">
        <v>1292</v>
      </c>
      <c r="M7514" t="s">
        <v>1266</v>
      </c>
      <c r="N7514" t="s">
        <v>1267</v>
      </c>
      <c r="O7514" t="s">
        <v>73</v>
      </c>
      <c r="P7514" t="s">
        <v>1268</v>
      </c>
      <c r="Q7514" t="s">
        <v>1269</v>
      </c>
      <c r="R7514" t="s">
        <v>1270</v>
      </c>
    </row>
    <row r="7515" spans="1:18" x14ac:dyDescent="0.25">
      <c r="A7515" t="s">
        <v>22463</v>
      </c>
      <c r="B7515" t="s">
        <v>1301</v>
      </c>
      <c r="C7515" t="str">
        <f>HYPERLINK("https://nematode.unl.edu/mymonta3.jpg")</f>
        <v>https://nematode.unl.edu/mymonta3.jpg</v>
      </c>
      <c r="D7515" t="s">
        <v>43</v>
      </c>
      <c r="G7515" t="s">
        <v>17</v>
      </c>
      <c r="H7515" t="s">
        <v>18</v>
      </c>
      <c r="I7515" t="s">
        <v>19</v>
      </c>
      <c r="M7515" t="s">
        <v>1266</v>
      </c>
      <c r="N7515" t="s">
        <v>1267</v>
      </c>
      <c r="O7515" t="s">
        <v>73</v>
      </c>
      <c r="P7515" t="s">
        <v>1268</v>
      </c>
      <c r="Q7515" t="s">
        <v>1269</v>
      </c>
      <c r="R7515" t="s">
        <v>1270</v>
      </c>
    </row>
    <row r="7516" spans="1:18" x14ac:dyDescent="0.25">
      <c r="A7516" t="s">
        <v>22504</v>
      </c>
      <c r="B7516" t="s">
        <v>1302</v>
      </c>
      <c r="C7516" t="str">
        <f>HYPERLINK("https://nematode.unl.edu/mymonta4.jpg")</f>
        <v>https://nematode.unl.edu/mymonta4.jpg</v>
      </c>
      <c r="D7516" t="s">
        <v>43</v>
      </c>
      <c r="G7516" t="s">
        <v>51</v>
      </c>
      <c r="I7516" t="s">
        <v>19</v>
      </c>
      <c r="M7516" t="s">
        <v>1266</v>
      </c>
      <c r="N7516" t="s">
        <v>1267</v>
      </c>
      <c r="O7516" t="s">
        <v>73</v>
      </c>
      <c r="P7516" t="s">
        <v>1268</v>
      </c>
      <c r="Q7516" t="s">
        <v>1269</v>
      </c>
      <c r="R7516" t="s">
        <v>1270</v>
      </c>
    </row>
    <row r="7517" spans="1:18" x14ac:dyDescent="0.25">
      <c r="A7517" t="s">
        <v>22502</v>
      </c>
      <c r="B7517" t="s">
        <v>1303</v>
      </c>
      <c r="C7517" t="str">
        <f>HYPERLINK("https://nematode.unl.edu/mymonta5.jpg")</f>
        <v>https://nematode.unl.edu/mymonta5.jpg</v>
      </c>
      <c r="D7517" t="s">
        <v>43</v>
      </c>
      <c r="G7517" t="s">
        <v>28</v>
      </c>
      <c r="M7517" t="s">
        <v>1266</v>
      </c>
      <c r="N7517" t="s">
        <v>1267</v>
      </c>
      <c r="O7517" t="s">
        <v>73</v>
      </c>
      <c r="P7517" t="s">
        <v>1268</v>
      </c>
      <c r="Q7517" t="s">
        <v>1269</v>
      </c>
      <c r="R7517" t="s">
        <v>1270</v>
      </c>
    </row>
    <row r="7518" spans="1:18" x14ac:dyDescent="0.25">
      <c r="A7518" t="s">
        <v>22472</v>
      </c>
      <c r="B7518" t="s">
        <v>1304</v>
      </c>
      <c r="C7518" t="str">
        <f>HYPERLINK("https://nematode.unl.edu/mymonta6.jpg")</f>
        <v>https://nematode.unl.edu/mymonta6.jpg</v>
      </c>
      <c r="D7518" t="s">
        <v>43</v>
      </c>
      <c r="G7518" t="s">
        <v>34</v>
      </c>
      <c r="H7518" t="s">
        <v>18</v>
      </c>
      <c r="I7518" t="s">
        <v>529</v>
      </c>
      <c r="J7518" t="s">
        <v>1296</v>
      </c>
      <c r="M7518" t="s">
        <v>1266</v>
      </c>
      <c r="N7518" t="s">
        <v>1267</v>
      </c>
      <c r="O7518" t="s">
        <v>73</v>
      </c>
      <c r="P7518" t="s">
        <v>1268</v>
      </c>
      <c r="Q7518" t="s">
        <v>1269</v>
      </c>
      <c r="R7518" t="s">
        <v>1270</v>
      </c>
    </row>
    <row r="7519" spans="1:18" x14ac:dyDescent="0.25">
      <c r="A7519" t="s">
        <v>22505</v>
      </c>
      <c r="B7519" t="s">
        <v>1305</v>
      </c>
      <c r="C7519" t="str">
        <f>HYPERLINK("https://nematode.unl.edu/mymonta7.jpg")</f>
        <v>https://nematode.unl.edu/mymonta7.jpg</v>
      </c>
      <c r="D7519" t="s">
        <v>43</v>
      </c>
      <c r="G7519" t="s">
        <v>51</v>
      </c>
      <c r="I7519" t="s">
        <v>41</v>
      </c>
      <c r="M7519" t="s">
        <v>1266</v>
      </c>
      <c r="N7519" t="s">
        <v>1267</v>
      </c>
      <c r="O7519" t="s">
        <v>73</v>
      </c>
      <c r="P7519" t="s">
        <v>1268</v>
      </c>
      <c r="Q7519" t="s">
        <v>1269</v>
      </c>
      <c r="R7519" t="s">
        <v>1270</v>
      </c>
    </row>
    <row r="7520" spans="1:18" x14ac:dyDescent="0.25">
      <c r="A7520" t="s">
        <v>22473</v>
      </c>
      <c r="B7520" t="s">
        <v>1306</v>
      </c>
      <c r="C7520" t="str">
        <f>HYPERLINK("https://nematode.unl.edu/mymonta8.jpg")</f>
        <v>https://nematode.unl.edu/mymonta8.jpg</v>
      </c>
      <c r="D7520" t="s">
        <v>43</v>
      </c>
      <c r="G7520" t="s">
        <v>34</v>
      </c>
      <c r="H7520" t="s">
        <v>18</v>
      </c>
      <c r="I7520" t="s">
        <v>19</v>
      </c>
      <c r="J7520" t="s">
        <v>1292</v>
      </c>
      <c r="M7520" t="s">
        <v>1266</v>
      </c>
      <c r="N7520" t="s">
        <v>1267</v>
      </c>
      <c r="O7520" t="s">
        <v>73</v>
      </c>
      <c r="P7520" t="s">
        <v>1268</v>
      </c>
      <c r="Q7520" t="s">
        <v>1269</v>
      </c>
      <c r="R7520" t="s">
        <v>1270</v>
      </c>
    </row>
    <row r="7521" spans="1:18" x14ac:dyDescent="0.25">
      <c r="A7521" t="s">
        <v>22474</v>
      </c>
      <c r="B7521" t="s">
        <v>1307</v>
      </c>
      <c r="C7521" t="str">
        <f>HYPERLINK("https://nematode.unl.edu/mymonta9.jpg")</f>
        <v>https://nematode.unl.edu/mymonta9.jpg</v>
      </c>
      <c r="D7521" t="s">
        <v>43</v>
      </c>
      <c r="G7521" t="s">
        <v>34</v>
      </c>
      <c r="H7521" t="s">
        <v>18</v>
      </c>
      <c r="I7521" t="s">
        <v>19</v>
      </c>
      <c r="M7521" t="s">
        <v>1266</v>
      </c>
      <c r="N7521" t="s">
        <v>1267</v>
      </c>
      <c r="O7521" t="s">
        <v>73</v>
      </c>
      <c r="P7521" t="s">
        <v>1268</v>
      </c>
      <c r="Q7521" t="s">
        <v>1269</v>
      </c>
      <c r="R7521" t="s">
        <v>1270</v>
      </c>
    </row>
    <row r="7522" spans="1:18" x14ac:dyDescent="0.25">
      <c r="A7522" t="s">
        <v>22480</v>
      </c>
      <c r="B7522" t="s">
        <v>1308</v>
      </c>
      <c r="C7522" t="str">
        <f>HYPERLINK("https://nematode.unl.edu/mymontus1.jpg")</f>
        <v>https://nematode.unl.edu/mymontus1.jpg</v>
      </c>
      <c r="G7522" t="s">
        <v>905</v>
      </c>
      <c r="M7522" t="s">
        <v>1266</v>
      </c>
      <c r="N7522" t="s">
        <v>1267</v>
      </c>
      <c r="O7522" t="s">
        <v>73</v>
      </c>
      <c r="P7522" t="s">
        <v>1268</v>
      </c>
      <c r="Q7522" t="s">
        <v>1269</v>
      </c>
      <c r="R7522" t="s">
        <v>1270</v>
      </c>
    </row>
    <row r="7523" spans="1:18" x14ac:dyDescent="0.25">
      <c r="A7523" t="s">
        <v>22481</v>
      </c>
      <c r="B7523" t="s">
        <v>1309</v>
      </c>
      <c r="C7523" t="str">
        <f>HYPERLINK("https://nematode.unl.edu/mymontus10.jpg")</f>
        <v>https://nematode.unl.edu/mymontus10.jpg</v>
      </c>
      <c r="G7523" t="s">
        <v>905</v>
      </c>
      <c r="M7523" t="s">
        <v>1266</v>
      </c>
      <c r="N7523" t="s">
        <v>1267</v>
      </c>
      <c r="O7523" t="s">
        <v>73</v>
      </c>
      <c r="P7523" t="s">
        <v>1268</v>
      </c>
      <c r="Q7523" t="s">
        <v>1269</v>
      </c>
      <c r="R7523" t="s">
        <v>1270</v>
      </c>
    </row>
    <row r="7524" spans="1:18" x14ac:dyDescent="0.25">
      <c r="A7524" t="s">
        <v>22482</v>
      </c>
      <c r="B7524" t="s">
        <v>1310</v>
      </c>
      <c r="C7524" t="str">
        <f>HYPERLINK("https://nematode.unl.edu/mymontus2.jpg")</f>
        <v>https://nematode.unl.edu/mymontus2.jpg</v>
      </c>
      <c r="G7524" t="s">
        <v>905</v>
      </c>
      <c r="M7524" t="s">
        <v>1266</v>
      </c>
      <c r="N7524" t="s">
        <v>1267</v>
      </c>
      <c r="O7524" t="s">
        <v>73</v>
      </c>
      <c r="P7524" t="s">
        <v>1268</v>
      </c>
      <c r="Q7524" t="s">
        <v>1269</v>
      </c>
      <c r="R7524" t="s">
        <v>1270</v>
      </c>
    </row>
    <row r="7525" spans="1:18" x14ac:dyDescent="0.25">
      <c r="A7525" t="s">
        <v>22483</v>
      </c>
      <c r="B7525" t="s">
        <v>1311</v>
      </c>
      <c r="C7525" t="str">
        <f>HYPERLINK("https://nematode.unl.edu/mymontus3.jpg")</f>
        <v>https://nematode.unl.edu/mymontus3.jpg</v>
      </c>
      <c r="G7525" t="s">
        <v>905</v>
      </c>
      <c r="M7525" t="s">
        <v>1266</v>
      </c>
      <c r="N7525" t="s">
        <v>1267</v>
      </c>
      <c r="O7525" t="s">
        <v>73</v>
      </c>
      <c r="P7525" t="s">
        <v>1268</v>
      </c>
      <c r="Q7525" t="s">
        <v>1269</v>
      </c>
      <c r="R7525" t="s">
        <v>1270</v>
      </c>
    </row>
    <row r="7526" spans="1:18" x14ac:dyDescent="0.25">
      <c r="A7526" t="s">
        <v>22484</v>
      </c>
      <c r="B7526" t="s">
        <v>1312</v>
      </c>
      <c r="C7526" t="str">
        <f>HYPERLINK("https://nematode.unl.edu/mymontus4.jpg")</f>
        <v>https://nematode.unl.edu/mymontus4.jpg</v>
      </c>
      <c r="G7526" t="s">
        <v>905</v>
      </c>
      <c r="M7526" t="s">
        <v>1266</v>
      </c>
      <c r="N7526" t="s">
        <v>1267</v>
      </c>
      <c r="O7526" t="s">
        <v>73</v>
      </c>
      <c r="P7526" t="s">
        <v>1268</v>
      </c>
      <c r="Q7526" t="s">
        <v>1269</v>
      </c>
      <c r="R7526" t="s">
        <v>1270</v>
      </c>
    </row>
    <row r="7527" spans="1:18" x14ac:dyDescent="0.25">
      <c r="A7527" t="s">
        <v>22485</v>
      </c>
      <c r="B7527" t="s">
        <v>1313</v>
      </c>
      <c r="C7527" t="str">
        <f>HYPERLINK("https://nematode.unl.edu/mymontus5.jpg")</f>
        <v>https://nematode.unl.edu/mymontus5.jpg</v>
      </c>
      <c r="G7527" t="s">
        <v>905</v>
      </c>
      <c r="M7527" t="s">
        <v>1266</v>
      </c>
      <c r="N7527" t="s">
        <v>1267</v>
      </c>
      <c r="O7527" t="s">
        <v>73</v>
      </c>
      <c r="P7527" t="s">
        <v>1268</v>
      </c>
      <c r="Q7527" t="s">
        <v>1269</v>
      </c>
      <c r="R7527" t="s">
        <v>1270</v>
      </c>
    </row>
    <row r="7528" spans="1:18" x14ac:dyDescent="0.25">
      <c r="A7528" t="s">
        <v>22486</v>
      </c>
      <c r="B7528" t="s">
        <v>1314</v>
      </c>
      <c r="C7528" t="str">
        <f>HYPERLINK("https://nematode.unl.edu/mymontus6.jpg")</f>
        <v>https://nematode.unl.edu/mymontus6.jpg</v>
      </c>
      <c r="G7528" t="s">
        <v>905</v>
      </c>
      <c r="M7528" t="s">
        <v>1266</v>
      </c>
      <c r="N7528" t="s">
        <v>1267</v>
      </c>
      <c r="O7528" t="s">
        <v>73</v>
      </c>
      <c r="P7528" t="s">
        <v>1268</v>
      </c>
      <c r="Q7528" t="s">
        <v>1269</v>
      </c>
      <c r="R7528" t="s">
        <v>1270</v>
      </c>
    </row>
    <row r="7529" spans="1:18" x14ac:dyDescent="0.25">
      <c r="A7529" t="s">
        <v>22487</v>
      </c>
      <c r="B7529" t="s">
        <v>1315</v>
      </c>
      <c r="C7529" t="str">
        <f>HYPERLINK("https://nematode.unl.edu/mymontus7.jpg")</f>
        <v>https://nematode.unl.edu/mymontus7.jpg</v>
      </c>
      <c r="G7529" t="s">
        <v>905</v>
      </c>
      <c r="M7529" t="s">
        <v>1266</v>
      </c>
      <c r="N7529" t="s">
        <v>1267</v>
      </c>
      <c r="O7529" t="s">
        <v>73</v>
      </c>
      <c r="P7529" t="s">
        <v>1268</v>
      </c>
      <c r="Q7529" t="s">
        <v>1269</v>
      </c>
      <c r="R7529" t="s">
        <v>1270</v>
      </c>
    </row>
    <row r="7530" spans="1:18" x14ac:dyDescent="0.25">
      <c r="A7530" t="s">
        <v>22488</v>
      </c>
      <c r="B7530" t="s">
        <v>1316</v>
      </c>
      <c r="C7530" t="str">
        <f>HYPERLINK("https://nematode.unl.edu/mymontus8.jpg")</f>
        <v>https://nematode.unl.edu/mymontus8.jpg</v>
      </c>
      <c r="G7530" t="s">
        <v>905</v>
      </c>
      <c r="M7530" t="s">
        <v>1266</v>
      </c>
      <c r="N7530" t="s">
        <v>1267</v>
      </c>
      <c r="O7530" t="s">
        <v>73</v>
      </c>
      <c r="P7530" t="s">
        <v>1268</v>
      </c>
      <c r="Q7530" t="s">
        <v>1269</v>
      </c>
      <c r="R7530" t="s">
        <v>1270</v>
      </c>
    </row>
    <row r="7531" spans="1:18" x14ac:dyDescent="0.25">
      <c r="A7531" t="s">
        <v>22489</v>
      </c>
      <c r="B7531" t="s">
        <v>1317</v>
      </c>
      <c r="C7531" t="str">
        <f>HYPERLINK("https://nematode.unl.edu/mymontus9.jpg")</f>
        <v>https://nematode.unl.edu/mymontus9.jpg</v>
      </c>
      <c r="G7531" t="s">
        <v>905</v>
      </c>
      <c r="M7531" t="s">
        <v>1266</v>
      </c>
      <c r="N7531" t="s">
        <v>1267</v>
      </c>
      <c r="O7531" t="s">
        <v>73</v>
      </c>
      <c r="P7531" t="s">
        <v>1268</v>
      </c>
      <c r="Q7531" t="s">
        <v>1269</v>
      </c>
      <c r="R7531" t="s">
        <v>1270</v>
      </c>
    </row>
    <row r="7532" spans="1:18" x14ac:dyDescent="0.25">
      <c r="A7532" t="s">
        <v>22595</v>
      </c>
      <c r="B7532" t="s">
        <v>1329</v>
      </c>
      <c r="C7532" t="str">
        <f>HYPERLINK("https://nematode.unl.edu/myparab1.jpg")</f>
        <v>https://nematode.unl.edu/myparab1.jpg</v>
      </c>
      <c r="D7532" t="s">
        <v>43</v>
      </c>
      <c r="G7532" t="s">
        <v>44</v>
      </c>
      <c r="I7532" t="s">
        <v>1008</v>
      </c>
      <c r="J7532" t="s">
        <v>20</v>
      </c>
      <c r="L7532" t="s">
        <v>85</v>
      </c>
      <c r="M7532" t="s">
        <v>1319</v>
      </c>
      <c r="N7532" t="s">
        <v>1320</v>
      </c>
      <c r="O7532" t="s">
        <v>73</v>
      </c>
      <c r="P7532" t="s">
        <v>1268</v>
      </c>
      <c r="Q7532" t="s">
        <v>1269</v>
      </c>
      <c r="R7532" t="s">
        <v>1321</v>
      </c>
    </row>
    <row r="7533" spans="1:18" x14ac:dyDescent="0.25">
      <c r="A7533" t="s">
        <v>22579</v>
      </c>
      <c r="B7533" t="s">
        <v>1330</v>
      </c>
      <c r="C7533" t="str">
        <f>HYPERLINK("https://nematode.unl.edu/myparab10.jpg")</f>
        <v>https://nematode.unl.edu/myparab10.jpg</v>
      </c>
      <c r="D7533" t="s">
        <v>43</v>
      </c>
      <c r="G7533" t="s">
        <v>34</v>
      </c>
      <c r="H7533" t="s">
        <v>18</v>
      </c>
      <c r="I7533" t="s">
        <v>41</v>
      </c>
      <c r="J7533" t="s">
        <v>20</v>
      </c>
      <c r="L7533" t="s">
        <v>752</v>
      </c>
      <c r="M7533" t="s">
        <v>1319</v>
      </c>
      <c r="N7533" t="s">
        <v>1320</v>
      </c>
      <c r="O7533" t="s">
        <v>73</v>
      </c>
      <c r="P7533" t="s">
        <v>1268</v>
      </c>
      <c r="Q7533" t="s">
        <v>1269</v>
      </c>
      <c r="R7533" t="s">
        <v>1321</v>
      </c>
    </row>
    <row r="7534" spans="1:18" x14ac:dyDescent="0.25">
      <c r="A7534" t="s">
        <v>22596</v>
      </c>
      <c r="B7534" t="s">
        <v>1331</v>
      </c>
      <c r="C7534" t="str">
        <f>HYPERLINK("https://nematode.unl.edu/myparab11.jpg")</f>
        <v>https://nematode.unl.edu/myparab11.jpg</v>
      </c>
      <c r="D7534" t="s">
        <v>43</v>
      </c>
      <c r="G7534" t="s">
        <v>44</v>
      </c>
      <c r="I7534" t="s">
        <v>91</v>
      </c>
      <c r="J7534" t="s">
        <v>20</v>
      </c>
      <c r="L7534" t="s">
        <v>183</v>
      </c>
      <c r="M7534" t="s">
        <v>1319</v>
      </c>
      <c r="N7534" t="s">
        <v>1320</v>
      </c>
      <c r="O7534" t="s">
        <v>73</v>
      </c>
      <c r="P7534" t="s">
        <v>1268</v>
      </c>
      <c r="Q7534" t="s">
        <v>1269</v>
      </c>
      <c r="R7534" t="s">
        <v>1321</v>
      </c>
    </row>
    <row r="7535" spans="1:18" x14ac:dyDescent="0.25">
      <c r="A7535" t="s">
        <v>22601</v>
      </c>
      <c r="B7535" t="s">
        <v>1332</v>
      </c>
      <c r="C7535" t="str">
        <f>HYPERLINK("https://nematode.unl.edu/myparab12.jpg")</f>
        <v>https://nematode.unl.edu/myparab12.jpg</v>
      </c>
      <c r="D7535" t="s">
        <v>43</v>
      </c>
      <c r="G7535" t="s">
        <v>205</v>
      </c>
      <c r="I7535" t="s">
        <v>137</v>
      </c>
      <c r="J7535" t="s">
        <v>20</v>
      </c>
      <c r="L7535" t="s">
        <v>141</v>
      </c>
      <c r="M7535" t="s">
        <v>1319</v>
      </c>
      <c r="N7535" t="s">
        <v>1320</v>
      </c>
      <c r="O7535" t="s">
        <v>73</v>
      </c>
      <c r="P7535" t="s">
        <v>1268</v>
      </c>
      <c r="Q7535" t="s">
        <v>1269</v>
      </c>
      <c r="R7535" t="s">
        <v>1321</v>
      </c>
    </row>
    <row r="7536" spans="1:18" x14ac:dyDescent="0.25">
      <c r="A7536" t="s">
        <v>22604</v>
      </c>
      <c r="B7536" t="s">
        <v>1333</v>
      </c>
      <c r="C7536" t="str">
        <f>HYPERLINK("https://nematode.unl.edu/myparab13.jpg")</f>
        <v>https://nematode.unl.edu/myparab13.jpg</v>
      </c>
      <c r="D7536" t="s">
        <v>43</v>
      </c>
      <c r="G7536" t="s">
        <v>28</v>
      </c>
      <c r="I7536" t="s">
        <v>516</v>
      </c>
      <c r="J7536" t="s">
        <v>20</v>
      </c>
      <c r="L7536" t="s">
        <v>141</v>
      </c>
      <c r="M7536" t="s">
        <v>1319</v>
      </c>
      <c r="N7536" t="s">
        <v>1320</v>
      </c>
      <c r="O7536" t="s">
        <v>73</v>
      </c>
      <c r="P7536" t="s">
        <v>1268</v>
      </c>
      <c r="Q7536" t="s">
        <v>1269</v>
      </c>
      <c r="R7536" t="s">
        <v>1321</v>
      </c>
    </row>
    <row r="7537" spans="1:18" x14ac:dyDescent="0.25">
      <c r="A7537" t="s">
        <v>22590</v>
      </c>
      <c r="B7537" t="s">
        <v>1334</v>
      </c>
      <c r="C7537" t="str">
        <f>HYPERLINK("https://nematode.unl.edu/myparab14.jpg")</f>
        <v>https://nematode.unl.edu/myparab14.jpg</v>
      </c>
      <c r="D7537" t="s">
        <v>77</v>
      </c>
      <c r="G7537" t="s">
        <v>87</v>
      </c>
      <c r="I7537" t="s">
        <v>516</v>
      </c>
      <c r="J7537" t="s">
        <v>20</v>
      </c>
      <c r="L7537" t="s">
        <v>141</v>
      </c>
      <c r="M7537" t="s">
        <v>1319</v>
      </c>
      <c r="N7537" t="s">
        <v>1320</v>
      </c>
      <c r="O7537" t="s">
        <v>73</v>
      </c>
      <c r="P7537" t="s">
        <v>1268</v>
      </c>
      <c r="Q7537" t="s">
        <v>1269</v>
      </c>
      <c r="R7537" t="s">
        <v>1321</v>
      </c>
    </row>
    <row r="7538" spans="1:18" x14ac:dyDescent="0.25">
      <c r="A7538" t="s">
        <v>22580</v>
      </c>
      <c r="B7538" t="s">
        <v>1335</v>
      </c>
      <c r="C7538" t="str">
        <f>HYPERLINK("https://nematode.unl.edu/myparab15.jpg")</f>
        <v>https://nematode.unl.edu/myparab15.jpg</v>
      </c>
      <c r="D7538" t="s">
        <v>43</v>
      </c>
      <c r="G7538" t="s">
        <v>34</v>
      </c>
      <c r="H7538" t="s">
        <v>18</v>
      </c>
      <c r="I7538" t="s">
        <v>19</v>
      </c>
      <c r="J7538" t="s">
        <v>20</v>
      </c>
      <c r="L7538" t="s">
        <v>141</v>
      </c>
      <c r="M7538" t="s">
        <v>1319</v>
      </c>
      <c r="N7538" t="s">
        <v>1320</v>
      </c>
      <c r="O7538" t="s">
        <v>73</v>
      </c>
      <c r="P7538" t="s">
        <v>1268</v>
      </c>
      <c r="Q7538" t="s">
        <v>1269</v>
      </c>
      <c r="R7538" t="s">
        <v>1321</v>
      </c>
    </row>
    <row r="7539" spans="1:18" x14ac:dyDescent="0.25">
      <c r="A7539" t="s">
        <v>22600</v>
      </c>
      <c r="B7539" t="s">
        <v>1336</v>
      </c>
      <c r="C7539" t="str">
        <f>HYPERLINK("https://nematode.unl.edu/myparab16.jpg")</f>
        <v>https://nematode.unl.edu/myparab16.jpg</v>
      </c>
      <c r="D7539" t="s">
        <v>43</v>
      </c>
      <c r="G7539" t="s">
        <v>1295</v>
      </c>
      <c r="I7539" t="s">
        <v>41</v>
      </c>
      <c r="J7539" t="s">
        <v>20</v>
      </c>
      <c r="L7539" t="s">
        <v>352</v>
      </c>
      <c r="M7539" t="s">
        <v>1319</v>
      </c>
      <c r="N7539" t="s">
        <v>1320</v>
      </c>
      <c r="O7539" t="s">
        <v>73</v>
      </c>
      <c r="P7539" t="s">
        <v>1268</v>
      </c>
      <c r="Q7539" t="s">
        <v>1269</v>
      </c>
      <c r="R7539" t="s">
        <v>1321</v>
      </c>
    </row>
    <row r="7540" spans="1:18" x14ac:dyDescent="0.25">
      <c r="A7540" t="s">
        <v>22581</v>
      </c>
      <c r="B7540" t="s">
        <v>1337</v>
      </c>
      <c r="C7540" t="str">
        <f>HYPERLINK("https://nematode.unl.edu/myparab17.jpg")</f>
        <v>https://nematode.unl.edu/myparab17.jpg</v>
      </c>
      <c r="D7540" t="s">
        <v>43</v>
      </c>
      <c r="G7540" t="s">
        <v>34</v>
      </c>
      <c r="H7540" t="s">
        <v>18</v>
      </c>
      <c r="I7540" t="s">
        <v>41</v>
      </c>
      <c r="J7540" t="s">
        <v>20</v>
      </c>
      <c r="L7540" t="s">
        <v>141</v>
      </c>
      <c r="M7540" t="s">
        <v>1319</v>
      </c>
      <c r="N7540" t="s">
        <v>1320</v>
      </c>
      <c r="O7540" t="s">
        <v>73</v>
      </c>
      <c r="P7540" t="s">
        <v>1268</v>
      </c>
      <c r="Q7540" t="s">
        <v>1269</v>
      </c>
      <c r="R7540" t="s">
        <v>1321</v>
      </c>
    </row>
    <row r="7541" spans="1:18" x14ac:dyDescent="0.25">
      <c r="A7541" t="s">
        <v>22605</v>
      </c>
      <c r="B7541" t="s">
        <v>1338</v>
      </c>
      <c r="C7541" t="str">
        <f>HYPERLINK("https://nematode.unl.edu/myparab18.jpg")</f>
        <v>https://nematode.unl.edu/myparab18.jpg</v>
      </c>
      <c r="D7541" t="s">
        <v>77</v>
      </c>
      <c r="G7541" t="s">
        <v>28</v>
      </c>
      <c r="I7541" t="s">
        <v>529</v>
      </c>
      <c r="J7541" t="s">
        <v>20</v>
      </c>
      <c r="L7541" t="s">
        <v>352</v>
      </c>
      <c r="M7541" t="s">
        <v>1319</v>
      </c>
      <c r="N7541" t="s">
        <v>1320</v>
      </c>
      <c r="O7541" t="s">
        <v>73</v>
      </c>
      <c r="P7541" t="s">
        <v>1268</v>
      </c>
      <c r="Q7541" t="s">
        <v>1269</v>
      </c>
      <c r="R7541" t="s">
        <v>1321</v>
      </c>
    </row>
    <row r="7542" spans="1:18" x14ac:dyDescent="0.25">
      <c r="A7542" t="s">
        <v>22582</v>
      </c>
      <c r="B7542" t="s">
        <v>1339</v>
      </c>
      <c r="C7542" t="str">
        <f>HYPERLINK("https://nematode.unl.edu/myparab19.jpg")</f>
        <v>https://nematode.unl.edu/myparab19.jpg</v>
      </c>
      <c r="D7542" t="s">
        <v>43</v>
      </c>
      <c r="G7542" t="s">
        <v>34</v>
      </c>
      <c r="H7542" t="s">
        <v>18</v>
      </c>
      <c r="I7542" t="s">
        <v>516</v>
      </c>
      <c r="J7542" t="s">
        <v>20</v>
      </c>
      <c r="L7542" t="s">
        <v>85</v>
      </c>
      <c r="M7542" t="s">
        <v>1319</v>
      </c>
      <c r="N7542" t="s">
        <v>1320</v>
      </c>
      <c r="O7542" t="s">
        <v>73</v>
      </c>
      <c r="P7542" t="s">
        <v>1268</v>
      </c>
      <c r="Q7542" t="s">
        <v>1269</v>
      </c>
      <c r="R7542" t="s">
        <v>1321</v>
      </c>
    </row>
    <row r="7543" spans="1:18" x14ac:dyDescent="0.25">
      <c r="A7543" t="s">
        <v>22583</v>
      </c>
      <c r="B7543" t="s">
        <v>1340</v>
      </c>
      <c r="C7543" t="str">
        <f>HYPERLINK("https://nematode.unl.edu/myparab2.jpg")</f>
        <v>https://nematode.unl.edu/myparab2.jpg</v>
      </c>
      <c r="D7543" t="s">
        <v>43</v>
      </c>
      <c r="G7543" t="s">
        <v>34</v>
      </c>
      <c r="H7543" t="s">
        <v>18</v>
      </c>
      <c r="I7543" t="s">
        <v>19</v>
      </c>
      <c r="J7543" t="s">
        <v>20</v>
      </c>
      <c r="L7543" t="s">
        <v>85</v>
      </c>
      <c r="M7543" t="s">
        <v>1319</v>
      </c>
      <c r="N7543" t="s">
        <v>1320</v>
      </c>
      <c r="O7543" t="s">
        <v>73</v>
      </c>
      <c r="P7543" t="s">
        <v>1268</v>
      </c>
      <c r="Q7543" t="s">
        <v>1269</v>
      </c>
      <c r="R7543" t="s">
        <v>1321</v>
      </c>
    </row>
    <row r="7544" spans="1:18" x14ac:dyDescent="0.25">
      <c r="A7544" t="s">
        <v>22613</v>
      </c>
      <c r="B7544" t="s">
        <v>1341</v>
      </c>
      <c r="C7544" t="str">
        <f>HYPERLINK("https://nematode.unl.edu/myparab20.jpg")</f>
        <v>https://nematode.unl.edu/myparab20.jpg</v>
      </c>
      <c r="D7544" t="s">
        <v>43</v>
      </c>
      <c r="G7544" t="s">
        <v>51</v>
      </c>
      <c r="I7544" t="s">
        <v>19</v>
      </c>
      <c r="J7544" t="s">
        <v>20</v>
      </c>
      <c r="L7544" t="s">
        <v>183</v>
      </c>
      <c r="M7544" t="s">
        <v>1319</v>
      </c>
      <c r="N7544" t="s">
        <v>1320</v>
      </c>
      <c r="O7544" t="s">
        <v>73</v>
      </c>
      <c r="P7544" t="s">
        <v>1268</v>
      </c>
      <c r="Q7544" t="s">
        <v>1269</v>
      </c>
      <c r="R7544" t="s">
        <v>1321</v>
      </c>
    </row>
    <row r="7545" spans="1:18" x14ac:dyDescent="0.25">
      <c r="A7545" t="s">
        <v>22606</v>
      </c>
      <c r="B7545" t="s">
        <v>1342</v>
      </c>
      <c r="C7545" t="str">
        <f>HYPERLINK("https://nematode.unl.edu/myparab21.jpg")</f>
        <v>https://nematode.unl.edu/myparab21.jpg</v>
      </c>
      <c r="D7545" t="s">
        <v>43</v>
      </c>
      <c r="G7545" t="s">
        <v>28</v>
      </c>
      <c r="I7545" t="s">
        <v>516</v>
      </c>
      <c r="J7545" t="s">
        <v>20</v>
      </c>
      <c r="L7545" t="s">
        <v>183</v>
      </c>
      <c r="M7545" t="s">
        <v>1319</v>
      </c>
      <c r="N7545" t="s">
        <v>1320</v>
      </c>
      <c r="O7545" t="s">
        <v>73</v>
      </c>
      <c r="P7545" t="s">
        <v>1268</v>
      </c>
      <c r="Q7545" t="s">
        <v>1269</v>
      </c>
      <c r="R7545" t="s">
        <v>1321</v>
      </c>
    </row>
    <row r="7546" spans="1:18" x14ac:dyDescent="0.25">
      <c r="A7546" t="s">
        <v>22584</v>
      </c>
      <c r="B7546" t="s">
        <v>1343</v>
      </c>
      <c r="C7546" t="str">
        <f>HYPERLINK("https://nematode.unl.edu/myparab22.jpg")</f>
        <v>https://nematode.unl.edu/myparab22.jpg</v>
      </c>
      <c r="D7546" t="s">
        <v>43</v>
      </c>
      <c r="G7546" t="s">
        <v>34</v>
      </c>
      <c r="H7546" t="s">
        <v>18</v>
      </c>
      <c r="I7546" t="s">
        <v>516</v>
      </c>
      <c r="J7546" t="s">
        <v>20</v>
      </c>
      <c r="L7546" t="s">
        <v>85</v>
      </c>
      <c r="M7546" t="s">
        <v>1319</v>
      </c>
      <c r="N7546" t="s">
        <v>1320</v>
      </c>
      <c r="O7546" t="s">
        <v>73</v>
      </c>
      <c r="P7546" t="s">
        <v>1268</v>
      </c>
      <c r="Q7546" t="s">
        <v>1269</v>
      </c>
      <c r="R7546" t="s">
        <v>1321</v>
      </c>
    </row>
    <row r="7547" spans="1:18" x14ac:dyDescent="0.25">
      <c r="A7547" t="s">
        <v>22607</v>
      </c>
      <c r="B7547" t="s">
        <v>1344</v>
      </c>
      <c r="C7547" t="str">
        <f>HYPERLINK("https://nematode.unl.edu/myparab23.jpg")</f>
        <v>https://nematode.unl.edu/myparab23.jpg</v>
      </c>
      <c r="D7547" t="s">
        <v>43</v>
      </c>
      <c r="G7547" t="s">
        <v>28</v>
      </c>
      <c r="J7547" t="s">
        <v>20</v>
      </c>
      <c r="L7547" t="s">
        <v>85</v>
      </c>
      <c r="M7547" t="s">
        <v>1319</v>
      </c>
      <c r="N7547" t="s">
        <v>1320</v>
      </c>
      <c r="O7547" t="s">
        <v>73</v>
      </c>
      <c r="P7547" t="s">
        <v>1268</v>
      </c>
      <c r="Q7547" t="s">
        <v>1269</v>
      </c>
      <c r="R7547" t="s">
        <v>1321</v>
      </c>
    </row>
    <row r="7548" spans="1:18" x14ac:dyDescent="0.25">
      <c r="A7548" t="s">
        <v>22614</v>
      </c>
      <c r="B7548" t="s">
        <v>1345</v>
      </c>
      <c r="C7548" t="str">
        <f>HYPERLINK("https://nematode.unl.edu/myparab24.jpg")</f>
        <v>https://nematode.unl.edu/myparab24.jpg</v>
      </c>
      <c r="D7548" t="s">
        <v>43</v>
      </c>
      <c r="G7548" t="s">
        <v>51</v>
      </c>
      <c r="I7548" t="s">
        <v>19</v>
      </c>
      <c r="J7548" t="s">
        <v>20</v>
      </c>
      <c r="L7548" t="s">
        <v>85</v>
      </c>
      <c r="M7548" t="s">
        <v>1319</v>
      </c>
      <c r="N7548" t="s">
        <v>1320</v>
      </c>
      <c r="O7548" t="s">
        <v>73</v>
      </c>
      <c r="P7548" t="s">
        <v>1268</v>
      </c>
      <c r="Q7548" t="s">
        <v>1269</v>
      </c>
      <c r="R7548" t="s">
        <v>1321</v>
      </c>
    </row>
    <row r="7549" spans="1:18" x14ac:dyDescent="0.25">
      <c r="A7549" t="s">
        <v>22585</v>
      </c>
      <c r="B7549" t="s">
        <v>1346</v>
      </c>
      <c r="C7549" t="str">
        <f>HYPERLINK("https://nematode.unl.edu/myparab25.jpg")</f>
        <v>https://nematode.unl.edu/myparab25.jpg</v>
      </c>
      <c r="D7549" t="s">
        <v>43</v>
      </c>
      <c r="G7549" t="s">
        <v>34</v>
      </c>
      <c r="H7549" t="s">
        <v>18</v>
      </c>
      <c r="I7549" t="s">
        <v>19</v>
      </c>
      <c r="J7549" t="s">
        <v>20</v>
      </c>
      <c r="L7549" t="s">
        <v>206</v>
      </c>
      <c r="M7549" t="s">
        <v>1319</v>
      </c>
      <c r="N7549" t="s">
        <v>1320</v>
      </c>
      <c r="O7549" t="s">
        <v>73</v>
      </c>
      <c r="P7549" t="s">
        <v>1268</v>
      </c>
      <c r="Q7549" t="s">
        <v>1269</v>
      </c>
      <c r="R7549" t="s">
        <v>1321</v>
      </c>
    </row>
    <row r="7550" spans="1:18" x14ac:dyDescent="0.25">
      <c r="A7550" t="s">
        <v>22591</v>
      </c>
      <c r="B7550" t="s">
        <v>1347</v>
      </c>
      <c r="C7550" t="str">
        <f>HYPERLINK("https://nematode.unl.edu/myparab26.jpg")</f>
        <v>https://nematode.unl.edu/myparab26.jpg</v>
      </c>
      <c r="D7550" t="s">
        <v>43</v>
      </c>
      <c r="G7550" t="s">
        <v>87</v>
      </c>
      <c r="J7550" t="s">
        <v>20</v>
      </c>
      <c r="L7550" t="s">
        <v>206</v>
      </c>
      <c r="M7550" t="s">
        <v>1319</v>
      </c>
      <c r="N7550" t="s">
        <v>1320</v>
      </c>
      <c r="O7550" t="s">
        <v>73</v>
      </c>
      <c r="P7550" t="s">
        <v>1268</v>
      </c>
      <c r="Q7550" t="s">
        <v>1269</v>
      </c>
      <c r="R7550" t="s">
        <v>1321</v>
      </c>
    </row>
    <row r="7551" spans="1:18" x14ac:dyDescent="0.25">
      <c r="A7551" t="s">
        <v>22615</v>
      </c>
      <c r="B7551" t="s">
        <v>1348</v>
      </c>
      <c r="C7551" t="str">
        <f>HYPERLINK("https://nematode.unl.edu/myparab27.jpg")</f>
        <v>https://nematode.unl.edu/myparab27.jpg</v>
      </c>
      <c r="D7551" t="s">
        <v>43</v>
      </c>
      <c r="G7551" t="s">
        <v>51</v>
      </c>
      <c r="J7551" t="s">
        <v>20</v>
      </c>
      <c r="M7551" t="s">
        <v>1319</v>
      </c>
      <c r="N7551" t="s">
        <v>1320</v>
      </c>
      <c r="O7551" t="s">
        <v>73</v>
      </c>
      <c r="P7551" t="s">
        <v>1268</v>
      </c>
      <c r="Q7551" t="s">
        <v>1269</v>
      </c>
      <c r="R7551" t="s">
        <v>1321</v>
      </c>
    </row>
    <row r="7552" spans="1:18" x14ac:dyDescent="0.25">
      <c r="A7552" t="s">
        <v>22608</v>
      </c>
      <c r="B7552" t="s">
        <v>1349</v>
      </c>
      <c r="C7552" t="str">
        <f>HYPERLINK("https://nematode.unl.edu/myparab28.jpg")</f>
        <v>https://nematode.unl.edu/myparab28.jpg</v>
      </c>
      <c r="D7552" t="s">
        <v>43</v>
      </c>
      <c r="G7552" t="s">
        <v>28</v>
      </c>
      <c r="J7552" t="s">
        <v>20</v>
      </c>
      <c r="M7552" t="s">
        <v>1319</v>
      </c>
      <c r="N7552" t="s">
        <v>1320</v>
      </c>
      <c r="O7552" t="s">
        <v>73</v>
      </c>
      <c r="P7552" t="s">
        <v>1268</v>
      </c>
      <c r="Q7552" t="s">
        <v>1269</v>
      </c>
      <c r="R7552" t="s">
        <v>1321</v>
      </c>
    </row>
    <row r="7553" spans="1:18" x14ac:dyDescent="0.25">
      <c r="A7553" t="s">
        <v>22597</v>
      </c>
      <c r="B7553" t="s">
        <v>1350</v>
      </c>
      <c r="C7553" t="str">
        <f>HYPERLINK("https://nematode.unl.edu/myparab29.jpg")</f>
        <v>https://nematode.unl.edu/myparab29.jpg</v>
      </c>
      <c r="D7553" t="s">
        <v>43</v>
      </c>
      <c r="G7553" t="s">
        <v>44</v>
      </c>
      <c r="I7553" t="s">
        <v>499</v>
      </c>
      <c r="J7553" t="s">
        <v>20</v>
      </c>
      <c r="L7553" t="s">
        <v>85</v>
      </c>
      <c r="M7553" t="s">
        <v>1319</v>
      </c>
      <c r="N7553" t="s">
        <v>1320</v>
      </c>
      <c r="O7553" t="s">
        <v>73</v>
      </c>
      <c r="P7553" t="s">
        <v>1268</v>
      </c>
      <c r="Q7553" t="s">
        <v>1269</v>
      </c>
      <c r="R7553" t="s">
        <v>1321</v>
      </c>
    </row>
    <row r="7554" spans="1:18" x14ac:dyDescent="0.25">
      <c r="A7554" t="s">
        <v>22592</v>
      </c>
      <c r="B7554" t="s">
        <v>1351</v>
      </c>
      <c r="C7554" t="str">
        <f>HYPERLINK("https://nematode.unl.edu/myparab3.jpg")</f>
        <v>https://nematode.unl.edu/myparab3.jpg</v>
      </c>
      <c r="D7554" t="s">
        <v>77</v>
      </c>
      <c r="G7554" t="s">
        <v>87</v>
      </c>
      <c r="I7554" t="s">
        <v>19</v>
      </c>
      <c r="M7554" t="s">
        <v>1319</v>
      </c>
      <c r="N7554" t="s">
        <v>1320</v>
      </c>
      <c r="O7554" t="s">
        <v>73</v>
      </c>
      <c r="P7554" t="s">
        <v>1268</v>
      </c>
      <c r="Q7554" t="s">
        <v>1269</v>
      </c>
      <c r="R7554" t="s">
        <v>1321</v>
      </c>
    </row>
    <row r="7555" spans="1:18" x14ac:dyDescent="0.25">
      <c r="A7555" t="s">
        <v>22598</v>
      </c>
      <c r="B7555" t="s">
        <v>1352</v>
      </c>
      <c r="C7555" t="str">
        <f>HYPERLINK("https://nematode.unl.edu/myparab30.jpg")</f>
        <v>https://nematode.unl.edu/myparab30.jpg</v>
      </c>
      <c r="D7555" t="s">
        <v>43</v>
      </c>
      <c r="G7555" t="s">
        <v>44</v>
      </c>
      <c r="I7555" t="s">
        <v>91</v>
      </c>
      <c r="J7555" t="s">
        <v>20</v>
      </c>
      <c r="L7555" t="s">
        <v>193</v>
      </c>
      <c r="M7555" t="s">
        <v>1319</v>
      </c>
      <c r="N7555" t="s">
        <v>1320</v>
      </c>
      <c r="O7555" t="s">
        <v>73</v>
      </c>
      <c r="P7555" t="s">
        <v>1268</v>
      </c>
      <c r="Q7555" t="s">
        <v>1269</v>
      </c>
      <c r="R7555" t="s">
        <v>1321</v>
      </c>
    </row>
    <row r="7556" spans="1:18" x14ac:dyDescent="0.25">
      <c r="A7556" t="s">
        <v>22586</v>
      </c>
      <c r="B7556" t="s">
        <v>1353</v>
      </c>
      <c r="C7556" t="str">
        <f>HYPERLINK("https://nematode.unl.edu/myparab31.jpg")</f>
        <v>https://nematode.unl.edu/myparab31.jpg</v>
      </c>
      <c r="G7556" t="s">
        <v>34</v>
      </c>
      <c r="H7556" t="s">
        <v>18</v>
      </c>
      <c r="J7556" t="s">
        <v>20</v>
      </c>
      <c r="L7556" t="s">
        <v>141</v>
      </c>
      <c r="M7556" t="s">
        <v>1319</v>
      </c>
      <c r="N7556" t="s">
        <v>1320</v>
      </c>
      <c r="O7556" t="s">
        <v>73</v>
      </c>
      <c r="P7556" t="s">
        <v>1268</v>
      </c>
      <c r="Q7556" t="s">
        <v>1269</v>
      </c>
      <c r="R7556" t="s">
        <v>1321</v>
      </c>
    </row>
    <row r="7557" spans="1:18" x14ac:dyDescent="0.25">
      <c r="A7557" t="s">
        <v>22587</v>
      </c>
      <c r="B7557" t="s">
        <v>1354</v>
      </c>
      <c r="C7557" t="str">
        <f>HYPERLINK("https://nematode.unl.edu/myparab32.jpg")</f>
        <v>https://nematode.unl.edu/myparab32.jpg</v>
      </c>
      <c r="G7557" t="s">
        <v>34</v>
      </c>
      <c r="H7557" t="s">
        <v>18</v>
      </c>
      <c r="J7557" t="s">
        <v>20</v>
      </c>
      <c r="L7557" t="s">
        <v>141</v>
      </c>
      <c r="M7557" t="s">
        <v>1319</v>
      </c>
      <c r="N7557" t="s">
        <v>1320</v>
      </c>
      <c r="O7557" t="s">
        <v>73</v>
      </c>
      <c r="P7557" t="s">
        <v>1268</v>
      </c>
      <c r="Q7557" t="s">
        <v>1269</v>
      </c>
      <c r="R7557" t="s">
        <v>1321</v>
      </c>
    </row>
    <row r="7558" spans="1:18" x14ac:dyDescent="0.25">
      <c r="A7558" t="s">
        <v>22609</v>
      </c>
      <c r="B7558" t="s">
        <v>1355</v>
      </c>
      <c r="C7558" t="str">
        <f>HYPERLINK("https://nematode.unl.edu/myparab33.jpg")</f>
        <v>https://nematode.unl.edu/myparab33.jpg</v>
      </c>
      <c r="D7558" t="s">
        <v>77</v>
      </c>
      <c r="G7558" t="s">
        <v>28</v>
      </c>
      <c r="I7558" t="s">
        <v>19</v>
      </c>
      <c r="J7558" t="s">
        <v>20</v>
      </c>
      <c r="L7558" t="s">
        <v>141</v>
      </c>
      <c r="M7558" t="s">
        <v>1319</v>
      </c>
      <c r="N7558" t="s">
        <v>1320</v>
      </c>
      <c r="O7558" t="s">
        <v>73</v>
      </c>
      <c r="P7558" t="s">
        <v>1268</v>
      </c>
      <c r="Q7558" t="s">
        <v>1269</v>
      </c>
      <c r="R7558" t="s">
        <v>1321</v>
      </c>
    </row>
    <row r="7559" spans="1:18" x14ac:dyDescent="0.25">
      <c r="A7559" t="s">
        <v>22616</v>
      </c>
      <c r="B7559" t="s">
        <v>1356</v>
      </c>
      <c r="C7559" t="str">
        <f>HYPERLINK("https://nematode.unl.edu/myparab4.jpg")</f>
        <v>https://nematode.unl.edu/myparab4.jpg</v>
      </c>
      <c r="D7559" t="s">
        <v>43</v>
      </c>
      <c r="G7559" t="s">
        <v>51</v>
      </c>
      <c r="J7559" t="s">
        <v>20</v>
      </c>
      <c r="L7559" t="s">
        <v>85</v>
      </c>
      <c r="M7559" t="s">
        <v>1319</v>
      </c>
      <c r="N7559" t="s">
        <v>1320</v>
      </c>
      <c r="O7559" t="s">
        <v>73</v>
      </c>
      <c r="P7559" t="s">
        <v>1268</v>
      </c>
      <c r="Q7559" t="s">
        <v>1269</v>
      </c>
      <c r="R7559" t="s">
        <v>1321</v>
      </c>
    </row>
    <row r="7560" spans="1:18" x14ac:dyDescent="0.25">
      <c r="A7560" t="s">
        <v>22610</v>
      </c>
      <c r="B7560" t="s">
        <v>1357</v>
      </c>
      <c r="C7560" t="str">
        <f>HYPERLINK("https://nematode.unl.edu/myparab5.jpg")</f>
        <v>https://nematode.unl.edu/myparab5.jpg</v>
      </c>
      <c r="D7560" t="s">
        <v>43</v>
      </c>
      <c r="G7560" t="s">
        <v>28</v>
      </c>
      <c r="I7560" t="s">
        <v>516</v>
      </c>
      <c r="J7560" t="s">
        <v>20</v>
      </c>
      <c r="L7560" t="s">
        <v>85</v>
      </c>
      <c r="M7560" t="s">
        <v>1319</v>
      </c>
      <c r="N7560" t="s">
        <v>1320</v>
      </c>
      <c r="O7560" t="s">
        <v>73</v>
      </c>
      <c r="P7560" t="s">
        <v>1268</v>
      </c>
      <c r="Q7560" t="s">
        <v>1269</v>
      </c>
      <c r="R7560" t="s">
        <v>1321</v>
      </c>
    </row>
    <row r="7561" spans="1:18" x14ac:dyDescent="0.25">
      <c r="A7561" t="s">
        <v>22599</v>
      </c>
      <c r="B7561" t="s">
        <v>1358</v>
      </c>
      <c r="C7561" t="str">
        <f>HYPERLINK("https://nematode.unl.edu/myparab6.jpg")</f>
        <v>https://nematode.unl.edu/myparab6.jpg</v>
      </c>
      <c r="D7561" t="s">
        <v>43</v>
      </c>
      <c r="G7561" t="s">
        <v>44</v>
      </c>
      <c r="I7561" t="s">
        <v>1008</v>
      </c>
      <c r="J7561" t="s">
        <v>20</v>
      </c>
      <c r="L7561" t="s">
        <v>752</v>
      </c>
      <c r="M7561" t="s">
        <v>1319</v>
      </c>
      <c r="N7561" t="s">
        <v>1320</v>
      </c>
      <c r="O7561" t="s">
        <v>73</v>
      </c>
      <c r="P7561" t="s">
        <v>1268</v>
      </c>
      <c r="Q7561" t="s">
        <v>1269</v>
      </c>
      <c r="R7561" t="s">
        <v>1321</v>
      </c>
    </row>
    <row r="7562" spans="1:18" x14ac:dyDescent="0.25">
      <c r="A7562" t="s">
        <v>22611</v>
      </c>
      <c r="B7562" t="s">
        <v>1359</v>
      </c>
      <c r="C7562" t="str">
        <f>HYPERLINK("https://nematode.unl.edu/myparab7.jpg")</f>
        <v>https://nematode.unl.edu/myparab7.jpg</v>
      </c>
      <c r="D7562" t="s">
        <v>43</v>
      </c>
      <c r="G7562" t="s">
        <v>28</v>
      </c>
      <c r="J7562" t="s">
        <v>20</v>
      </c>
      <c r="L7562" t="s">
        <v>752</v>
      </c>
      <c r="M7562" t="s">
        <v>1319</v>
      </c>
      <c r="N7562" t="s">
        <v>1320</v>
      </c>
      <c r="O7562" t="s">
        <v>73</v>
      </c>
      <c r="P7562" t="s">
        <v>1268</v>
      </c>
      <c r="Q7562" t="s">
        <v>1269</v>
      </c>
      <c r="R7562" t="s">
        <v>1321</v>
      </c>
    </row>
    <row r="7563" spans="1:18" x14ac:dyDescent="0.25">
      <c r="A7563" t="s">
        <v>22617</v>
      </c>
      <c r="B7563" t="s">
        <v>1360</v>
      </c>
      <c r="C7563" t="str">
        <f>HYPERLINK("https://nematode.unl.edu/myparab8.jpg")</f>
        <v>https://nematode.unl.edu/myparab8.jpg</v>
      </c>
      <c r="D7563" t="s">
        <v>43</v>
      </c>
      <c r="G7563" t="s">
        <v>51</v>
      </c>
      <c r="I7563" t="s">
        <v>19</v>
      </c>
      <c r="J7563" t="s">
        <v>20</v>
      </c>
      <c r="L7563" t="s">
        <v>752</v>
      </c>
      <c r="M7563" t="s">
        <v>1319</v>
      </c>
      <c r="N7563" t="s">
        <v>1320</v>
      </c>
      <c r="O7563" t="s">
        <v>73</v>
      </c>
      <c r="P7563" t="s">
        <v>1268</v>
      </c>
      <c r="Q7563" t="s">
        <v>1269</v>
      </c>
      <c r="R7563" t="s">
        <v>1321</v>
      </c>
    </row>
    <row r="7564" spans="1:18" x14ac:dyDescent="0.25">
      <c r="A7564" t="s">
        <v>22588</v>
      </c>
      <c r="B7564" t="s">
        <v>1361</v>
      </c>
      <c r="C7564" t="str">
        <f>HYPERLINK("https://nematode.unl.edu/myparab9.jpg")</f>
        <v>https://nematode.unl.edu/myparab9.jpg</v>
      </c>
      <c r="D7564" t="s">
        <v>43</v>
      </c>
      <c r="G7564" t="s">
        <v>34</v>
      </c>
      <c r="H7564" t="s">
        <v>18</v>
      </c>
      <c r="I7564" t="s">
        <v>19</v>
      </c>
      <c r="J7564" t="s">
        <v>20</v>
      </c>
      <c r="L7564" t="s">
        <v>752</v>
      </c>
      <c r="M7564" t="s">
        <v>1319</v>
      </c>
      <c r="N7564" t="s">
        <v>1320</v>
      </c>
      <c r="O7564" t="s">
        <v>73</v>
      </c>
      <c r="P7564" t="s">
        <v>1268</v>
      </c>
      <c r="Q7564" t="s">
        <v>1269</v>
      </c>
      <c r="R7564" t="s">
        <v>1321</v>
      </c>
    </row>
    <row r="7565" spans="1:18" x14ac:dyDescent="0.25">
      <c r="A7565" t="s">
        <v>22589</v>
      </c>
      <c r="B7565" t="s">
        <v>1362</v>
      </c>
      <c r="C7565" t="str">
        <f>HYPERLINK("https://nematode.unl.edu/myparyurus1.jpg")</f>
        <v>https://nematode.unl.edu/myparyurus1.jpg</v>
      </c>
      <c r="D7565" t="s">
        <v>43</v>
      </c>
      <c r="G7565" t="s">
        <v>34</v>
      </c>
      <c r="H7565" t="s">
        <v>18</v>
      </c>
      <c r="I7565" t="s">
        <v>516</v>
      </c>
      <c r="J7565" t="s">
        <v>127</v>
      </c>
      <c r="L7565" t="s">
        <v>131</v>
      </c>
      <c r="M7565" t="s">
        <v>1319</v>
      </c>
      <c r="N7565" t="s">
        <v>1320</v>
      </c>
      <c r="O7565" t="s">
        <v>73</v>
      </c>
      <c r="P7565" t="s">
        <v>1268</v>
      </c>
      <c r="Q7565" t="s">
        <v>1269</v>
      </c>
      <c r="R7565" t="s">
        <v>1321</v>
      </c>
    </row>
    <row r="7566" spans="1:18" x14ac:dyDescent="0.25">
      <c r="A7566" t="s">
        <v>22612</v>
      </c>
      <c r="B7566" t="s">
        <v>1363</v>
      </c>
      <c r="C7566" t="str">
        <f>HYPERLINK("https://nematode.unl.edu/myparyurus2.jpg")</f>
        <v>https://nematode.unl.edu/myparyurus2.jpg</v>
      </c>
      <c r="D7566" t="s">
        <v>43</v>
      </c>
      <c r="G7566" t="s">
        <v>28</v>
      </c>
      <c r="I7566" t="s">
        <v>516</v>
      </c>
      <c r="J7566" t="s">
        <v>127</v>
      </c>
      <c r="L7566" t="s">
        <v>128</v>
      </c>
      <c r="M7566" t="s">
        <v>1319</v>
      </c>
      <c r="N7566" t="s">
        <v>1320</v>
      </c>
      <c r="O7566" t="s">
        <v>73</v>
      </c>
      <c r="P7566" t="s">
        <v>1268</v>
      </c>
      <c r="Q7566" t="s">
        <v>1269</v>
      </c>
      <c r="R7566" t="s">
        <v>1321</v>
      </c>
    </row>
    <row r="7567" spans="1:18" x14ac:dyDescent="0.25">
      <c r="A7567" t="s">
        <v>22620</v>
      </c>
      <c r="B7567" t="s">
        <v>9180</v>
      </c>
      <c r="C7567" t="str">
        <f>HYPERLINK("https://nematode.unl.edu/mysig1.jpg")</f>
        <v>https://nematode.unl.edu/mysig1.jpg</v>
      </c>
      <c r="D7567" t="s">
        <v>43</v>
      </c>
      <c r="G7567" t="s">
        <v>44</v>
      </c>
      <c r="I7567" t="s">
        <v>45</v>
      </c>
      <c r="J7567" t="s">
        <v>20</v>
      </c>
      <c r="L7567" t="s">
        <v>138</v>
      </c>
      <c r="M7567" t="s">
        <v>9181</v>
      </c>
      <c r="N7567" t="s">
        <v>9181</v>
      </c>
      <c r="O7567" t="s">
        <v>73</v>
      </c>
      <c r="P7567" t="s">
        <v>1268</v>
      </c>
      <c r="Q7567" t="s">
        <v>1269</v>
      </c>
      <c r="R7567" t="s">
        <v>1321</v>
      </c>
    </row>
    <row r="7568" spans="1:18" x14ac:dyDescent="0.25">
      <c r="A7568" t="s">
        <v>22619</v>
      </c>
      <c r="B7568" t="s">
        <v>9182</v>
      </c>
      <c r="C7568" t="str">
        <f>HYPERLINK("https://nematode.unl.edu/mysig2.jpg")</f>
        <v>https://nematode.unl.edu/mysig2.jpg</v>
      </c>
      <c r="D7568" t="s">
        <v>43</v>
      </c>
      <c r="G7568" t="s">
        <v>34</v>
      </c>
      <c r="H7568" t="s">
        <v>18</v>
      </c>
      <c r="I7568" t="s">
        <v>516</v>
      </c>
      <c r="J7568" t="s">
        <v>20</v>
      </c>
      <c r="L7568" t="s">
        <v>173</v>
      </c>
      <c r="M7568" t="s">
        <v>9181</v>
      </c>
      <c r="N7568" t="s">
        <v>9181</v>
      </c>
      <c r="O7568" t="s">
        <v>73</v>
      </c>
      <c r="P7568" t="s">
        <v>1268</v>
      </c>
      <c r="Q7568" t="s">
        <v>1269</v>
      </c>
      <c r="R7568" t="s">
        <v>1321</v>
      </c>
    </row>
    <row r="7569" spans="1:18" x14ac:dyDescent="0.25">
      <c r="A7569" t="s">
        <v>22618</v>
      </c>
      <c r="B7569" t="s">
        <v>9183</v>
      </c>
      <c r="C7569" t="str">
        <f>HYPERLINK("https://nematode.unl.edu/mysig3.jpg")</f>
        <v>https://nematode.unl.edu/mysig3.jpg</v>
      </c>
      <c r="D7569" t="s">
        <v>43</v>
      </c>
      <c r="G7569" t="s">
        <v>17</v>
      </c>
      <c r="H7569" t="s">
        <v>18</v>
      </c>
      <c r="J7569" t="s">
        <v>20</v>
      </c>
      <c r="L7569" t="s">
        <v>173</v>
      </c>
      <c r="M7569" t="s">
        <v>9181</v>
      </c>
      <c r="N7569" t="s">
        <v>9181</v>
      </c>
      <c r="O7569" t="s">
        <v>73</v>
      </c>
      <c r="P7569" t="s">
        <v>1268</v>
      </c>
      <c r="Q7569" t="s">
        <v>1269</v>
      </c>
      <c r="R7569" t="s">
        <v>1321</v>
      </c>
    </row>
    <row r="7570" spans="1:18" x14ac:dyDescent="0.25">
      <c r="A7570" t="s">
        <v>22622</v>
      </c>
      <c r="B7570" t="s">
        <v>9184</v>
      </c>
      <c r="C7570" t="str">
        <f>HYPERLINK("https://nematode.unl.edu/mysig4.jpg")</f>
        <v>https://nematode.unl.edu/mysig4.jpg</v>
      </c>
      <c r="D7570" t="s">
        <v>43</v>
      </c>
      <c r="G7570" t="s">
        <v>51</v>
      </c>
      <c r="I7570" t="s">
        <v>516</v>
      </c>
      <c r="J7570" t="s">
        <v>20</v>
      </c>
      <c r="L7570" t="s">
        <v>138</v>
      </c>
      <c r="M7570" t="s">
        <v>9181</v>
      </c>
      <c r="N7570" t="s">
        <v>9181</v>
      </c>
      <c r="O7570" t="s">
        <v>73</v>
      </c>
      <c r="P7570" t="s">
        <v>1268</v>
      </c>
      <c r="Q7570" t="s">
        <v>1269</v>
      </c>
      <c r="R7570" t="s">
        <v>1321</v>
      </c>
    </row>
    <row r="7571" spans="1:18" x14ac:dyDescent="0.25">
      <c r="A7571" t="s">
        <v>22621</v>
      </c>
      <c r="B7571" t="s">
        <v>9185</v>
      </c>
      <c r="C7571" t="str">
        <f>HYPERLINK("https://nematode.unl.edu/mysig5.jpg")</f>
        <v>https://nematode.unl.edu/mysig5.jpg</v>
      </c>
      <c r="D7571" t="s">
        <v>43</v>
      </c>
      <c r="G7571" t="s">
        <v>28</v>
      </c>
      <c r="J7571" t="s">
        <v>20</v>
      </c>
      <c r="L7571" t="s">
        <v>173</v>
      </c>
      <c r="M7571" t="s">
        <v>9181</v>
      </c>
      <c r="N7571" t="s">
        <v>9181</v>
      </c>
      <c r="O7571" t="s">
        <v>73</v>
      </c>
      <c r="P7571" t="s">
        <v>1268</v>
      </c>
      <c r="Q7571" t="s">
        <v>1269</v>
      </c>
      <c r="R7571" t="s">
        <v>1321</v>
      </c>
    </row>
    <row r="7572" spans="1:18" x14ac:dyDescent="0.25">
      <c r="A7572" t="s">
        <v>22623</v>
      </c>
      <c r="B7572" t="s">
        <v>9186</v>
      </c>
      <c r="C7572" t="str">
        <f>HYPERLINK("https://nematode.unl.edu/mysubs1.jpg")</f>
        <v>https://nematode.unl.edu/mysubs1.jpg</v>
      </c>
      <c r="D7572" t="s">
        <v>16</v>
      </c>
      <c r="G7572" t="s">
        <v>34</v>
      </c>
      <c r="H7572" t="s">
        <v>18</v>
      </c>
      <c r="I7572" t="s">
        <v>19</v>
      </c>
      <c r="J7572" t="s">
        <v>20</v>
      </c>
      <c r="L7572" t="s">
        <v>64</v>
      </c>
      <c r="M7572" t="s">
        <v>9187</v>
      </c>
      <c r="N7572" t="s">
        <v>9187</v>
      </c>
      <c r="O7572" t="s">
        <v>73</v>
      </c>
      <c r="P7572" t="s">
        <v>1268</v>
      </c>
      <c r="Q7572" t="s">
        <v>1269</v>
      </c>
      <c r="R7572" t="s">
        <v>1321</v>
      </c>
    </row>
    <row r="7573" spans="1:18" x14ac:dyDescent="0.25">
      <c r="A7573" t="s">
        <v>22624</v>
      </c>
      <c r="B7573" t="s">
        <v>9188</v>
      </c>
      <c r="C7573" t="str">
        <f>HYPERLINK("https://nematode.unl.edu/mysubs2.jpg")</f>
        <v>https://nematode.unl.edu/mysubs2.jpg</v>
      </c>
      <c r="D7573" t="s">
        <v>16</v>
      </c>
      <c r="G7573" t="s">
        <v>28</v>
      </c>
      <c r="I7573" t="s">
        <v>19</v>
      </c>
      <c r="J7573" t="s">
        <v>20</v>
      </c>
      <c r="L7573" t="s">
        <v>64</v>
      </c>
      <c r="M7573" t="s">
        <v>9187</v>
      </c>
      <c r="N7573" t="s">
        <v>9187</v>
      </c>
      <c r="O7573" t="s">
        <v>73</v>
      </c>
      <c r="P7573" t="s">
        <v>1268</v>
      </c>
      <c r="Q7573" t="s">
        <v>1269</v>
      </c>
      <c r="R7573" t="s">
        <v>1321</v>
      </c>
    </row>
    <row r="7574" spans="1:18" x14ac:dyDescent="0.25">
      <c r="A7574" t="s">
        <v>22625</v>
      </c>
      <c r="B7574" t="s">
        <v>9189</v>
      </c>
      <c r="C7574" t="str">
        <f>HYPERLINK("https://nematode.unl.edu/mysubs3.jpg")</f>
        <v>https://nematode.unl.edu/mysubs3.jpg</v>
      </c>
      <c r="D7574" t="s">
        <v>16</v>
      </c>
      <c r="G7574" t="s">
        <v>28</v>
      </c>
      <c r="I7574" t="s">
        <v>19</v>
      </c>
      <c r="J7574" t="s">
        <v>20</v>
      </c>
      <c r="L7574" t="s">
        <v>64</v>
      </c>
      <c r="M7574" t="s">
        <v>9187</v>
      </c>
      <c r="N7574" t="s">
        <v>9187</v>
      </c>
      <c r="O7574" t="s">
        <v>73</v>
      </c>
      <c r="P7574" t="s">
        <v>1268</v>
      </c>
      <c r="Q7574" t="s">
        <v>1269</v>
      </c>
      <c r="R7574" t="s">
        <v>1321</v>
      </c>
    </row>
    <row r="7575" spans="1:18" x14ac:dyDescent="0.25">
      <c r="A7575" t="s">
        <v>22626</v>
      </c>
      <c r="B7575" t="s">
        <v>9190</v>
      </c>
      <c r="C7575" t="str">
        <f>HYPERLINK("https://nematode.unl.edu/mysubs4.jpg")</f>
        <v>https://nematode.unl.edu/mysubs4.jpg</v>
      </c>
      <c r="D7575" t="s">
        <v>16</v>
      </c>
      <c r="G7575" t="s">
        <v>28</v>
      </c>
      <c r="I7575" t="s">
        <v>19</v>
      </c>
      <c r="M7575" t="s">
        <v>9187</v>
      </c>
      <c r="N7575" t="s">
        <v>9187</v>
      </c>
      <c r="O7575" t="s">
        <v>73</v>
      </c>
      <c r="P7575" t="s">
        <v>1268</v>
      </c>
      <c r="Q7575" t="s">
        <v>1269</v>
      </c>
      <c r="R7575" t="s">
        <v>1321</v>
      </c>
    </row>
    <row r="7576" spans="1:18" x14ac:dyDescent="0.25">
      <c r="A7576" t="s">
        <v>16941</v>
      </c>
      <c r="B7576" t="s">
        <v>9191</v>
      </c>
      <c r="C7576" t="str">
        <f>HYPERLINK("https://nematode.unl.edu/naberra1.jpg")</f>
        <v>https://nematode.unl.edu/naberra1.jpg</v>
      </c>
      <c r="D7576" t="s">
        <v>43</v>
      </c>
      <c r="G7576" t="s">
        <v>44</v>
      </c>
      <c r="I7576" t="s">
        <v>19</v>
      </c>
      <c r="J7576" t="s">
        <v>9192</v>
      </c>
      <c r="L7576" t="s">
        <v>6455</v>
      </c>
      <c r="M7576" t="s">
        <v>9193</v>
      </c>
      <c r="N7576" t="s">
        <v>9193</v>
      </c>
      <c r="O7576" t="s">
        <v>23</v>
      </c>
      <c r="P7576" t="s">
        <v>24</v>
      </c>
      <c r="Q7576" t="s">
        <v>6484</v>
      </c>
      <c r="R7576" t="s">
        <v>9194</v>
      </c>
    </row>
    <row r="7577" spans="1:18" x14ac:dyDescent="0.25">
      <c r="A7577" t="s">
        <v>16942</v>
      </c>
      <c r="B7577" t="s">
        <v>9195</v>
      </c>
      <c r="C7577" t="str">
        <f>HYPERLINK("https://nematode.unl.edu/naberra10.jpg")</f>
        <v>https://nematode.unl.edu/naberra10.jpg</v>
      </c>
      <c r="D7577" t="s">
        <v>16</v>
      </c>
      <c r="G7577" t="s">
        <v>44</v>
      </c>
      <c r="I7577" t="s">
        <v>19</v>
      </c>
      <c r="J7577" t="s">
        <v>9192</v>
      </c>
      <c r="L7577" t="s">
        <v>6455</v>
      </c>
      <c r="M7577" t="s">
        <v>9193</v>
      </c>
      <c r="N7577" t="s">
        <v>9193</v>
      </c>
      <c r="O7577" t="s">
        <v>23</v>
      </c>
      <c r="P7577" t="s">
        <v>24</v>
      </c>
      <c r="Q7577" t="s">
        <v>6484</v>
      </c>
      <c r="R7577" t="s">
        <v>9194</v>
      </c>
    </row>
    <row r="7578" spans="1:18" x14ac:dyDescent="0.25">
      <c r="A7578" t="s">
        <v>16938</v>
      </c>
      <c r="B7578" t="s">
        <v>9196</v>
      </c>
      <c r="C7578" t="str">
        <f>HYPERLINK("https://nematode.unl.edu/naberra11.jpg")</f>
        <v>https://nematode.unl.edu/naberra11.jpg</v>
      </c>
      <c r="D7578" t="s">
        <v>16</v>
      </c>
      <c r="G7578" t="s">
        <v>34</v>
      </c>
      <c r="H7578" t="s">
        <v>18</v>
      </c>
      <c r="I7578" t="s">
        <v>41</v>
      </c>
      <c r="J7578" t="s">
        <v>9192</v>
      </c>
      <c r="L7578" t="s">
        <v>6455</v>
      </c>
      <c r="M7578" t="s">
        <v>9193</v>
      </c>
      <c r="N7578" t="s">
        <v>9193</v>
      </c>
      <c r="O7578" t="s">
        <v>23</v>
      </c>
      <c r="P7578" t="s">
        <v>24</v>
      </c>
      <c r="Q7578" t="s">
        <v>6484</v>
      </c>
      <c r="R7578" t="s">
        <v>9194</v>
      </c>
    </row>
    <row r="7579" spans="1:18" x14ac:dyDescent="0.25">
      <c r="A7579" t="s">
        <v>16947</v>
      </c>
      <c r="B7579" t="s">
        <v>9197</v>
      </c>
      <c r="C7579" t="str">
        <f>HYPERLINK("https://nematode.unl.edu/naberra12.jpg")</f>
        <v>https://nematode.unl.edu/naberra12.jpg</v>
      </c>
      <c r="D7579" t="s">
        <v>16</v>
      </c>
      <c r="G7579" t="s">
        <v>53</v>
      </c>
      <c r="J7579" t="s">
        <v>9192</v>
      </c>
      <c r="L7579" t="s">
        <v>6455</v>
      </c>
      <c r="M7579" t="s">
        <v>9193</v>
      </c>
      <c r="N7579" t="s">
        <v>9193</v>
      </c>
      <c r="O7579" t="s">
        <v>23</v>
      </c>
      <c r="P7579" t="s">
        <v>24</v>
      </c>
      <c r="Q7579" t="s">
        <v>6484</v>
      </c>
      <c r="R7579" t="s">
        <v>9194</v>
      </c>
    </row>
    <row r="7580" spans="1:18" x14ac:dyDescent="0.25">
      <c r="A7580" t="s">
        <v>16948</v>
      </c>
      <c r="B7580" t="s">
        <v>9198</v>
      </c>
      <c r="C7580" t="str">
        <f>HYPERLINK("https://nematode.unl.edu/naberra13.jpg")</f>
        <v>https://nematode.unl.edu/naberra13.jpg</v>
      </c>
      <c r="D7580" t="s">
        <v>16</v>
      </c>
      <c r="G7580" t="s">
        <v>53</v>
      </c>
      <c r="I7580" t="s">
        <v>41</v>
      </c>
      <c r="J7580" t="s">
        <v>9192</v>
      </c>
      <c r="L7580" t="s">
        <v>6455</v>
      </c>
      <c r="M7580" t="s">
        <v>9193</v>
      </c>
      <c r="N7580" t="s">
        <v>9193</v>
      </c>
      <c r="O7580" t="s">
        <v>23</v>
      </c>
      <c r="P7580" t="s">
        <v>24</v>
      </c>
      <c r="Q7580" t="s">
        <v>6484</v>
      </c>
      <c r="R7580" t="s">
        <v>9194</v>
      </c>
    </row>
    <row r="7581" spans="1:18" x14ac:dyDescent="0.25">
      <c r="A7581" t="s">
        <v>16950</v>
      </c>
      <c r="B7581" t="s">
        <v>9199</v>
      </c>
      <c r="C7581" t="str">
        <f>HYPERLINK("https://nematode.unl.edu/naberra14.jpg")</f>
        <v>https://nematode.unl.edu/naberra14.jpg</v>
      </c>
      <c r="D7581" t="s">
        <v>16</v>
      </c>
      <c r="G7581" t="s">
        <v>28</v>
      </c>
      <c r="I7581" t="s">
        <v>41</v>
      </c>
      <c r="J7581" t="s">
        <v>9192</v>
      </c>
      <c r="L7581" t="s">
        <v>6455</v>
      </c>
      <c r="M7581" t="s">
        <v>9193</v>
      </c>
      <c r="N7581" t="s">
        <v>9193</v>
      </c>
      <c r="O7581" t="s">
        <v>23</v>
      </c>
      <c r="P7581" t="s">
        <v>24</v>
      </c>
      <c r="Q7581" t="s">
        <v>6484</v>
      </c>
      <c r="R7581" t="s">
        <v>9194</v>
      </c>
    </row>
    <row r="7582" spans="1:18" x14ac:dyDescent="0.25">
      <c r="A7582" t="s">
        <v>16943</v>
      </c>
      <c r="B7582" t="s">
        <v>9200</v>
      </c>
      <c r="C7582" t="str">
        <f>HYPERLINK("https://nematode.unl.edu/naberra15.jpg")</f>
        <v>https://nematode.unl.edu/naberra15.jpg</v>
      </c>
      <c r="D7582" t="s">
        <v>16</v>
      </c>
      <c r="G7582" t="s">
        <v>44</v>
      </c>
      <c r="I7582" t="s">
        <v>19</v>
      </c>
      <c r="J7582" t="s">
        <v>9192</v>
      </c>
      <c r="L7582" t="s">
        <v>6455</v>
      </c>
      <c r="M7582" t="s">
        <v>9193</v>
      </c>
      <c r="N7582" t="s">
        <v>9193</v>
      </c>
      <c r="O7582" t="s">
        <v>23</v>
      </c>
      <c r="P7582" t="s">
        <v>24</v>
      </c>
      <c r="Q7582" t="s">
        <v>6484</v>
      </c>
      <c r="R7582" t="s">
        <v>9194</v>
      </c>
    </row>
    <row r="7583" spans="1:18" x14ac:dyDescent="0.25">
      <c r="A7583" t="s">
        <v>16939</v>
      </c>
      <c r="B7583" t="s">
        <v>9201</v>
      </c>
      <c r="C7583" t="str">
        <f>HYPERLINK("https://nematode.unl.edu/naberra16.jpg")</f>
        <v>https://nematode.unl.edu/naberra16.jpg</v>
      </c>
      <c r="D7583" t="s">
        <v>16</v>
      </c>
      <c r="G7583" t="s">
        <v>34</v>
      </c>
      <c r="H7583" t="s">
        <v>18</v>
      </c>
      <c r="I7583" t="s">
        <v>41</v>
      </c>
      <c r="J7583" t="s">
        <v>9192</v>
      </c>
      <c r="L7583" t="s">
        <v>6455</v>
      </c>
      <c r="M7583" t="s">
        <v>9193</v>
      </c>
      <c r="N7583" t="s">
        <v>9193</v>
      </c>
      <c r="O7583" t="s">
        <v>23</v>
      </c>
      <c r="P7583" t="s">
        <v>24</v>
      </c>
      <c r="Q7583" t="s">
        <v>6484</v>
      </c>
      <c r="R7583" t="s">
        <v>9194</v>
      </c>
    </row>
    <row r="7584" spans="1:18" x14ac:dyDescent="0.25">
      <c r="A7584" t="s">
        <v>16951</v>
      </c>
      <c r="B7584" t="s">
        <v>9202</v>
      </c>
      <c r="C7584" t="str">
        <f>HYPERLINK("https://nematode.unl.edu/naberra17.jpg")</f>
        <v>https://nematode.unl.edu/naberra17.jpg</v>
      </c>
      <c r="D7584" t="s">
        <v>16</v>
      </c>
      <c r="G7584" t="s">
        <v>28</v>
      </c>
      <c r="I7584" t="s">
        <v>41</v>
      </c>
      <c r="J7584" t="s">
        <v>9192</v>
      </c>
      <c r="L7584" t="s">
        <v>6455</v>
      </c>
      <c r="M7584" t="s">
        <v>9193</v>
      </c>
      <c r="N7584" t="s">
        <v>9193</v>
      </c>
      <c r="O7584" t="s">
        <v>23</v>
      </c>
      <c r="P7584" t="s">
        <v>24</v>
      </c>
      <c r="Q7584" t="s">
        <v>6484</v>
      </c>
      <c r="R7584" t="s">
        <v>9194</v>
      </c>
    </row>
    <row r="7585" spans="1:18" x14ac:dyDescent="0.25">
      <c r="A7585" t="s">
        <v>16936</v>
      </c>
      <c r="B7585" t="s">
        <v>9203</v>
      </c>
      <c r="C7585" t="str">
        <f>HYPERLINK("https://nematode.unl.edu/naberra2.jpg")</f>
        <v>https://nematode.unl.edu/naberra2.jpg</v>
      </c>
      <c r="D7585" t="s">
        <v>43</v>
      </c>
      <c r="G7585" t="s">
        <v>96</v>
      </c>
      <c r="H7585" t="s">
        <v>18</v>
      </c>
      <c r="I7585" t="s">
        <v>41</v>
      </c>
      <c r="J7585" t="s">
        <v>9192</v>
      </c>
      <c r="L7585" t="s">
        <v>6455</v>
      </c>
      <c r="M7585" t="s">
        <v>9193</v>
      </c>
      <c r="N7585" t="s">
        <v>9193</v>
      </c>
      <c r="O7585" t="s">
        <v>23</v>
      </c>
      <c r="P7585" t="s">
        <v>24</v>
      </c>
      <c r="Q7585" t="s">
        <v>6484</v>
      </c>
      <c r="R7585" t="s">
        <v>9194</v>
      </c>
    </row>
    <row r="7586" spans="1:18" x14ac:dyDescent="0.25">
      <c r="A7586" t="s">
        <v>16952</v>
      </c>
      <c r="B7586" t="s">
        <v>9204</v>
      </c>
      <c r="C7586" t="str">
        <f>HYPERLINK("https://nematode.unl.edu/naberra3.jpg")</f>
        <v>https://nematode.unl.edu/naberra3.jpg</v>
      </c>
      <c r="D7586" t="s">
        <v>43</v>
      </c>
      <c r="G7586" t="s">
        <v>28</v>
      </c>
      <c r="J7586" t="s">
        <v>9192</v>
      </c>
      <c r="L7586" t="s">
        <v>6455</v>
      </c>
      <c r="M7586" t="s">
        <v>9193</v>
      </c>
      <c r="N7586" t="s">
        <v>9193</v>
      </c>
      <c r="O7586" t="s">
        <v>23</v>
      </c>
      <c r="P7586" t="s">
        <v>24</v>
      </c>
      <c r="Q7586" t="s">
        <v>6484</v>
      </c>
      <c r="R7586" t="s">
        <v>9194</v>
      </c>
    </row>
    <row r="7587" spans="1:18" x14ac:dyDescent="0.25">
      <c r="A7587" t="s">
        <v>16949</v>
      </c>
      <c r="B7587" t="s">
        <v>9205</v>
      </c>
      <c r="C7587" t="str">
        <f>HYPERLINK("https://nematode.unl.edu/naberra4.jpg")</f>
        <v>https://nematode.unl.edu/naberra4.jpg</v>
      </c>
      <c r="D7587" t="s">
        <v>77</v>
      </c>
      <c r="G7587" t="s">
        <v>112</v>
      </c>
      <c r="I7587" t="s">
        <v>41</v>
      </c>
      <c r="J7587" t="s">
        <v>9192</v>
      </c>
      <c r="L7587" t="s">
        <v>6455</v>
      </c>
      <c r="M7587" t="s">
        <v>9193</v>
      </c>
      <c r="N7587" t="s">
        <v>9193</v>
      </c>
      <c r="O7587" t="s">
        <v>23</v>
      </c>
      <c r="P7587" t="s">
        <v>24</v>
      </c>
      <c r="Q7587" t="s">
        <v>6484</v>
      </c>
      <c r="R7587" t="s">
        <v>9194</v>
      </c>
    </row>
    <row r="7588" spans="1:18" x14ac:dyDescent="0.25">
      <c r="A7588" t="s">
        <v>16937</v>
      </c>
      <c r="B7588" t="s">
        <v>9206</v>
      </c>
      <c r="C7588" t="str">
        <f>HYPERLINK("https://nematode.unl.edu/naberra5.jpg")</f>
        <v>https://nematode.unl.edu/naberra5.jpg</v>
      </c>
      <c r="D7588" t="s">
        <v>77</v>
      </c>
      <c r="G7588" t="s">
        <v>96</v>
      </c>
      <c r="H7588" t="s">
        <v>18</v>
      </c>
      <c r="I7588" t="s">
        <v>41</v>
      </c>
      <c r="J7588" t="s">
        <v>9192</v>
      </c>
      <c r="L7588" t="s">
        <v>6455</v>
      </c>
      <c r="M7588" t="s">
        <v>9193</v>
      </c>
      <c r="N7588" t="s">
        <v>9193</v>
      </c>
      <c r="O7588" t="s">
        <v>23</v>
      </c>
      <c r="P7588" t="s">
        <v>24</v>
      </c>
      <c r="Q7588" t="s">
        <v>6484</v>
      </c>
      <c r="R7588" t="s">
        <v>9194</v>
      </c>
    </row>
    <row r="7589" spans="1:18" x14ac:dyDescent="0.25">
      <c r="A7589" t="s">
        <v>16940</v>
      </c>
      <c r="B7589" t="s">
        <v>9207</v>
      </c>
      <c r="C7589" t="str">
        <f>HYPERLINK("https://nematode.unl.edu/naberra6.jpg")</f>
        <v>https://nematode.unl.edu/naberra6.jpg</v>
      </c>
      <c r="D7589" t="s">
        <v>16</v>
      </c>
      <c r="G7589" t="s">
        <v>34</v>
      </c>
      <c r="H7589" t="s">
        <v>18</v>
      </c>
      <c r="I7589" t="s">
        <v>19</v>
      </c>
      <c r="J7589" t="s">
        <v>9192</v>
      </c>
      <c r="L7589" t="s">
        <v>6455</v>
      </c>
      <c r="M7589" t="s">
        <v>9193</v>
      </c>
      <c r="N7589" t="s">
        <v>9193</v>
      </c>
      <c r="O7589" t="s">
        <v>23</v>
      </c>
      <c r="P7589" t="s">
        <v>24</v>
      </c>
      <c r="Q7589" t="s">
        <v>6484</v>
      </c>
      <c r="R7589" t="s">
        <v>9194</v>
      </c>
    </row>
    <row r="7590" spans="1:18" x14ac:dyDescent="0.25">
      <c r="A7590" t="s">
        <v>16944</v>
      </c>
      <c r="B7590" t="s">
        <v>9208</v>
      </c>
      <c r="C7590" t="str">
        <f>HYPERLINK("https://nematode.unl.edu/naberra7.jpg")</f>
        <v>https://nematode.unl.edu/naberra7.jpg</v>
      </c>
      <c r="D7590" t="s">
        <v>43</v>
      </c>
      <c r="G7590" t="s">
        <v>44</v>
      </c>
      <c r="I7590" t="s">
        <v>316</v>
      </c>
      <c r="J7590" t="s">
        <v>9192</v>
      </c>
      <c r="L7590" t="s">
        <v>6455</v>
      </c>
      <c r="M7590" t="s">
        <v>9193</v>
      </c>
      <c r="N7590" t="s">
        <v>9193</v>
      </c>
      <c r="O7590" t="s">
        <v>23</v>
      </c>
      <c r="P7590" t="s">
        <v>24</v>
      </c>
      <c r="Q7590" t="s">
        <v>6484</v>
      </c>
      <c r="R7590" t="s">
        <v>9194</v>
      </c>
    </row>
    <row r="7591" spans="1:18" x14ac:dyDescent="0.25">
      <c r="A7591" t="s">
        <v>16945</v>
      </c>
      <c r="B7591" t="s">
        <v>9209</v>
      </c>
      <c r="C7591" t="str">
        <f>HYPERLINK("https://nematode.unl.edu/naberra8.jpg")</f>
        <v>https://nematode.unl.edu/naberra8.jpg</v>
      </c>
      <c r="D7591" t="s">
        <v>43</v>
      </c>
      <c r="G7591" t="s">
        <v>44</v>
      </c>
      <c r="I7591" t="s">
        <v>45</v>
      </c>
      <c r="J7591" t="s">
        <v>9192</v>
      </c>
      <c r="L7591" t="s">
        <v>6455</v>
      </c>
      <c r="M7591" t="s">
        <v>9193</v>
      </c>
      <c r="N7591" t="s">
        <v>9193</v>
      </c>
      <c r="O7591" t="s">
        <v>23</v>
      </c>
      <c r="P7591" t="s">
        <v>24</v>
      </c>
      <c r="Q7591" t="s">
        <v>6484</v>
      </c>
      <c r="R7591" t="s">
        <v>9194</v>
      </c>
    </row>
    <row r="7592" spans="1:18" x14ac:dyDescent="0.25">
      <c r="A7592" t="s">
        <v>16946</v>
      </c>
      <c r="B7592" t="s">
        <v>9210</v>
      </c>
      <c r="C7592" t="str">
        <f>HYPERLINK("https://nematode.unl.edu/naberra9.jpg")</f>
        <v>https://nematode.unl.edu/naberra9.jpg</v>
      </c>
      <c r="D7592" t="s">
        <v>16</v>
      </c>
      <c r="G7592" t="s">
        <v>44</v>
      </c>
      <c r="I7592" t="s">
        <v>137</v>
      </c>
      <c r="J7592" t="s">
        <v>9192</v>
      </c>
      <c r="L7592" t="s">
        <v>6455</v>
      </c>
      <c r="M7592" t="s">
        <v>9193</v>
      </c>
      <c r="N7592" t="s">
        <v>9193</v>
      </c>
      <c r="O7592" t="s">
        <v>23</v>
      </c>
      <c r="P7592" t="s">
        <v>24</v>
      </c>
      <c r="Q7592" t="s">
        <v>6484</v>
      </c>
      <c r="R7592" t="s">
        <v>9194</v>
      </c>
    </row>
    <row r="7593" spans="1:18" x14ac:dyDescent="0.25">
      <c r="A7593" t="s">
        <v>15912</v>
      </c>
      <c r="B7593" t="s">
        <v>9211</v>
      </c>
      <c r="C7593" t="str">
        <f>HYPERLINK("https://nematode.unl.edu/nagle1.jpg")</f>
        <v>https://nematode.unl.edu/nagle1.jpg</v>
      </c>
      <c r="D7593" t="s">
        <v>43</v>
      </c>
      <c r="G7593" t="s">
        <v>44</v>
      </c>
      <c r="I7593" t="s">
        <v>499</v>
      </c>
      <c r="J7593" t="s">
        <v>1374</v>
      </c>
      <c r="M7593" t="s">
        <v>9212</v>
      </c>
      <c r="N7593" t="s">
        <v>9212</v>
      </c>
      <c r="O7593" t="s">
        <v>23</v>
      </c>
      <c r="P7593" t="s">
        <v>24</v>
      </c>
      <c r="Q7593" t="s">
        <v>1071</v>
      </c>
      <c r="R7593" t="s">
        <v>1367</v>
      </c>
    </row>
    <row r="7594" spans="1:18" x14ac:dyDescent="0.25">
      <c r="A7594" t="s">
        <v>15910</v>
      </c>
      <c r="B7594" t="s">
        <v>9213</v>
      </c>
      <c r="C7594" t="str">
        <f>HYPERLINK("https://nematode.unl.edu/nagle2.jpg")</f>
        <v>https://nematode.unl.edu/nagle2.jpg</v>
      </c>
      <c r="G7594" t="s">
        <v>34</v>
      </c>
      <c r="H7594" t="s">
        <v>18</v>
      </c>
      <c r="M7594" t="s">
        <v>9212</v>
      </c>
      <c r="N7594" t="s">
        <v>9212</v>
      </c>
      <c r="O7594" t="s">
        <v>23</v>
      </c>
      <c r="P7594" t="s">
        <v>24</v>
      </c>
      <c r="Q7594" t="s">
        <v>1071</v>
      </c>
      <c r="R7594" t="s">
        <v>1367</v>
      </c>
    </row>
    <row r="7595" spans="1:18" x14ac:dyDescent="0.25">
      <c r="A7595" t="s">
        <v>15914</v>
      </c>
      <c r="B7595" t="s">
        <v>9214</v>
      </c>
      <c r="C7595" t="str">
        <f>HYPERLINK("https://nematode.unl.edu/nagle3.jpg")</f>
        <v>https://nematode.unl.edu/nagle3.jpg</v>
      </c>
      <c r="D7595" t="s">
        <v>43</v>
      </c>
      <c r="G7595" t="s">
        <v>51</v>
      </c>
      <c r="I7595" t="s">
        <v>19</v>
      </c>
      <c r="J7595" t="s">
        <v>1202</v>
      </c>
      <c r="M7595" t="s">
        <v>9212</v>
      </c>
      <c r="N7595" t="s">
        <v>9212</v>
      </c>
      <c r="O7595" t="s">
        <v>23</v>
      </c>
      <c r="P7595" t="s">
        <v>24</v>
      </c>
      <c r="Q7595" t="s">
        <v>1071</v>
      </c>
      <c r="R7595" t="s">
        <v>1367</v>
      </c>
    </row>
    <row r="7596" spans="1:18" x14ac:dyDescent="0.25">
      <c r="A7596" t="s">
        <v>15913</v>
      </c>
      <c r="B7596" t="s">
        <v>9215</v>
      </c>
      <c r="C7596" t="str">
        <f>HYPERLINK("https://nematode.unl.edu/nagle4.jpg")</f>
        <v>https://nematode.unl.edu/nagle4.jpg</v>
      </c>
      <c r="D7596" t="s">
        <v>43</v>
      </c>
      <c r="G7596" t="s">
        <v>28</v>
      </c>
      <c r="I7596" t="s">
        <v>19</v>
      </c>
      <c r="M7596" t="s">
        <v>9212</v>
      </c>
      <c r="N7596" t="s">
        <v>9212</v>
      </c>
      <c r="O7596" t="s">
        <v>23</v>
      </c>
      <c r="P7596" t="s">
        <v>24</v>
      </c>
      <c r="Q7596" t="s">
        <v>1071</v>
      </c>
      <c r="R7596" t="s">
        <v>1367</v>
      </c>
    </row>
    <row r="7597" spans="1:18" x14ac:dyDescent="0.25">
      <c r="A7597" t="s">
        <v>15911</v>
      </c>
      <c r="B7597" t="s">
        <v>9216</v>
      </c>
      <c r="C7597" t="str">
        <f>HYPERLINK("https://nematode.unl.edu/nagle5.jpg")</f>
        <v>https://nematode.unl.edu/nagle5.jpg</v>
      </c>
      <c r="G7597" t="s">
        <v>34</v>
      </c>
      <c r="H7597" t="s">
        <v>18</v>
      </c>
      <c r="M7597" t="s">
        <v>9212</v>
      </c>
      <c r="N7597" t="s">
        <v>9212</v>
      </c>
      <c r="O7597" t="s">
        <v>23</v>
      </c>
      <c r="P7597" t="s">
        <v>24</v>
      </c>
      <c r="Q7597" t="s">
        <v>1071</v>
      </c>
      <c r="R7597" t="s">
        <v>1367</v>
      </c>
    </row>
    <row r="7598" spans="1:18" x14ac:dyDescent="0.25">
      <c r="A7598" t="s">
        <v>18775</v>
      </c>
      <c r="B7598" t="s">
        <v>9217</v>
      </c>
      <c r="C7598" t="str">
        <f>HYPERLINK("https://nematode.unl.edu/neoasp1.jpg")</f>
        <v>https://nematode.unl.edu/neoasp1.jpg</v>
      </c>
      <c r="G7598" t="s">
        <v>34</v>
      </c>
      <c r="H7598" t="s">
        <v>18</v>
      </c>
      <c r="J7598" t="s">
        <v>1292</v>
      </c>
      <c r="M7598" t="s">
        <v>9218</v>
      </c>
      <c r="N7598" t="s">
        <v>9218</v>
      </c>
      <c r="O7598" t="s">
        <v>73</v>
      </c>
      <c r="P7598" t="s">
        <v>81</v>
      </c>
      <c r="Q7598" t="s">
        <v>1794</v>
      </c>
      <c r="R7598" t="s">
        <v>9218</v>
      </c>
    </row>
    <row r="7599" spans="1:18" x14ac:dyDescent="0.25">
      <c r="A7599" t="s">
        <v>17658</v>
      </c>
      <c r="B7599" t="s">
        <v>9219</v>
      </c>
      <c r="C7599" t="str">
        <f>HYPERLINK("https://nematode.unl.edu/neodohy1.jpg")</f>
        <v>https://nematode.unl.edu/neodohy1.jpg</v>
      </c>
      <c r="D7599" t="s">
        <v>43</v>
      </c>
      <c r="G7599" t="s">
        <v>44</v>
      </c>
      <c r="I7599" t="s">
        <v>19</v>
      </c>
      <c r="J7599" t="s">
        <v>9220</v>
      </c>
      <c r="M7599" t="s">
        <v>9221</v>
      </c>
      <c r="N7599" t="s">
        <v>9221</v>
      </c>
      <c r="O7599" t="s">
        <v>23</v>
      </c>
      <c r="P7599" t="s">
        <v>24</v>
      </c>
      <c r="Q7599" t="s">
        <v>1773</v>
      </c>
      <c r="R7599" t="s">
        <v>9221</v>
      </c>
    </row>
    <row r="7600" spans="1:18" x14ac:dyDescent="0.25">
      <c r="A7600" t="s">
        <v>17660</v>
      </c>
      <c r="B7600" t="s">
        <v>9222</v>
      </c>
      <c r="C7600" t="str">
        <f>HYPERLINK("https://nematode.unl.edu/neodohy2.jpg")</f>
        <v>https://nematode.unl.edu/neodohy2.jpg</v>
      </c>
      <c r="D7600" t="s">
        <v>43</v>
      </c>
      <c r="G7600" t="s">
        <v>224</v>
      </c>
      <c r="I7600" t="s">
        <v>41</v>
      </c>
      <c r="M7600" t="s">
        <v>9221</v>
      </c>
      <c r="N7600" t="s">
        <v>9221</v>
      </c>
      <c r="O7600" t="s">
        <v>23</v>
      </c>
      <c r="P7600" t="s">
        <v>24</v>
      </c>
      <c r="Q7600" t="s">
        <v>1773</v>
      </c>
      <c r="R7600" t="s">
        <v>9221</v>
      </c>
    </row>
    <row r="7601" spans="1:18" x14ac:dyDescent="0.25">
      <c r="A7601" t="s">
        <v>17663</v>
      </c>
      <c r="B7601" t="s">
        <v>9223</v>
      </c>
      <c r="C7601" t="str">
        <f>HYPERLINK("https://nematode.unl.edu/neodohy3.jpg")</f>
        <v>https://nematode.unl.edu/neodohy3.jpg</v>
      </c>
      <c r="D7601" t="s">
        <v>43</v>
      </c>
      <c r="G7601" t="s">
        <v>28</v>
      </c>
      <c r="I7601" t="s">
        <v>529</v>
      </c>
      <c r="J7601" t="s">
        <v>9220</v>
      </c>
      <c r="M7601" t="s">
        <v>9221</v>
      </c>
      <c r="N7601" t="s">
        <v>9221</v>
      </c>
      <c r="O7601" t="s">
        <v>23</v>
      </c>
      <c r="P7601" t="s">
        <v>24</v>
      </c>
      <c r="Q7601" t="s">
        <v>1773</v>
      </c>
      <c r="R7601" t="s">
        <v>9221</v>
      </c>
    </row>
    <row r="7602" spans="1:18" x14ac:dyDescent="0.25">
      <c r="A7602" t="s">
        <v>17657</v>
      </c>
      <c r="B7602" t="s">
        <v>9224</v>
      </c>
      <c r="C7602" t="str">
        <f>HYPERLINK("https://nematode.unl.edu/neodohy4.jpg")</f>
        <v>https://nematode.unl.edu/neodohy4.jpg</v>
      </c>
      <c r="D7602" t="s">
        <v>43</v>
      </c>
      <c r="G7602" t="s">
        <v>34</v>
      </c>
      <c r="H7602" t="s">
        <v>18</v>
      </c>
      <c r="M7602" t="s">
        <v>9221</v>
      </c>
      <c r="N7602" t="s">
        <v>9221</v>
      </c>
      <c r="O7602" t="s">
        <v>23</v>
      </c>
      <c r="P7602" t="s">
        <v>24</v>
      </c>
      <c r="Q7602" t="s">
        <v>1773</v>
      </c>
      <c r="R7602" t="s">
        <v>9221</v>
      </c>
    </row>
    <row r="7603" spans="1:18" x14ac:dyDescent="0.25">
      <c r="A7603" t="s">
        <v>17662</v>
      </c>
      <c r="B7603" t="s">
        <v>9225</v>
      </c>
      <c r="C7603" t="str">
        <f>HYPERLINK("https://nematode.unl.edu/neodohy5.jpg")</f>
        <v>https://nematode.unl.edu/neodohy5.jpg</v>
      </c>
      <c r="D7603" t="s">
        <v>43</v>
      </c>
      <c r="G7603" t="s">
        <v>674</v>
      </c>
      <c r="I7603" t="s">
        <v>41</v>
      </c>
      <c r="M7603" t="s">
        <v>9221</v>
      </c>
      <c r="N7603" t="s">
        <v>9221</v>
      </c>
      <c r="O7603" t="s">
        <v>23</v>
      </c>
      <c r="P7603" t="s">
        <v>24</v>
      </c>
      <c r="Q7603" t="s">
        <v>1773</v>
      </c>
      <c r="R7603" t="s">
        <v>9221</v>
      </c>
    </row>
    <row r="7604" spans="1:18" x14ac:dyDescent="0.25">
      <c r="A7604" t="s">
        <v>17661</v>
      </c>
      <c r="B7604" t="s">
        <v>9226</v>
      </c>
      <c r="C7604" t="str">
        <f>HYPERLINK("https://nematode.unl.edu/neodohy6.jpg")</f>
        <v>https://nematode.unl.edu/neodohy6.jpg</v>
      </c>
      <c r="D7604" t="s">
        <v>43</v>
      </c>
      <c r="G7604" t="s">
        <v>224</v>
      </c>
      <c r="M7604" t="s">
        <v>9221</v>
      </c>
      <c r="N7604" t="s">
        <v>9221</v>
      </c>
      <c r="O7604" t="s">
        <v>23</v>
      </c>
      <c r="P7604" t="s">
        <v>24</v>
      </c>
      <c r="Q7604" t="s">
        <v>1773</v>
      </c>
      <c r="R7604" t="s">
        <v>9221</v>
      </c>
    </row>
    <row r="7605" spans="1:18" x14ac:dyDescent="0.25">
      <c r="A7605" t="s">
        <v>17664</v>
      </c>
      <c r="B7605" t="s">
        <v>9227</v>
      </c>
      <c r="C7605" t="str">
        <f>HYPERLINK("https://nematode.unl.edu/neodohy7.jpg")</f>
        <v>https://nematode.unl.edu/neodohy7.jpg</v>
      </c>
      <c r="D7605" t="s">
        <v>43</v>
      </c>
      <c r="G7605" t="s">
        <v>28</v>
      </c>
      <c r="I7605" t="s">
        <v>41</v>
      </c>
      <c r="M7605" t="s">
        <v>9221</v>
      </c>
      <c r="N7605" t="s">
        <v>9221</v>
      </c>
      <c r="O7605" t="s">
        <v>23</v>
      </c>
      <c r="P7605" t="s">
        <v>24</v>
      </c>
      <c r="Q7605" t="s">
        <v>1773</v>
      </c>
      <c r="R7605" t="s">
        <v>9221</v>
      </c>
    </row>
    <row r="7606" spans="1:18" x14ac:dyDescent="0.25">
      <c r="A7606" t="s">
        <v>17659</v>
      </c>
      <c r="B7606" t="s">
        <v>9228</v>
      </c>
      <c r="C7606" t="str">
        <f>HYPERLINK("https://nematode.unl.edu/neodohy8.jpg")</f>
        <v>https://nematode.unl.edu/neodohy8.jpg</v>
      </c>
      <c r="D7606" t="s">
        <v>43</v>
      </c>
      <c r="G7606" t="s">
        <v>44</v>
      </c>
      <c r="I7606" t="s">
        <v>516</v>
      </c>
      <c r="J7606" t="s">
        <v>9220</v>
      </c>
      <c r="M7606" t="s">
        <v>9221</v>
      </c>
      <c r="N7606" t="s">
        <v>9221</v>
      </c>
      <c r="O7606" t="s">
        <v>23</v>
      </c>
      <c r="P7606" t="s">
        <v>24</v>
      </c>
      <c r="Q7606" t="s">
        <v>1773</v>
      </c>
      <c r="R7606" t="s">
        <v>9221</v>
      </c>
    </row>
    <row r="7607" spans="1:18" x14ac:dyDescent="0.25">
      <c r="A7607" t="s">
        <v>13976</v>
      </c>
      <c r="B7607" t="s">
        <v>6991</v>
      </c>
      <c r="C7607" t="str">
        <f>HYPERLINK("https://nematode.unl.edu/neolob1.jpg")</f>
        <v>https://nematode.unl.edu/neolob1.jpg</v>
      </c>
      <c r="D7607" t="s">
        <v>16</v>
      </c>
      <c r="G7607" t="s">
        <v>44</v>
      </c>
      <c r="I7607" t="s">
        <v>19</v>
      </c>
      <c r="J7607" t="s">
        <v>6089</v>
      </c>
      <c r="M7607" t="s">
        <v>6940</v>
      </c>
      <c r="N7607" t="s">
        <v>6940</v>
      </c>
      <c r="O7607" t="s">
        <v>23</v>
      </c>
      <c r="P7607" t="s">
        <v>24</v>
      </c>
      <c r="Q7607" t="s">
        <v>642</v>
      </c>
      <c r="R7607" t="s">
        <v>6940</v>
      </c>
    </row>
    <row r="7608" spans="1:18" x14ac:dyDescent="0.25">
      <c r="A7608" t="s">
        <v>13984</v>
      </c>
      <c r="B7608" t="s">
        <v>6992</v>
      </c>
      <c r="C7608" t="str">
        <f>HYPERLINK("https://nematode.unl.edu/neolob2.jpg")</f>
        <v>https://nematode.unl.edu/neolob2.jpg</v>
      </c>
      <c r="D7608" t="s">
        <v>16</v>
      </c>
      <c r="G7608" t="s">
        <v>224</v>
      </c>
      <c r="I7608" t="s">
        <v>19</v>
      </c>
      <c r="M7608" t="s">
        <v>6940</v>
      </c>
      <c r="N7608" t="s">
        <v>6940</v>
      </c>
      <c r="O7608" t="s">
        <v>23</v>
      </c>
      <c r="P7608" t="s">
        <v>24</v>
      </c>
      <c r="Q7608" t="s">
        <v>642</v>
      </c>
      <c r="R7608" t="s">
        <v>6940</v>
      </c>
    </row>
    <row r="7609" spans="1:18" x14ac:dyDescent="0.25">
      <c r="A7609" t="s">
        <v>13964</v>
      </c>
      <c r="B7609" t="s">
        <v>6993</v>
      </c>
      <c r="C7609" t="str">
        <f>HYPERLINK("https://nematode.unl.edu/neolob3.jpg")</f>
        <v>https://nematode.unl.edu/neolob3.jpg</v>
      </c>
      <c r="G7609" t="s">
        <v>34</v>
      </c>
      <c r="H7609" t="s">
        <v>18</v>
      </c>
      <c r="I7609" t="s">
        <v>41</v>
      </c>
      <c r="M7609" t="s">
        <v>6940</v>
      </c>
      <c r="N7609" t="s">
        <v>6940</v>
      </c>
      <c r="O7609" t="s">
        <v>23</v>
      </c>
      <c r="P7609" t="s">
        <v>24</v>
      </c>
      <c r="Q7609" t="s">
        <v>642</v>
      </c>
      <c r="R7609" t="s">
        <v>6940</v>
      </c>
    </row>
    <row r="7610" spans="1:18" x14ac:dyDescent="0.25">
      <c r="A7610" t="s">
        <v>14000</v>
      </c>
      <c r="B7610" t="s">
        <v>6994</v>
      </c>
      <c r="C7610" t="str">
        <f>HYPERLINK("https://nematode.unl.edu/neolob4.jpg")</f>
        <v>https://nematode.unl.edu/neolob4.jpg</v>
      </c>
      <c r="D7610" t="s">
        <v>16</v>
      </c>
      <c r="G7610" t="s">
        <v>28</v>
      </c>
      <c r="I7610" t="s">
        <v>41</v>
      </c>
      <c r="M7610" t="s">
        <v>6940</v>
      </c>
      <c r="N7610" t="s">
        <v>6940</v>
      </c>
      <c r="O7610" t="s">
        <v>23</v>
      </c>
      <c r="P7610" t="s">
        <v>24</v>
      </c>
      <c r="Q7610" t="s">
        <v>642</v>
      </c>
      <c r="R7610" t="s">
        <v>6940</v>
      </c>
    </row>
    <row r="7611" spans="1:18" x14ac:dyDescent="0.25">
      <c r="A7611" t="s">
        <v>13988</v>
      </c>
      <c r="B7611" t="s">
        <v>6995</v>
      </c>
      <c r="C7611" t="str">
        <f>HYPERLINK("https://nematode.unl.edu/neolob5.jpg")</f>
        <v>https://nematode.unl.edu/neolob5.jpg</v>
      </c>
      <c r="D7611" t="s">
        <v>16</v>
      </c>
      <c r="G7611" t="s">
        <v>6996</v>
      </c>
      <c r="I7611" t="s">
        <v>41</v>
      </c>
      <c r="J7611" t="s">
        <v>6089</v>
      </c>
      <c r="M7611" t="s">
        <v>6940</v>
      </c>
      <c r="N7611" t="s">
        <v>6940</v>
      </c>
      <c r="O7611" t="s">
        <v>23</v>
      </c>
      <c r="P7611" t="s">
        <v>24</v>
      </c>
      <c r="Q7611" t="s">
        <v>642</v>
      </c>
      <c r="R7611" t="s">
        <v>6940</v>
      </c>
    </row>
    <row r="7612" spans="1:18" x14ac:dyDescent="0.25">
      <c r="A7612" t="s">
        <v>13977</v>
      </c>
      <c r="B7612" t="s">
        <v>6997</v>
      </c>
      <c r="C7612" t="str">
        <f>HYPERLINK("https://nematode.unl.edu/neolob6.jpg")</f>
        <v>https://nematode.unl.edu/neolob6.jpg</v>
      </c>
      <c r="D7612" t="s">
        <v>16</v>
      </c>
      <c r="G7612" t="s">
        <v>44</v>
      </c>
      <c r="I7612" t="s">
        <v>41</v>
      </c>
      <c r="J7612" t="s">
        <v>6089</v>
      </c>
      <c r="M7612" t="s">
        <v>6940</v>
      </c>
      <c r="N7612" t="s">
        <v>6940</v>
      </c>
      <c r="O7612" t="s">
        <v>23</v>
      </c>
      <c r="P7612" t="s">
        <v>24</v>
      </c>
      <c r="Q7612" t="s">
        <v>642</v>
      </c>
      <c r="R7612" t="s">
        <v>6940</v>
      </c>
    </row>
    <row r="7613" spans="1:18" x14ac:dyDescent="0.25">
      <c r="A7613" t="s">
        <v>18491</v>
      </c>
      <c r="B7613" t="s">
        <v>9234</v>
      </c>
      <c r="C7613" t="str">
        <f>HYPERLINK("https://nematode.unl.edu/neoma1.jpg")</f>
        <v>https://nematode.unl.edu/neoma1.jpg</v>
      </c>
      <c r="D7613" t="s">
        <v>43</v>
      </c>
      <c r="G7613" t="s">
        <v>414</v>
      </c>
      <c r="I7613" t="s">
        <v>41</v>
      </c>
      <c r="J7613" t="s">
        <v>20</v>
      </c>
      <c r="L7613" t="s">
        <v>220</v>
      </c>
      <c r="M7613" t="s">
        <v>9230</v>
      </c>
      <c r="N7613" t="s">
        <v>9230</v>
      </c>
      <c r="O7613" t="s">
        <v>23</v>
      </c>
      <c r="P7613" t="s">
        <v>24</v>
      </c>
      <c r="Q7613" t="s">
        <v>69</v>
      </c>
      <c r="R7613" t="s">
        <v>9231</v>
      </c>
    </row>
    <row r="7614" spans="1:18" x14ac:dyDescent="0.25">
      <c r="A7614" t="s">
        <v>18477</v>
      </c>
      <c r="B7614" t="s">
        <v>9235</v>
      </c>
      <c r="C7614" t="str">
        <f>HYPERLINK("https://nematode.unl.edu/neoma10.jpg")</f>
        <v>https://nematode.unl.edu/neoma10.jpg</v>
      </c>
      <c r="D7614" t="s">
        <v>16</v>
      </c>
      <c r="G7614" t="s">
        <v>34</v>
      </c>
      <c r="H7614" t="s">
        <v>18</v>
      </c>
      <c r="I7614" t="s">
        <v>41</v>
      </c>
      <c r="J7614" t="s">
        <v>20</v>
      </c>
      <c r="M7614" t="s">
        <v>9230</v>
      </c>
      <c r="N7614" t="s">
        <v>9230</v>
      </c>
      <c r="O7614" t="s">
        <v>23</v>
      </c>
      <c r="P7614" t="s">
        <v>24</v>
      </c>
      <c r="Q7614" t="s">
        <v>69</v>
      </c>
      <c r="R7614" t="s">
        <v>9231</v>
      </c>
    </row>
    <row r="7615" spans="1:18" x14ac:dyDescent="0.25">
      <c r="A7615" t="s">
        <v>18492</v>
      </c>
      <c r="B7615" t="s">
        <v>9236</v>
      </c>
      <c r="C7615" t="str">
        <f>HYPERLINK("https://nematode.unl.edu/neoma11.jpg")</f>
        <v>https://nematode.unl.edu/neoma11.jpg</v>
      </c>
      <c r="D7615" t="s">
        <v>16</v>
      </c>
      <c r="G7615" t="s">
        <v>28</v>
      </c>
      <c r="I7615" t="s">
        <v>41</v>
      </c>
      <c r="J7615" t="s">
        <v>20</v>
      </c>
      <c r="L7615" t="s">
        <v>78</v>
      </c>
      <c r="M7615" t="s">
        <v>9230</v>
      </c>
      <c r="N7615" t="s">
        <v>9230</v>
      </c>
      <c r="O7615" t="s">
        <v>23</v>
      </c>
      <c r="P7615" t="s">
        <v>24</v>
      </c>
      <c r="Q7615" t="s">
        <v>69</v>
      </c>
      <c r="R7615" t="s">
        <v>9231</v>
      </c>
    </row>
    <row r="7616" spans="1:18" x14ac:dyDescent="0.25">
      <c r="A7616" t="s">
        <v>18478</v>
      </c>
      <c r="B7616" t="s">
        <v>9237</v>
      </c>
      <c r="C7616" t="str">
        <f>HYPERLINK("https://nematode.unl.edu/neoma2.jpg")</f>
        <v>https://nematode.unl.edu/neoma2.jpg</v>
      </c>
      <c r="D7616" t="s">
        <v>43</v>
      </c>
      <c r="G7616" t="s">
        <v>34</v>
      </c>
      <c r="H7616" t="s">
        <v>18</v>
      </c>
      <c r="I7616" t="s">
        <v>41</v>
      </c>
      <c r="J7616" t="s">
        <v>20</v>
      </c>
      <c r="L7616" t="s">
        <v>138</v>
      </c>
      <c r="M7616" t="s">
        <v>9230</v>
      </c>
      <c r="N7616" t="s">
        <v>9230</v>
      </c>
      <c r="O7616" t="s">
        <v>23</v>
      </c>
      <c r="P7616" t="s">
        <v>24</v>
      </c>
      <c r="Q7616" t="s">
        <v>69</v>
      </c>
      <c r="R7616" t="s">
        <v>9231</v>
      </c>
    </row>
    <row r="7617" spans="1:18" x14ac:dyDescent="0.25">
      <c r="A7617" t="s">
        <v>18479</v>
      </c>
      <c r="B7617" t="s">
        <v>9238</v>
      </c>
      <c r="C7617" t="str">
        <f>HYPERLINK("https://nematode.unl.edu/neoma3.jpg")</f>
        <v>https://nematode.unl.edu/neoma3.jpg</v>
      </c>
      <c r="D7617" t="s">
        <v>43</v>
      </c>
      <c r="G7617" t="s">
        <v>34</v>
      </c>
      <c r="H7617" t="s">
        <v>18</v>
      </c>
      <c r="I7617" t="s">
        <v>41</v>
      </c>
      <c r="J7617" t="s">
        <v>20</v>
      </c>
      <c r="L7617" t="s">
        <v>173</v>
      </c>
      <c r="M7617" t="s">
        <v>9230</v>
      </c>
      <c r="N7617" t="s">
        <v>9230</v>
      </c>
      <c r="O7617" t="s">
        <v>23</v>
      </c>
      <c r="P7617" t="s">
        <v>24</v>
      </c>
      <c r="Q7617" t="s">
        <v>69</v>
      </c>
      <c r="R7617" t="s">
        <v>9231</v>
      </c>
    </row>
    <row r="7618" spans="1:18" x14ac:dyDescent="0.25">
      <c r="A7618" t="s">
        <v>18480</v>
      </c>
      <c r="B7618" t="s">
        <v>9239</v>
      </c>
      <c r="C7618" t="str">
        <f>HYPERLINK("https://nematode.unl.edu/neoma4.jpg")</f>
        <v>https://nematode.unl.edu/neoma4.jpg</v>
      </c>
      <c r="D7618" t="s">
        <v>43</v>
      </c>
      <c r="G7618" t="s">
        <v>34</v>
      </c>
      <c r="H7618" t="s">
        <v>18</v>
      </c>
      <c r="I7618" t="s">
        <v>19</v>
      </c>
      <c r="J7618" t="s">
        <v>20</v>
      </c>
      <c r="L7618" t="s">
        <v>85</v>
      </c>
      <c r="M7618" t="s">
        <v>9230</v>
      </c>
      <c r="N7618" t="s">
        <v>9230</v>
      </c>
      <c r="O7618" t="s">
        <v>23</v>
      </c>
      <c r="P7618" t="s">
        <v>24</v>
      </c>
      <c r="Q7618" t="s">
        <v>69</v>
      </c>
      <c r="R7618" t="s">
        <v>9231</v>
      </c>
    </row>
    <row r="7619" spans="1:18" x14ac:dyDescent="0.25">
      <c r="A7619" t="s">
        <v>18489</v>
      </c>
      <c r="B7619" t="s">
        <v>9240</v>
      </c>
      <c r="C7619" t="str">
        <f>HYPERLINK("https://nematode.unl.edu/neoma5.jpg")</f>
        <v>https://nematode.unl.edu/neoma5.jpg</v>
      </c>
      <c r="D7619" t="s">
        <v>43</v>
      </c>
      <c r="G7619" t="s">
        <v>44</v>
      </c>
      <c r="I7619" t="s">
        <v>499</v>
      </c>
      <c r="J7619" t="s">
        <v>20</v>
      </c>
      <c r="L7619" t="s">
        <v>85</v>
      </c>
      <c r="M7619" t="s">
        <v>9230</v>
      </c>
      <c r="N7619" t="s">
        <v>9230</v>
      </c>
      <c r="O7619" t="s">
        <v>23</v>
      </c>
      <c r="P7619" t="s">
        <v>24</v>
      </c>
      <c r="Q7619" t="s">
        <v>69</v>
      </c>
      <c r="R7619" t="s">
        <v>9231</v>
      </c>
    </row>
    <row r="7620" spans="1:18" x14ac:dyDescent="0.25">
      <c r="A7620" t="s">
        <v>18481</v>
      </c>
      <c r="B7620" t="s">
        <v>9241</v>
      </c>
      <c r="C7620" t="str">
        <f>HYPERLINK("https://nematode.unl.edu/neoma6.jpg")</f>
        <v>https://nematode.unl.edu/neoma6.jpg</v>
      </c>
      <c r="D7620" t="s">
        <v>43</v>
      </c>
      <c r="G7620" t="s">
        <v>34</v>
      </c>
      <c r="H7620" t="s">
        <v>18</v>
      </c>
      <c r="J7620" t="s">
        <v>20</v>
      </c>
      <c r="M7620" t="s">
        <v>9230</v>
      </c>
      <c r="N7620" t="s">
        <v>9230</v>
      </c>
      <c r="O7620" t="s">
        <v>23</v>
      </c>
      <c r="P7620" t="s">
        <v>24</v>
      </c>
      <c r="Q7620" t="s">
        <v>69</v>
      </c>
      <c r="R7620" t="s">
        <v>9231</v>
      </c>
    </row>
    <row r="7621" spans="1:18" x14ac:dyDescent="0.25">
      <c r="A7621" t="s">
        <v>18493</v>
      </c>
      <c r="B7621" t="s">
        <v>9242</v>
      </c>
      <c r="C7621" t="str">
        <f>HYPERLINK("https://nematode.unl.edu/neoma7.jpg")</f>
        <v>https://nematode.unl.edu/neoma7.jpg</v>
      </c>
      <c r="D7621" t="s">
        <v>43</v>
      </c>
      <c r="G7621" t="s">
        <v>51</v>
      </c>
      <c r="I7621" t="s">
        <v>19</v>
      </c>
      <c r="J7621" t="s">
        <v>20</v>
      </c>
      <c r="L7621" t="s">
        <v>85</v>
      </c>
      <c r="M7621" t="s">
        <v>9230</v>
      </c>
      <c r="N7621" t="s">
        <v>9230</v>
      </c>
      <c r="O7621" t="s">
        <v>23</v>
      </c>
      <c r="P7621" t="s">
        <v>24</v>
      </c>
      <c r="Q7621" t="s">
        <v>69</v>
      </c>
      <c r="R7621" t="s">
        <v>9231</v>
      </c>
    </row>
    <row r="7622" spans="1:18" x14ac:dyDescent="0.25">
      <c r="A7622" t="s">
        <v>18482</v>
      </c>
      <c r="B7622" t="s">
        <v>9243</v>
      </c>
      <c r="C7622" t="str">
        <f>HYPERLINK("https://nematode.unl.edu/neoma8.jpg")</f>
        <v>https://nematode.unl.edu/neoma8.jpg</v>
      </c>
      <c r="D7622" t="s">
        <v>16</v>
      </c>
      <c r="G7622" t="s">
        <v>34</v>
      </c>
      <c r="H7622" t="s">
        <v>18</v>
      </c>
      <c r="I7622" t="s">
        <v>19</v>
      </c>
      <c r="J7622" t="s">
        <v>20</v>
      </c>
      <c r="M7622" t="s">
        <v>9230</v>
      </c>
      <c r="N7622" t="s">
        <v>9230</v>
      </c>
      <c r="O7622" t="s">
        <v>23</v>
      </c>
      <c r="P7622" t="s">
        <v>24</v>
      </c>
      <c r="Q7622" t="s">
        <v>69</v>
      </c>
      <c r="R7622" t="s">
        <v>9231</v>
      </c>
    </row>
    <row r="7623" spans="1:18" x14ac:dyDescent="0.25">
      <c r="A7623" t="s">
        <v>18483</v>
      </c>
      <c r="B7623" t="s">
        <v>9244</v>
      </c>
      <c r="C7623" t="str">
        <f>HYPERLINK("https://nematode.unl.edu/neoma9.jpg")</f>
        <v>https://nematode.unl.edu/neoma9.jpg</v>
      </c>
      <c r="D7623" t="s">
        <v>16</v>
      </c>
      <c r="G7623" t="s">
        <v>34</v>
      </c>
      <c r="H7623" t="s">
        <v>18</v>
      </c>
      <c r="I7623" t="s">
        <v>516</v>
      </c>
      <c r="J7623" t="s">
        <v>20</v>
      </c>
      <c r="L7623" t="s">
        <v>78</v>
      </c>
      <c r="M7623" t="s">
        <v>9230</v>
      </c>
      <c r="N7623" t="s">
        <v>9230</v>
      </c>
      <c r="O7623" t="s">
        <v>23</v>
      </c>
      <c r="P7623" t="s">
        <v>24</v>
      </c>
      <c r="Q7623" t="s">
        <v>69</v>
      </c>
      <c r="R7623" t="s">
        <v>9231</v>
      </c>
    </row>
    <row r="7624" spans="1:18" x14ac:dyDescent="0.25">
      <c r="A7624" t="s">
        <v>18490</v>
      </c>
      <c r="B7624" t="s">
        <v>9245</v>
      </c>
      <c r="C7624" t="str">
        <f>HYPERLINK("https://nematode.unl.edu/neomacmp.jpg")</f>
        <v>https://nematode.unl.edu/neomacmp.jpg</v>
      </c>
      <c r="G7624" t="s">
        <v>108</v>
      </c>
      <c r="M7624" t="s">
        <v>9230</v>
      </c>
      <c r="N7624" t="s">
        <v>9230</v>
      </c>
      <c r="O7624" t="s">
        <v>23</v>
      </c>
      <c r="P7624" t="s">
        <v>24</v>
      </c>
      <c r="Q7624" t="s">
        <v>69</v>
      </c>
      <c r="R7624" t="s">
        <v>9231</v>
      </c>
    </row>
    <row r="7625" spans="1:18" x14ac:dyDescent="0.25">
      <c r="A7625" t="s">
        <v>18484</v>
      </c>
      <c r="B7625" t="s">
        <v>9246</v>
      </c>
      <c r="C7625" t="str">
        <f>HYPERLINK("https://nematode.unl.edu/neomag1.jpg")</f>
        <v>https://nematode.unl.edu/neomag1.jpg</v>
      </c>
      <c r="D7625" t="s">
        <v>43</v>
      </c>
      <c r="G7625" t="s">
        <v>34</v>
      </c>
      <c r="H7625" t="s">
        <v>18</v>
      </c>
      <c r="I7625" t="s">
        <v>19</v>
      </c>
      <c r="L7625" t="s">
        <v>85</v>
      </c>
      <c r="M7625" t="s">
        <v>9230</v>
      </c>
      <c r="N7625" t="s">
        <v>9230</v>
      </c>
      <c r="O7625" t="s">
        <v>23</v>
      </c>
      <c r="P7625" t="s">
        <v>24</v>
      </c>
      <c r="Q7625" t="s">
        <v>69</v>
      </c>
      <c r="R7625" t="s">
        <v>9231</v>
      </c>
    </row>
    <row r="7626" spans="1:18" x14ac:dyDescent="0.25">
      <c r="A7626" t="s">
        <v>18494</v>
      </c>
      <c r="B7626" t="s">
        <v>9247</v>
      </c>
      <c r="C7626" t="str">
        <f>HYPERLINK("https://nematode.unl.edu/neomag2.jpg")</f>
        <v>https://nematode.unl.edu/neomag2.jpg</v>
      </c>
      <c r="D7626" t="s">
        <v>43</v>
      </c>
      <c r="G7626" t="s">
        <v>51</v>
      </c>
      <c r="I7626" t="s">
        <v>19</v>
      </c>
      <c r="L7626" t="s">
        <v>85</v>
      </c>
      <c r="M7626" t="s">
        <v>9230</v>
      </c>
      <c r="N7626" t="s">
        <v>9230</v>
      </c>
      <c r="O7626" t="s">
        <v>23</v>
      </c>
      <c r="P7626" t="s">
        <v>24</v>
      </c>
      <c r="Q7626" t="s">
        <v>69</v>
      </c>
      <c r="R7626" t="s">
        <v>9231</v>
      </c>
    </row>
    <row r="7627" spans="1:18" x14ac:dyDescent="0.25">
      <c r="A7627" t="s">
        <v>18485</v>
      </c>
      <c r="B7627" t="s">
        <v>9248</v>
      </c>
      <c r="C7627" t="str">
        <f>HYPERLINK("https://nematode.unl.edu/neomag3.jpg")</f>
        <v>https://nematode.unl.edu/neomag3.jpg</v>
      </c>
      <c r="D7627" t="s">
        <v>43</v>
      </c>
      <c r="G7627" t="s">
        <v>34</v>
      </c>
      <c r="H7627" t="s">
        <v>18</v>
      </c>
      <c r="I7627" t="s">
        <v>41</v>
      </c>
      <c r="L7627" t="s">
        <v>85</v>
      </c>
      <c r="M7627" t="s">
        <v>9230</v>
      </c>
      <c r="N7627" t="s">
        <v>9230</v>
      </c>
      <c r="O7627" t="s">
        <v>23</v>
      </c>
      <c r="P7627" t="s">
        <v>24</v>
      </c>
      <c r="Q7627" t="s">
        <v>69</v>
      </c>
      <c r="R7627" t="s">
        <v>9231</v>
      </c>
    </row>
    <row r="7628" spans="1:18" x14ac:dyDescent="0.25">
      <c r="A7628" t="s">
        <v>12933</v>
      </c>
      <c r="B7628" t="s">
        <v>707</v>
      </c>
      <c r="C7628" t="str">
        <f>HYPERLINK("https://nematode.unl.edu/nothenac1.jpg")</f>
        <v>https://nematode.unl.edu/nothenac1.jpg</v>
      </c>
      <c r="D7628" t="s">
        <v>43</v>
      </c>
      <c r="G7628" t="s">
        <v>44</v>
      </c>
      <c r="I7628" t="s">
        <v>137</v>
      </c>
      <c r="J7628" t="s">
        <v>708</v>
      </c>
      <c r="L7628" t="s">
        <v>709</v>
      </c>
      <c r="M7628" t="s">
        <v>710</v>
      </c>
      <c r="N7628" t="s">
        <v>711</v>
      </c>
      <c r="O7628" t="s">
        <v>23</v>
      </c>
      <c r="P7628" t="s">
        <v>24</v>
      </c>
      <c r="Q7628" t="s">
        <v>712</v>
      </c>
      <c r="R7628" t="s">
        <v>713</v>
      </c>
    </row>
    <row r="7629" spans="1:18" x14ac:dyDescent="0.25">
      <c r="A7629" t="s">
        <v>12937</v>
      </c>
      <c r="B7629" t="s">
        <v>714</v>
      </c>
      <c r="C7629" t="str">
        <f>HYPERLINK("https://nematode.unl.edu/nothenac10.jpg")</f>
        <v>https://nematode.unl.edu/nothenac10.jpg</v>
      </c>
      <c r="D7629" t="s">
        <v>43</v>
      </c>
      <c r="G7629" t="s">
        <v>28</v>
      </c>
      <c r="I7629" t="s">
        <v>41</v>
      </c>
      <c r="J7629" t="s">
        <v>708</v>
      </c>
      <c r="M7629" t="s">
        <v>710</v>
      </c>
      <c r="N7629" t="s">
        <v>711</v>
      </c>
      <c r="O7629" t="s">
        <v>23</v>
      </c>
      <c r="P7629" t="s">
        <v>24</v>
      </c>
      <c r="Q7629" t="s">
        <v>712</v>
      </c>
      <c r="R7629" t="s">
        <v>713</v>
      </c>
    </row>
    <row r="7630" spans="1:18" x14ac:dyDescent="0.25">
      <c r="A7630" t="s">
        <v>12938</v>
      </c>
      <c r="B7630" t="s">
        <v>715</v>
      </c>
      <c r="C7630" t="str">
        <f>HYPERLINK("https://nematode.unl.edu/nothenac11.jpg")</f>
        <v>https://nematode.unl.edu/nothenac11.jpg</v>
      </c>
      <c r="D7630" t="s">
        <v>43</v>
      </c>
      <c r="G7630" t="s">
        <v>28</v>
      </c>
      <c r="I7630" t="s">
        <v>41</v>
      </c>
      <c r="J7630" t="s">
        <v>708</v>
      </c>
      <c r="M7630" t="s">
        <v>710</v>
      </c>
      <c r="N7630" t="s">
        <v>711</v>
      </c>
      <c r="O7630" t="s">
        <v>23</v>
      </c>
      <c r="P7630" t="s">
        <v>24</v>
      </c>
      <c r="Q7630" t="s">
        <v>712</v>
      </c>
      <c r="R7630" t="s">
        <v>713</v>
      </c>
    </row>
    <row r="7631" spans="1:18" x14ac:dyDescent="0.25">
      <c r="A7631" t="s">
        <v>12939</v>
      </c>
      <c r="B7631" t="s">
        <v>716</v>
      </c>
      <c r="C7631" t="str">
        <f>HYPERLINK("https://nematode.unl.edu/nothenac12.jpg")</f>
        <v>https://nematode.unl.edu/nothenac12.jpg</v>
      </c>
      <c r="D7631" t="s">
        <v>43</v>
      </c>
      <c r="G7631" t="s">
        <v>28</v>
      </c>
      <c r="J7631" t="s">
        <v>708</v>
      </c>
      <c r="M7631" t="s">
        <v>710</v>
      </c>
      <c r="N7631" t="s">
        <v>711</v>
      </c>
      <c r="O7631" t="s">
        <v>23</v>
      </c>
      <c r="P7631" t="s">
        <v>24</v>
      </c>
      <c r="Q7631" t="s">
        <v>712</v>
      </c>
      <c r="R7631" t="s">
        <v>713</v>
      </c>
    </row>
    <row r="7632" spans="1:18" x14ac:dyDescent="0.25">
      <c r="A7632" t="s">
        <v>12934</v>
      </c>
      <c r="B7632" t="s">
        <v>717</v>
      </c>
      <c r="C7632" t="str">
        <f>HYPERLINK("https://nematode.unl.edu/nothenac2.jpg")</f>
        <v>https://nematode.unl.edu/nothenac2.jpg</v>
      </c>
      <c r="D7632" t="s">
        <v>43</v>
      </c>
      <c r="G7632" t="s">
        <v>44</v>
      </c>
      <c r="I7632" t="s">
        <v>137</v>
      </c>
      <c r="J7632" t="s">
        <v>708</v>
      </c>
      <c r="M7632" t="s">
        <v>710</v>
      </c>
      <c r="N7632" t="s">
        <v>711</v>
      </c>
      <c r="O7632" t="s">
        <v>23</v>
      </c>
      <c r="P7632" t="s">
        <v>24</v>
      </c>
      <c r="Q7632" t="s">
        <v>712</v>
      </c>
      <c r="R7632" t="s">
        <v>713</v>
      </c>
    </row>
    <row r="7633" spans="1:18" x14ac:dyDescent="0.25">
      <c r="A7633" t="s">
        <v>12935</v>
      </c>
      <c r="B7633" t="s">
        <v>718</v>
      </c>
      <c r="C7633" t="str">
        <f>HYPERLINK("https://nematode.unl.edu/nothenac3.jpg")</f>
        <v>https://nematode.unl.edu/nothenac3.jpg</v>
      </c>
      <c r="D7633" t="s">
        <v>43</v>
      </c>
      <c r="G7633" t="s">
        <v>44</v>
      </c>
      <c r="I7633" t="s">
        <v>137</v>
      </c>
      <c r="J7633" t="s">
        <v>708</v>
      </c>
      <c r="M7633" t="s">
        <v>710</v>
      </c>
      <c r="N7633" t="s">
        <v>711</v>
      </c>
      <c r="O7633" t="s">
        <v>23</v>
      </c>
      <c r="P7633" t="s">
        <v>24</v>
      </c>
      <c r="Q7633" t="s">
        <v>712</v>
      </c>
      <c r="R7633" t="s">
        <v>713</v>
      </c>
    </row>
    <row r="7634" spans="1:18" x14ac:dyDescent="0.25">
      <c r="A7634" t="s">
        <v>12931</v>
      </c>
      <c r="B7634" t="s">
        <v>719</v>
      </c>
      <c r="C7634" t="str">
        <f>HYPERLINK("https://nematode.unl.edu/nothenac4.jpg")</f>
        <v>https://nematode.unl.edu/nothenac4.jpg</v>
      </c>
      <c r="D7634" t="s">
        <v>43</v>
      </c>
      <c r="G7634" t="s">
        <v>34</v>
      </c>
      <c r="H7634" t="s">
        <v>18</v>
      </c>
      <c r="I7634" t="s">
        <v>19</v>
      </c>
      <c r="J7634" t="s">
        <v>708</v>
      </c>
      <c r="M7634" t="s">
        <v>710</v>
      </c>
      <c r="N7634" t="s">
        <v>711</v>
      </c>
      <c r="O7634" t="s">
        <v>23</v>
      </c>
      <c r="P7634" t="s">
        <v>24</v>
      </c>
      <c r="Q7634" t="s">
        <v>712</v>
      </c>
      <c r="R7634" t="s">
        <v>713</v>
      </c>
    </row>
    <row r="7635" spans="1:18" x14ac:dyDescent="0.25">
      <c r="A7635" t="s">
        <v>12940</v>
      </c>
      <c r="B7635" t="s">
        <v>720</v>
      </c>
      <c r="C7635" t="str">
        <f>HYPERLINK("https://nematode.unl.edu/nothenac5.jpg")</f>
        <v>https://nematode.unl.edu/nothenac5.jpg</v>
      </c>
      <c r="D7635" t="s">
        <v>43</v>
      </c>
      <c r="G7635" t="s">
        <v>28</v>
      </c>
      <c r="I7635" t="s">
        <v>19</v>
      </c>
      <c r="M7635" t="s">
        <v>710</v>
      </c>
      <c r="N7635" t="s">
        <v>711</v>
      </c>
      <c r="O7635" t="s">
        <v>23</v>
      </c>
      <c r="P7635" t="s">
        <v>24</v>
      </c>
      <c r="Q7635" t="s">
        <v>712</v>
      </c>
      <c r="R7635" t="s">
        <v>713</v>
      </c>
    </row>
    <row r="7636" spans="1:18" x14ac:dyDescent="0.25">
      <c r="A7636" t="s">
        <v>12936</v>
      </c>
      <c r="B7636" t="s">
        <v>721</v>
      </c>
      <c r="C7636" t="str">
        <f>HYPERLINK("https://nematode.unl.edu/nothenac6.jpg")</f>
        <v>https://nematode.unl.edu/nothenac6.jpg</v>
      </c>
      <c r="D7636" t="s">
        <v>43</v>
      </c>
      <c r="G7636" t="s">
        <v>53</v>
      </c>
      <c r="I7636" t="s">
        <v>41</v>
      </c>
      <c r="J7636" t="s">
        <v>708</v>
      </c>
      <c r="L7636" t="s">
        <v>709</v>
      </c>
      <c r="M7636" t="s">
        <v>710</v>
      </c>
      <c r="N7636" t="s">
        <v>711</v>
      </c>
      <c r="O7636" t="s">
        <v>23</v>
      </c>
      <c r="P7636" t="s">
        <v>24</v>
      </c>
      <c r="Q7636" t="s">
        <v>712</v>
      </c>
      <c r="R7636" t="s">
        <v>713</v>
      </c>
    </row>
    <row r="7637" spans="1:18" x14ac:dyDescent="0.25">
      <c r="A7637" t="s">
        <v>12932</v>
      </c>
      <c r="B7637" t="s">
        <v>722</v>
      </c>
      <c r="C7637" t="str">
        <f>HYPERLINK("https://nematode.unl.edu/nothenac7.jpg")</f>
        <v>https://nematode.unl.edu/nothenac7.jpg</v>
      </c>
      <c r="D7637" t="s">
        <v>77</v>
      </c>
      <c r="G7637" t="s">
        <v>34</v>
      </c>
      <c r="H7637" t="s">
        <v>18</v>
      </c>
      <c r="I7637" t="s">
        <v>41</v>
      </c>
      <c r="J7637" t="s">
        <v>708</v>
      </c>
      <c r="L7637" t="s">
        <v>709</v>
      </c>
      <c r="M7637" t="s">
        <v>710</v>
      </c>
      <c r="N7637" t="s">
        <v>711</v>
      </c>
      <c r="O7637" t="s">
        <v>23</v>
      </c>
      <c r="P7637" t="s">
        <v>24</v>
      </c>
      <c r="Q7637" t="s">
        <v>712</v>
      </c>
      <c r="R7637" t="s">
        <v>713</v>
      </c>
    </row>
    <row r="7638" spans="1:18" x14ac:dyDescent="0.25">
      <c r="A7638" t="s">
        <v>12930</v>
      </c>
      <c r="B7638" t="s">
        <v>723</v>
      </c>
      <c r="C7638" t="str">
        <f>HYPERLINK("https://nematode.unl.edu/nothenac8.jpg")</f>
        <v>https://nematode.unl.edu/nothenac8.jpg</v>
      </c>
      <c r="D7638" t="s">
        <v>43</v>
      </c>
      <c r="G7638" t="s">
        <v>96</v>
      </c>
      <c r="H7638" t="s">
        <v>18</v>
      </c>
      <c r="I7638" t="s">
        <v>41</v>
      </c>
      <c r="J7638" t="s">
        <v>708</v>
      </c>
      <c r="M7638" t="s">
        <v>710</v>
      </c>
      <c r="N7638" t="s">
        <v>711</v>
      </c>
      <c r="O7638" t="s">
        <v>23</v>
      </c>
      <c r="P7638" t="s">
        <v>24</v>
      </c>
      <c r="Q7638" t="s">
        <v>712</v>
      </c>
      <c r="R7638" t="s">
        <v>713</v>
      </c>
    </row>
    <row r="7639" spans="1:18" x14ac:dyDescent="0.25">
      <c r="A7639" t="s">
        <v>12941</v>
      </c>
      <c r="B7639" t="s">
        <v>724</v>
      </c>
      <c r="C7639" t="str">
        <f>HYPERLINK("https://nematode.unl.edu/nothenac9.jpg")</f>
        <v>https://nematode.unl.edu/nothenac9.jpg</v>
      </c>
      <c r="D7639" t="s">
        <v>43</v>
      </c>
      <c r="G7639" t="s">
        <v>51</v>
      </c>
      <c r="I7639" t="s">
        <v>41</v>
      </c>
      <c r="M7639" t="s">
        <v>710</v>
      </c>
      <c r="N7639" t="s">
        <v>711</v>
      </c>
      <c r="O7639" t="s">
        <v>23</v>
      </c>
      <c r="P7639" t="s">
        <v>24</v>
      </c>
      <c r="Q7639" t="s">
        <v>712</v>
      </c>
      <c r="R7639" t="s">
        <v>713</v>
      </c>
    </row>
    <row r="7640" spans="1:18" x14ac:dyDescent="0.25">
      <c r="A7640" t="s">
        <v>13724</v>
      </c>
      <c r="B7640" t="s">
        <v>4019</v>
      </c>
      <c r="C7640" t="str">
        <f>HYPERLINK("https://nematode.unl.edu/nothocrif1.jpg")</f>
        <v>https://nematode.unl.edu/nothocrif1.jpg</v>
      </c>
      <c r="D7640" t="s">
        <v>43</v>
      </c>
      <c r="G7640" t="s">
        <v>44</v>
      </c>
      <c r="I7640" t="s">
        <v>4020</v>
      </c>
      <c r="J7640" t="s">
        <v>4021</v>
      </c>
      <c r="L7640" t="s">
        <v>4022</v>
      </c>
      <c r="M7640" t="s">
        <v>651</v>
      </c>
      <c r="N7640" t="s">
        <v>651</v>
      </c>
      <c r="O7640" t="s">
        <v>23</v>
      </c>
      <c r="P7640" t="s">
        <v>24</v>
      </c>
      <c r="Q7640" t="s">
        <v>642</v>
      </c>
      <c r="R7640" t="s">
        <v>651</v>
      </c>
    </row>
    <row r="7641" spans="1:18" x14ac:dyDescent="0.25">
      <c r="A7641" t="s">
        <v>13725</v>
      </c>
      <c r="B7641" t="s">
        <v>4023</v>
      </c>
      <c r="C7641" t="str">
        <f>HYPERLINK("https://nematode.unl.edu/nothocrif2.jpg")</f>
        <v>https://nematode.unl.edu/nothocrif2.jpg</v>
      </c>
      <c r="D7641" t="s">
        <v>43</v>
      </c>
      <c r="G7641" t="s">
        <v>44</v>
      </c>
      <c r="I7641" t="s">
        <v>19</v>
      </c>
      <c r="J7641" t="s">
        <v>4021</v>
      </c>
      <c r="L7641" t="s">
        <v>4022</v>
      </c>
      <c r="M7641" t="s">
        <v>651</v>
      </c>
      <c r="N7641" t="s">
        <v>651</v>
      </c>
      <c r="O7641" t="s">
        <v>23</v>
      </c>
      <c r="P7641" t="s">
        <v>24</v>
      </c>
      <c r="Q7641" t="s">
        <v>642</v>
      </c>
      <c r="R7641" t="s">
        <v>651</v>
      </c>
    </row>
    <row r="7642" spans="1:18" x14ac:dyDescent="0.25">
      <c r="A7642" t="s">
        <v>13707</v>
      </c>
      <c r="B7642" t="s">
        <v>4024</v>
      </c>
      <c r="C7642" t="str">
        <f>HYPERLINK("https://nematode.unl.edu/nothocrif3.jpg")</f>
        <v>https://nematode.unl.edu/nothocrif3.jpg</v>
      </c>
      <c r="D7642" t="s">
        <v>43</v>
      </c>
      <c r="G7642" t="s">
        <v>96</v>
      </c>
      <c r="H7642" t="s">
        <v>18</v>
      </c>
      <c r="I7642" t="s">
        <v>19</v>
      </c>
      <c r="J7642" t="s">
        <v>4021</v>
      </c>
      <c r="L7642" t="s">
        <v>4022</v>
      </c>
      <c r="M7642" t="s">
        <v>651</v>
      </c>
      <c r="N7642" t="s">
        <v>651</v>
      </c>
      <c r="O7642" t="s">
        <v>23</v>
      </c>
      <c r="P7642" t="s">
        <v>24</v>
      </c>
      <c r="Q7642" t="s">
        <v>642</v>
      </c>
      <c r="R7642" t="s">
        <v>651</v>
      </c>
    </row>
    <row r="7643" spans="1:18" x14ac:dyDescent="0.25">
      <c r="A7643" t="s">
        <v>13739</v>
      </c>
      <c r="B7643" t="s">
        <v>4025</v>
      </c>
      <c r="C7643" t="str">
        <f>HYPERLINK("https://nematode.unl.edu/nothocrif4.jpg")</f>
        <v>https://nematode.unl.edu/nothocrif4.jpg</v>
      </c>
      <c r="D7643" t="s">
        <v>43</v>
      </c>
      <c r="G7643" t="s">
        <v>28</v>
      </c>
      <c r="I7643" t="s">
        <v>19</v>
      </c>
      <c r="J7643" t="s">
        <v>4021</v>
      </c>
      <c r="L7643" t="s">
        <v>4022</v>
      </c>
      <c r="M7643" t="s">
        <v>651</v>
      </c>
      <c r="N7643" t="s">
        <v>651</v>
      </c>
      <c r="O7643" t="s">
        <v>23</v>
      </c>
      <c r="P7643" t="s">
        <v>24</v>
      </c>
      <c r="Q7643" t="s">
        <v>642</v>
      </c>
      <c r="R7643" t="s">
        <v>651</v>
      </c>
    </row>
    <row r="7644" spans="1:18" x14ac:dyDescent="0.25">
      <c r="A7644" t="s">
        <v>13726</v>
      </c>
      <c r="B7644" t="s">
        <v>4026</v>
      </c>
      <c r="C7644" t="str">
        <f>HYPERLINK("https://nematode.unl.edu/nothocrif5.jpg")</f>
        <v>https://nematode.unl.edu/nothocrif5.jpg</v>
      </c>
      <c r="D7644" t="s">
        <v>16</v>
      </c>
      <c r="G7644" t="s">
        <v>44</v>
      </c>
      <c r="I7644" t="s">
        <v>137</v>
      </c>
      <c r="J7644" t="s">
        <v>4021</v>
      </c>
      <c r="L7644" t="s">
        <v>4022</v>
      </c>
      <c r="M7644" t="s">
        <v>651</v>
      </c>
      <c r="N7644" t="s">
        <v>651</v>
      </c>
      <c r="O7644" t="s">
        <v>23</v>
      </c>
      <c r="P7644" t="s">
        <v>24</v>
      </c>
      <c r="Q7644" t="s">
        <v>642</v>
      </c>
      <c r="R7644" t="s">
        <v>651</v>
      </c>
    </row>
    <row r="7645" spans="1:18" x14ac:dyDescent="0.25">
      <c r="A7645" t="s">
        <v>13727</v>
      </c>
      <c r="B7645" t="s">
        <v>4027</v>
      </c>
      <c r="C7645" t="str">
        <f>HYPERLINK("https://nematode.unl.edu/nothocrif6.jpg")</f>
        <v>https://nematode.unl.edu/nothocrif6.jpg</v>
      </c>
      <c r="D7645" t="s">
        <v>16</v>
      </c>
      <c r="G7645" t="s">
        <v>44</v>
      </c>
      <c r="I7645" t="s">
        <v>19</v>
      </c>
      <c r="J7645" t="s">
        <v>4021</v>
      </c>
      <c r="L7645" t="s">
        <v>4022</v>
      </c>
      <c r="M7645" t="s">
        <v>651</v>
      </c>
      <c r="N7645" t="s">
        <v>651</v>
      </c>
      <c r="O7645" t="s">
        <v>23</v>
      </c>
      <c r="P7645" t="s">
        <v>24</v>
      </c>
      <c r="Q7645" t="s">
        <v>642</v>
      </c>
      <c r="R7645" t="s">
        <v>651</v>
      </c>
    </row>
    <row r="7646" spans="1:18" x14ac:dyDescent="0.25">
      <c r="A7646" t="s">
        <v>13708</v>
      </c>
      <c r="B7646" t="s">
        <v>4028</v>
      </c>
      <c r="C7646" t="str">
        <f>HYPERLINK("https://nematode.unl.edu/nothocrif7.jpg")</f>
        <v>https://nematode.unl.edu/nothocrif7.jpg</v>
      </c>
      <c r="D7646" t="s">
        <v>16</v>
      </c>
      <c r="G7646" t="s">
        <v>96</v>
      </c>
      <c r="H7646" t="s">
        <v>18</v>
      </c>
      <c r="J7646" t="s">
        <v>4021</v>
      </c>
      <c r="L7646" t="s">
        <v>4022</v>
      </c>
      <c r="M7646" t="s">
        <v>651</v>
      </c>
      <c r="N7646" t="s">
        <v>651</v>
      </c>
      <c r="O7646" t="s">
        <v>23</v>
      </c>
      <c r="P7646" t="s">
        <v>24</v>
      </c>
      <c r="Q7646" t="s">
        <v>642</v>
      </c>
      <c r="R7646" t="s">
        <v>651</v>
      </c>
    </row>
    <row r="7647" spans="1:18" x14ac:dyDescent="0.25">
      <c r="A7647" t="s">
        <v>13716</v>
      </c>
      <c r="B7647" t="s">
        <v>4029</v>
      </c>
      <c r="C7647" t="str">
        <f>HYPERLINK("https://nematode.unl.edu/nothocrif8.jpg")</f>
        <v>https://nematode.unl.edu/nothocrif8.jpg</v>
      </c>
      <c r="D7647" t="s">
        <v>16</v>
      </c>
      <c r="G7647" t="s">
        <v>34</v>
      </c>
      <c r="H7647" t="s">
        <v>18</v>
      </c>
      <c r="I7647" t="s">
        <v>41</v>
      </c>
      <c r="J7647" t="s">
        <v>4021</v>
      </c>
      <c r="L7647" t="s">
        <v>4022</v>
      </c>
      <c r="M7647" t="s">
        <v>651</v>
      </c>
      <c r="N7647" t="s">
        <v>651</v>
      </c>
      <c r="O7647" t="s">
        <v>23</v>
      </c>
      <c r="P7647" t="s">
        <v>24</v>
      </c>
      <c r="Q7647" t="s">
        <v>642</v>
      </c>
      <c r="R7647" t="s">
        <v>651</v>
      </c>
    </row>
    <row r="7648" spans="1:18" x14ac:dyDescent="0.25">
      <c r="A7648" t="s">
        <v>13740</v>
      </c>
      <c r="B7648" t="s">
        <v>4030</v>
      </c>
      <c r="C7648" t="str">
        <f>HYPERLINK("https://nematode.unl.edu/nothocrif9.jpg")</f>
        <v>https://nematode.unl.edu/nothocrif9.jpg</v>
      </c>
      <c r="D7648" t="s">
        <v>16</v>
      </c>
      <c r="G7648" t="s">
        <v>28</v>
      </c>
      <c r="J7648" t="s">
        <v>4021</v>
      </c>
      <c r="L7648" t="s">
        <v>4022</v>
      </c>
      <c r="M7648" t="s">
        <v>651</v>
      </c>
      <c r="N7648" t="s">
        <v>651</v>
      </c>
      <c r="O7648" t="s">
        <v>23</v>
      </c>
      <c r="P7648" t="s">
        <v>24</v>
      </c>
      <c r="Q7648" t="s">
        <v>642</v>
      </c>
      <c r="R7648" t="s">
        <v>651</v>
      </c>
    </row>
    <row r="7649" spans="1:18" x14ac:dyDescent="0.25">
      <c r="A7649" t="s">
        <v>20640</v>
      </c>
      <c r="B7649" t="s">
        <v>9271</v>
      </c>
      <c r="C7649" t="str">
        <f>HYPERLINK("https://nematode.unl.edu/nygob1.jpg")</f>
        <v>https://nematode.unl.edu/nygob1.jpg</v>
      </c>
      <c r="G7649" t="s">
        <v>34</v>
      </c>
      <c r="H7649" t="s">
        <v>18</v>
      </c>
      <c r="J7649" t="s">
        <v>20</v>
      </c>
      <c r="M7649" t="s">
        <v>9272</v>
      </c>
      <c r="N7649" t="s">
        <v>9272</v>
      </c>
      <c r="O7649" t="s">
        <v>73</v>
      </c>
      <c r="P7649" t="s">
        <v>81</v>
      </c>
      <c r="Q7649" t="s">
        <v>9251</v>
      </c>
      <c r="R7649" t="s">
        <v>9250</v>
      </c>
    </row>
    <row r="7650" spans="1:18" x14ac:dyDescent="0.25">
      <c r="A7650" t="s">
        <v>20642</v>
      </c>
      <c r="B7650" t="s">
        <v>9273</v>
      </c>
      <c r="C7650" t="str">
        <f>HYPERLINK("https://nematode.unl.edu/nygob2.jpg")</f>
        <v>https://nematode.unl.edu/nygob2.jpg</v>
      </c>
      <c r="G7650" t="s">
        <v>87</v>
      </c>
      <c r="I7650" t="s">
        <v>19</v>
      </c>
      <c r="J7650" t="s">
        <v>20</v>
      </c>
      <c r="L7650" t="s">
        <v>85</v>
      </c>
      <c r="M7650" t="s">
        <v>9272</v>
      </c>
      <c r="N7650" t="s">
        <v>9272</v>
      </c>
      <c r="O7650" t="s">
        <v>73</v>
      </c>
      <c r="P7650" t="s">
        <v>81</v>
      </c>
      <c r="Q7650" t="s">
        <v>9251</v>
      </c>
      <c r="R7650" t="s">
        <v>9250</v>
      </c>
    </row>
    <row r="7651" spans="1:18" x14ac:dyDescent="0.25">
      <c r="A7651" t="s">
        <v>20645</v>
      </c>
      <c r="B7651" t="s">
        <v>9274</v>
      </c>
      <c r="C7651" t="str">
        <f>HYPERLINK("https://nematode.unl.edu/nygob3.jpg")</f>
        <v>https://nematode.unl.edu/nygob3.jpg</v>
      </c>
      <c r="D7651" t="s">
        <v>43</v>
      </c>
      <c r="G7651" t="s">
        <v>51</v>
      </c>
      <c r="I7651" t="s">
        <v>19</v>
      </c>
      <c r="L7651" t="s">
        <v>85</v>
      </c>
      <c r="M7651" t="s">
        <v>9272</v>
      </c>
      <c r="N7651" t="s">
        <v>9272</v>
      </c>
      <c r="O7651" t="s">
        <v>73</v>
      </c>
      <c r="P7651" t="s">
        <v>81</v>
      </c>
      <c r="Q7651" t="s">
        <v>9251</v>
      </c>
      <c r="R7651" t="s">
        <v>9250</v>
      </c>
    </row>
    <row r="7652" spans="1:18" x14ac:dyDescent="0.25">
      <c r="A7652" t="s">
        <v>20644</v>
      </c>
      <c r="B7652" t="s">
        <v>9275</v>
      </c>
      <c r="C7652" t="str">
        <f>HYPERLINK("https://nematode.unl.edu/nygob4.jpg")</f>
        <v>https://nematode.unl.edu/nygob4.jpg</v>
      </c>
      <c r="G7652" t="s">
        <v>28</v>
      </c>
      <c r="L7652" t="s">
        <v>85</v>
      </c>
      <c r="M7652" t="s">
        <v>9272</v>
      </c>
      <c r="N7652" t="s">
        <v>9272</v>
      </c>
      <c r="O7652" t="s">
        <v>73</v>
      </c>
      <c r="P7652" t="s">
        <v>81</v>
      </c>
      <c r="Q7652" t="s">
        <v>9251</v>
      </c>
      <c r="R7652" t="s">
        <v>9250</v>
      </c>
    </row>
    <row r="7653" spans="1:18" x14ac:dyDescent="0.25">
      <c r="A7653" t="s">
        <v>20641</v>
      </c>
      <c r="B7653" t="s">
        <v>9276</v>
      </c>
      <c r="C7653" t="str">
        <f>HYPERLINK("https://nematode.unl.edu/nygob5.jpg")</f>
        <v>https://nematode.unl.edu/nygob5.jpg</v>
      </c>
      <c r="D7653" t="s">
        <v>43</v>
      </c>
      <c r="G7653" t="s">
        <v>34</v>
      </c>
      <c r="H7653" t="s">
        <v>18</v>
      </c>
      <c r="I7653" t="s">
        <v>41</v>
      </c>
      <c r="J7653" t="s">
        <v>20</v>
      </c>
      <c r="M7653" t="s">
        <v>9272</v>
      </c>
      <c r="N7653" t="s">
        <v>9272</v>
      </c>
      <c r="O7653" t="s">
        <v>73</v>
      </c>
      <c r="P7653" t="s">
        <v>81</v>
      </c>
      <c r="Q7653" t="s">
        <v>9251</v>
      </c>
      <c r="R7653" t="s">
        <v>9250</v>
      </c>
    </row>
    <row r="7654" spans="1:18" x14ac:dyDescent="0.25">
      <c r="A7654" t="s">
        <v>20643</v>
      </c>
      <c r="B7654" t="s">
        <v>9277</v>
      </c>
      <c r="C7654" t="str">
        <f>HYPERLINK("https://nematode.unl.edu/nygobcmp.jpg")</f>
        <v>https://nematode.unl.edu/nygobcmp.jpg</v>
      </c>
      <c r="G7654" t="s">
        <v>108</v>
      </c>
      <c r="M7654" t="s">
        <v>9272</v>
      </c>
      <c r="N7654" t="s">
        <v>9272</v>
      </c>
      <c r="O7654" t="s">
        <v>73</v>
      </c>
      <c r="P7654" t="s">
        <v>81</v>
      </c>
      <c r="Q7654" t="s">
        <v>9251</v>
      </c>
      <c r="R7654" t="s">
        <v>9250</v>
      </c>
    </row>
    <row r="7655" spans="1:18" x14ac:dyDescent="0.25">
      <c r="A7655" t="s">
        <v>20737</v>
      </c>
      <c r="B7655" t="s">
        <v>9320</v>
      </c>
      <c r="C7655" t="str">
        <f>HYPERLINK("https://nematode.unl.edu/nygols1.jpg")</f>
        <v>https://nematode.unl.edu/nygols1.jpg</v>
      </c>
      <c r="D7655" t="s">
        <v>16</v>
      </c>
      <c r="G7655" t="s">
        <v>34</v>
      </c>
      <c r="H7655" t="s">
        <v>18</v>
      </c>
      <c r="I7655" t="s">
        <v>41</v>
      </c>
      <c r="J7655" t="s">
        <v>267</v>
      </c>
      <c r="M7655" t="s">
        <v>9321</v>
      </c>
      <c r="N7655" t="s">
        <v>9321</v>
      </c>
      <c r="O7655" t="s">
        <v>73</v>
      </c>
      <c r="P7655" t="s">
        <v>81</v>
      </c>
      <c r="Q7655" t="s">
        <v>339</v>
      </c>
      <c r="R7655" t="s">
        <v>9321</v>
      </c>
    </row>
    <row r="7656" spans="1:18" x14ac:dyDescent="0.25">
      <c r="A7656" t="s">
        <v>20739</v>
      </c>
      <c r="B7656" t="s">
        <v>9322</v>
      </c>
      <c r="C7656" t="str">
        <f>HYPERLINK("https://nematode.unl.edu/nygols2.jpg")</f>
        <v>https://nematode.unl.edu/nygols2.jpg</v>
      </c>
      <c r="D7656" t="s">
        <v>16</v>
      </c>
      <c r="G7656" t="s">
        <v>87</v>
      </c>
      <c r="I7656" t="s">
        <v>41</v>
      </c>
      <c r="J7656" t="s">
        <v>267</v>
      </c>
      <c r="M7656" t="s">
        <v>9321</v>
      </c>
      <c r="N7656" t="s">
        <v>9321</v>
      </c>
      <c r="O7656" t="s">
        <v>73</v>
      </c>
      <c r="P7656" t="s">
        <v>81</v>
      </c>
      <c r="Q7656" t="s">
        <v>339</v>
      </c>
      <c r="R7656" t="s">
        <v>9321</v>
      </c>
    </row>
    <row r="7657" spans="1:18" x14ac:dyDescent="0.25">
      <c r="A7657" t="s">
        <v>20738</v>
      </c>
      <c r="B7657" t="s">
        <v>9323</v>
      </c>
      <c r="C7657" t="str">
        <f>HYPERLINK("https://nematode.unl.edu/nygols3.jpg")</f>
        <v>https://nematode.unl.edu/nygols3.jpg</v>
      </c>
      <c r="D7657" t="s">
        <v>16</v>
      </c>
      <c r="G7657" t="s">
        <v>34</v>
      </c>
      <c r="H7657" t="s">
        <v>18</v>
      </c>
      <c r="J7657" t="s">
        <v>267</v>
      </c>
      <c r="M7657" t="s">
        <v>9321</v>
      </c>
      <c r="N7657" t="s">
        <v>9321</v>
      </c>
      <c r="O7657" t="s">
        <v>73</v>
      </c>
      <c r="P7657" t="s">
        <v>81</v>
      </c>
      <c r="Q7657" t="s">
        <v>339</v>
      </c>
      <c r="R7657" t="s">
        <v>9321</v>
      </c>
    </row>
    <row r="7658" spans="1:18" x14ac:dyDescent="0.25">
      <c r="A7658" t="s">
        <v>20629</v>
      </c>
      <c r="B7658" t="s">
        <v>9249</v>
      </c>
      <c r="C7658" t="str">
        <f>HYPERLINK("https://nematode.unl.edu/nygomel1.jpg")</f>
        <v>https://nematode.unl.edu/nygomel1.jpg</v>
      </c>
      <c r="D7658" t="s">
        <v>43</v>
      </c>
      <c r="G7658" t="s">
        <v>44</v>
      </c>
      <c r="I7658" t="s">
        <v>516</v>
      </c>
      <c r="J7658" t="s">
        <v>1517</v>
      </c>
      <c r="L7658" t="s">
        <v>1526</v>
      </c>
      <c r="M7658" t="s">
        <v>9250</v>
      </c>
      <c r="N7658" t="s">
        <v>9250</v>
      </c>
      <c r="O7658" t="s">
        <v>73</v>
      </c>
      <c r="P7658" t="s">
        <v>81</v>
      </c>
      <c r="Q7658" t="s">
        <v>9251</v>
      </c>
      <c r="R7658" t="s">
        <v>9250</v>
      </c>
    </row>
    <row r="7659" spans="1:18" x14ac:dyDescent="0.25">
      <c r="A7659" t="s">
        <v>20630</v>
      </c>
      <c r="B7659" t="s">
        <v>9252</v>
      </c>
      <c r="C7659" t="str">
        <f>HYPERLINK("https://nematode.unl.edu/nygomel10.jpg")</f>
        <v>https://nematode.unl.edu/nygomel10.jpg</v>
      </c>
      <c r="D7659" t="s">
        <v>16</v>
      </c>
      <c r="G7659" t="s">
        <v>44</v>
      </c>
      <c r="I7659" t="s">
        <v>45</v>
      </c>
      <c r="J7659" t="s">
        <v>1517</v>
      </c>
      <c r="L7659" t="s">
        <v>1526</v>
      </c>
      <c r="M7659" t="s">
        <v>9250</v>
      </c>
      <c r="N7659" t="s">
        <v>9250</v>
      </c>
      <c r="O7659" t="s">
        <v>73</v>
      </c>
      <c r="P7659" t="s">
        <v>81</v>
      </c>
      <c r="Q7659" t="s">
        <v>9251</v>
      </c>
      <c r="R7659" t="s">
        <v>9250</v>
      </c>
    </row>
    <row r="7660" spans="1:18" x14ac:dyDescent="0.25">
      <c r="A7660" t="s">
        <v>20624</v>
      </c>
      <c r="B7660" t="s">
        <v>9253</v>
      </c>
      <c r="C7660" t="str">
        <f>HYPERLINK("https://nematode.unl.edu/nygomel11.jpg")</f>
        <v>https://nematode.unl.edu/nygomel11.jpg</v>
      </c>
      <c r="D7660" t="s">
        <v>16</v>
      </c>
      <c r="G7660" t="s">
        <v>96</v>
      </c>
      <c r="H7660" t="s">
        <v>18</v>
      </c>
      <c r="I7660" t="s">
        <v>516</v>
      </c>
      <c r="J7660" t="s">
        <v>1517</v>
      </c>
      <c r="L7660" t="s">
        <v>1526</v>
      </c>
      <c r="M7660" t="s">
        <v>9250</v>
      </c>
      <c r="N7660" t="s">
        <v>9250</v>
      </c>
      <c r="O7660" t="s">
        <v>73</v>
      </c>
      <c r="P7660" t="s">
        <v>81</v>
      </c>
      <c r="Q7660" t="s">
        <v>9251</v>
      </c>
      <c r="R7660" t="s">
        <v>9250</v>
      </c>
    </row>
    <row r="7661" spans="1:18" x14ac:dyDescent="0.25">
      <c r="A7661" t="s">
        <v>20634</v>
      </c>
      <c r="B7661" t="s">
        <v>9254</v>
      </c>
      <c r="C7661" t="str">
        <f>HYPERLINK("https://nematode.unl.edu/nygomel12.jpg")</f>
        <v>https://nematode.unl.edu/nygomel12.jpg</v>
      </c>
      <c r="D7661" t="s">
        <v>16</v>
      </c>
      <c r="G7661" t="s">
        <v>28</v>
      </c>
      <c r="I7661" t="s">
        <v>19</v>
      </c>
      <c r="J7661" t="s">
        <v>1517</v>
      </c>
      <c r="L7661" t="s">
        <v>1526</v>
      </c>
      <c r="M7661" t="s">
        <v>9250</v>
      </c>
      <c r="N7661" t="s">
        <v>9250</v>
      </c>
      <c r="O7661" t="s">
        <v>73</v>
      </c>
      <c r="P7661" t="s">
        <v>81</v>
      </c>
      <c r="Q7661" t="s">
        <v>9251</v>
      </c>
      <c r="R7661" t="s">
        <v>9250</v>
      </c>
    </row>
    <row r="7662" spans="1:18" x14ac:dyDescent="0.25">
      <c r="A7662" t="s">
        <v>20626</v>
      </c>
      <c r="B7662" t="s">
        <v>9255</v>
      </c>
      <c r="C7662" t="str">
        <f>HYPERLINK("https://nematode.unl.edu/nygomel13.jpg")</f>
        <v>https://nematode.unl.edu/nygomel13.jpg</v>
      </c>
      <c r="G7662" t="s">
        <v>34</v>
      </c>
      <c r="H7662" t="s">
        <v>18</v>
      </c>
      <c r="I7662" t="s">
        <v>41</v>
      </c>
      <c r="J7662" t="s">
        <v>1517</v>
      </c>
      <c r="L7662" t="s">
        <v>1526</v>
      </c>
      <c r="M7662" t="s">
        <v>9250</v>
      </c>
      <c r="N7662" t="s">
        <v>9250</v>
      </c>
      <c r="O7662" t="s">
        <v>73</v>
      </c>
      <c r="P7662" t="s">
        <v>81</v>
      </c>
      <c r="Q7662" t="s">
        <v>9251</v>
      </c>
      <c r="R7662" t="s">
        <v>9250</v>
      </c>
    </row>
    <row r="7663" spans="1:18" x14ac:dyDescent="0.25">
      <c r="A7663" t="s">
        <v>20622</v>
      </c>
      <c r="B7663" t="s">
        <v>9256</v>
      </c>
      <c r="C7663" t="str">
        <f>HYPERLINK("https://nematode.unl.edu/nygomel14.jpg")</f>
        <v>https://nematode.unl.edu/nygomel14.jpg</v>
      </c>
      <c r="G7663" t="s">
        <v>386</v>
      </c>
      <c r="H7663" t="s">
        <v>18</v>
      </c>
      <c r="J7663" t="s">
        <v>1517</v>
      </c>
      <c r="L7663" t="s">
        <v>1526</v>
      </c>
      <c r="M7663" t="s">
        <v>9250</v>
      </c>
      <c r="N7663" t="s">
        <v>9250</v>
      </c>
      <c r="O7663" t="s">
        <v>73</v>
      </c>
      <c r="P7663" t="s">
        <v>81</v>
      </c>
      <c r="Q7663" t="s">
        <v>9251</v>
      </c>
      <c r="R7663" t="s">
        <v>9250</v>
      </c>
    </row>
    <row r="7664" spans="1:18" x14ac:dyDescent="0.25">
      <c r="A7664" t="s">
        <v>20631</v>
      </c>
      <c r="B7664" t="s">
        <v>9257</v>
      </c>
      <c r="C7664" t="str">
        <f>HYPERLINK("https://nematode.unl.edu/nygomel15.jpg")</f>
        <v>https://nematode.unl.edu/nygomel15.jpg</v>
      </c>
      <c r="D7664" t="s">
        <v>16</v>
      </c>
      <c r="G7664" t="s">
        <v>243</v>
      </c>
      <c r="I7664" t="s">
        <v>41</v>
      </c>
      <c r="J7664" t="s">
        <v>1517</v>
      </c>
      <c r="L7664" t="s">
        <v>1526</v>
      </c>
      <c r="M7664" t="s">
        <v>9250</v>
      </c>
      <c r="N7664" t="s">
        <v>9250</v>
      </c>
      <c r="O7664" t="s">
        <v>73</v>
      </c>
      <c r="P7664" t="s">
        <v>81</v>
      </c>
      <c r="Q7664" t="s">
        <v>9251</v>
      </c>
      <c r="R7664" t="s">
        <v>9250</v>
      </c>
    </row>
    <row r="7665" spans="1:18" x14ac:dyDescent="0.25">
      <c r="A7665" t="s">
        <v>20635</v>
      </c>
      <c r="B7665" t="s">
        <v>9258</v>
      </c>
      <c r="C7665" t="str">
        <f>HYPERLINK("https://nematode.unl.edu/nygomel16.jpg")</f>
        <v>https://nematode.unl.edu/nygomel16.jpg</v>
      </c>
      <c r="D7665" t="s">
        <v>16</v>
      </c>
      <c r="G7665" t="s">
        <v>28</v>
      </c>
      <c r="J7665" t="s">
        <v>1517</v>
      </c>
      <c r="L7665" t="s">
        <v>1526</v>
      </c>
      <c r="M7665" t="s">
        <v>9250</v>
      </c>
      <c r="N7665" t="s">
        <v>9250</v>
      </c>
      <c r="O7665" t="s">
        <v>73</v>
      </c>
      <c r="P7665" t="s">
        <v>81</v>
      </c>
      <c r="Q7665" t="s">
        <v>9251</v>
      </c>
      <c r="R7665" t="s">
        <v>9250</v>
      </c>
    </row>
    <row r="7666" spans="1:18" x14ac:dyDescent="0.25">
      <c r="A7666" t="s">
        <v>20625</v>
      </c>
      <c r="B7666" t="s">
        <v>9259</v>
      </c>
      <c r="C7666" t="str">
        <f>HYPERLINK("https://nematode.unl.edu/nygomel2.jpg")</f>
        <v>https://nematode.unl.edu/nygomel2.jpg</v>
      </c>
      <c r="D7666" t="s">
        <v>43</v>
      </c>
      <c r="G7666" t="s">
        <v>96</v>
      </c>
      <c r="H7666" t="s">
        <v>18</v>
      </c>
      <c r="I7666" t="s">
        <v>19</v>
      </c>
      <c r="J7666" t="s">
        <v>1517</v>
      </c>
      <c r="L7666" t="s">
        <v>1526</v>
      </c>
      <c r="M7666" t="s">
        <v>9250</v>
      </c>
      <c r="N7666" t="s">
        <v>9250</v>
      </c>
      <c r="O7666" t="s">
        <v>73</v>
      </c>
      <c r="P7666" t="s">
        <v>81</v>
      </c>
      <c r="Q7666" t="s">
        <v>9251</v>
      </c>
      <c r="R7666" t="s">
        <v>9250</v>
      </c>
    </row>
    <row r="7667" spans="1:18" x14ac:dyDescent="0.25">
      <c r="A7667" t="s">
        <v>20638</v>
      </c>
      <c r="B7667" t="s">
        <v>9260</v>
      </c>
      <c r="C7667" t="str">
        <f>HYPERLINK("https://nematode.unl.edu/nygomel3.jpg")</f>
        <v>https://nematode.unl.edu/nygomel3.jpg</v>
      </c>
      <c r="D7667" t="s">
        <v>43</v>
      </c>
      <c r="G7667" t="s">
        <v>51</v>
      </c>
      <c r="I7667" t="s">
        <v>19</v>
      </c>
      <c r="J7667" t="s">
        <v>1517</v>
      </c>
      <c r="L7667" t="s">
        <v>1526</v>
      </c>
      <c r="M7667" t="s">
        <v>9250</v>
      </c>
      <c r="N7667" t="s">
        <v>9250</v>
      </c>
      <c r="O7667" t="s">
        <v>73</v>
      </c>
      <c r="P7667" t="s">
        <v>81</v>
      </c>
      <c r="Q7667" t="s">
        <v>9251</v>
      </c>
      <c r="R7667" t="s">
        <v>9250</v>
      </c>
    </row>
    <row r="7668" spans="1:18" x14ac:dyDescent="0.25">
      <c r="A7668" t="s">
        <v>20636</v>
      </c>
      <c r="B7668" t="s">
        <v>9261</v>
      </c>
      <c r="C7668" t="str">
        <f>HYPERLINK("https://nematode.unl.edu/nygomel4.jpg")</f>
        <v>https://nematode.unl.edu/nygomel4.jpg</v>
      </c>
      <c r="G7668" t="s">
        <v>28</v>
      </c>
      <c r="J7668" t="s">
        <v>1517</v>
      </c>
      <c r="L7668" t="s">
        <v>1526</v>
      </c>
      <c r="M7668" t="s">
        <v>9250</v>
      </c>
      <c r="N7668" t="s">
        <v>9250</v>
      </c>
      <c r="O7668" t="s">
        <v>73</v>
      </c>
      <c r="P7668" t="s">
        <v>81</v>
      </c>
      <c r="Q7668" t="s">
        <v>9251</v>
      </c>
      <c r="R7668" t="s">
        <v>9250</v>
      </c>
    </row>
    <row r="7669" spans="1:18" x14ac:dyDescent="0.25">
      <c r="A7669" t="s">
        <v>20627</v>
      </c>
      <c r="B7669" t="s">
        <v>9262</v>
      </c>
      <c r="C7669" t="str">
        <f>HYPERLINK("https://nematode.unl.edu/nygomel5.jpg")</f>
        <v>https://nematode.unl.edu/nygomel5.jpg</v>
      </c>
      <c r="G7669" t="s">
        <v>34</v>
      </c>
      <c r="H7669" t="s">
        <v>18</v>
      </c>
      <c r="J7669" t="s">
        <v>1517</v>
      </c>
      <c r="L7669" t="s">
        <v>1526</v>
      </c>
      <c r="M7669" t="s">
        <v>9250</v>
      </c>
      <c r="N7669" t="s">
        <v>9250</v>
      </c>
      <c r="O7669" t="s">
        <v>73</v>
      </c>
      <c r="P7669" t="s">
        <v>81</v>
      </c>
      <c r="Q7669" t="s">
        <v>9251</v>
      </c>
      <c r="R7669" t="s">
        <v>9250</v>
      </c>
    </row>
    <row r="7670" spans="1:18" x14ac:dyDescent="0.25">
      <c r="A7670" t="s">
        <v>20639</v>
      </c>
      <c r="B7670" t="s">
        <v>9263</v>
      </c>
      <c r="C7670" t="str">
        <f>HYPERLINK("https://nematode.unl.edu/nygomel6.jpg")</f>
        <v>https://nematode.unl.edu/nygomel6.jpg</v>
      </c>
      <c r="D7670" t="s">
        <v>43</v>
      </c>
      <c r="G7670" t="s">
        <v>51</v>
      </c>
      <c r="I7670" t="s">
        <v>529</v>
      </c>
      <c r="J7670" t="s">
        <v>1517</v>
      </c>
      <c r="L7670" t="s">
        <v>1526</v>
      </c>
      <c r="M7670" t="s">
        <v>9250</v>
      </c>
      <c r="N7670" t="s">
        <v>9250</v>
      </c>
      <c r="O7670" t="s">
        <v>73</v>
      </c>
      <c r="P7670" t="s">
        <v>81</v>
      </c>
      <c r="Q7670" t="s">
        <v>9251</v>
      </c>
      <c r="R7670" t="s">
        <v>9250</v>
      </c>
    </row>
    <row r="7671" spans="1:18" x14ac:dyDescent="0.25">
      <c r="A7671" t="s">
        <v>20637</v>
      </c>
      <c r="B7671" t="s">
        <v>9264</v>
      </c>
      <c r="C7671" t="str">
        <f>HYPERLINK("https://nematode.unl.edu/nygomel7.jpg")</f>
        <v>https://nematode.unl.edu/nygomel7.jpg</v>
      </c>
      <c r="D7671" t="s">
        <v>77</v>
      </c>
      <c r="G7671" t="s">
        <v>28</v>
      </c>
      <c r="I7671" t="s">
        <v>41</v>
      </c>
      <c r="J7671" t="s">
        <v>1517</v>
      </c>
      <c r="L7671" t="s">
        <v>1526</v>
      </c>
      <c r="M7671" t="s">
        <v>9250</v>
      </c>
      <c r="N7671" t="s">
        <v>9250</v>
      </c>
      <c r="O7671" t="s">
        <v>73</v>
      </c>
      <c r="P7671" t="s">
        <v>81</v>
      </c>
      <c r="Q7671" t="s">
        <v>9251</v>
      </c>
      <c r="R7671" t="s">
        <v>9250</v>
      </c>
    </row>
    <row r="7672" spans="1:18" x14ac:dyDescent="0.25">
      <c r="A7672" t="s">
        <v>20623</v>
      </c>
      <c r="B7672" t="s">
        <v>9265</v>
      </c>
      <c r="C7672" t="str">
        <f>HYPERLINK("https://nematode.unl.edu/nygomel8.jpg")</f>
        <v>https://nematode.unl.edu/nygomel8.jpg</v>
      </c>
      <c r="G7672" t="s">
        <v>386</v>
      </c>
      <c r="H7672" t="s">
        <v>18</v>
      </c>
      <c r="J7672" t="s">
        <v>1517</v>
      </c>
      <c r="L7672" t="s">
        <v>1526</v>
      </c>
      <c r="M7672" t="s">
        <v>9250</v>
      </c>
      <c r="N7672" t="s">
        <v>9250</v>
      </c>
      <c r="O7672" t="s">
        <v>73</v>
      </c>
      <c r="P7672" t="s">
        <v>81</v>
      </c>
      <c r="Q7672" t="s">
        <v>9251</v>
      </c>
      <c r="R7672" t="s">
        <v>9250</v>
      </c>
    </row>
    <row r="7673" spans="1:18" x14ac:dyDescent="0.25">
      <c r="A7673" t="s">
        <v>20671</v>
      </c>
      <c r="B7673" t="s">
        <v>9278</v>
      </c>
      <c r="C7673" t="str">
        <f>HYPERLINK("https://nematode.unl.edu/nygop1.jpg")</f>
        <v>https://nematode.unl.edu/nygop1.jpg</v>
      </c>
      <c r="D7673" t="s">
        <v>43</v>
      </c>
      <c r="G7673" t="s">
        <v>44</v>
      </c>
      <c r="I7673" t="s">
        <v>1008</v>
      </c>
      <c r="J7673" t="s">
        <v>267</v>
      </c>
      <c r="M7673" t="s">
        <v>9279</v>
      </c>
      <c r="N7673" t="s">
        <v>9279</v>
      </c>
      <c r="O7673" t="s">
        <v>73</v>
      </c>
      <c r="P7673" t="s">
        <v>81</v>
      </c>
      <c r="Q7673" t="s">
        <v>9251</v>
      </c>
      <c r="R7673" t="s">
        <v>9250</v>
      </c>
    </row>
    <row r="7674" spans="1:18" x14ac:dyDescent="0.25">
      <c r="A7674" t="s">
        <v>20654</v>
      </c>
      <c r="B7674" t="s">
        <v>9280</v>
      </c>
      <c r="C7674" t="str">
        <f>HYPERLINK("https://nematode.unl.edu/nygop10.jpg")</f>
        <v>https://nematode.unl.edu/nygop10.jpg</v>
      </c>
      <c r="D7674" t="s">
        <v>43</v>
      </c>
      <c r="G7674" t="s">
        <v>34</v>
      </c>
      <c r="H7674" t="s">
        <v>18</v>
      </c>
      <c r="I7674" t="s">
        <v>19</v>
      </c>
      <c r="J7674" t="s">
        <v>267</v>
      </c>
      <c r="M7674" t="s">
        <v>9279</v>
      </c>
      <c r="N7674" t="s">
        <v>9279</v>
      </c>
      <c r="O7674" t="s">
        <v>73</v>
      </c>
      <c r="P7674" t="s">
        <v>81</v>
      </c>
      <c r="Q7674" t="s">
        <v>9251</v>
      </c>
      <c r="R7674" t="s">
        <v>9250</v>
      </c>
    </row>
    <row r="7675" spans="1:18" x14ac:dyDescent="0.25">
      <c r="A7675" t="s">
        <v>20655</v>
      </c>
      <c r="B7675" t="s">
        <v>9281</v>
      </c>
      <c r="C7675" t="str">
        <f>HYPERLINK("https://nematode.unl.edu/nygop11.jpg")</f>
        <v>https://nematode.unl.edu/nygop11.jpg</v>
      </c>
      <c r="D7675" t="s">
        <v>43</v>
      </c>
      <c r="G7675" t="s">
        <v>34</v>
      </c>
      <c r="H7675" t="s">
        <v>18</v>
      </c>
      <c r="I7675" t="s">
        <v>41</v>
      </c>
      <c r="J7675" t="s">
        <v>267</v>
      </c>
      <c r="M7675" t="s">
        <v>9279</v>
      </c>
      <c r="N7675" t="s">
        <v>9279</v>
      </c>
      <c r="O7675" t="s">
        <v>73</v>
      </c>
      <c r="P7675" t="s">
        <v>81</v>
      </c>
      <c r="Q7675" t="s">
        <v>9251</v>
      </c>
      <c r="R7675" t="s">
        <v>9250</v>
      </c>
    </row>
    <row r="7676" spans="1:18" x14ac:dyDescent="0.25">
      <c r="A7676" t="s">
        <v>20656</v>
      </c>
      <c r="B7676" t="s">
        <v>9282</v>
      </c>
      <c r="C7676" t="str">
        <f>HYPERLINK("https://nematode.unl.edu/nygop12.jpg")</f>
        <v>https://nematode.unl.edu/nygop12.jpg</v>
      </c>
      <c r="G7676" t="s">
        <v>34</v>
      </c>
      <c r="H7676" t="s">
        <v>18</v>
      </c>
      <c r="J7676" t="s">
        <v>267</v>
      </c>
      <c r="M7676" t="s">
        <v>9279</v>
      </c>
      <c r="N7676" t="s">
        <v>9279</v>
      </c>
      <c r="O7676" t="s">
        <v>73</v>
      </c>
      <c r="P7676" t="s">
        <v>81</v>
      </c>
      <c r="Q7676" t="s">
        <v>9251</v>
      </c>
      <c r="R7676" t="s">
        <v>9250</v>
      </c>
    </row>
    <row r="7677" spans="1:18" x14ac:dyDescent="0.25">
      <c r="A7677" t="s">
        <v>20666</v>
      </c>
      <c r="B7677" t="s">
        <v>9283</v>
      </c>
      <c r="C7677" t="str">
        <f>HYPERLINK("https://nematode.unl.edu/nygop13.jpg")</f>
        <v>https://nematode.unl.edu/nygop13.jpg</v>
      </c>
      <c r="G7677" t="s">
        <v>87</v>
      </c>
      <c r="I7677" t="s">
        <v>19</v>
      </c>
      <c r="J7677" t="s">
        <v>267</v>
      </c>
      <c r="M7677" t="s">
        <v>9279</v>
      </c>
      <c r="N7677" t="s">
        <v>9279</v>
      </c>
      <c r="O7677" t="s">
        <v>73</v>
      </c>
      <c r="P7677" t="s">
        <v>81</v>
      </c>
      <c r="Q7677" t="s">
        <v>9251</v>
      </c>
      <c r="R7677" t="s">
        <v>9250</v>
      </c>
    </row>
    <row r="7678" spans="1:18" x14ac:dyDescent="0.25">
      <c r="A7678" t="s">
        <v>20677</v>
      </c>
      <c r="B7678" t="s">
        <v>9284</v>
      </c>
      <c r="C7678" t="str">
        <f>HYPERLINK("https://nematode.unl.edu/nygop14.jpg")</f>
        <v>https://nematode.unl.edu/nygop14.jpg</v>
      </c>
      <c r="D7678" t="s">
        <v>16</v>
      </c>
      <c r="G7678" t="s">
        <v>28</v>
      </c>
      <c r="I7678" t="s">
        <v>19</v>
      </c>
      <c r="J7678" t="s">
        <v>267</v>
      </c>
      <c r="M7678" t="s">
        <v>9279</v>
      </c>
      <c r="N7678" t="s">
        <v>9279</v>
      </c>
      <c r="O7678" t="s">
        <v>73</v>
      </c>
      <c r="P7678" t="s">
        <v>81</v>
      </c>
      <c r="Q7678" t="s">
        <v>9251</v>
      </c>
      <c r="R7678" t="s">
        <v>9250</v>
      </c>
    </row>
    <row r="7679" spans="1:18" x14ac:dyDescent="0.25">
      <c r="A7679" t="s">
        <v>20657</v>
      </c>
      <c r="B7679" t="s">
        <v>9285</v>
      </c>
      <c r="C7679" t="str">
        <f>HYPERLINK("https://nematode.unl.edu/nygop15.jpg")</f>
        <v>https://nematode.unl.edu/nygop15.jpg</v>
      </c>
      <c r="D7679" t="s">
        <v>16</v>
      </c>
      <c r="G7679" t="s">
        <v>34</v>
      </c>
      <c r="H7679" t="s">
        <v>18</v>
      </c>
      <c r="J7679" t="s">
        <v>267</v>
      </c>
      <c r="M7679" t="s">
        <v>9279</v>
      </c>
      <c r="N7679" t="s">
        <v>9279</v>
      </c>
      <c r="O7679" t="s">
        <v>73</v>
      </c>
      <c r="P7679" t="s">
        <v>81</v>
      </c>
      <c r="Q7679" t="s">
        <v>9251</v>
      </c>
      <c r="R7679" t="s">
        <v>9250</v>
      </c>
    </row>
    <row r="7680" spans="1:18" x14ac:dyDescent="0.25">
      <c r="A7680" t="s">
        <v>20678</v>
      </c>
      <c r="B7680" t="s">
        <v>9286</v>
      </c>
      <c r="C7680" t="str">
        <f>HYPERLINK("https://nematode.unl.edu/nygop16.jpg")</f>
        <v>https://nematode.unl.edu/nygop16.jpg</v>
      </c>
      <c r="D7680" t="s">
        <v>16</v>
      </c>
      <c r="G7680" t="s">
        <v>28</v>
      </c>
      <c r="J7680" t="s">
        <v>267</v>
      </c>
      <c r="M7680" t="s">
        <v>9279</v>
      </c>
      <c r="N7680" t="s">
        <v>9279</v>
      </c>
      <c r="O7680" t="s">
        <v>73</v>
      </c>
      <c r="P7680" t="s">
        <v>81</v>
      </c>
      <c r="Q7680" t="s">
        <v>9251</v>
      </c>
      <c r="R7680" t="s">
        <v>9250</v>
      </c>
    </row>
    <row r="7681" spans="1:18" x14ac:dyDescent="0.25">
      <c r="A7681" t="s">
        <v>20672</v>
      </c>
      <c r="B7681" t="s">
        <v>9287</v>
      </c>
      <c r="C7681" t="str">
        <f>HYPERLINK("https://nematode.unl.edu/nygop17.jpg")</f>
        <v>https://nematode.unl.edu/nygop17.jpg</v>
      </c>
      <c r="D7681" t="s">
        <v>43</v>
      </c>
      <c r="G7681" t="s">
        <v>44</v>
      </c>
      <c r="I7681" t="s">
        <v>45</v>
      </c>
      <c r="J7681" t="s">
        <v>267</v>
      </c>
      <c r="M7681" t="s">
        <v>9279</v>
      </c>
      <c r="N7681" t="s">
        <v>9279</v>
      </c>
      <c r="O7681" t="s">
        <v>73</v>
      </c>
      <c r="P7681" t="s">
        <v>81</v>
      </c>
      <c r="Q7681" t="s">
        <v>9251</v>
      </c>
      <c r="R7681" t="s">
        <v>9250</v>
      </c>
    </row>
    <row r="7682" spans="1:18" x14ac:dyDescent="0.25">
      <c r="A7682" t="s">
        <v>20679</v>
      </c>
      <c r="B7682" t="s">
        <v>9288</v>
      </c>
      <c r="C7682" t="str">
        <f>HYPERLINK("https://nematode.unl.edu/nygop18.jpg")</f>
        <v>https://nematode.unl.edu/nygop18.jpg</v>
      </c>
      <c r="D7682" t="s">
        <v>43</v>
      </c>
      <c r="G7682" t="s">
        <v>28</v>
      </c>
      <c r="J7682" t="s">
        <v>267</v>
      </c>
      <c r="M7682" t="s">
        <v>9279</v>
      </c>
      <c r="N7682" t="s">
        <v>9279</v>
      </c>
      <c r="O7682" t="s">
        <v>73</v>
      </c>
      <c r="P7682" t="s">
        <v>81</v>
      </c>
      <c r="Q7682" t="s">
        <v>9251</v>
      </c>
      <c r="R7682" t="s">
        <v>9250</v>
      </c>
    </row>
    <row r="7683" spans="1:18" x14ac:dyDescent="0.25">
      <c r="A7683" t="s">
        <v>20674</v>
      </c>
      <c r="B7683" t="s">
        <v>9289</v>
      </c>
      <c r="C7683" t="str">
        <f>HYPERLINK("https://nematode.unl.edu/nygop19.jpg")</f>
        <v>https://nematode.unl.edu/nygop19.jpg</v>
      </c>
      <c r="G7683" t="s">
        <v>1000</v>
      </c>
      <c r="I7683" t="s">
        <v>19</v>
      </c>
      <c r="J7683" t="s">
        <v>267</v>
      </c>
      <c r="M7683" t="s">
        <v>9279</v>
      </c>
      <c r="N7683" t="s">
        <v>9279</v>
      </c>
      <c r="O7683" t="s">
        <v>73</v>
      </c>
      <c r="P7683" t="s">
        <v>81</v>
      </c>
      <c r="Q7683" t="s">
        <v>9251</v>
      </c>
      <c r="R7683" t="s">
        <v>9250</v>
      </c>
    </row>
    <row r="7684" spans="1:18" x14ac:dyDescent="0.25">
      <c r="A7684" t="s">
        <v>20646</v>
      </c>
      <c r="B7684" t="s">
        <v>9290</v>
      </c>
      <c r="C7684" t="str">
        <f>HYPERLINK("https://nematode.unl.edu/nygop2.jpg")</f>
        <v>https://nematode.unl.edu/nygop2.jpg</v>
      </c>
      <c r="D7684" t="s">
        <v>77</v>
      </c>
      <c r="G7684" t="s">
        <v>96</v>
      </c>
      <c r="H7684" t="s">
        <v>18</v>
      </c>
      <c r="I7684" t="s">
        <v>45</v>
      </c>
      <c r="J7684" t="s">
        <v>267</v>
      </c>
      <c r="M7684" t="s">
        <v>9279</v>
      </c>
      <c r="N7684" t="s">
        <v>9279</v>
      </c>
      <c r="O7684" t="s">
        <v>73</v>
      </c>
      <c r="P7684" t="s">
        <v>81</v>
      </c>
      <c r="Q7684" t="s">
        <v>9251</v>
      </c>
      <c r="R7684" t="s">
        <v>9250</v>
      </c>
    </row>
    <row r="7685" spans="1:18" x14ac:dyDescent="0.25">
      <c r="A7685" t="s">
        <v>20683</v>
      </c>
      <c r="B7685" t="s">
        <v>9291</v>
      </c>
      <c r="C7685" t="str">
        <f>HYPERLINK("https://nematode.unl.edu/nygop20.jpg")</f>
        <v>https://nematode.unl.edu/nygop20.jpg</v>
      </c>
      <c r="D7685" t="s">
        <v>43</v>
      </c>
      <c r="G7685" t="s">
        <v>51</v>
      </c>
      <c r="J7685" t="s">
        <v>267</v>
      </c>
      <c r="M7685" t="s">
        <v>9279</v>
      </c>
      <c r="N7685" t="s">
        <v>9279</v>
      </c>
      <c r="O7685" t="s">
        <v>73</v>
      </c>
      <c r="P7685" t="s">
        <v>81</v>
      </c>
      <c r="Q7685" t="s">
        <v>9251</v>
      </c>
      <c r="R7685" t="s">
        <v>9250</v>
      </c>
    </row>
    <row r="7686" spans="1:18" x14ac:dyDescent="0.25">
      <c r="A7686" t="s">
        <v>20647</v>
      </c>
      <c r="B7686" t="s">
        <v>9292</v>
      </c>
      <c r="C7686" t="str">
        <f>HYPERLINK("https://nematode.unl.edu/nygop21.jpg")</f>
        <v>https://nematode.unl.edu/nygop21.jpg</v>
      </c>
      <c r="D7686" t="s">
        <v>43</v>
      </c>
      <c r="G7686" t="s">
        <v>96</v>
      </c>
      <c r="H7686" t="s">
        <v>18</v>
      </c>
      <c r="J7686" t="s">
        <v>267</v>
      </c>
      <c r="M7686" t="s">
        <v>9279</v>
      </c>
      <c r="N7686" t="s">
        <v>9279</v>
      </c>
      <c r="O7686" t="s">
        <v>73</v>
      </c>
      <c r="P7686" t="s">
        <v>81</v>
      </c>
      <c r="Q7686" t="s">
        <v>9251</v>
      </c>
      <c r="R7686" t="s">
        <v>9250</v>
      </c>
    </row>
    <row r="7687" spans="1:18" x14ac:dyDescent="0.25">
      <c r="A7687" t="s">
        <v>20648</v>
      </c>
      <c r="B7687" t="s">
        <v>9293</v>
      </c>
      <c r="C7687" t="str">
        <f>HYPERLINK("https://nematode.unl.edu/nygop22.jpg")</f>
        <v>https://nematode.unl.edu/nygop22.jpg</v>
      </c>
      <c r="G7687" t="s">
        <v>96</v>
      </c>
      <c r="H7687" t="s">
        <v>18</v>
      </c>
      <c r="I7687" t="s">
        <v>19</v>
      </c>
      <c r="J7687" t="s">
        <v>267</v>
      </c>
      <c r="M7687" t="s">
        <v>9279</v>
      </c>
      <c r="N7687" t="s">
        <v>9279</v>
      </c>
      <c r="O7687" t="s">
        <v>73</v>
      </c>
      <c r="P7687" t="s">
        <v>81</v>
      </c>
      <c r="Q7687" t="s">
        <v>9251</v>
      </c>
      <c r="R7687" t="s">
        <v>9250</v>
      </c>
    </row>
    <row r="7688" spans="1:18" x14ac:dyDescent="0.25">
      <c r="A7688" t="s">
        <v>20667</v>
      </c>
      <c r="B7688" t="s">
        <v>9294</v>
      </c>
      <c r="C7688" t="str">
        <f>HYPERLINK("https://nematode.unl.edu/nygop23.jpg")</f>
        <v>https://nematode.unl.edu/nygop23.jpg</v>
      </c>
      <c r="D7688" t="s">
        <v>43</v>
      </c>
      <c r="G7688" t="s">
        <v>87</v>
      </c>
      <c r="I7688" t="s">
        <v>19</v>
      </c>
      <c r="J7688" t="s">
        <v>267</v>
      </c>
      <c r="M7688" t="s">
        <v>9279</v>
      </c>
      <c r="N7688" t="s">
        <v>9279</v>
      </c>
      <c r="O7688" t="s">
        <v>73</v>
      </c>
      <c r="P7688" t="s">
        <v>81</v>
      </c>
      <c r="Q7688" t="s">
        <v>9251</v>
      </c>
      <c r="R7688" t="s">
        <v>9250</v>
      </c>
    </row>
    <row r="7689" spans="1:18" x14ac:dyDescent="0.25">
      <c r="A7689" t="s">
        <v>20658</v>
      </c>
      <c r="B7689" t="s">
        <v>9295</v>
      </c>
      <c r="C7689" t="str">
        <f>HYPERLINK("https://nematode.unl.edu/nygop24.jpg")</f>
        <v>https://nematode.unl.edu/nygop24.jpg</v>
      </c>
      <c r="D7689" t="s">
        <v>43</v>
      </c>
      <c r="G7689" t="s">
        <v>34</v>
      </c>
      <c r="H7689" t="s">
        <v>18</v>
      </c>
      <c r="I7689" t="s">
        <v>19</v>
      </c>
      <c r="J7689" t="s">
        <v>267</v>
      </c>
      <c r="M7689" t="s">
        <v>9279</v>
      </c>
      <c r="N7689" t="s">
        <v>9279</v>
      </c>
      <c r="O7689" t="s">
        <v>73</v>
      </c>
      <c r="P7689" t="s">
        <v>81</v>
      </c>
      <c r="Q7689" t="s">
        <v>9251</v>
      </c>
      <c r="R7689" t="s">
        <v>9250</v>
      </c>
    </row>
    <row r="7690" spans="1:18" x14ac:dyDescent="0.25">
      <c r="A7690" t="s">
        <v>20659</v>
      </c>
      <c r="B7690" t="s">
        <v>9296</v>
      </c>
      <c r="C7690" t="str">
        <f>HYPERLINK("https://nematode.unl.edu/nygop25.jpg")</f>
        <v>https://nematode.unl.edu/nygop25.jpg</v>
      </c>
      <c r="D7690" t="s">
        <v>43</v>
      </c>
      <c r="G7690" t="s">
        <v>34</v>
      </c>
      <c r="H7690" t="s">
        <v>18</v>
      </c>
      <c r="I7690" t="s">
        <v>41</v>
      </c>
      <c r="J7690" t="s">
        <v>267</v>
      </c>
      <c r="M7690" t="s">
        <v>9279</v>
      </c>
      <c r="N7690" t="s">
        <v>9279</v>
      </c>
      <c r="O7690" t="s">
        <v>73</v>
      </c>
      <c r="P7690" t="s">
        <v>81</v>
      </c>
      <c r="Q7690" t="s">
        <v>9251</v>
      </c>
      <c r="R7690" t="s">
        <v>9250</v>
      </c>
    </row>
    <row r="7691" spans="1:18" x14ac:dyDescent="0.25">
      <c r="A7691" t="s">
        <v>20684</v>
      </c>
      <c r="B7691" t="s">
        <v>9297</v>
      </c>
      <c r="C7691" t="str">
        <f>HYPERLINK("https://nematode.unl.edu/nygop26.jpg")</f>
        <v>https://nematode.unl.edu/nygop26.jpg</v>
      </c>
      <c r="D7691" t="s">
        <v>43</v>
      </c>
      <c r="G7691" t="s">
        <v>51</v>
      </c>
      <c r="I7691" t="s">
        <v>41</v>
      </c>
      <c r="J7691" t="s">
        <v>267</v>
      </c>
      <c r="M7691" t="s">
        <v>9279</v>
      </c>
      <c r="N7691" t="s">
        <v>9279</v>
      </c>
      <c r="O7691" t="s">
        <v>73</v>
      </c>
      <c r="P7691" t="s">
        <v>81</v>
      </c>
      <c r="Q7691" t="s">
        <v>9251</v>
      </c>
      <c r="R7691" t="s">
        <v>9250</v>
      </c>
    </row>
    <row r="7692" spans="1:18" x14ac:dyDescent="0.25">
      <c r="A7692" t="s">
        <v>20649</v>
      </c>
      <c r="B7692" t="s">
        <v>9298</v>
      </c>
      <c r="C7692" t="str">
        <f>HYPERLINK("https://nematode.unl.edu/nygop27.jpg")</f>
        <v>https://nematode.unl.edu/nygop27.jpg</v>
      </c>
      <c r="D7692" t="s">
        <v>43</v>
      </c>
      <c r="G7692" t="s">
        <v>96</v>
      </c>
      <c r="H7692" t="s">
        <v>18</v>
      </c>
      <c r="I7692" t="s">
        <v>19</v>
      </c>
      <c r="J7692" t="s">
        <v>267</v>
      </c>
      <c r="M7692" t="s">
        <v>9279</v>
      </c>
      <c r="N7692" t="s">
        <v>9279</v>
      </c>
      <c r="O7692" t="s">
        <v>73</v>
      </c>
      <c r="P7692" t="s">
        <v>81</v>
      </c>
      <c r="Q7692" t="s">
        <v>9251</v>
      </c>
      <c r="R7692" t="s">
        <v>9250</v>
      </c>
    </row>
    <row r="7693" spans="1:18" x14ac:dyDescent="0.25">
      <c r="A7693" t="s">
        <v>20673</v>
      </c>
      <c r="B7693" t="s">
        <v>9299</v>
      </c>
      <c r="C7693" t="str">
        <f>HYPERLINK("https://nematode.unl.edu/nygop28.jpg")</f>
        <v>https://nematode.unl.edu/nygop28.jpg</v>
      </c>
      <c r="D7693" t="s">
        <v>43</v>
      </c>
      <c r="G7693" t="s">
        <v>44</v>
      </c>
      <c r="I7693" t="s">
        <v>45</v>
      </c>
      <c r="J7693" t="s">
        <v>267</v>
      </c>
      <c r="M7693" t="s">
        <v>9279</v>
      </c>
      <c r="N7693" t="s">
        <v>9279</v>
      </c>
      <c r="O7693" t="s">
        <v>73</v>
      </c>
      <c r="P7693" t="s">
        <v>81</v>
      </c>
      <c r="Q7693" t="s">
        <v>9251</v>
      </c>
      <c r="R7693" t="s">
        <v>9250</v>
      </c>
    </row>
    <row r="7694" spans="1:18" x14ac:dyDescent="0.25">
      <c r="A7694" t="s">
        <v>20680</v>
      </c>
      <c r="B7694" t="s">
        <v>9300</v>
      </c>
      <c r="C7694" t="str">
        <f>HYPERLINK("https://nematode.unl.edu/nygop29.jpg")</f>
        <v>https://nematode.unl.edu/nygop29.jpg</v>
      </c>
      <c r="D7694" t="s">
        <v>43</v>
      </c>
      <c r="G7694" t="s">
        <v>28</v>
      </c>
      <c r="J7694" t="s">
        <v>267</v>
      </c>
      <c r="M7694" t="s">
        <v>9279</v>
      </c>
      <c r="N7694" t="s">
        <v>9279</v>
      </c>
      <c r="O7694" t="s">
        <v>73</v>
      </c>
      <c r="P7694" t="s">
        <v>81</v>
      </c>
      <c r="Q7694" t="s">
        <v>9251</v>
      </c>
      <c r="R7694" t="s">
        <v>9250</v>
      </c>
    </row>
    <row r="7695" spans="1:18" x14ac:dyDescent="0.25">
      <c r="A7695" t="s">
        <v>20681</v>
      </c>
      <c r="B7695" t="s">
        <v>9301</v>
      </c>
      <c r="C7695" t="str">
        <f>HYPERLINK("https://nematode.unl.edu/nygop3.jpg")</f>
        <v>https://nematode.unl.edu/nygop3.jpg</v>
      </c>
      <c r="D7695" t="s">
        <v>43</v>
      </c>
      <c r="G7695" t="s">
        <v>28</v>
      </c>
      <c r="J7695" t="s">
        <v>267</v>
      </c>
      <c r="M7695" t="s">
        <v>9279</v>
      </c>
      <c r="N7695" t="s">
        <v>9279</v>
      </c>
      <c r="O7695" t="s">
        <v>73</v>
      </c>
      <c r="P7695" t="s">
        <v>81</v>
      </c>
      <c r="Q7695" t="s">
        <v>9251</v>
      </c>
      <c r="R7695" t="s">
        <v>9250</v>
      </c>
    </row>
    <row r="7696" spans="1:18" x14ac:dyDescent="0.25">
      <c r="A7696" t="s">
        <v>20685</v>
      </c>
      <c r="B7696" t="s">
        <v>9302</v>
      </c>
      <c r="C7696" t="str">
        <f>HYPERLINK("https://nematode.unl.edu/nygop30.jpg")</f>
        <v>https://nematode.unl.edu/nygop30.jpg</v>
      </c>
      <c r="D7696" t="s">
        <v>43</v>
      </c>
      <c r="G7696" t="s">
        <v>51</v>
      </c>
      <c r="I7696" t="s">
        <v>19</v>
      </c>
      <c r="J7696" t="s">
        <v>267</v>
      </c>
      <c r="M7696" t="s">
        <v>9279</v>
      </c>
      <c r="N7696" t="s">
        <v>9279</v>
      </c>
      <c r="O7696" t="s">
        <v>73</v>
      </c>
      <c r="P7696" t="s">
        <v>81</v>
      </c>
      <c r="Q7696" t="s">
        <v>9251</v>
      </c>
      <c r="R7696" t="s">
        <v>9250</v>
      </c>
    </row>
    <row r="7697" spans="1:18" x14ac:dyDescent="0.25">
      <c r="A7697" t="s">
        <v>20653</v>
      </c>
      <c r="B7697" t="s">
        <v>9303</v>
      </c>
      <c r="C7697" t="str">
        <f>HYPERLINK("https://nematode.unl.edu/nygop31.jpg")</f>
        <v>https://nematode.unl.edu/nygop31.jpg</v>
      </c>
      <c r="D7697" t="s">
        <v>43</v>
      </c>
      <c r="G7697" t="s">
        <v>17</v>
      </c>
      <c r="H7697" t="s">
        <v>18</v>
      </c>
      <c r="J7697" t="s">
        <v>267</v>
      </c>
      <c r="M7697" t="s">
        <v>9279</v>
      </c>
      <c r="N7697" t="s">
        <v>9279</v>
      </c>
      <c r="O7697" t="s">
        <v>73</v>
      </c>
      <c r="P7697" t="s">
        <v>81</v>
      </c>
      <c r="Q7697" t="s">
        <v>9251</v>
      </c>
      <c r="R7697" t="s">
        <v>9250</v>
      </c>
    </row>
    <row r="7698" spans="1:18" x14ac:dyDescent="0.25">
      <c r="A7698" t="s">
        <v>20668</v>
      </c>
      <c r="B7698" t="s">
        <v>9304</v>
      </c>
      <c r="C7698" t="str">
        <f>HYPERLINK("https://nematode.unl.edu/nygop32.jpg")</f>
        <v>https://nematode.unl.edu/nygop32.jpg</v>
      </c>
      <c r="D7698" t="s">
        <v>77</v>
      </c>
      <c r="G7698" t="s">
        <v>87</v>
      </c>
      <c r="J7698" t="s">
        <v>267</v>
      </c>
      <c r="M7698" t="s">
        <v>9279</v>
      </c>
      <c r="N7698" t="s">
        <v>9279</v>
      </c>
      <c r="O7698" t="s">
        <v>73</v>
      </c>
      <c r="P7698" t="s">
        <v>81</v>
      </c>
      <c r="Q7698" t="s">
        <v>9251</v>
      </c>
      <c r="R7698" t="s">
        <v>9250</v>
      </c>
    </row>
    <row r="7699" spans="1:18" x14ac:dyDescent="0.25">
      <c r="A7699" t="s">
        <v>20650</v>
      </c>
      <c r="B7699" t="s">
        <v>9305</v>
      </c>
      <c r="C7699" t="str">
        <f>HYPERLINK("https://nematode.unl.edu/nygop33.jpg")</f>
        <v>https://nematode.unl.edu/nygop33.jpg</v>
      </c>
      <c r="D7699" t="s">
        <v>43</v>
      </c>
      <c r="G7699" t="s">
        <v>96</v>
      </c>
      <c r="H7699" t="s">
        <v>18</v>
      </c>
      <c r="J7699" t="s">
        <v>267</v>
      </c>
      <c r="M7699" t="s">
        <v>9279</v>
      </c>
      <c r="N7699" t="s">
        <v>9279</v>
      </c>
      <c r="O7699" t="s">
        <v>73</v>
      </c>
      <c r="P7699" t="s">
        <v>81</v>
      </c>
      <c r="Q7699" t="s">
        <v>9251</v>
      </c>
      <c r="R7699" t="s">
        <v>9250</v>
      </c>
    </row>
    <row r="7700" spans="1:18" x14ac:dyDescent="0.25">
      <c r="A7700" t="s">
        <v>20660</v>
      </c>
      <c r="B7700" t="s">
        <v>9306</v>
      </c>
      <c r="C7700" t="str">
        <f>HYPERLINK("https://nematode.unl.edu/nygop34.jpg")</f>
        <v>https://nematode.unl.edu/nygop34.jpg</v>
      </c>
      <c r="D7700" t="s">
        <v>43</v>
      </c>
      <c r="G7700" t="s">
        <v>34</v>
      </c>
      <c r="H7700" t="s">
        <v>18</v>
      </c>
      <c r="I7700" t="s">
        <v>19</v>
      </c>
      <c r="J7700" t="s">
        <v>267</v>
      </c>
      <c r="M7700" t="s">
        <v>9279</v>
      </c>
      <c r="N7700" t="s">
        <v>9279</v>
      </c>
      <c r="O7700" t="s">
        <v>73</v>
      </c>
      <c r="P7700" t="s">
        <v>81</v>
      </c>
      <c r="Q7700" t="s">
        <v>9251</v>
      </c>
      <c r="R7700" t="s">
        <v>9250</v>
      </c>
    </row>
    <row r="7701" spans="1:18" x14ac:dyDescent="0.25">
      <c r="A7701" t="s">
        <v>20661</v>
      </c>
      <c r="B7701" t="s">
        <v>9307</v>
      </c>
      <c r="C7701" t="str">
        <f>HYPERLINK("https://nematode.unl.edu/nygop35.jpg")</f>
        <v>https://nematode.unl.edu/nygop35.jpg</v>
      </c>
      <c r="D7701" t="s">
        <v>43</v>
      </c>
      <c r="G7701" t="s">
        <v>34</v>
      </c>
      <c r="H7701" t="s">
        <v>18</v>
      </c>
      <c r="I7701" t="s">
        <v>41</v>
      </c>
      <c r="J7701" t="s">
        <v>267</v>
      </c>
      <c r="M7701" t="s">
        <v>9279</v>
      </c>
      <c r="N7701" t="s">
        <v>9279</v>
      </c>
      <c r="O7701" t="s">
        <v>73</v>
      </c>
      <c r="P7701" t="s">
        <v>81</v>
      </c>
      <c r="Q7701" t="s">
        <v>9251</v>
      </c>
      <c r="R7701" t="s">
        <v>9250</v>
      </c>
    </row>
    <row r="7702" spans="1:18" x14ac:dyDescent="0.25">
      <c r="A7702" t="s">
        <v>20669</v>
      </c>
      <c r="B7702" t="s">
        <v>9308</v>
      </c>
      <c r="C7702" t="str">
        <f>HYPERLINK("https://nematode.unl.edu/nygop36.jpg")</f>
        <v>https://nematode.unl.edu/nygop36.jpg</v>
      </c>
      <c r="D7702" t="s">
        <v>43</v>
      </c>
      <c r="G7702" t="s">
        <v>87</v>
      </c>
      <c r="I7702" t="s">
        <v>529</v>
      </c>
      <c r="J7702" t="s">
        <v>267</v>
      </c>
      <c r="M7702" t="s">
        <v>9279</v>
      </c>
      <c r="N7702" t="s">
        <v>9279</v>
      </c>
      <c r="O7702" t="s">
        <v>73</v>
      </c>
      <c r="P7702" t="s">
        <v>81</v>
      </c>
      <c r="Q7702" t="s">
        <v>9251</v>
      </c>
      <c r="R7702" t="s">
        <v>9250</v>
      </c>
    </row>
    <row r="7703" spans="1:18" x14ac:dyDescent="0.25">
      <c r="A7703" t="s">
        <v>20675</v>
      </c>
      <c r="B7703" t="s">
        <v>9309</v>
      </c>
      <c r="C7703" t="str">
        <f>HYPERLINK("https://nematode.unl.edu/nygop37.jpg")</f>
        <v>https://nematode.unl.edu/nygop37.jpg</v>
      </c>
      <c r="G7703" t="s">
        <v>1000</v>
      </c>
      <c r="J7703" t="s">
        <v>267</v>
      </c>
      <c r="M7703" t="s">
        <v>9279</v>
      </c>
      <c r="N7703" t="s">
        <v>9279</v>
      </c>
      <c r="O7703" t="s">
        <v>73</v>
      </c>
      <c r="P7703" t="s">
        <v>81</v>
      </c>
      <c r="Q7703" t="s">
        <v>9251</v>
      </c>
      <c r="R7703" t="s">
        <v>9250</v>
      </c>
    </row>
    <row r="7704" spans="1:18" x14ac:dyDescent="0.25">
      <c r="A7704" t="s">
        <v>20682</v>
      </c>
      <c r="B7704" t="s">
        <v>9310</v>
      </c>
      <c r="C7704" t="str">
        <f>HYPERLINK("https://nematode.unl.edu/nygop38.jpg")</f>
        <v>https://nematode.unl.edu/nygop38.jpg</v>
      </c>
      <c r="D7704" t="s">
        <v>16</v>
      </c>
      <c r="G7704" t="s">
        <v>28</v>
      </c>
      <c r="J7704" t="s">
        <v>267</v>
      </c>
      <c r="M7704" t="s">
        <v>9279</v>
      </c>
      <c r="N7704" t="s">
        <v>9279</v>
      </c>
      <c r="O7704" t="s">
        <v>73</v>
      </c>
      <c r="P7704" t="s">
        <v>81</v>
      </c>
      <c r="Q7704" t="s">
        <v>9251</v>
      </c>
      <c r="R7704" t="s">
        <v>9250</v>
      </c>
    </row>
    <row r="7705" spans="1:18" x14ac:dyDescent="0.25">
      <c r="A7705" t="s">
        <v>20662</v>
      </c>
      <c r="B7705" t="s">
        <v>9311</v>
      </c>
      <c r="C7705" t="str">
        <f>HYPERLINK("https://nematode.unl.edu/nygop39.jpg")</f>
        <v>https://nematode.unl.edu/nygop39.jpg</v>
      </c>
      <c r="D7705" t="s">
        <v>16</v>
      </c>
      <c r="G7705" t="s">
        <v>34</v>
      </c>
      <c r="H7705" t="s">
        <v>18</v>
      </c>
      <c r="I7705" t="s">
        <v>41</v>
      </c>
      <c r="J7705" t="s">
        <v>267</v>
      </c>
      <c r="M7705" t="s">
        <v>9279</v>
      </c>
      <c r="N7705" t="s">
        <v>9279</v>
      </c>
      <c r="O7705" t="s">
        <v>73</v>
      </c>
      <c r="P7705" t="s">
        <v>81</v>
      </c>
      <c r="Q7705" t="s">
        <v>9251</v>
      </c>
      <c r="R7705" t="s">
        <v>9250</v>
      </c>
    </row>
    <row r="7706" spans="1:18" x14ac:dyDescent="0.25">
      <c r="A7706" t="s">
        <v>20686</v>
      </c>
      <c r="B7706" t="s">
        <v>9312</v>
      </c>
      <c r="C7706" t="str">
        <f>HYPERLINK("https://nematode.unl.edu/nygop4.jpg")</f>
        <v>https://nematode.unl.edu/nygop4.jpg</v>
      </c>
      <c r="D7706" t="s">
        <v>43</v>
      </c>
      <c r="G7706" t="s">
        <v>51</v>
      </c>
      <c r="J7706" t="s">
        <v>267</v>
      </c>
      <c r="M7706" t="s">
        <v>9279</v>
      </c>
      <c r="N7706" t="s">
        <v>9279</v>
      </c>
      <c r="O7706" t="s">
        <v>73</v>
      </c>
      <c r="P7706" t="s">
        <v>81</v>
      </c>
      <c r="Q7706" t="s">
        <v>9251</v>
      </c>
      <c r="R7706" t="s">
        <v>9250</v>
      </c>
    </row>
    <row r="7707" spans="1:18" x14ac:dyDescent="0.25">
      <c r="A7707" t="s">
        <v>20651</v>
      </c>
      <c r="B7707" t="s">
        <v>9313</v>
      </c>
      <c r="C7707" t="str">
        <f>HYPERLINK("https://nematode.unl.edu/nygop40.jpg")</f>
        <v>https://nematode.unl.edu/nygop40.jpg</v>
      </c>
      <c r="D7707" t="s">
        <v>77</v>
      </c>
      <c r="G7707" t="s">
        <v>96</v>
      </c>
      <c r="H7707" t="s">
        <v>18</v>
      </c>
      <c r="I7707" t="s">
        <v>45</v>
      </c>
      <c r="J7707" t="s">
        <v>267</v>
      </c>
      <c r="M7707" t="s">
        <v>9279</v>
      </c>
      <c r="N7707" t="s">
        <v>9279</v>
      </c>
      <c r="O7707" t="s">
        <v>73</v>
      </c>
      <c r="P7707" t="s">
        <v>81</v>
      </c>
      <c r="Q7707" t="s">
        <v>9251</v>
      </c>
      <c r="R7707" t="s">
        <v>9250</v>
      </c>
    </row>
    <row r="7708" spans="1:18" x14ac:dyDescent="0.25">
      <c r="A7708" t="s">
        <v>20663</v>
      </c>
      <c r="B7708" t="s">
        <v>9314</v>
      </c>
      <c r="C7708" t="str">
        <f>HYPERLINK("https://nematode.unl.edu/nygop41.jpg")</f>
        <v>https://nematode.unl.edu/nygop41.jpg</v>
      </c>
      <c r="D7708" t="s">
        <v>43</v>
      </c>
      <c r="G7708" t="s">
        <v>34</v>
      </c>
      <c r="H7708" t="s">
        <v>18</v>
      </c>
      <c r="I7708" t="s">
        <v>19</v>
      </c>
      <c r="J7708" t="s">
        <v>267</v>
      </c>
      <c r="M7708" t="s">
        <v>9279</v>
      </c>
      <c r="N7708" t="s">
        <v>9279</v>
      </c>
      <c r="O7708" t="s">
        <v>73</v>
      </c>
      <c r="P7708" t="s">
        <v>81</v>
      </c>
      <c r="Q7708" t="s">
        <v>9251</v>
      </c>
      <c r="R7708" t="s">
        <v>9250</v>
      </c>
    </row>
    <row r="7709" spans="1:18" x14ac:dyDescent="0.25">
      <c r="A7709" t="s">
        <v>20670</v>
      </c>
      <c r="B7709" t="s">
        <v>9315</v>
      </c>
      <c r="C7709" t="str">
        <f>HYPERLINK("https://nematode.unl.edu/nygop5.jpg")</f>
        <v>https://nematode.unl.edu/nygop5.jpg</v>
      </c>
      <c r="D7709" t="s">
        <v>77</v>
      </c>
      <c r="G7709" t="s">
        <v>87</v>
      </c>
      <c r="I7709" t="s">
        <v>19</v>
      </c>
      <c r="J7709" t="s">
        <v>267</v>
      </c>
      <c r="M7709" t="s">
        <v>9279</v>
      </c>
      <c r="N7709" t="s">
        <v>9279</v>
      </c>
      <c r="O7709" t="s">
        <v>73</v>
      </c>
      <c r="P7709" t="s">
        <v>81</v>
      </c>
      <c r="Q7709" t="s">
        <v>9251</v>
      </c>
      <c r="R7709" t="s">
        <v>9250</v>
      </c>
    </row>
    <row r="7710" spans="1:18" x14ac:dyDescent="0.25">
      <c r="A7710" t="s">
        <v>20652</v>
      </c>
      <c r="B7710" t="s">
        <v>9316</v>
      </c>
      <c r="C7710" t="str">
        <f>HYPERLINK("https://nematode.unl.edu/nygop6.jpg")</f>
        <v>https://nematode.unl.edu/nygop6.jpg</v>
      </c>
      <c r="D7710" t="s">
        <v>43</v>
      </c>
      <c r="G7710" t="s">
        <v>96</v>
      </c>
      <c r="H7710" t="s">
        <v>18</v>
      </c>
      <c r="I7710" t="s">
        <v>19</v>
      </c>
      <c r="J7710" t="s">
        <v>267</v>
      </c>
      <c r="M7710" t="s">
        <v>9279</v>
      </c>
      <c r="N7710" t="s">
        <v>9279</v>
      </c>
      <c r="O7710" t="s">
        <v>73</v>
      </c>
      <c r="P7710" t="s">
        <v>81</v>
      </c>
      <c r="Q7710" t="s">
        <v>9251</v>
      </c>
      <c r="R7710" t="s">
        <v>9250</v>
      </c>
    </row>
    <row r="7711" spans="1:18" x14ac:dyDescent="0.25">
      <c r="A7711" t="s">
        <v>20664</v>
      </c>
      <c r="B7711" t="s">
        <v>9317</v>
      </c>
      <c r="C7711" t="str">
        <f>HYPERLINK("https://nematode.unl.edu/nygop7.jpg")</f>
        <v>https://nematode.unl.edu/nygop7.jpg</v>
      </c>
      <c r="D7711" t="s">
        <v>43</v>
      </c>
      <c r="G7711" t="s">
        <v>34</v>
      </c>
      <c r="H7711" t="s">
        <v>18</v>
      </c>
      <c r="I7711" t="s">
        <v>19</v>
      </c>
      <c r="J7711" t="s">
        <v>267</v>
      </c>
      <c r="M7711" t="s">
        <v>9279</v>
      </c>
      <c r="N7711" t="s">
        <v>9279</v>
      </c>
      <c r="O7711" t="s">
        <v>73</v>
      </c>
      <c r="P7711" t="s">
        <v>81</v>
      </c>
      <c r="Q7711" t="s">
        <v>9251</v>
      </c>
      <c r="R7711" t="s">
        <v>9250</v>
      </c>
    </row>
    <row r="7712" spans="1:18" x14ac:dyDescent="0.25">
      <c r="A7712" t="s">
        <v>20676</v>
      </c>
      <c r="B7712" t="s">
        <v>9318</v>
      </c>
      <c r="C7712" t="str">
        <f>HYPERLINK("https://nematode.unl.edu/nygop8.jpg")</f>
        <v>https://nematode.unl.edu/nygop8.jpg</v>
      </c>
      <c r="D7712" t="s">
        <v>43</v>
      </c>
      <c r="G7712" t="s">
        <v>1000</v>
      </c>
      <c r="I7712" t="s">
        <v>19</v>
      </c>
      <c r="J7712" t="s">
        <v>267</v>
      </c>
      <c r="M7712" t="s">
        <v>9279</v>
      </c>
      <c r="N7712" t="s">
        <v>9279</v>
      </c>
      <c r="O7712" t="s">
        <v>73</v>
      </c>
      <c r="P7712" t="s">
        <v>81</v>
      </c>
      <c r="Q7712" t="s">
        <v>9251</v>
      </c>
      <c r="R7712" t="s">
        <v>9250</v>
      </c>
    </row>
    <row r="7713" spans="1:18" x14ac:dyDescent="0.25">
      <c r="A7713" t="s">
        <v>20665</v>
      </c>
      <c r="B7713" t="s">
        <v>9319</v>
      </c>
      <c r="C7713" t="str">
        <f>HYPERLINK("https://nematode.unl.edu/nygop9.jpg")</f>
        <v>https://nematode.unl.edu/nygop9.jpg</v>
      </c>
      <c r="D7713" t="s">
        <v>43</v>
      </c>
      <c r="G7713" t="s">
        <v>1553</v>
      </c>
      <c r="I7713" t="s">
        <v>19</v>
      </c>
      <c r="J7713" t="s">
        <v>267</v>
      </c>
      <c r="M7713" t="s">
        <v>9279</v>
      </c>
      <c r="N7713" t="s">
        <v>9279</v>
      </c>
      <c r="O7713" t="s">
        <v>73</v>
      </c>
      <c r="P7713" t="s">
        <v>81</v>
      </c>
      <c r="Q7713" t="s">
        <v>9251</v>
      </c>
      <c r="R7713" t="s">
        <v>9250</v>
      </c>
    </row>
    <row r="7714" spans="1:18" x14ac:dyDescent="0.25">
      <c r="A7714" t="s">
        <v>20628</v>
      </c>
      <c r="B7714" t="s">
        <v>9266</v>
      </c>
      <c r="C7714" t="str">
        <f>HYPERLINK("https://nematode.unl.edu/nymell1.jpg")</f>
        <v>https://nematode.unl.edu/nymell1.jpg</v>
      </c>
      <c r="D7714" t="s">
        <v>16</v>
      </c>
      <c r="G7714" t="s">
        <v>34</v>
      </c>
      <c r="H7714" t="s">
        <v>18</v>
      </c>
      <c r="I7714" t="s">
        <v>41</v>
      </c>
      <c r="J7714" t="s">
        <v>127</v>
      </c>
      <c r="L7714" t="s">
        <v>9267</v>
      </c>
      <c r="M7714" t="s">
        <v>9250</v>
      </c>
      <c r="N7714" t="s">
        <v>9250</v>
      </c>
      <c r="O7714" t="s">
        <v>73</v>
      </c>
      <c r="P7714" t="s">
        <v>81</v>
      </c>
      <c r="Q7714" t="s">
        <v>9251</v>
      </c>
      <c r="R7714" t="s">
        <v>9250</v>
      </c>
    </row>
    <row r="7715" spans="1:18" x14ac:dyDescent="0.25">
      <c r="A7715" t="s">
        <v>20633</v>
      </c>
      <c r="B7715" t="s">
        <v>9268</v>
      </c>
      <c r="C7715" t="str">
        <f>HYPERLINK("https://nematode.unl.edu/nymell2.jpg")</f>
        <v>https://nematode.unl.edu/nymell2.jpg</v>
      </c>
      <c r="D7715" t="s">
        <v>16</v>
      </c>
      <c r="G7715" t="s">
        <v>9269</v>
      </c>
      <c r="I7715" t="s">
        <v>41</v>
      </c>
      <c r="J7715" t="s">
        <v>127</v>
      </c>
      <c r="L7715" t="s">
        <v>9267</v>
      </c>
      <c r="M7715" t="s">
        <v>9250</v>
      </c>
      <c r="N7715" t="s">
        <v>9250</v>
      </c>
      <c r="O7715" t="s">
        <v>73</v>
      </c>
      <c r="P7715" t="s">
        <v>81</v>
      </c>
      <c r="Q7715" t="s">
        <v>9251</v>
      </c>
      <c r="R7715" t="s">
        <v>9250</v>
      </c>
    </row>
    <row r="7716" spans="1:18" x14ac:dyDescent="0.25">
      <c r="A7716" t="s">
        <v>20632</v>
      </c>
      <c r="B7716" t="s">
        <v>9270</v>
      </c>
      <c r="C7716" t="str">
        <f>HYPERLINK("https://nematode.unl.edu/nymell3.jpg")</f>
        <v>https://nematode.unl.edu/nymell3.jpg</v>
      </c>
      <c r="D7716" t="s">
        <v>16</v>
      </c>
      <c r="G7716" t="s">
        <v>243</v>
      </c>
      <c r="I7716" t="s">
        <v>529</v>
      </c>
      <c r="J7716" t="s">
        <v>127</v>
      </c>
      <c r="L7716" t="s">
        <v>9267</v>
      </c>
      <c r="M7716" t="s">
        <v>9250</v>
      </c>
      <c r="N7716" t="s">
        <v>9250</v>
      </c>
      <c r="O7716" t="s">
        <v>73</v>
      </c>
      <c r="P7716" t="s">
        <v>81</v>
      </c>
      <c r="Q7716" t="s">
        <v>9251</v>
      </c>
      <c r="R7716" t="s">
        <v>9250</v>
      </c>
    </row>
    <row r="7717" spans="1:18" x14ac:dyDescent="0.25">
      <c r="A7717" t="s">
        <v>20758</v>
      </c>
      <c r="B7717" t="s">
        <v>9341</v>
      </c>
      <c r="C7717" t="str">
        <f>HYPERLINK("https://nematode.unl.edu/nypa1.jpg")</f>
        <v>https://nematode.unl.edu/nypa1.jpg</v>
      </c>
      <c r="D7717" t="s">
        <v>43</v>
      </c>
      <c r="G7717" t="s">
        <v>34</v>
      </c>
      <c r="H7717" t="s">
        <v>18</v>
      </c>
      <c r="I7717" t="s">
        <v>19</v>
      </c>
      <c r="J7717" t="s">
        <v>9342</v>
      </c>
      <c r="M7717" t="s">
        <v>9343</v>
      </c>
      <c r="N7717" t="s">
        <v>9343</v>
      </c>
      <c r="O7717" t="s">
        <v>73</v>
      </c>
      <c r="P7717" t="s">
        <v>81</v>
      </c>
      <c r="Q7717" t="s">
        <v>339</v>
      </c>
      <c r="R7717" t="s">
        <v>9321</v>
      </c>
    </row>
    <row r="7718" spans="1:18" x14ac:dyDescent="0.25">
      <c r="A7718" t="s">
        <v>20777</v>
      </c>
      <c r="B7718" t="s">
        <v>9344</v>
      </c>
      <c r="C7718" t="str">
        <f>HYPERLINK("https://nematode.unl.edu/nypa2.jpg")</f>
        <v>https://nematode.unl.edu/nypa2.jpg</v>
      </c>
      <c r="D7718" t="s">
        <v>43</v>
      </c>
      <c r="G7718" t="s">
        <v>28</v>
      </c>
      <c r="I7718" t="s">
        <v>19</v>
      </c>
      <c r="J7718" t="s">
        <v>9342</v>
      </c>
      <c r="M7718" t="s">
        <v>9343</v>
      </c>
      <c r="N7718" t="s">
        <v>9343</v>
      </c>
      <c r="O7718" t="s">
        <v>73</v>
      </c>
      <c r="P7718" t="s">
        <v>81</v>
      </c>
      <c r="Q7718" t="s">
        <v>339</v>
      </c>
      <c r="R7718" t="s">
        <v>9321</v>
      </c>
    </row>
    <row r="7719" spans="1:18" x14ac:dyDescent="0.25">
      <c r="A7719" t="s">
        <v>20775</v>
      </c>
      <c r="B7719" t="s">
        <v>9345</v>
      </c>
      <c r="C7719" t="str">
        <f>HYPERLINK("https://nematode.unl.edu/nypa3.jpg")</f>
        <v>https://nematode.unl.edu/nypa3.jpg</v>
      </c>
      <c r="D7719" t="s">
        <v>43</v>
      </c>
      <c r="G7719" t="s">
        <v>205</v>
      </c>
      <c r="I7719" t="s">
        <v>137</v>
      </c>
      <c r="J7719" t="s">
        <v>9342</v>
      </c>
      <c r="M7719" t="s">
        <v>9343</v>
      </c>
      <c r="N7719" t="s">
        <v>9343</v>
      </c>
      <c r="O7719" t="s">
        <v>73</v>
      </c>
      <c r="P7719" t="s">
        <v>81</v>
      </c>
      <c r="Q7719" t="s">
        <v>339</v>
      </c>
      <c r="R7719" t="s">
        <v>9321</v>
      </c>
    </row>
    <row r="7720" spans="1:18" x14ac:dyDescent="0.25">
      <c r="A7720" t="s">
        <v>20768</v>
      </c>
      <c r="B7720" t="s">
        <v>9346</v>
      </c>
      <c r="C7720" t="str">
        <f>HYPERLINK("https://nematode.unl.edu/nypa4.jpg")</f>
        <v>https://nematode.unl.edu/nypa4.jpg</v>
      </c>
      <c r="D7720" t="s">
        <v>43</v>
      </c>
      <c r="G7720" t="s">
        <v>87</v>
      </c>
      <c r="I7720" t="s">
        <v>529</v>
      </c>
      <c r="J7720" t="s">
        <v>9342</v>
      </c>
      <c r="M7720" t="s">
        <v>9343</v>
      </c>
      <c r="N7720" t="s">
        <v>9343</v>
      </c>
      <c r="O7720" t="s">
        <v>73</v>
      </c>
      <c r="P7720" t="s">
        <v>81</v>
      </c>
      <c r="Q7720" t="s">
        <v>339</v>
      </c>
      <c r="R7720" t="s">
        <v>9321</v>
      </c>
    </row>
    <row r="7721" spans="1:18" x14ac:dyDescent="0.25">
      <c r="A7721" t="s">
        <v>20759</v>
      </c>
      <c r="B7721" t="s">
        <v>9347</v>
      </c>
      <c r="C7721" t="str">
        <f>HYPERLINK("https://nematode.unl.edu/nypa5.jpg")</f>
        <v>https://nematode.unl.edu/nypa5.jpg</v>
      </c>
      <c r="D7721" t="s">
        <v>77</v>
      </c>
      <c r="G7721" t="s">
        <v>34</v>
      </c>
      <c r="H7721" t="s">
        <v>18</v>
      </c>
      <c r="I7721" t="s">
        <v>41</v>
      </c>
      <c r="J7721" t="s">
        <v>9342</v>
      </c>
      <c r="M7721" t="s">
        <v>9343</v>
      </c>
      <c r="N7721" t="s">
        <v>9343</v>
      </c>
      <c r="O7721" t="s">
        <v>73</v>
      </c>
      <c r="P7721" t="s">
        <v>81</v>
      </c>
      <c r="Q7721" t="s">
        <v>339</v>
      </c>
      <c r="R7721" t="s">
        <v>9321</v>
      </c>
    </row>
    <row r="7722" spans="1:18" x14ac:dyDescent="0.25">
      <c r="A7722" t="s">
        <v>20742</v>
      </c>
      <c r="B7722" t="s">
        <v>9324</v>
      </c>
      <c r="C7722" t="str">
        <f>HYPERLINK("https://nematode.unl.edu/nypar1.jpg")</f>
        <v>https://nematode.unl.edu/nypar1.jpg</v>
      </c>
      <c r="G7722" t="s">
        <v>34</v>
      </c>
      <c r="H7722" t="s">
        <v>18</v>
      </c>
      <c r="J7722" t="s">
        <v>20</v>
      </c>
      <c r="L7722" t="s">
        <v>38</v>
      </c>
      <c r="M7722" t="s">
        <v>9325</v>
      </c>
      <c r="N7722" t="s">
        <v>9325</v>
      </c>
      <c r="O7722" t="s">
        <v>73</v>
      </c>
      <c r="P7722" t="s">
        <v>81</v>
      </c>
      <c r="Q7722" t="s">
        <v>339</v>
      </c>
      <c r="R7722" t="s">
        <v>9321</v>
      </c>
    </row>
    <row r="7723" spans="1:18" x14ac:dyDescent="0.25">
      <c r="A7723" t="s">
        <v>20748</v>
      </c>
      <c r="B7723" t="s">
        <v>9326</v>
      </c>
      <c r="C7723" t="str">
        <f>HYPERLINK("https://nematode.unl.edu/nypar2.jpg")</f>
        <v>https://nematode.unl.edu/nypar2.jpg</v>
      </c>
      <c r="D7723" t="s">
        <v>16</v>
      </c>
      <c r="G7723" t="s">
        <v>87</v>
      </c>
      <c r="I7723" t="s">
        <v>19</v>
      </c>
      <c r="J7723" t="s">
        <v>20</v>
      </c>
      <c r="L7723" t="s">
        <v>38</v>
      </c>
      <c r="M7723" t="s">
        <v>9325</v>
      </c>
      <c r="N7723" t="s">
        <v>9325</v>
      </c>
      <c r="O7723" t="s">
        <v>73</v>
      </c>
      <c r="P7723" t="s">
        <v>81</v>
      </c>
      <c r="Q7723" t="s">
        <v>339</v>
      </c>
      <c r="R7723" t="s">
        <v>9321</v>
      </c>
    </row>
    <row r="7724" spans="1:18" x14ac:dyDescent="0.25">
      <c r="A7724" t="s">
        <v>20754</v>
      </c>
      <c r="B7724" t="s">
        <v>9327</v>
      </c>
      <c r="C7724" t="str">
        <f>HYPERLINK("https://nematode.unl.edu/nypar3.jpg")</f>
        <v>https://nematode.unl.edu/nypar3.jpg</v>
      </c>
      <c r="D7724" t="s">
        <v>16</v>
      </c>
      <c r="G7724" t="s">
        <v>28</v>
      </c>
      <c r="I7724" t="s">
        <v>19</v>
      </c>
      <c r="J7724" t="s">
        <v>20</v>
      </c>
      <c r="L7724" t="s">
        <v>38</v>
      </c>
      <c r="M7724" t="s">
        <v>9325</v>
      </c>
      <c r="N7724" t="s">
        <v>9325</v>
      </c>
      <c r="O7724" t="s">
        <v>73</v>
      </c>
      <c r="P7724" t="s">
        <v>81</v>
      </c>
      <c r="Q7724" t="s">
        <v>339</v>
      </c>
      <c r="R7724" t="s">
        <v>9321</v>
      </c>
    </row>
    <row r="7725" spans="1:18" x14ac:dyDescent="0.25">
      <c r="A7725" t="s">
        <v>20740</v>
      </c>
      <c r="B7725" t="s">
        <v>9328</v>
      </c>
      <c r="C7725" t="str">
        <f>HYPERLINK("https://nematode.unl.edu/nypar4.jpg")</f>
        <v>https://nematode.unl.edu/nypar4.jpg</v>
      </c>
      <c r="D7725" t="s">
        <v>16</v>
      </c>
      <c r="G7725" t="s">
        <v>96</v>
      </c>
      <c r="H7725" t="s">
        <v>18</v>
      </c>
      <c r="I7725" t="s">
        <v>45</v>
      </c>
      <c r="J7725" t="s">
        <v>20</v>
      </c>
      <c r="L7725" t="s">
        <v>38</v>
      </c>
      <c r="M7725" t="s">
        <v>9325</v>
      </c>
      <c r="N7725" t="s">
        <v>9325</v>
      </c>
      <c r="O7725" t="s">
        <v>73</v>
      </c>
      <c r="P7725" t="s">
        <v>81</v>
      </c>
      <c r="Q7725" t="s">
        <v>339</v>
      </c>
      <c r="R7725" t="s">
        <v>9321</v>
      </c>
    </row>
    <row r="7726" spans="1:18" x14ac:dyDescent="0.25">
      <c r="A7726" t="s">
        <v>20750</v>
      </c>
      <c r="B7726" t="s">
        <v>9329</v>
      </c>
      <c r="C7726" t="str">
        <f>HYPERLINK("https://nematode.unl.edu/nypar5.jpg")</f>
        <v>https://nematode.unl.edu/nypar5.jpg</v>
      </c>
      <c r="D7726" t="s">
        <v>16</v>
      </c>
      <c r="G7726" t="s">
        <v>181</v>
      </c>
      <c r="I7726" t="s">
        <v>45</v>
      </c>
      <c r="J7726" t="s">
        <v>20</v>
      </c>
      <c r="L7726" t="s">
        <v>38</v>
      </c>
      <c r="M7726" t="s">
        <v>9325</v>
      </c>
      <c r="N7726" t="s">
        <v>9325</v>
      </c>
      <c r="O7726" t="s">
        <v>73</v>
      </c>
      <c r="P7726" t="s">
        <v>81</v>
      </c>
      <c r="Q7726" t="s">
        <v>339</v>
      </c>
      <c r="R7726" t="s">
        <v>9321</v>
      </c>
    </row>
    <row r="7727" spans="1:18" x14ac:dyDescent="0.25">
      <c r="A7727" t="s">
        <v>20743</v>
      </c>
      <c r="B7727" t="s">
        <v>9330</v>
      </c>
      <c r="C7727" t="str">
        <f>HYPERLINK("https://nematode.unl.edu/nypar6.jpg")</f>
        <v>https://nematode.unl.edu/nypar6.jpg</v>
      </c>
      <c r="D7727" t="s">
        <v>16</v>
      </c>
      <c r="G7727" t="s">
        <v>34</v>
      </c>
      <c r="H7727" t="s">
        <v>18</v>
      </c>
      <c r="I7727" t="s">
        <v>516</v>
      </c>
      <c r="J7727" t="s">
        <v>20</v>
      </c>
      <c r="L7727" t="s">
        <v>38</v>
      </c>
      <c r="M7727" t="s">
        <v>9325</v>
      </c>
      <c r="N7727" t="s">
        <v>9325</v>
      </c>
      <c r="O7727" t="s">
        <v>73</v>
      </c>
      <c r="P7727" t="s">
        <v>81</v>
      </c>
      <c r="Q7727" t="s">
        <v>339</v>
      </c>
      <c r="R7727" t="s">
        <v>9321</v>
      </c>
    </row>
    <row r="7728" spans="1:18" x14ac:dyDescent="0.25">
      <c r="A7728" t="s">
        <v>20744</v>
      </c>
      <c r="B7728" t="s">
        <v>9331</v>
      </c>
      <c r="C7728" t="str">
        <f>HYPERLINK("https://nematode.unl.edu/nypar7.jpg")</f>
        <v>https://nematode.unl.edu/nypar7.jpg</v>
      </c>
      <c r="D7728" t="s">
        <v>16</v>
      </c>
      <c r="G7728" t="s">
        <v>34</v>
      </c>
      <c r="H7728" t="s">
        <v>18</v>
      </c>
      <c r="I7728" t="s">
        <v>41</v>
      </c>
      <c r="J7728" t="s">
        <v>20</v>
      </c>
      <c r="L7728" t="s">
        <v>38</v>
      </c>
      <c r="M7728" t="s">
        <v>9325</v>
      </c>
      <c r="N7728" t="s">
        <v>9325</v>
      </c>
      <c r="O7728" t="s">
        <v>73</v>
      </c>
      <c r="P7728" t="s">
        <v>81</v>
      </c>
      <c r="Q7728" t="s">
        <v>339</v>
      </c>
      <c r="R7728" t="s">
        <v>9321</v>
      </c>
    </row>
    <row r="7729" spans="1:18" x14ac:dyDescent="0.25">
      <c r="A7729" t="s">
        <v>20749</v>
      </c>
      <c r="B7729" t="s">
        <v>9332</v>
      </c>
      <c r="C7729" t="str">
        <f>HYPERLINK("https://nematode.unl.edu/nyparcmp.jpg")</f>
        <v>https://nematode.unl.edu/nyparcmp.jpg</v>
      </c>
      <c r="G7729" t="s">
        <v>108</v>
      </c>
      <c r="M7729" t="s">
        <v>9325</v>
      </c>
      <c r="N7729" t="s">
        <v>9325</v>
      </c>
      <c r="O7729" t="s">
        <v>73</v>
      </c>
      <c r="P7729" t="s">
        <v>81</v>
      </c>
      <c r="Q7729" t="s">
        <v>339</v>
      </c>
      <c r="R7729" t="s">
        <v>9321</v>
      </c>
    </row>
    <row r="7730" spans="1:18" x14ac:dyDescent="0.25">
      <c r="A7730" t="s">
        <v>20772</v>
      </c>
      <c r="B7730" t="s">
        <v>9348</v>
      </c>
      <c r="C7730" t="str">
        <f>HYPERLINK("https://nematode.unl.edu/nyparv1.jpg")</f>
        <v>https://nematode.unl.edu/nyparv1.jpg</v>
      </c>
      <c r="D7730" t="s">
        <v>43</v>
      </c>
      <c r="G7730" t="s">
        <v>44</v>
      </c>
      <c r="I7730" t="s">
        <v>1008</v>
      </c>
      <c r="J7730" t="s">
        <v>20</v>
      </c>
      <c r="L7730" t="s">
        <v>183</v>
      </c>
      <c r="M7730" t="s">
        <v>9343</v>
      </c>
      <c r="N7730" t="s">
        <v>9343</v>
      </c>
      <c r="O7730" t="s">
        <v>73</v>
      </c>
      <c r="P7730" t="s">
        <v>81</v>
      </c>
      <c r="Q7730" t="s">
        <v>339</v>
      </c>
      <c r="R7730" t="s">
        <v>9321</v>
      </c>
    </row>
    <row r="7731" spans="1:18" x14ac:dyDescent="0.25">
      <c r="A7731" t="s">
        <v>20769</v>
      </c>
      <c r="B7731" t="s">
        <v>9349</v>
      </c>
      <c r="C7731" t="str">
        <f>HYPERLINK("https://nematode.unl.edu/nyparv10.jpg")</f>
        <v>https://nematode.unl.edu/nyparv10.jpg</v>
      </c>
      <c r="D7731" t="s">
        <v>43</v>
      </c>
      <c r="G7731" t="s">
        <v>87</v>
      </c>
      <c r="I7731" t="s">
        <v>516</v>
      </c>
      <c r="J7731" t="s">
        <v>20</v>
      </c>
      <c r="L7731" t="s">
        <v>183</v>
      </c>
      <c r="M7731" t="s">
        <v>9343</v>
      </c>
      <c r="N7731" t="s">
        <v>9343</v>
      </c>
      <c r="O7731" t="s">
        <v>73</v>
      </c>
      <c r="P7731" t="s">
        <v>81</v>
      </c>
      <c r="Q7731" t="s">
        <v>339</v>
      </c>
      <c r="R7731" t="s">
        <v>9321</v>
      </c>
    </row>
    <row r="7732" spans="1:18" x14ac:dyDescent="0.25">
      <c r="A7732" t="s">
        <v>20778</v>
      </c>
      <c r="B7732" t="s">
        <v>9350</v>
      </c>
      <c r="C7732" t="str">
        <f>HYPERLINK("https://nematode.unl.edu/nyparv11.jpg")</f>
        <v>https://nematode.unl.edu/nyparv11.jpg</v>
      </c>
      <c r="D7732" t="s">
        <v>77</v>
      </c>
      <c r="G7732" t="s">
        <v>28</v>
      </c>
      <c r="I7732" t="s">
        <v>19</v>
      </c>
      <c r="J7732" t="s">
        <v>20</v>
      </c>
      <c r="L7732" t="s">
        <v>85</v>
      </c>
      <c r="M7732" t="s">
        <v>9343</v>
      </c>
      <c r="N7732" t="s">
        <v>9343</v>
      </c>
      <c r="O7732" t="s">
        <v>73</v>
      </c>
      <c r="P7732" t="s">
        <v>81</v>
      </c>
      <c r="Q7732" t="s">
        <v>339</v>
      </c>
      <c r="R7732" t="s">
        <v>9321</v>
      </c>
    </row>
    <row r="7733" spans="1:18" x14ac:dyDescent="0.25">
      <c r="A7733" t="s">
        <v>20760</v>
      </c>
      <c r="B7733" t="s">
        <v>9351</v>
      </c>
      <c r="C7733" t="str">
        <f>HYPERLINK("https://nematode.unl.edu/nyparv12.jpg")</f>
        <v>https://nematode.unl.edu/nyparv12.jpg</v>
      </c>
      <c r="D7733" t="s">
        <v>77</v>
      </c>
      <c r="G7733" t="s">
        <v>34</v>
      </c>
      <c r="H7733" t="s">
        <v>18</v>
      </c>
      <c r="I7733" t="s">
        <v>41</v>
      </c>
      <c r="J7733" t="s">
        <v>20</v>
      </c>
      <c r="M7733" t="s">
        <v>9343</v>
      </c>
      <c r="N7733" t="s">
        <v>9343</v>
      </c>
      <c r="O7733" t="s">
        <v>73</v>
      </c>
      <c r="P7733" t="s">
        <v>81</v>
      </c>
      <c r="Q7733" t="s">
        <v>339</v>
      </c>
      <c r="R7733" t="s">
        <v>9321</v>
      </c>
    </row>
    <row r="7734" spans="1:18" x14ac:dyDescent="0.25">
      <c r="A7734" t="s">
        <v>20784</v>
      </c>
      <c r="B7734" t="s">
        <v>9352</v>
      </c>
      <c r="C7734" t="str">
        <f>HYPERLINK("https://nematode.unl.edu/nyparv13.jpg")</f>
        <v>https://nematode.unl.edu/nyparv13.jpg</v>
      </c>
      <c r="D7734" t="s">
        <v>43</v>
      </c>
      <c r="G7734" t="s">
        <v>51</v>
      </c>
      <c r="I7734" t="s">
        <v>41</v>
      </c>
      <c r="J7734" t="s">
        <v>20</v>
      </c>
      <c r="L7734" t="s">
        <v>85</v>
      </c>
      <c r="M7734" t="s">
        <v>9343</v>
      </c>
      <c r="N7734" t="s">
        <v>9343</v>
      </c>
      <c r="O7734" t="s">
        <v>73</v>
      </c>
      <c r="P7734" t="s">
        <v>81</v>
      </c>
      <c r="Q7734" t="s">
        <v>339</v>
      </c>
      <c r="R7734" t="s">
        <v>9321</v>
      </c>
    </row>
    <row r="7735" spans="1:18" x14ac:dyDescent="0.25">
      <c r="A7735" t="s">
        <v>20756</v>
      </c>
      <c r="B7735" t="s">
        <v>9353</v>
      </c>
      <c r="C7735" t="str">
        <f>HYPERLINK("https://nematode.unl.edu/nyparv14.jpg")</f>
        <v>https://nematode.unl.edu/nyparv14.jpg</v>
      </c>
      <c r="D7735" t="s">
        <v>16</v>
      </c>
      <c r="G7735" t="s">
        <v>96</v>
      </c>
      <c r="H7735" t="s">
        <v>18</v>
      </c>
      <c r="J7735" t="s">
        <v>20</v>
      </c>
      <c r="L7735" t="s">
        <v>85</v>
      </c>
      <c r="M7735" t="s">
        <v>9343</v>
      </c>
      <c r="N7735" t="s">
        <v>9343</v>
      </c>
      <c r="O7735" t="s">
        <v>73</v>
      </c>
      <c r="P7735" t="s">
        <v>81</v>
      </c>
      <c r="Q7735" t="s">
        <v>339</v>
      </c>
      <c r="R7735" t="s">
        <v>9321</v>
      </c>
    </row>
    <row r="7736" spans="1:18" x14ac:dyDescent="0.25">
      <c r="A7736" t="s">
        <v>20779</v>
      </c>
      <c r="B7736" t="s">
        <v>9354</v>
      </c>
      <c r="C7736" t="str">
        <f>HYPERLINK("https://nematode.unl.edu/nyparv15.jpg")</f>
        <v>https://nematode.unl.edu/nyparv15.jpg</v>
      </c>
      <c r="D7736" t="s">
        <v>16</v>
      </c>
      <c r="G7736" t="s">
        <v>28</v>
      </c>
      <c r="I7736" t="s">
        <v>19</v>
      </c>
      <c r="J7736" t="s">
        <v>20</v>
      </c>
      <c r="L7736" t="s">
        <v>85</v>
      </c>
      <c r="M7736" t="s">
        <v>9343</v>
      </c>
      <c r="N7736" t="s">
        <v>9343</v>
      </c>
      <c r="O7736" t="s">
        <v>73</v>
      </c>
      <c r="P7736" t="s">
        <v>81</v>
      </c>
      <c r="Q7736" t="s">
        <v>339</v>
      </c>
      <c r="R7736" t="s">
        <v>9321</v>
      </c>
    </row>
    <row r="7737" spans="1:18" x14ac:dyDescent="0.25">
      <c r="A7737" t="s">
        <v>20761</v>
      </c>
      <c r="B7737" t="s">
        <v>9355</v>
      </c>
      <c r="C7737" t="str">
        <f>HYPERLINK("https://nematode.unl.edu/nyparv16.jpg")</f>
        <v>https://nematode.unl.edu/nyparv16.jpg</v>
      </c>
      <c r="D7737" t="s">
        <v>16</v>
      </c>
      <c r="G7737" t="s">
        <v>34</v>
      </c>
      <c r="H7737" t="s">
        <v>18</v>
      </c>
      <c r="I7737" t="s">
        <v>19</v>
      </c>
      <c r="J7737" t="s">
        <v>20</v>
      </c>
      <c r="L7737" t="s">
        <v>85</v>
      </c>
      <c r="M7737" t="s">
        <v>9343</v>
      </c>
      <c r="N7737" t="s">
        <v>9343</v>
      </c>
      <c r="O7737" t="s">
        <v>73</v>
      </c>
      <c r="P7737" t="s">
        <v>81</v>
      </c>
      <c r="Q7737" t="s">
        <v>339</v>
      </c>
      <c r="R7737" t="s">
        <v>9321</v>
      </c>
    </row>
    <row r="7738" spans="1:18" x14ac:dyDescent="0.25">
      <c r="A7738" t="s">
        <v>20762</v>
      </c>
      <c r="B7738" t="s">
        <v>9356</v>
      </c>
      <c r="C7738" t="str">
        <f>HYPERLINK("https://nematode.unl.edu/nyparv17.jpg")</f>
        <v>https://nematode.unl.edu/nyparv17.jpg</v>
      </c>
      <c r="D7738" t="s">
        <v>16</v>
      </c>
      <c r="G7738" t="s">
        <v>34</v>
      </c>
      <c r="H7738" t="s">
        <v>18</v>
      </c>
      <c r="I7738" t="s">
        <v>41</v>
      </c>
      <c r="J7738" t="s">
        <v>20</v>
      </c>
      <c r="L7738" t="s">
        <v>85</v>
      </c>
      <c r="M7738" t="s">
        <v>9343</v>
      </c>
      <c r="N7738" t="s">
        <v>9343</v>
      </c>
      <c r="O7738" t="s">
        <v>73</v>
      </c>
      <c r="P7738" t="s">
        <v>81</v>
      </c>
      <c r="Q7738" t="s">
        <v>339</v>
      </c>
      <c r="R7738" t="s">
        <v>9321</v>
      </c>
    </row>
    <row r="7739" spans="1:18" x14ac:dyDescent="0.25">
      <c r="A7739" t="s">
        <v>20763</v>
      </c>
      <c r="B7739" t="s">
        <v>9357</v>
      </c>
      <c r="C7739" t="str">
        <f>HYPERLINK("https://nematode.unl.edu/nyparv2.jpg")</f>
        <v>https://nematode.unl.edu/nyparv2.jpg</v>
      </c>
      <c r="D7739" t="s">
        <v>43</v>
      </c>
      <c r="G7739" t="s">
        <v>34</v>
      </c>
      <c r="H7739" t="s">
        <v>18</v>
      </c>
      <c r="I7739" t="s">
        <v>19</v>
      </c>
      <c r="J7739" t="s">
        <v>20</v>
      </c>
      <c r="M7739" t="s">
        <v>9343</v>
      </c>
      <c r="N7739" t="s">
        <v>9343</v>
      </c>
      <c r="O7739" t="s">
        <v>73</v>
      </c>
      <c r="P7739" t="s">
        <v>81</v>
      </c>
      <c r="Q7739" t="s">
        <v>339</v>
      </c>
      <c r="R7739" t="s">
        <v>9321</v>
      </c>
    </row>
    <row r="7740" spans="1:18" x14ac:dyDescent="0.25">
      <c r="A7740" t="s">
        <v>20770</v>
      </c>
      <c r="B7740" t="s">
        <v>9358</v>
      </c>
      <c r="C7740" t="str">
        <f>HYPERLINK("https://nematode.unl.edu/nyparv3.jpg")</f>
        <v>https://nematode.unl.edu/nyparv3.jpg</v>
      </c>
      <c r="D7740" t="s">
        <v>43</v>
      </c>
      <c r="G7740" t="s">
        <v>87</v>
      </c>
      <c r="I7740" t="s">
        <v>19</v>
      </c>
      <c r="J7740" t="s">
        <v>20</v>
      </c>
      <c r="L7740" t="s">
        <v>29</v>
      </c>
      <c r="M7740" t="s">
        <v>9343</v>
      </c>
      <c r="N7740" t="s">
        <v>9343</v>
      </c>
      <c r="O7740" t="s">
        <v>73</v>
      </c>
      <c r="P7740" t="s">
        <v>81</v>
      </c>
      <c r="Q7740" t="s">
        <v>339</v>
      </c>
      <c r="R7740" t="s">
        <v>9321</v>
      </c>
    </row>
    <row r="7741" spans="1:18" x14ac:dyDescent="0.25">
      <c r="A7741" t="s">
        <v>20785</v>
      </c>
      <c r="B7741" t="s">
        <v>9359</v>
      </c>
      <c r="C7741" t="str">
        <f>HYPERLINK("https://nematode.unl.edu/nyparv4.jpg")</f>
        <v>https://nematode.unl.edu/nyparv4.jpg</v>
      </c>
      <c r="D7741" t="s">
        <v>43</v>
      </c>
      <c r="G7741" t="s">
        <v>51</v>
      </c>
      <c r="I7741" t="s">
        <v>19</v>
      </c>
      <c r="J7741" t="s">
        <v>20</v>
      </c>
      <c r="L7741" t="s">
        <v>183</v>
      </c>
      <c r="M7741" t="s">
        <v>9343</v>
      </c>
      <c r="N7741" t="s">
        <v>9343</v>
      </c>
      <c r="O7741" t="s">
        <v>73</v>
      </c>
      <c r="P7741" t="s">
        <v>81</v>
      </c>
      <c r="Q7741" t="s">
        <v>339</v>
      </c>
      <c r="R7741" t="s">
        <v>9321</v>
      </c>
    </row>
    <row r="7742" spans="1:18" x14ac:dyDescent="0.25">
      <c r="A7742" t="s">
        <v>20780</v>
      </c>
      <c r="B7742" t="s">
        <v>9360</v>
      </c>
      <c r="C7742" t="str">
        <f>HYPERLINK("https://nematode.unl.edu/nyparv5.jpg")</f>
        <v>https://nematode.unl.edu/nyparv5.jpg</v>
      </c>
      <c r="D7742" t="s">
        <v>77</v>
      </c>
      <c r="G7742" t="s">
        <v>28</v>
      </c>
      <c r="I7742" t="s">
        <v>19</v>
      </c>
      <c r="J7742" t="s">
        <v>20</v>
      </c>
      <c r="M7742" t="s">
        <v>9343</v>
      </c>
      <c r="N7742" t="s">
        <v>9343</v>
      </c>
      <c r="O7742" t="s">
        <v>73</v>
      </c>
      <c r="P7742" t="s">
        <v>81</v>
      </c>
      <c r="Q7742" t="s">
        <v>339</v>
      </c>
      <c r="R7742" t="s">
        <v>9321</v>
      </c>
    </row>
    <row r="7743" spans="1:18" x14ac:dyDescent="0.25">
      <c r="A7743" t="s">
        <v>20764</v>
      </c>
      <c r="B7743" t="s">
        <v>9361</v>
      </c>
      <c r="C7743" t="str">
        <f>HYPERLINK("https://nematode.unl.edu/nyparv6.jpg")</f>
        <v>https://nematode.unl.edu/nyparv6.jpg</v>
      </c>
      <c r="D7743" t="s">
        <v>43</v>
      </c>
      <c r="G7743" t="s">
        <v>34</v>
      </c>
      <c r="H7743" t="s">
        <v>18</v>
      </c>
      <c r="M7743" t="s">
        <v>9343</v>
      </c>
      <c r="N7743" t="s">
        <v>9343</v>
      </c>
      <c r="O7743" t="s">
        <v>73</v>
      </c>
      <c r="P7743" t="s">
        <v>81</v>
      </c>
      <c r="Q7743" t="s">
        <v>339</v>
      </c>
      <c r="R7743" t="s">
        <v>9321</v>
      </c>
    </row>
    <row r="7744" spans="1:18" x14ac:dyDescent="0.25">
      <c r="A7744" t="s">
        <v>20773</v>
      </c>
      <c r="B7744" t="s">
        <v>9362</v>
      </c>
      <c r="C7744" t="str">
        <f>HYPERLINK("https://nematode.unl.edu/nyparv7.jpg")</f>
        <v>https://nematode.unl.edu/nyparv7.jpg</v>
      </c>
      <c r="D7744" t="s">
        <v>43</v>
      </c>
      <c r="G7744" t="s">
        <v>44</v>
      </c>
      <c r="I7744" t="s">
        <v>45</v>
      </c>
      <c r="J7744" t="s">
        <v>20</v>
      </c>
      <c r="L7744" t="s">
        <v>85</v>
      </c>
      <c r="M7744" t="s">
        <v>9343</v>
      </c>
      <c r="N7744" t="s">
        <v>9343</v>
      </c>
      <c r="O7744" t="s">
        <v>73</v>
      </c>
      <c r="P7744" t="s">
        <v>81</v>
      </c>
      <c r="Q7744" t="s">
        <v>339</v>
      </c>
      <c r="R7744" t="s">
        <v>9321</v>
      </c>
    </row>
    <row r="7745" spans="1:18" x14ac:dyDescent="0.25">
      <c r="A7745" t="s">
        <v>20765</v>
      </c>
      <c r="B7745" t="s">
        <v>9363</v>
      </c>
      <c r="C7745" t="str">
        <f>HYPERLINK("https://nematode.unl.edu/nyparv8.jpg")</f>
        <v>https://nematode.unl.edu/nyparv8.jpg</v>
      </c>
      <c r="D7745" t="s">
        <v>43</v>
      </c>
      <c r="G7745" t="s">
        <v>34</v>
      </c>
      <c r="H7745" t="s">
        <v>18</v>
      </c>
      <c r="I7745" t="s">
        <v>19</v>
      </c>
      <c r="J7745" t="s">
        <v>20</v>
      </c>
      <c r="L7745" t="s">
        <v>85</v>
      </c>
      <c r="M7745" t="s">
        <v>9343</v>
      </c>
      <c r="N7745" t="s">
        <v>9343</v>
      </c>
      <c r="O7745" t="s">
        <v>73</v>
      </c>
      <c r="P7745" t="s">
        <v>81</v>
      </c>
      <c r="Q7745" t="s">
        <v>339</v>
      </c>
      <c r="R7745" t="s">
        <v>9321</v>
      </c>
    </row>
    <row r="7746" spans="1:18" x14ac:dyDescent="0.25">
      <c r="A7746" t="s">
        <v>20781</v>
      </c>
      <c r="B7746" t="s">
        <v>9364</v>
      </c>
      <c r="C7746" t="str">
        <f>HYPERLINK("https://nematode.unl.edu/nyparv9.jpg")</f>
        <v>https://nematode.unl.edu/nyparv9.jpg</v>
      </c>
      <c r="D7746" t="s">
        <v>77</v>
      </c>
      <c r="G7746" t="s">
        <v>28</v>
      </c>
      <c r="I7746" t="s">
        <v>19</v>
      </c>
      <c r="M7746" t="s">
        <v>9343</v>
      </c>
      <c r="N7746" t="s">
        <v>9343</v>
      </c>
      <c r="O7746" t="s">
        <v>73</v>
      </c>
      <c r="P7746" t="s">
        <v>81</v>
      </c>
      <c r="Q7746" t="s">
        <v>339</v>
      </c>
      <c r="R7746" t="s">
        <v>9321</v>
      </c>
    </row>
    <row r="7747" spans="1:18" x14ac:dyDescent="0.25">
      <c r="A7747" t="s">
        <v>20782</v>
      </c>
      <c r="B7747" t="s">
        <v>9365</v>
      </c>
      <c r="C7747" t="str">
        <f>HYPERLINK("https://nematode.unl.edu/nyparvcmp.jpg")</f>
        <v>https://nematode.unl.edu/nyparvcmp.jpg</v>
      </c>
      <c r="D7747" t="s">
        <v>43</v>
      </c>
      <c r="G7747" t="s">
        <v>28</v>
      </c>
      <c r="M7747" t="s">
        <v>9343</v>
      </c>
      <c r="N7747" t="s">
        <v>9343</v>
      </c>
      <c r="O7747" t="s">
        <v>73</v>
      </c>
      <c r="P7747" t="s">
        <v>81</v>
      </c>
      <c r="Q7747" t="s">
        <v>339</v>
      </c>
      <c r="R7747" t="s">
        <v>9321</v>
      </c>
    </row>
    <row r="7748" spans="1:18" x14ac:dyDescent="0.25">
      <c r="A7748" t="s">
        <v>20745</v>
      </c>
      <c r="B7748" t="s">
        <v>9333</v>
      </c>
      <c r="C7748" t="str">
        <f>HYPERLINK("https://nematode.unl.edu/nypten1.jpg")</f>
        <v>https://nematode.unl.edu/nypten1.jpg</v>
      </c>
      <c r="G7748" t="s">
        <v>34</v>
      </c>
      <c r="H7748" t="s">
        <v>18</v>
      </c>
      <c r="I7748" t="s">
        <v>41</v>
      </c>
      <c r="J7748" t="s">
        <v>116</v>
      </c>
      <c r="L7748" t="s">
        <v>85</v>
      </c>
      <c r="M7748" t="s">
        <v>9325</v>
      </c>
      <c r="N7748" t="s">
        <v>9325</v>
      </c>
      <c r="O7748" t="s">
        <v>73</v>
      </c>
      <c r="P7748" t="s">
        <v>81</v>
      </c>
      <c r="Q7748" t="s">
        <v>339</v>
      </c>
      <c r="R7748" t="s">
        <v>9321</v>
      </c>
    </row>
    <row r="7749" spans="1:18" x14ac:dyDescent="0.25">
      <c r="A7749" t="s">
        <v>20746</v>
      </c>
      <c r="B7749" t="s">
        <v>9334</v>
      </c>
      <c r="C7749" t="str">
        <f>HYPERLINK("https://nematode.unl.edu/nypten2.jpg")</f>
        <v>https://nematode.unl.edu/nypten2.jpg</v>
      </c>
      <c r="D7749" t="s">
        <v>77</v>
      </c>
      <c r="G7749" t="s">
        <v>34</v>
      </c>
      <c r="H7749" t="s">
        <v>18</v>
      </c>
      <c r="I7749" t="s">
        <v>529</v>
      </c>
      <c r="J7749" t="s">
        <v>116</v>
      </c>
      <c r="L7749" t="s">
        <v>85</v>
      </c>
      <c r="M7749" t="s">
        <v>9325</v>
      </c>
      <c r="N7749" t="s">
        <v>9325</v>
      </c>
      <c r="O7749" t="s">
        <v>73</v>
      </c>
      <c r="P7749" t="s">
        <v>81</v>
      </c>
      <c r="Q7749" t="s">
        <v>339</v>
      </c>
      <c r="R7749" t="s">
        <v>9321</v>
      </c>
    </row>
    <row r="7750" spans="1:18" x14ac:dyDescent="0.25">
      <c r="A7750" t="s">
        <v>20752</v>
      </c>
      <c r="B7750" t="s">
        <v>9335</v>
      </c>
      <c r="C7750" t="str">
        <f>HYPERLINK("https://nematode.unl.edu/nypten3.jpg")</f>
        <v>https://nematode.unl.edu/nypten3.jpg</v>
      </c>
      <c r="D7750" t="s">
        <v>77</v>
      </c>
      <c r="G7750" t="s">
        <v>230</v>
      </c>
      <c r="I7750" t="s">
        <v>41</v>
      </c>
      <c r="J7750" t="s">
        <v>116</v>
      </c>
      <c r="L7750" t="s">
        <v>85</v>
      </c>
      <c r="M7750" t="s">
        <v>9325</v>
      </c>
      <c r="N7750" t="s">
        <v>9325</v>
      </c>
      <c r="O7750" t="s">
        <v>73</v>
      </c>
      <c r="P7750" t="s">
        <v>81</v>
      </c>
      <c r="Q7750" t="s">
        <v>339</v>
      </c>
      <c r="R7750" t="s">
        <v>9321</v>
      </c>
    </row>
    <row r="7751" spans="1:18" x14ac:dyDescent="0.25">
      <c r="A7751" t="s">
        <v>20753</v>
      </c>
      <c r="B7751" t="s">
        <v>9336</v>
      </c>
      <c r="C7751" t="str">
        <f>HYPERLINK("https://nematode.unl.edu/nypten4.jpg")</f>
        <v>https://nematode.unl.edu/nypten4.jpg</v>
      </c>
      <c r="D7751" t="s">
        <v>77</v>
      </c>
      <c r="G7751" t="s">
        <v>230</v>
      </c>
      <c r="I7751" t="s">
        <v>41</v>
      </c>
      <c r="J7751" t="s">
        <v>116</v>
      </c>
      <c r="L7751" t="s">
        <v>85</v>
      </c>
      <c r="M7751" t="s">
        <v>9325</v>
      </c>
      <c r="N7751" t="s">
        <v>9325</v>
      </c>
      <c r="O7751" t="s">
        <v>73</v>
      </c>
      <c r="P7751" t="s">
        <v>81</v>
      </c>
      <c r="Q7751" t="s">
        <v>339</v>
      </c>
      <c r="R7751" t="s">
        <v>9321</v>
      </c>
    </row>
    <row r="7752" spans="1:18" x14ac:dyDescent="0.25">
      <c r="A7752" t="s">
        <v>20751</v>
      </c>
      <c r="B7752" t="s">
        <v>9337</v>
      </c>
      <c r="C7752" t="str">
        <f>HYPERLINK("https://nematode.unl.edu/nypten5.jpg")</f>
        <v>https://nematode.unl.edu/nypten5.jpg</v>
      </c>
      <c r="D7752" t="s">
        <v>77</v>
      </c>
      <c r="G7752" t="s">
        <v>112</v>
      </c>
      <c r="I7752" t="s">
        <v>41</v>
      </c>
      <c r="J7752" t="s">
        <v>116</v>
      </c>
      <c r="L7752" t="s">
        <v>85</v>
      </c>
      <c r="M7752" t="s">
        <v>9325</v>
      </c>
      <c r="N7752" t="s">
        <v>9325</v>
      </c>
      <c r="O7752" t="s">
        <v>73</v>
      </c>
      <c r="P7752" t="s">
        <v>81</v>
      </c>
      <c r="Q7752" t="s">
        <v>339</v>
      </c>
      <c r="R7752" t="s">
        <v>9321</v>
      </c>
    </row>
    <row r="7753" spans="1:18" x14ac:dyDescent="0.25">
      <c r="A7753" t="s">
        <v>20747</v>
      </c>
      <c r="B7753" t="s">
        <v>9338</v>
      </c>
      <c r="C7753" t="str">
        <f>HYPERLINK("https://nematode.unl.edu/nypten6.jpg")</f>
        <v>https://nematode.unl.edu/nypten6.jpg</v>
      </c>
      <c r="D7753" t="s">
        <v>77</v>
      </c>
      <c r="G7753" t="s">
        <v>34</v>
      </c>
      <c r="H7753" t="s">
        <v>18</v>
      </c>
      <c r="I7753" t="s">
        <v>19</v>
      </c>
      <c r="J7753" t="s">
        <v>116</v>
      </c>
      <c r="L7753" t="s">
        <v>85</v>
      </c>
      <c r="M7753" t="s">
        <v>9325</v>
      </c>
      <c r="N7753" t="s">
        <v>9325</v>
      </c>
      <c r="O7753" t="s">
        <v>73</v>
      </c>
      <c r="P7753" t="s">
        <v>81</v>
      </c>
      <c r="Q7753" t="s">
        <v>339</v>
      </c>
      <c r="R7753" t="s">
        <v>9321</v>
      </c>
    </row>
    <row r="7754" spans="1:18" x14ac:dyDescent="0.25">
      <c r="A7754" t="s">
        <v>20741</v>
      </c>
      <c r="B7754" t="s">
        <v>9339</v>
      </c>
      <c r="C7754" t="str">
        <f>HYPERLINK("https://nematode.unl.edu/nypten7.jpg")</f>
        <v>https://nematode.unl.edu/nypten7.jpg</v>
      </c>
      <c r="D7754" t="s">
        <v>77</v>
      </c>
      <c r="G7754" t="s">
        <v>17</v>
      </c>
      <c r="H7754" t="s">
        <v>18</v>
      </c>
      <c r="I7754" t="s">
        <v>19</v>
      </c>
      <c r="J7754" t="s">
        <v>116</v>
      </c>
      <c r="L7754" t="s">
        <v>85</v>
      </c>
      <c r="M7754" t="s">
        <v>9325</v>
      </c>
      <c r="N7754" t="s">
        <v>9325</v>
      </c>
      <c r="O7754" t="s">
        <v>73</v>
      </c>
      <c r="P7754" t="s">
        <v>81</v>
      </c>
      <c r="Q7754" t="s">
        <v>339</v>
      </c>
      <c r="R7754" t="s">
        <v>9321</v>
      </c>
    </row>
    <row r="7755" spans="1:18" x14ac:dyDescent="0.25">
      <c r="A7755" t="s">
        <v>20755</v>
      </c>
      <c r="B7755" t="s">
        <v>9340</v>
      </c>
      <c r="C7755" t="str">
        <f>HYPERLINK("https://nematode.unl.edu/nypten8.jpg")</f>
        <v>https://nematode.unl.edu/nypten8.jpg</v>
      </c>
      <c r="D7755" t="s">
        <v>77</v>
      </c>
      <c r="G7755" t="s">
        <v>28</v>
      </c>
      <c r="J7755" t="s">
        <v>116</v>
      </c>
      <c r="L7755" t="s">
        <v>85</v>
      </c>
      <c r="M7755" t="s">
        <v>9325</v>
      </c>
      <c r="N7755" t="s">
        <v>9325</v>
      </c>
      <c r="O7755" t="s">
        <v>73</v>
      </c>
      <c r="P7755" t="s">
        <v>81</v>
      </c>
      <c r="Q7755" t="s">
        <v>339</v>
      </c>
      <c r="R7755" t="s">
        <v>9321</v>
      </c>
    </row>
    <row r="7756" spans="1:18" x14ac:dyDescent="0.25">
      <c r="A7756" t="s">
        <v>20774</v>
      </c>
      <c r="B7756" t="s">
        <v>9366</v>
      </c>
      <c r="C7756" t="str">
        <f>HYPERLINK("https://nematode.unl.edu/nypus1.jpg")</f>
        <v>https://nematode.unl.edu/nypus1.jpg</v>
      </c>
      <c r="D7756" t="s">
        <v>43</v>
      </c>
      <c r="G7756" t="s">
        <v>44</v>
      </c>
      <c r="I7756" t="s">
        <v>91</v>
      </c>
      <c r="J7756" t="s">
        <v>9367</v>
      </c>
      <c r="M7756" t="s">
        <v>9343</v>
      </c>
      <c r="N7756" t="s">
        <v>9343</v>
      </c>
      <c r="O7756" t="s">
        <v>73</v>
      </c>
      <c r="P7756" t="s">
        <v>81</v>
      </c>
      <c r="Q7756" t="s">
        <v>339</v>
      </c>
      <c r="R7756" t="s">
        <v>9321</v>
      </c>
    </row>
    <row r="7757" spans="1:18" x14ac:dyDescent="0.25">
      <c r="A7757" t="s">
        <v>20766</v>
      </c>
      <c r="B7757" t="s">
        <v>9368</v>
      </c>
      <c r="C7757" t="str">
        <f>HYPERLINK("https://nematode.unl.edu/nypus2.jpg")</f>
        <v>https://nematode.unl.edu/nypus2.jpg</v>
      </c>
      <c r="D7757" t="s">
        <v>77</v>
      </c>
      <c r="G7757" t="s">
        <v>34</v>
      </c>
      <c r="H7757" t="s">
        <v>18</v>
      </c>
      <c r="I7757" t="s">
        <v>19</v>
      </c>
      <c r="J7757" t="s">
        <v>317</v>
      </c>
      <c r="M7757" t="s">
        <v>9343</v>
      </c>
      <c r="N7757" t="s">
        <v>9343</v>
      </c>
      <c r="O7757" t="s">
        <v>73</v>
      </c>
      <c r="P7757" t="s">
        <v>81</v>
      </c>
      <c r="Q7757" t="s">
        <v>339</v>
      </c>
      <c r="R7757" t="s">
        <v>9321</v>
      </c>
    </row>
    <row r="7758" spans="1:18" x14ac:dyDescent="0.25">
      <c r="A7758" t="s">
        <v>20757</v>
      </c>
      <c r="B7758" t="s">
        <v>9369</v>
      </c>
      <c r="C7758" t="str">
        <f>HYPERLINK("https://nematode.unl.edu/nypus3.jpg")</f>
        <v>https://nematode.unl.edu/nypus3.jpg</v>
      </c>
      <c r="D7758" t="s">
        <v>43</v>
      </c>
      <c r="G7758" t="s">
        <v>17</v>
      </c>
      <c r="H7758" t="s">
        <v>18</v>
      </c>
      <c r="I7758" t="s">
        <v>19</v>
      </c>
      <c r="J7758" t="s">
        <v>317</v>
      </c>
      <c r="M7758" t="s">
        <v>9343</v>
      </c>
      <c r="N7758" t="s">
        <v>9343</v>
      </c>
      <c r="O7758" t="s">
        <v>73</v>
      </c>
      <c r="P7758" t="s">
        <v>81</v>
      </c>
      <c r="Q7758" t="s">
        <v>339</v>
      </c>
      <c r="R7758" t="s">
        <v>9321</v>
      </c>
    </row>
    <row r="7759" spans="1:18" x14ac:dyDescent="0.25">
      <c r="A7759" t="s">
        <v>20776</v>
      </c>
      <c r="B7759" t="s">
        <v>9370</v>
      </c>
      <c r="C7759" t="str">
        <f>HYPERLINK("https://nematode.unl.edu/nypus4.jpg")</f>
        <v>https://nematode.unl.edu/nypus4.jpg</v>
      </c>
      <c r="D7759" t="s">
        <v>43</v>
      </c>
      <c r="G7759" t="s">
        <v>674</v>
      </c>
      <c r="I7759" t="s">
        <v>19</v>
      </c>
      <c r="J7759" t="s">
        <v>317</v>
      </c>
      <c r="M7759" t="s">
        <v>9343</v>
      </c>
      <c r="N7759" t="s">
        <v>9343</v>
      </c>
      <c r="O7759" t="s">
        <v>73</v>
      </c>
      <c r="P7759" t="s">
        <v>81</v>
      </c>
      <c r="Q7759" t="s">
        <v>339</v>
      </c>
      <c r="R7759" t="s">
        <v>9321</v>
      </c>
    </row>
    <row r="7760" spans="1:18" x14ac:dyDescent="0.25">
      <c r="A7760" t="s">
        <v>20783</v>
      </c>
      <c r="B7760" t="s">
        <v>9371</v>
      </c>
      <c r="C7760" t="str">
        <f>HYPERLINK("https://nematode.unl.edu/nypus5.jpg")</f>
        <v>https://nematode.unl.edu/nypus5.jpg</v>
      </c>
      <c r="D7760" t="s">
        <v>77</v>
      </c>
      <c r="G7760" t="s">
        <v>28</v>
      </c>
      <c r="J7760" t="s">
        <v>317</v>
      </c>
      <c r="M7760" t="s">
        <v>9343</v>
      </c>
      <c r="N7760" t="s">
        <v>9343</v>
      </c>
      <c r="O7760" t="s">
        <v>73</v>
      </c>
      <c r="P7760" t="s">
        <v>81</v>
      </c>
      <c r="Q7760" t="s">
        <v>339</v>
      </c>
      <c r="R7760" t="s">
        <v>9321</v>
      </c>
    </row>
    <row r="7761" spans="1:18" x14ac:dyDescent="0.25">
      <c r="A7761" t="s">
        <v>20767</v>
      </c>
      <c r="B7761" t="s">
        <v>9372</v>
      </c>
      <c r="C7761" t="str">
        <f>HYPERLINK("https://nematode.unl.edu/nypus6.jpg")</f>
        <v>https://nematode.unl.edu/nypus6.jpg</v>
      </c>
      <c r="G7761" t="s">
        <v>34</v>
      </c>
      <c r="H7761" t="s">
        <v>18</v>
      </c>
      <c r="J7761" t="s">
        <v>317</v>
      </c>
      <c r="M7761" t="s">
        <v>9343</v>
      </c>
      <c r="N7761" t="s">
        <v>9343</v>
      </c>
      <c r="O7761" t="s">
        <v>73</v>
      </c>
      <c r="P7761" t="s">
        <v>81</v>
      </c>
      <c r="Q7761" t="s">
        <v>339</v>
      </c>
      <c r="R7761" t="s">
        <v>9321</v>
      </c>
    </row>
    <row r="7762" spans="1:18" x14ac:dyDescent="0.25">
      <c r="A7762" t="s">
        <v>20771</v>
      </c>
      <c r="B7762" t="s">
        <v>9373</v>
      </c>
      <c r="C7762" t="str">
        <f>HYPERLINK("https://nematode.unl.edu/nypus7.jpg")</f>
        <v>https://nematode.unl.edu/nypus7.jpg</v>
      </c>
      <c r="D7762" t="s">
        <v>43</v>
      </c>
      <c r="G7762" t="s">
        <v>87</v>
      </c>
      <c r="I7762" t="s">
        <v>41</v>
      </c>
      <c r="J7762" t="s">
        <v>317</v>
      </c>
      <c r="M7762" t="s">
        <v>9343</v>
      </c>
      <c r="N7762" t="s">
        <v>9343</v>
      </c>
      <c r="O7762" t="s">
        <v>73</v>
      </c>
      <c r="P7762" t="s">
        <v>81</v>
      </c>
      <c r="Q7762" t="s">
        <v>339</v>
      </c>
      <c r="R7762" t="s">
        <v>9321</v>
      </c>
    </row>
    <row r="7763" spans="1:18" x14ac:dyDescent="0.25">
      <c r="A7763" t="s">
        <v>20786</v>
      </c>
      <c r="B7763" t="s">
        <v>9374</v>
      </c>
      <c r="C7763" t="str">
        <f>HYPERLINK("https://nematode.unl.edu/nypus8.jpg")</f>
        <v>https://nematode.unl.edu/nypus8.jpg</v>
      </c>
      <c r="D7763" t="s">
        <v>43</v>
      </c>
      <c r="G7763" t="s">
        <v>51</v>
      </c>
      <c r="I7763" t="s">
        <v>41</v>
      </c>
      <c r="J7763" t="s">
        <v>317</v>
      </c>
      <c r="M7763" t="s">
        <v>9343</v>
      </c>
      <c r="N7763" t="s">
        <v>9343</v>
      </c>
      <c r="O7763" t="s">
        <v>73</v>
      </c>
      <c r="P7763" t="s">
        <v>81</v>
      </c>
      <c r="Q7763" t="s">
        <v>339</v>
      </c>
      <c r="R7763" t="s">
        <v>9321</v>
      </c>
    </row>
    <row r="7764" spans="1:18" x14ac:dyDescent="0.25">
      <c r="A7764" t="s">
        <v>20794</v>
      </c>
      <c r="B7764" t="s">
        <v>9375</v>
      </c>
      <c r="C7764" t="str">
        <f>HYPERLINK("https://nematode.unl.edu/nyten1.jpg")</f>
        <v>https://nematode.unl.edu/nyten1.jpg</v>
      </c>
      <c r="D7764" t="s">
        <v>43</v>
      </c>
      <c r="G7764" t="s">
        <v>44</v>
      </c>
      <c r="I7764" t="s">
        <v>1008</v>
      </c>
      <c r="J7764" t="s">
        <v>20</v>
      </c>
      <c r="L7764" t="s">
        <v>220</v>
      </c>
      <c r="M7764" t="s">
        <v>9376</v>
      </c>
      <c r="N7764" t="s">
        <v>9376</v>
      </c>
      <c r="O7764" t="s">
        <v>73</v>
      </c>
      <c r="P7764" t="s">
        <v>81</v>
      </c>
      <c r="Q7764" t="s">
        <v>339</v>
      </c>
      <c r="R7764" t="s">
        <v>9321</v>
      </c>
    </row>
    <row r="7765" spans="1:18" x14ac:dyDescent="0.25">
      <c r="A7765" t="s">
        <v>20791</v>
      </c>
      <c r="B7765" t="s">
        <v>9377</v>
      </c>
      <c r="C7765" t="str">
        <f>HYPERLINK("https://nematode.unl.edu/nyten10.jpg")</f>
        <v>https://nematode.unl.edu/nyten10.jpg</v>
      </c>
      <c r="D7765" t="s">
        <v>16</v>
      </c>
      <c r="G7765" t="s">
        <v>87</v>
      </c>
      <c r="I7765" t="s">
        <v>516</v>
      </c>
      <c r="J7765" t="s">
        <v>20</v>
      </c>
      <c r="L7765" t="s">
        <v>220</v>
      </c>
      <c r="M7765" t="s">
        <v>9376</v>
      </c>
      <c r="N7765" t="s">
        <v>9376</v>
      </c>
      <c r="O7765" t="s">
        <v>73</v>
      </c>
      <c r="P7765" t="s">
        <v>81</v>
      </c>
      <c r="Q7765" t="s">
        <v>339</v>
      </c>
      <c r="R7765" t="s">
        <v>9321</v>
      </c>
    </row>
    <row r="7766" spans="1:18" x14ac:dyDescent="0.25">
      <c r="A7766" t="s">
        <v>20787</v>
      </c>
      <c r="B7766" t="s">
        <v>9378</v>
      </c>
      <c r="C7766" t="str">
        <f>HYPERLINK("https://nematode.unl.edu/nyten11.jpg")</f>
        <v>https://nematode.unl.edu/nyten11.jpg</v>
      </c>
      <c r="D7766" t="s">
        <v>16</v>
      </c>
      <c r="G7766" t="s">
        <v>34</v>
      </c>
      <c r="H7766" t="s">
        <v>18</v>
      </c>
      <c r="J7766" t="s">
        <v>20</v>
      </c>
      <c r="L7766" t="s">
        <v>141</v>
      </c>
      <c r="M7766" t="s">
        <v>9376</v>
      </c>
      <c r="N7766" t="s">
        <v>9376</v>
      </c>
      <c r="O7766" t="s">
        <v>73</v>
      </c>
      <c r="P7766" t="s">
        <v>81</v>
      </c>
      <c r="Q7766" t="s">
        <v>339</v>
      </c>
      <c r="R7766" t="s">
        <v>9321</v>
      </c>
    </row>
    <row r="7767" spans="1:18" x14ac:dyDescent="0.25">
      <c r="A7767" t="s">
        <v>20792</v>
      </c>
      <c r="B7767" t="s">
        <v>9379</v>
      </c>
      <c r="C7767" t="str">
        <f>HYPERLINK("https://nematode.unl.edu/nyten12.jpg")</f>
        <v>https://nematode.unl.edu/nyten12.jpg</v>
      </c>
      <c r="D7767" t="s">
        <v>16</v>
      </c>
      <c r="G7767" t="s">
        <v>87</v>
      </c>
      <c r="I7767" t="s">
        <v>41</v>
      </c>
      <c r="J7767" t="s">
        <v>20</v>
      </c>
      <c r="L7767" t="s">
        <v>141</v>
      </c>
      <c r="M7767" t="s">
        <v>9376</v>
      </c>
      <c r="N7767" t="s">
        <v>9376</v>
      </c>
      <c r="O7767" t="s">
        <v>73</v>
      </c>
      <c r="P7767" t="s">
        <v>81</v>
      </c>
      <c r="Q7767" t="s">
        <v>339</v>
      </c>
      <c r="R7767" t="s">
        <v>9321</v>
      </c>
    </row>
    <row r="7768" spans="1:18" x14ac:dyDescent="0.25">
      <c r="A7768" t="s">
        <v>20788</v>
      </c>
      <c r="B7768" t="s">
        <v>9380</v>
      </c>
      <c r="C7768" t="str">
        <f>HYPERLINK("https://nematode.unl.edu/nyten13.jpg")</f>
        <v>https://nematode.unl.edu/nyten13.jpg</v>
      </c>
      <c r="D7768" t="s">
        <v>16</v>
      </c>
      <c r="G7768" t="s">
        <v>34</v>
      </c>
      <c r="H7768" t="s">
        <v>18</v>
      </c>
      <c r="I7768" t="s">
        <v>41</v>
      </c>
      <c r="J7768" t="s">
        <v>20</v>
      </c>
      <c r="L7768" t="s">
        <v>141</v>
      </c>
      <c r="M7768" t="s">
        <v>9376</v>
      </c>
      <c r="N7768" t="s">
        <v>9376</v>
      </c>
      <c r="O7768" t="s">
        <v>73</v>
      </c>
      <c r="P7768" t="s">
        <v>81</v>
      </c>
      <c r="Q7768" t="s">
        <v>339</v>
      </c>
      <c r="R7768" t="s">
        <v>9321</v>
      </c>
    </row>
    <row r="7769" spans="1:18" x14ac:dyDescent="0.25">
      <c r="A7769" t="s">
        <v>20796</v>
      </c>
      <c r="B7769" t="s">
        <v>9381</v>
      </c>
      <c r="C7769" t="str">
        <f>HYPERLINK("https://nematode.unl.edu/nyten14.jpg")</f>
        <v>https://nematode.unl.edu/nyten14.jpg</v>
      </c>
      <c r="G7769" t="s">
        <v>28</v>
      </c>
      <c r="I7769" t="s">
        <v>41</v>
      </c>
      <c r="J7769" t="s">
        <v>20</v>
      </c>
      <c r="L7769" t="s">
        <v>141</v>
      </c>
      <c r="M7769" t="s">
        <v>9376</v>
      </c>
      <c r="N7769" t="s">
        <v>9376</v>
      </c>
      <c r="O7769" t="s">
        <v>73</v>
      </c>
      <c r="P7769" t="s">
        <v>81</v>
      </c>
      <c r="Q7769" t="s">
        <v>339</v>
      </c>
      <c r="R7769" t="s">
        <v>9321</v>
      </c>
    </row>
    <row r="7770" spans="1:18" x14ac:dyDescent="0.25">
      <c r="A7770" t="s">
        <v>20789</v>
      </c>
      <c r="B7770" t="s">
        <v>9382</v>
      </c>
      <c r="C7770" t="str">
        <f>HYPERLINK("https://nematode.unl.edu/nyten2.jpg")</f>
        <v>https://nematode.unl.edu/nyten2.jpg</v>
      </c>
      <c r="G7770" t="s">
        <v>34</v>
      </c>
      <c r="H7770" t="s">
        <v>18</v>
      </c>
      <c r="J7770" t="s">
        <v>20</v>
      </c>
      <c r="L7770" t="s">
        <v>141</v>
      </c>
      <c r="M7770" t="s">
        <v>9376</v>
      </c>
      <c r="N7770" t="s">
        <v>9376</v>
      </c>
      <c r="O7770" t="s">
        <v>73</v>
      </c>
      <c r="P7770" t="s">
        <v>81</v>
      </c>
      <c r="Q7770" t="s">
        <v>339</v>
      </c>
      <c r="R7770" t="s">
        <v>9321</v>
      </c>
    </row>
    <row r="7771" spans="1:18" x14ac:dyDescent="0.25">
      <c r="A7771" t="s">
        <v>20797</v>
      </c>
      <c r="B7771" t="s">
        <v>9383</v>
      </c>
      <c r="C7771" t="str">
        <f>HYPERLINK("https://nematode.unl.edu/nyten3.jpg")</f>
        <v>https://nematode.unl.edu/nyten3.jpg</v>
      </c>
      <c r="D7771" t="s">
        <v>43</v>
      </c>
      <c r="G7771" t="s">
        <v>28</v>
      </c>
      <c r="I7771" t="s">
        <v>19</v>
      </c>
      <c r="J7771" t="s">
        <v>20</v>
      </c>
      <c r="L7771" t="s">
        <v>141</v>
      </c>
      <c r="M7771" t="s">
        <v>9376</v>
      </c>
      <c r="N7771" t="s">
        <v>9376</v>
      </c>
      <c r="O7771" t="s">
        <v>73</v>
      </c>
      <c r="P7771" t="s">
        <v>81</v>
      </c>
      <c r="Q7771" t="s">
        <v>339</v>
      </c>
      <c r="R7771" t="s">
        <v>9321</v>
      </c>
    </row>
    <row r="7772" spans="1:18" x14ac:dyDescent="0.25">
      <c r="A7772" t="s">
        <v>20798</v>
      </c>
      <c r="B7772" t="s">
        <v>9384</v>
      </c>
      <c r="C7772" t="str">
        <f>HYPERLINK("https://nematode.unl.edu/nyten4.jpg")</f>
        <v>https://nematode.unl.edu/nyten4.jpg</v>
      </c>
      <c r="D7772" t="s">
        <v>77</v>
      </c>
      <c r="G7772" t="s">
        <v>28</v>
      </c>
      <c r="I7772" t="s">
        <v>19</v>
      </c>
      <c r="J7772" t="s">
        <v>20</v>
      </c>
      <c r="L7772" t="s">
        <v>220</v>
      </c>
      <c r="M7772" t="s">
        <v>9376</v>
      </c>
      <c r="N7772" t="s">
        <v>9376</v>
      </c>
      <c r="O7772" t="s">
        <v>73</v>
      </c>
      <c r="P7772" t="s">
        <v>81</v>
      </c>
      <c r="Q7772" t="s">
        <v>339</v>
      </c>
      <c r="R7772" t="s">
        <v>9321</v>
      </c>
    </row>
    <row r="7773" spans="1:18" x14ac:dyDescent="0.25">
      <c r="A7773" t="s">
        <v>20793</v>
      </c>
      <c r="B7773" t="s">
        <v>9385</v>
      </c>
      <c r="C7773" t="str">
        <f>HYPERLINK("https://nematode.unl.edu/nyten5.jpg")</f>
        <v>https://nematode.unl.edu/nyten5.jpg</v>
      </c>
      <c r="D7773" t="s">
        <v>43</v>
      </c>
      <c r="G7773" t="s">
        <v>87</v>
      </c>
      <c r="I7773" t="s">
        <v>41</v>
      </c>
      <c r="J7773" t="s">
        <v>20</v>
      </c>
      <c r="M7773" t="s">
        <v>9376</v>
      </c>
      <c r="N7773" t="s">
        <v>9376</v>
      </c>
      <c r="O7773" t="s">
        <v>73</v>
      </c>
      <c r="P7773" t="s">
        <v>81</v>
      </c>
      <c r="Q7773" t="s">
        <v>339</v>
      </c>
      <c r="R7773" t="s">
        <v>9321</v>
      </c>
    </row>
    <row r="7774" spans="1:18" x14ac:dyDescent="0.25">
      <c r="A7774" t="s">
        <v>20790</v>
      </c>
      <c r="B7774" t="s">
        <v>9386</v>
      </c>
      <c r="C7774" t="str">
        <f>HYPERLINK("https://nematode.unl.edu/nyten6.jpg")</f>
        <v>https://nematode.unl.edu/nyten6.jpg</v>
      </c>
      <c r="G7774" t="s">
        <v>34</v>
      </c>
      <c r="H7774" t="s">
        <v>18</v>
      </c>
      <c r="I7774" t="s">
        <v>41</v>
      </c>
      <c r="J7774" t="s">
        <v>20</v>
      </c>
      <c r="M7774" t="s">
        <v>9376</v>
      </c>
      <c r="N7774" t="s">
        <v>9376</v>
      </c>
      <c r="O7774" t="s">
        <v>73</v>
      </c>
      <c r="P7774" t="s">
        <v>81</v>
      </c>
      <c r="Q7774" t="s">
        <v>339</v>
      </c>
      <c r="R7774" t="s">
        <v>9321</v>
      </c>
    </row>
    <row r="7775" spans="1:18" x14ac:dyDescent="0.25">
      <c r="A7775" t="s">
        <v>20800</v>
      </c>
      <c r="B7775" t="s">
        <v>9387</v>
      </c>
      <c r="C7775" t="str">
        <f>HYPERLINK("https://nematode.unl.edu/nyten7.jpg")</f>
        <v>https://nematode.unl.edu/nyten7.jpg</v>
      </c>
      <c r="D7775" t="s">
        <v>43</v>
      </c>
      <c r="G7775" t="s">
        <v>51</v>
      </c>
      <c r="I7775" t="s">
        <v>41</v>
      </c>
      <c r="J7775" t="s">
        <v>20</v>
      </c>
      <c r="M7775" t="s">
        <v>9376</v>
      </c>
      <c r="N7775" t="s">
        <v>9376</v>
      </c>
      <c r="O7775" t="s">
        <v>73</v>
      </c>
      <c r="P7775" t="s">
        <v>81</v>
      </c>
      <c r="Q7775" t="s">
        <v>339</v>
      </c>
      <c r="R7775" t="s">
        <v>9321</v>
      </c>
    </row>
    <row r="7776" spans="1:18" x14ac:dyDescent="0.25">
      <c r="A7776" t="s">
        <v>20795</v>
      </c>
      <c r="B7776" t="s">
        <v>9388</v>
      </c>
      <c r="C7776" t="str">
        <f>HYPERLINK("https://nematode.unl.edu/nyten8.jpg")</f>
        <v>https://nematode.unl.edu/nyten8.jpg</v>
      </c>
      <c r="D7776" t="s">
        <v>16</v>
      </c>
      <c r="G7776" t="s">
        <v>44</v>
      </c>
      <c r="I7776" t="s">
        <v>45</v>
      </c>
      <c r="J7776" t="s">
        <v>20</v>
      </c>
      <c r="L7776" t="s">
        <v>141</v>
      </c>
      <c r="M7776" t="s">
        <v>9376</v>
      </c>
      <c r="N7776" t="s">
        <v>9376</v>
      </c>
      <c r="O7776" t="s">
        <v>73</v>
      </c>
      <c r="P7776" t="s">
        <v>81</v>
      </c>
      <c r="Q7776" t="s">
        <v>339</v>
      </c>
      <c r="R7776" t="s">
        <v>9321</v>
      </c>
    </row>
    <row r="7777" spans="1:18" x14ac:dyDescent="0.25">
      <c r="A7777" t="s">
        <v>20799</v>
      </c>
      <c r="B7777" t="s">
        <v>9389</v>
      </c>
      <c r="C7777" t="str">
        <f>HYPERLINK("https://nematode.unl.edu/nyten9.jpg")</f>
        <v>https://nematode.unl.edu/nyten9.jpg</v>
      </c>
      <c r="G7777" t="s">
        <v>28</v>
      </c>
      <c r="I7777" t="s">
        <v>19</v>
      </c>
      <c r="J7777" t="s">
        <v>20</v>
      </c>
      <c r="L7777" t="s">
        <v>141</v>
      </c>
      <c r="M7777" t="s">
        <v>9376</v>
      </c>
      <c r="N7777" t="s">
        <v>9376</v>
      </c>
      <c r="O7777" t="s">
        <v>73</v>
      </c>
      <c r="P7777" t="s">
        <v>81</v>
      </c>
      <c r="Q7777" t="s">
        <v>339</v>
      </c>
      <c r="R7777" t="s">
        <v>9321</v>
      </c>
    </row>
    <row r="7778" spans="1:18" x14ac:dyDescent="0.25">
      <c r="A7778" t="s">
        <v>15517</v>
      </c>
      <c r="B7778" t="s">
        <v>1414</v>
      </c>
      <c r="C7778" t="str">
        <f>HYPERLINK("https://nematode.unl.edu/odeca1.jpg")</f>
        <v>https://nematode.unl.edu/odeca1.jpg</v>
      </c>
      <c r="D7778" t="s">
        <v>16</v>
      </c>
      <c r="G7778" t="s">
        <v>34</v>
      </c>
      <c r="H7778" t="s">
        <v>18</v>
      </c>
      <c r="L7778" t="s">
        <v>105</v>
      </c>
      <c r="M7778" t="s">
        <v>1415</v>
      </c>
      <c r="N7778" t="s">
        <v>1416</v>
      </c>
      <c r="O7778" t="s">
        <v>23</v>
      </c>
      <c r="P7778" t="s">
        <v>24</v>
      </c>
      <c r="Q7778" t="s">
        <v>642</v>
      </c>
      <c r="R7778" t="s">
        <v>1417</v>
      </c>
    </row>
    <row r="7779" spans="1:18" x14ac:dyDescent="0.25">
      <c r="A7779" t="s">
        <v>15545</v>
      </c>
      <c r="B7779" t="s">
        <v>1418</v>
      </c>
      <c r="C7779" t="str">
        <f>HYPERLINK("https://nematode.unl.edu/odeca2.jpg")</f>
        <v>https://nematode.unl.edu/odeca2.jpg</v>
      </c>
      <c r="D7779" t="s">
        <v>16</v>
      </c>
      <c r="G7779" t="s">
        <v>224</v>
      </c>
      <c r="L7779" t="s">
        <v>105</v>
      </c>
      <c r="M7779" t="s">
        <v>1415</v>
      </c>
      <c r="N7779" t="s">
        <v>1416</v>
      </c>
      <c r="O7779" t="s">
        <v>23</v>
      </c>
      <c r="P7779" t="s">
        <v>24</v>
      </c>
      <c r="Q7779" t="s">
        <v>642</v>
      </c>
      <c r="R7779" t="s">
        <v>1417</v>
      </c>
    </row>
    <row r="7780" spans="1:18" x14ac:dyDescent="0.25">
      <c r="A7780" t="s">
        <v>15554</v>
      </c>
      <c r="B7780" t="s">
        <v>1419</v>
      </c>
      <c r="C7780" t="str">
        <f>HYPERLINK("https://nematode.unl.edu/odeca3.jpg")</f>
        <v>https://nematode.unl.edu/odeca3.jpg</v>
      </c>
      <c r="D7780" t="s">
        <v>16</v>
      </c>
      <c r="G7780" t="s">
        <v>28</v>
      </c>
      <c r="L7780" t="s">
        <v>105</v>
      </c>
      <c r="M7780" t="s">
        <v>1415</v>
      </c>
      <c r="N7780" t="s">
        <v>1416</v>
      </c>
      <c r="O7780" t="s">
        <v>23</v>
      </c>
      <c r="P7780" t="s">
        <v>24</v>
      </c>
      <c r="Q7780" t="s">
        <v>642</v>
      </c>
      <c r="R7780" t="s">
        <v>1417</v>
      </c>
    </row>
    <row r="7781" spans="1:18" x14ac:dyDescent="0.25">
      <c r="A7781" t="s">
        <v>15555</v>
      </c>
      <c r="B7781" t="s">
        <v>1420</v>
      </c>
      <c r="C7781" t="str">
        <f>HYPERLINK("https://nematode.unl.edu/odeca4.jpg")</f>
        <v>https://nematode.unl.edu/odeca4.jpg</v>
      </c>
      <c r="D7781" t="s">
        <v>16</v>
      </c>
      <c r="G7781" t="s">
        <v>28</v>
      </c>
      <c r="L7781" t="s">
        <v>105</v>
      </c>
      <c r="M7781" t="s">
        <v>1415</v>
      </c>
      <c r="N7781" t="s">
        <v>1416</v>
      </c>
      <c r="O7781" t="s">
        <v>23</v>
      </c>
      <c r="P7781" t="s">
        <v>24</v>
      </c>
      <c r="Q7781" t="s">
        <v>642</v>
      </c>
      <c r="R7781" t="s">
        <v>1417</v>
      </c>
    </row>
    <row r="7782" spans="1:18" x14ac:dyDescent="0.25">
      <c r="A7782" t="s">
        <v>15556</v>
      </c>
      <c r="B7782" t="s">
        <v>1421</v>
      </c>
      <c r="C7782" t="str">
        <f>HYPERLINK("https://nematode.unl.edu/odecomp.jpg")</f>
        <v>https://nematode.unl.edu/odecomp.jpg</v>
      </c>
      <c r="D7782" t="s">
        <v>43</v>
      </c>
      <c r="G7782" t="s">
        <v>28</v>
      </c>
      <c r="M7782" t="s">
        <v>1415</v>
      </c>
      <c r="N7782" t="s">
        <v>1416</v>
      </c>
      <c r="O7782" t="s">
        <v>23</v>
      </c>
      <c r="P7782" t="s">
        <v>24</v>
      </c>
      <c r="Q7782" t="s">
        <v>642</v>
      </c>
      <c r="R7782" t="s">
        <v>1417</v>
      </c>
    </row>
    <row r="7783" spans="1:18" x14ac:dyDescent="0.25">
      <c r="A7783" t="s">
        <v>22694</v>
      </c>
      <c r="B7783" t="s">
        <v>9390</v>
      </c>
      <c r="C7783" t="str">
        <f>HYPERLINK("https://nematode.unl.edu/odonto1.jpg")</f>
        <v>https://nematode.unl.edu/odonto1.jpg</v>
      </c>
      <c r="D7783" t="s">
        <v>16</v>
      </c>
      <c r="G7783" t="s">
        <v>96</v>
      </c>
      <c r="H7783" t="s">
        <v>18</v>
      </c>
      <c r="J7783" t="s">
        <v>46</v>
      </c>
      <c r="L7783" t="s">
        <v>105</v>
      </c>
      <c r="M7783" t="s">
        <v>9391</v>
      </c>
      <c r="N7783" t="s">
        <v>9391</v>
      </c>
      <c r="O7783" t="s">
        <v>73</v>
      </c>
      <c r="P7783" t="s">
        <v>1806</v>
      </c>
      <c r="Q7783" t="s">
        <v>9392</v>
      </c>
      <c r="R7783" t="s">
        <v>9391</v>
      </c>
    </row>
    <row r="7784" spans="1:18" x14ac:dyDescent="0.25">
      <c r="A7784" t="s">
        <v>22697</v>
      </c>
      <c r="B7784" t="s">
        <v>9393</v>
      </c>
      <c r="C7784" t="str">
        <f>HYPERLINK("https://nematode.unl.edu/odontos1.jpg")</f>
        <v>https://nematode.unl.edu/odontos1.jpg</v>
      </c>
      <c r="D7784" t="s">
        <v>16</v>
      </c>
      <c r="G7784" t="s">
        <v>34</v>
      </c>
      <c r="H7784" t="s">
        <v>18</v>
      </c>
      <c r="I7784" t="s">
        <v>19</v>
      </c>
      <c r="J7784" t="s">
        <v>20</v>
      </c>
      <c r="L7784" t="s">
        <v>217</v>
      </c>
      <c r="M7784" t="s">
        <v>9391</v>
      </c>
      <c r="N7784" t="s">
        <v>9391</v>
      </c>
      <c r="O7784" t="s">
        <v>73</v>
      </c>
      <c r="P7784" t="s">
        <v>1806</v>
      </c>
      <c r="Q7784" t="s">
        <v>9392</v>
      </c>
      <c r="R7784" t="s">
        <v>9391</v>
      </c>
    </row>
    <row r="7785" spans="1:18" x14ac:dyDescent="0.25">
      <c r="A7785" t="s">
        <v>22698</v>
      </c>
      <c r="B7785" t="s">
        <v>9394</v>
      </c>
      <c r="C7785" t="str">
        <f>HYPERLINK("https://nematode.unl.edu/odontos10.jpg")</f>
        <v>https://nematode.unl.edu/odontos10.jpg</v>
      </c>
      <c r="D7785" t="s">
        <v>16</v>
      </c>
      <c r="G7785" t="s">
        <v>34</v>
      </c>
      <c r="H7785" t="s">
        <v>18</v>
      </c>
      <c r="I7785" t="s">
        <v>41</v>
      </c>
      <c r="J7785" t="s">
        <v>20</v>
      </c>
      <c r="L7785" t="s">
        <v>141</v>
      </c>
      <c r="M7785" t="s">
        <v>9391</v>
      </c>
      <c r="N7785" t="s">
        <v>9391</v>
      </c>
      <c r="O7785" t="s">
        <v>73</v>
      </c>
      <c r="P7785" t="s">
        <v>1806</v>
      </c>
      <c r="Q7785" t="s">
        <v>9392</v>
      </c>
      <c r="R7785" t="s">
        <v>9391</v>
      </c>
    </row>
    <row r="7786" spans="1:18" x14ac:dyDescent="0.25">
      <c r="A7786" t="s">
        <v>22699</v>
      </c>
      <c r="B7786" t="s">
        <v>9395</v>
      </c>
      <c r="C7786" t="str">
        <f>HYPERLINK("https://nematode.unl.edu/odontos11.jpg")</f>
        <v>https://nematode.unl.edu/odontos11.jpg</v>
      </c>
      <c r="D7786" t="s">
        <v>16</v>
      </c>
      <c r="G7786" t="s">
        <v>34</v>
      </c>
      <c r="H7786" t="s">
        <v>18</v>
      </c>
      <c r="I7786" t="s">
        <v>19</v>
      </c>
      <c r="J7786" t="s">
        <v>20</v>
      </c>
      <c r="L7786" t="s">
        <v>141</v>
      </c>
      <c r="M7786" t="s">
        <v>9391</v>
      </c>
      <c r="N7786" t="s">
        <v>9391</v>
      </c>
      <c r="O7786" t="s">
        <v>73</v>
      </c>
      <c r="P7786" t="s">
        <v>1806</v>
      </c>
      <c r="Q7786" t="s">
        <v>9392</v>
      </c>
      <c r="R7786" t="s">
        <v>9391</v>
      </c>
    </row>
    <row r="7787" spans="1:18" x14ac:dyDescent="0.25">
      <c r="A7787" t="s">
        <v>22695</v>
      </c>
      <c r="B7787" t="s">
        <v>9396</v>
      </c>
      <c r="C7787" t="str">
        <f>HYPERLINK("https://nematode.unl.edu/odontos12.jpg")</f>
        <v>https://nematode.unl.edu/odontos12.jpg</v>
      </c>
      <c r="D7787" t="s">
        <v>16</v>
      </c>
      <c r="G7787" t="s">
        <v>96</v>
      </c>
      <c r="H7787" t="s">
        <v>18</v>
      </c>
      <c r="J7787" t="s">
        <v>20</v>
      </c>
      <c r="L7787" t="s">
        <v>64</v>
      </c>
      <c r="M7787" t="s">
        <v>9391</v>
      </c>
      <c r="N7787" t="s">
        <v>9391</v>
      </c>
      <c r="O7787" t="s">
        <v>73</v>
      </c>
      <c r="P7787" t="s">
        <v>1806</v>
      </c>
      <c r="Q7787" t="s">
        <v>9392</v>
      </c>
      <c r="R7787" t="s">
        <v>9391</v>
      </c>
    </row>
    <row r="7788" spans="1:18" x14ac:dyDescent="0.25">
      <c r="A7788" t="s">
        <v>22709</v>
      </c>
      <c r="B7788" t="s">
        <v>9397</v>
      </c>
      <c r="C7788" t="str">
        <f>HYPERLINK("https://nematode.unl.edu/odontos13.jpg")</f>
        <v>https://nematode.unl.edu/odontos13.jpg</v>
      </c>
      <c r="D7788" t="s">
        <v>16</v>
      </c>
      <c r="G7788" t="s">
        <v>28</v>
      </c>
      <c r="J7788" t="s">
        <v>20</v>
      </c>
      <c r="L7788" t="s">
        <v>64</v>
      </c>
      <c r="M7788" t="s">
        <v>9391</v>
      </c>
      <c r="N7788" t="s">
        <v>9391</v>
      </c>
      <c r="O7788" t="s">
        <v>73</v>
      </c>
      <c r="P7788" t="s">
        <v>1806</v>
      </c>
      <c r="Q7788" t="s">
        <v>9392</v>
      </c>
      <c r="R7788" t="s">
        <v>9391</v>
      </c>
    </row>
    <row r="7789" spans="1:18" x14ac:dyDescent="0.25">
      <c r="A7789" t="s">
        <v>22705</v>
      </c>
      <c r="B7789" t="s">
        <v>9398</v>
      </c>
      <c r="C7789" t="str">
        <f>HYPERLINK("https://nematode.unl.edu/odontos14.jpg")</f>
        <v>https://nematode.unl.edu/odontos14.jpg</v>
      </c>
      <c r="D7789" t="s">
        <v>16</v>
      </c>
      <c r="G7789" t="s">
        <v>44</v>
      </c>
      <c r="I7789" t="s">
        <v>45</v>
      </c>
      <c r="J7789" t="s">
        <v>20</v>
      </c>
      <c r="L7789" t="s">
        <v>64</v>
      </c>
      <c r="M7789" t="s">
        <v>9391</v>
      </c>
      <c r="N7789" t="s">
        <v>9391</v>
      </c>
      <c r="O7789" t="s">
        <v>73</v>
      </c>
      <c r="P7789" t="s">
        <v>1806</v>
      </c>
      <c r="Q7789" t="s">
        <v>9392</v>
      </c>
      <c r="R7789" t="s">
        <v>9391</v>
      </c>
    </row>
    <row r="7790" spans="1:18" x14ac:dyDescent="0.25">
      <c r="A7790" t="s">
        <v>22696</v>
      </c>
      <c r="B7790" t="s">
        <v>9399</v>
      </c>
      <c r="C7790" t="str">
        <f>HYPERLINK("https://nematode.unl.edu/odontos15.jpg")</f>
        <v>https://nematode.unl.edu/odontos15.jpg</v>
      </c>
      <c r="D7790" t="s">
        <v>16</v>
      </c>
      <c r="G7790" t="s">
        <v>96</v>
      </c>
      <c r="H7790" t="s">
        <v>18</v>
      </c>
      <c r="I7790" t="s">
        <v>19</v>
      </c>
      <c r="J7790" t="s">
        <v>20</v>
      </c>
      <c r="L7790" t="s">
        <v>64</v>
      </c>
      <c r="M7790" t="s">
        <v>9391</v>
      </c>
      <c r="N7790" t="s">
        <v>9391</v>
      </c>
      <c r="O7790" t="s">
        <v>73</v>
      </c>
      <c r="P7790" t="s">
        <v>1806</v>
      </c>
      <c r="Q7790" t="s">
        <v>9392</v>
      </c>
      <c r="R7790" t="s">
        <v>9391</v>
      </c>
    </row>
    <row r="7791" spans="1:18" x14ac:dyDescent="0.25">
      <c r="A7791" t="s">
        <v>22706</v>
      </c>
      <c r="B7791" t="s">
        <v>9400</v>
      </c>
      <c r="C7791" t="str">
        <f>HYPERLINK("https://nematode.unl.edu/odontos16.jpg")</f>
        <v>https://nematode.unl.edu/odontos16.jpg</v>
      </c>
      <c r="D7791" t="s">
        <v>16</v>
      </c>
      <c r="G7791" t="s">
        <v>44</v>
      </c>
      <c r="I7791" t="s">
        <v>45</v>
      </c>
      <c r="J7791" t="s">
        <v>20</v>
      </c>
      <c r="L7791" t="s">
        <v>64</v>
      </c>
      <c r="M7791" t="s">
        <v>9391</v>
      </c>
      <c r="N7791" t="s">
        <v>9391</v>
      </c>
      <c r="O7791" t="s">
        <v>73</v>
      </c>
      <c r="P7791" t="s">
        <v>1806</v>
      </c>
      <c r="Q7791" t="s">
        <v>9392</v>
      </c>
      <c r="R7791" t="s">
        <v>9391</v>
      </c>
    </row>
    <row r="7792" spans="1:18" x14ac:dyDescent="0.25">
      <c r="A7792" t="s">
        <v>22692</v>
      </c>
      <c r="B7792" t="s">
        <v>9401</v>
      </c>
      <c r="C7792" t="str">
        <f>HYPERLINK("https://nematode.unl.edu/odontos2.jpg")</f>
        <v>https://nematode.unl.edu/odontos2.jpg</v>
      </c>
      <c r="D7792" t="s">
        <v>43</v>
      </c>
      <c r="G7792" t="s">
        <v>386</v>
      </c>
      <c r="H7792" t="s">
        <v>18</v>
      </c>
      <c r="J7792" t="s">
        <v>20</v>
      </c>
      <c r="L7792" t="s">
        <v>193</v>
      </c>
      <c r="M7792" t="s">
        <v>9391</v>
      </c>
      <c r="N7792" t="s">
        <v>9391</v>
      </c>
      <c r="O7792" t="s">
        <v>73</v>
      </c>
      <c r="P7792" t="s">
        <v>1806</v>
      </c>
      <c r="Q7792" t="s">
        <v>9392</v>
      </c>
      <c r="R7792" t="s">
        <v>9391</v>
      </c>
    </row>
    <row r="7793" spans="1:18" x14ac:dyDescent="0.25">
      <c r="A7793" t="s">
        <v>22707</v>
      </c>
      <c r="B7793" t="s">
        <v>9402</v>
      </c>
      <c r="C7793" t="str">
        <f>HYPERLINK("https://nematode.unl.edu/odontos3.jpg")</f>
        <v>https://nematode.unl.edu/odontos3.jpg</v>
      </c>
      <c r="D7793" t="s">
        <v>16</v>
      </c>
      <c r="G7793" t="s">
        <v>2964</v>
      </c>
      <c r="I7793" t="s">
        <v>41</v>
      </c>
      <c r="J7793" t="s">
        <v>20</v>
      </c>
      <c r="L7793" t="s">
        <v>183</v>
      </c>
      <c r="M7793" t="s">
        <v>9391</v>
      </c>
      <c r="N7793" t="s">
        <v>9391</v>
      </c>
      <c r="O7793" t="s">
        <v>73</v>
      </c>
      <c r="P7793" t="s">
        <v>1806</v>
      </c>
      <c r="Q7793" t="s">
        <v>9392</v>
      </c>
      <c r="R7793" t="s">
        <v>9391</v>
      </c>
    </row>
    <row r="7794" spans="1:18" x14ac:dyDescent="0.25">
      <c r="A7794" t="s">
        <v>22704</v>
      </c>
      <c r="B7794" t="s">
        <v>9403</v>
      </c>
      <c r="C7794" t="str">
        <f>HYPERLINK("https://nematode.unl.edu/odontos4.jpg")</f>
        <v>https://nematode.unl.edu/odontos4.jpg</v>
      </c>
      <c r="D7794" t="s">
        <v>43</v>
      </c>
      <c r="G7794" t="s">
        <v>87</v>
      </c>
      <c r="J7794" t="s">
        <v>20</v>
      </c>
      <c r="L7794" t="s">
        <v>193</v>
      </c>
      <c r="M7794" t="s">
        <v>9391</v>
      </c>
      <c r="N7794" t="s">
        <v>9391</v>
      </c>
      <c r="O7794" t="s">
        <v>73</v>
      </c>
      <c r="P7794" t="s">
        <v>1806</v>
      </c>
      <c r="Q7794" t="s">
        <v>9392</v>
      </c>
      <c r="R7794" t="s">
        <v>9391</v>
      </c>
    </row>
    <row r="7795" spans="1:18" x14ac:dyDescent="0.25">
      <c r="A7795" t="s">
        <v>22711</v>
      </c>
      <c r="B7795" t="s">
        <v>9404</v>
      </c>
      <c r="C7795" t="str">
        <f>HYPERLINK("https://nematode.unl.edu/odontos5.jpg")</f>
        <v>https://nematode.unl.edu/odontos5.jpg</v>
      </c>
      <c r="D7795" t="s">
        <v>43</v>
      </c>
      <c r="G7795" t="s">
        <v>51</v>
      </c>
      <c r="I7795" t="s">
        <v>41</v>
      </c>
      <c r="J7795" t="s">
        <v>20</v>
      </c>
      <c r="L7795" t="s">
        <v>64</v>
      </c>
      <c r="M7795" t="s">
        <v>9391</v>
      </c>
      <c r="N7795" t="s">
        <v>9391</v>
      </c>
      <c r="O7795" t="s">
        <v>73</v>
      </c>
      <c r="P7795" t="s">
        <v>1806</v>
      </c>
      <c r="Q7795" t="s">
        <v>9392</v>
      </c>
      <c r="R7795" t="s">
        <v>9391</v>
      </c>
    </row>
    <row r="7796" spans="1:18" x14ac:dyDescent="0.25">
      <c r="A7796" t="s">
        <v>22703</v>
      </c>
      <c r="B7796" t="s">
        <v>9405</v>
      </c>
      <c r="C7796" t="str">
        <f>HYPERLINK("https://nematode.unl.edu/odontos6.jpg")</f>
        <v>https://nematode.unl.edu/odontos6.jpg</v>
      </c>
      <c r="D7796" t="s">
        <v>43</v>
      </c>
      <c r="G7796" t="s">
        <v>905</v>
      </c>
      <c r="J7796" t="s">
        <v>20</v>
      </c>
      <c r="L7796" t="s">
        <v>217</v>
      </c>
      <c r="M7796" t="s">
        <v>9391</v>
      </c>
      <c r="N7796" t="s">
        <v>9391</v>
      </c>
      <c r="O7796" t="s">
        <v>73</v>
      </c>
      <c r="P7796" t="s">
        <v>1806</v>
      </c>
      <c r="Q7796" t="s">
        <v>9392</v>
      </c>
      <c r="R7796" t="s">
        <v>9391</v>
      </c>
    </row>
    <row r="7797" spans="1:18" x14ac:dyDescent="0.25">
      <c r="A7797" t="s">
        <v>22700</v>
      </c>
      <c r="B7797" t="s">
        <v>9406</v>
      </c>
      <c r="C7797" t="str">
        <f>HYPERLINK("https://nematode.unl.edu/odontos7.jpg")</f>
        <v>https://nematode.unl.edu/odontos7.jpg</v>
      </c>
      <c r="D7797" t="s">
        <v>16</v>
      </c>
      <c r="G7797" t="s">
        <v>34</v>
      </c>
      <c r="H7797" t="s">
        <v>18</v>
      </c>
      <c r="I7797" t="s">
        <v>41</v>
      </c>
      <c r="J7797" t="s">
        <v>20</v>
      </c>
      <c r="L7797" t="s">
        <v>29</v>
      </c>
      <c r="M7797" t="s">
        <v>9391</v>
      </c>
      <c r="N7797" t="s">
        <v>9391</v>
      </c>
      <c r="O7797" t="s">
        <v>73</v>
      </c>
      <c r="P7797" t="s">
        <v>1806</v>
      </c>
      <c r="Q7797" t="s">
        <v>9392</v>
      </c>
      <c r="R7797" t="s">
        <v>9391</v>
      </c>
    </row>
    <row r="7798" spans="1:18" x14ac:dyDescent="0.25">
      <c r="A7798" t="s">
        <v>22708</v>
      </c>
      <c r="B7798" t="s">
        <v>9407</v>
      </c>
      <c r="C7798" t="str">
        <f>HYPERLINK("https://nematode.unl.edu/odontos8.jpg")</f>
        <v>https://nematode.unl.edu/odontos8.jpg</v>
      </c>
      <c r="D7798" t="s">
        <v>16</v>
      </c>
      <c r="G7798" t="s">
        <v>9408</v>
      </c>
      <c r="I7798" t="s">
        <v>41</v>
      </c>
      <c r="J7798" t="s">
        <v>20</v>
      </c>
      <c r="L7798" t="s">
        <v>183</v>
      </c>
      <c r="M7798" t="s">
        <v>9391</v>
      </c>
      <c r="N7798" t="s">
        <v>9391</v>
      </c>
      <c r="O7798" t="s">
        <v>73</v>
      </c>
      <c r="P7798" t="s">
        <v>1806</v>
      </c>
      <c r="Q7798" t="s">
        <v>9392</v>
      </c>
      <c r="R7798" t="s">
        <v>9391</v>
      </c>
    </row>
    <row r="7799" spans="1:18" x14ac:dyDescent="0.25">
      <c r="A7799" t="s">
        <v>22710</v>
      </c>
      <c r="B7799" t="s">
        <v>9409</v>
      </c>
      <c r="C7799" t="str">
        <f>HYPERLINK("https://nematode.unl.edu/odontos9.jpg")</f>
        <v>https://nematode.unl.edu/odontos9.jpg</v>
      </c>
      <c r="D7799" t="s">
        <v>16</v>
      </c>
      <c r="G7799" t="s">
        <v>28</v>
      </c>
      <c r="I7799" t="s">
        <v>41</v>
      </c>
      <c r="J7799" t="s">
        <v>20</v>
      </c>
      <c r="M7799" t="s">
        <v>9391</v>
      </c>
      <c r="N7799" t="s">
        <v>9391</v>
      </c>
      <c r="O7799" t="s">
        <v>73</v>
      </c>
      <c r="P7799" t="s">
        <v>1806</v>
      </c>
      <c r="Q7799" t="s">
        <v>9392</v>
      </c>
      <c r="R7799" t="s">
        <v>9391</v>
      </c>
    </row>
    <row r="7800" spans="1:18" x14ac:dyDescent="0.25">
      <c r="A7800" t="s">
        <v>22701</v>
      </c>
      <c r="B7800" t="s">
        <v>9410</v>
      </c>
      <c r="C7800" t="str">
        <f>HYPERLINK("https://nematode.unl.edu/odosp1.jpg")</f>
        <v>https://nematode.unl.edu/odosp1.jpg</v>
      </c>
      <c r="D7800" t="s">
        <v>16</v>
      </c>
      <c r="G7800" t="s">
        <v>34</v>
      </c>
      <c r="H7800" t="s">
        <v>18</v>
      </c>
      <c r="I7800" t="s">
        <v>19</v>
      </c>
      <c r="J7800" t="s">
        <v>116</v>
      </c>
      <c r="L7800" t="s">
        <v>85</v>
      </c>
      <c r="M7800" t="s">
        <v>9391</v>
      </c>
      <c r="N7800" t="s">
        <v>9391</v>
      </c>
      <c r="O7800" t="s">
        <v>73</v>
      </c>
      <c r="P7800" t="s">
        <v>1806</v>
      </c>
      <c r="Q7800" t="s">
        <v>9392</v>
      </c>
      <c r="R7800" t="s">
        <v>9391</v>
      </c>
    </row>
    <row r="7801" spans="1:18" x14ac:dyDescent="0.25">
      <c r="A7801" t="s">
        <v>22693</v>
      </c>
      <c r="B7801" t="s">
        <v>9411</v>
      </c>
      <c r="C7801" t="str">
        <f>HYPERLINK("https://nematode.unl.edu/odosp2.jpg")</f>
        <v>https://nematode.unl.edu/odosp2.jpg</v>
      </c>
      <c r="D7801" t="s">
        <v>16</v>
      </c>
      <c r="G7801" t="s">
        <v>386</v>
      </c>
      <c r="H7801" t="s">
        <v>18</v>
      </c>
      <c r="I7801" t="s">
        <v>19</v>
      </c>
      <c r="J7801" t="s">
        <v>116</v>
      </c>
      <c r="L7801" t="s">
        <v>85</v>
      </c>
      <c r="M7801" t="s">
        <v>9391</v>
      </c>
      <c r="N7801" t="s">
        <v>9391</v>
      </c>
      <c r="O7801" t="s">
        <v>73</v>
      </c>
      <c r="P7801" t="s">
        <v>1806</v>
      </c>
      <c r="Q7801" t="s">
        <v>9392</v>
      </c>
      <c r="R7801" t="s">
        <v>9391</v>
      </c>
    </row>
    <row r="7802" spans="1:18" x14ac:dyDescent="0.25">
      <c r="A7802" t="s">
        <v>22702</v>
      </c>
      <c r="B7802" t="s">
        <v>9412</v>
      </c>
      <c r="C7802" t="str">
        <f>HYPERLINK("https://nematode.unl.edu/odosp3.jpg")</f>
        <v>https://nematode.unl.edu/odosp3.jpg</v>
      </c>
      <c r="D7802" t="s">
        <v>16</v>
      </c>
      <c r="G7802" t="s">
        <v>34</v>
      </c>
      <c r="H7802" t="s">
        <v>18</v>
      </c>
      <c r="I7802" t="s">
        <v>19</v>
      </c>
      <c r="J7802" t="s">
        <v>116</v>
      </c>
      <c r="L7802" t="s">
        <v>105</v>
      </c>
      <c r="M7802" t="s">
        <v>9391</v>
      </c>
      <c r="N7802" t="s">
        <v>9391</v>
      </c>
      <c r="O7802" t="s">
        <v>73</v>
      </c>
      <c r="P7802" t="s">
        <v>1806</v>
      </c>
      <c r="Q7802" t="s">
        <v>9392</v>
      </c>
      <c r="R7802" t="s">
        <v>9391</v>
      </c>
    </row>
    <row r="7803" spans="1:18" x14ac:dyDescent="0.25">
      <c r="A7803" t="s">
        <v>13939</v>
      </c>
      <c r="B7803" t="s">
        <v>6198</v>
      </c>
      <c r="C7803" t="str">
        <f>HYPERLINK("https://nematode.unl.edu/ogbold1.jpg")</f>
        <v>https://nematode.unl.edu/ogbold1.jpg</v>
      </c>
      <c r="D7803" t="s">
        <v>16</v>
      </c>
      <c r="G7803" t="s">
        <v>44</v>
      </c>
      <c r="I7803" t="s">
        <v>19</v>
      </c>
      <c r="J7803" t="s">
        <v>6180</v>
      </c>
      <c r="K7803" t="s">
        <v>22848</v>
      </c>
      <c r="L7803" t="s">
        <v>6181</v>
      </c>
      <c r="M7803" t="s">
        <v>6182</v>
      </c>
      <c r="N7803" t="s">
        <v>6182</v>
      </c>
      <c r="O7803" t="s">
        <v>23</v>
      </c>
      <c r="P7803" t="s">
        <v>24</v>
      </c>
      <c r="Q7803" t="s">
        <v>642</v>
      </c>
      <c r="R7803" t="s">
        <v>6183</v>
      </c>
    </row>
    <row r="7804" spans="1:18" x14ac:dyDescent="0.25">
      <c r="A7804" t="s">
        <v>13935</v>
      </c>
      <c r="B7804" t="s">
        <v>6199</v>
      </c>
      <c r="C7804" t="str">
        <f>HYPERLINK("https://nematode.unl.edu/ogbold2.jpg")</f>
        <v>https://nematode.unl.edu/ogbold2.jpg</v>
      </c>
      <c r="D7804" t="s">
        <v>16</v>
      </c>
      <c r="G7804" t="s">
        <v>34</v>
      </c>
      <c r="H7804" t="s">
        <v>18</v>
      </c>
      <c r="I7804" t="s">
        <v>41</v>
      </c>
      <c r="J7804" t="s">
        <v>6180</v>
      </c>
      <c r="K7804" t="s">
        <v>22848</v>
      </c>
      <c r="L7804" t="s">
        <v>6181</v>
      </c>
      <c r="M7804" t="s">
        <v>6182</v>
      </c>
      <c r="N7804" t="s">
        <v>6182</v>
      </c>
      <c r="O7804" t="s">
        <v>23</v>
      </c>
      <c r="P7804" t="s">
        <v>24</v>
      </c>
      <c r="Q7804" t="s">
        <v>642</v>
      </c>
      <c r="R7804" t="s">
        <v>6183</v>
      </c>
    </row>
    <row r="7805" spans="1:18" x14ac:dyDescent="0.25">
      <c r="A7805" t="s">
        <v>13948</v>
      </c>
      <c r="B7805" t="s">
        <v>6200</v>
      </c>
      <c r="C7805" t="str">
        <f>HYPERLINK("https://nematode.unl.edu/ogbold3.jpg")</f>
        <v>https://nematode.unl.edu/ogbold3.jpg</v>
      </c>
      <c r="D7805" t="s">
        <v>16</v>
      </c>
      <c r="G7805" t="s">
        <v>28</v>
      </c>
      <c r="I7805" t="s">
        <v>41</v>
      </c>
      <c r="J7805" t="s">
        <v>6180</v>
      </c>
      <c r="K7805" t="s">
        <v>22848</v>
      </c>
      <c r="L7805" t="s">
        <v>6181</v>
      </c>
      <c r="M7805" t="s">
        <v>6182</v>
      </c>
      <c r="N7805" t="s">
        <v>6182</v>
      </c>
      <c r="O7805" t="s">
        <v>23</v>
      </c>
      <c r="P7805" t="s">
        <v>24</v>
      </c>
      <c r="Q7805" t="s">
        <v>642</v>
      </c>
      <c r="R7805" t="s">
        <v>6183</v>
      </c>
    </row>
    <row r="7806" spans="1:18" x14ac:dyDescent="0.25">
      <c r="A7806" t="s">
        <v>13943</v>
      </c>
      <c r="B7806" t="s">
        <v>6201</v>
      </c>
      <c r="C7806" t="str">
        <f>HYPERLINK("https://nematode.unl.edu/ogbold4.jpg")</f>
        <v>https://nematode.unl.edu/ogbold4.jpg</v>
      </c>
      <c r="D7806" t="s">
        <v>16</v>
      </c>
      <c r="G7806" t="s">
        <v>1469</v>
      </c>
      <c r="I7806" t="s">
        <v>41</v>
      </c>
      <c r="J7806" t="s">
        <v>6180</v>
      </c>
      <c r="K7806" t="s">
        <v>22848</v>
      </c>
      <c r="L7806" t="s">
        <v>6181</v>
      </c>
      <c r="M7806" t="s">
        <v>6182</v>
      </c>
      <c r="N7806" t="s">
        <v>6182</v>
      </c>
      <c r="O7806" t="s">
        <v>23</v>
      </c>
      <c r="P7806" t="s">
        <v>24</v>
      </c>
      <c r="Q7806" t="s">
        <v>642</v>
      </c>
      <c r="R7806" t="s">
        <v>6183</v>
      </c>
    </row>
    <row r="7807" spans="1:18" x14ac:dyDescent="0.25">
      <c r="A7807" t="s">
        <v>13944</v>
      </c>
      <c r="B7807" t="s">
        <v>6202</v>
      </c>
      <c r="C7807" t="str">
        <f>HYPERLINK("https://nematode.unl.edu/ogbold5.jpg")</f>
        <v>https://nematode.unl.edu/ogbold5.jpg</v>
      </c>
      <c r="D7807" t="s">
        <v>16</v>
      </c>
      <c r="G7807" t="s">
        <v>1469</v>
      </c>
      <c r="I7807" t="s">
        <v>41</v>
      </c>
      <c r="J7807" t="s">
        <v>6180</v>
      </c>
      <c r="K7807" t="s">
        <v>22848</v>
      </c>
      <c r="L7807" t="s">
        <v>6181</v>
      </c>
      <c r="M7807" t="s">
        <v>6182</v>
      </c>
      <c r="N7807" t="s">
        <v>6182</v>
      </c>
      <c r="O7807" t="s">
        <v>23</v>
      </c>
      <c r="P7807" t="s">
        <v>24</v>
      </c>
      <c r="Q7807" t="s">
        <v>642</v>
      </c>
      <c r="R7807" t="s">
        <v>6183</v>
      </c>
    </row>
    <row r="7808" spans="1:18" x14ac:dyDescent="0.25">
      <c r="A7808" t="s">
        <v>13949</v>
      </c>
      <c r="B7808" t="s">
        <v>6203</v>
      </c>
      <c r="C7808" t="str">
        <f>HYPERLINK("https://nematode.unl.edu/ogbold6.jpg")</f>
        <v>https://nematode.unl.edu/ogbold6.jpg</v>
      </c>
      <c r="D7808" t="s">
        <v>16</v>
      </c>
      <c r="G7808" t="s">
        <v>28</v>
      </c>
      <c r="I7808" t="s">
        <v>41</v>
      </c>
      <c r="J7808" t="s">
        <v>6180</v>
      </c>
      <c r="K7808" t="s">
        <v>22848</v>
      </c>
      <c r="L7808" t="s">
        <v>6181</v>
      </c>
      <c r="M7808" t="s">
        <v>6182</v>
      </c>
      <c r="N7808" t="s">
        <v>6182</v>
      </c>
      <c r="O7808" t="s">
        <v>23</v>
      </c>
      <c r="P7808" t="s">
        <v>24</v>
      </c>
      <c r="Q7808" t="s">
        <v>642</v>
      </c>
      <c r="R7808" t="s">
        <v>6183</v>
      </c>
    </row>
    <row r="7809" spans="1:18" x14ac:dyDescent="0.25">
      <c r="A7809" t="s">
        <v>15472</v>
      </c>
      <c r="B7809" t="s">
        <v>9453</v>
      </c>
      <c r="C7809" t="str">
        <f>HYPERLINK("https://nematode.unl.edu/ogbutt1.jpg")</f>
        <v>https://nematode.unl.edu/ogbutt1.jpg</v>
      </c>
      <c r="D7809" t="s">
        <v>16</v>
      </c>
      <c r="G7809" t="s">
        <v>44</v>
      </c>
      <c r="I7809" t="s">
        <v>19</v>
      </c>
      <c r="J7809" t="s">
        <v>9454</v>
      </c>
      <c r="L7809" t="s">
        <v>9455</v>
      </c>
      <c r="M7809" t="s">
        <v>1417</v>
      </c>
      <c r="N7809" t="s">
        <v>1417</v>
      </c>
      <c r="O7809" t="s">
        <v>23</v>
      </c>
      <c r="P7809" t="s">
        <v>24</v>
      </c>
      <c r="Q7809" t="s">
        <v>642</v>
      </c>
      <c r="R7809" t="s">
        <v>1417</v>
      </c>
    </row>
    <row r="7810" spans="1:18" x14ac:dyDescent="0.25">
      <c r="A7810" t="s">
        <v>15443</v>
      </c>
      <c r="B7810" t="s">
        <v>9456</v>
      </c>
      <c r="C7810" t="str">
        <f>HYPERLINK("https://nematode.unl.edu/ogbutt2.jpg")</f>
        <v>https://nematode.unl.edu/ogbutt2.jpg</v>
      </c>
      <c r="D7810" t="s">
        <v>16</v>
      </c>
      <c r="G7810" t="s">
        <v>34</v>
      </c>
      <c r="H7810" t="s">
        <v>18</v>
      </c>
      <c r="I7810" t="s">
        <v>41</v>
      </c>
      <c r="J7810" t="s">
        <v>9454</v>
      </c>
      <c r="L7810" t="s">
        <v>9455</v>
      </c>
      <c r="M7810" t="s">
        <v>1417</v>
      </c>
      <c r="N7810" t="s">
        <v>1417</v>
      </c>
      <c r="O7810" t="s">
        <v>23</v>
      </c>
      <c r="P7810" t="s">
        <v>24</v>
      </c>
      <c r="Q7810" t="s">
        <v>642</v>
      </c>
      <c r="R7810" t="s">
        <v>1417</v>
      </c>
    </row>
    <row r="7811" spans="1:18" x14ac:dyDescent="0.25">
      <c r="A7811" t="s">
        <v>15505</v>
      </c>
      <c r="B7811" t="s">
        <v>9457</v>
      </c>
      <c r="C7811" t="str">
        <f>HYPERLINK("https://nematode.unl.edu/ogbutt3.jpg")</f>
        <v>https://nematode.unl.edu/ogbutt3.jpg</v>
      </c>
      <c r="D7811" t="s">
        <v>16</v>
      </c>
      <c r="G7811" t="s">
        <v>28</v>
      </c>
      <c r="I7811" t="s">
        <v>41</v>
      </c>
      <c r="J7811" t="s">
        <v>9454</v>
      </c>
      <c r="L7811" t="s">
        <v>9455</v>
      </c>
      <c r="M7811" t="s">
        <v>1417</v>
      </c>
      <c r="N7811" t="s">
        <v>1417</v>
      </c>
      <c r="O7811" t="s">
        <v>23</v>
      </c>
      <c r="P7811" t="s">
        <v>24</v>
      </c>
      <c r="Q7811" t="s">
        <v>642</v>
      </c>
      <c r="R7811" t="s">
        <v>1417</v>
      </c>
    </row>
    <row r="7812" spans="1:18" x14ac:dyDescent="0.25">
      <c r="A7812" t="s">
        <v>15434</v>
      </c>
      <c r="B7812" t="s">
        <v>9458</v>
      </c>
      <c r="C7812" t="str">
        <f>HYPERLINK("https://nematode.unl.edu/ogbutt4.jpg")</f>
        <v>https://nematode.unl.edu/ogbutt4.jpg</v>
      </c>
      <c r="D7812" t="s">
        <v>16</v>
      </c>
      <c r="G7812" t="s">
        <v>96</v>
      </c>
      <c r="H7812" t="s">
        <v>18</v>
      </c>
      <c r="I7812" t="s">
        <v>41</v>
      </c>
      <c r="J7812" t="s">
        <v>9454</v>
      </c>
      <c r="L7812" t="s">
        <v>9455</v>
      </c>
      <c r="M7812" t="s">
        <v>1417</v>
      </c>
      <c r="N7812" t="s">
        <v>1417</v>
      </c>
      <c r="O7812" t="s">
        <v>23</v>
      </c>
      <c r="P7812" t="s">
        <v>24</v>
      </c>
      <c r="Q7812" t="s">
        <v>642</v>
      </c>
      <c r="R7812" t="s">
        <v>1417</v>
      </c>
    </row>
    <row r="7813" spans="1:18" x14ac:dyDescent="0.25">
      <c r="A7813" t="s">
        <v>15518</v>
      </c>
      <c r="B7813" t="s">
        <v>1422</v>
      </c>
      <c r="C7813" t="str">
        <f>HYPERLINK("https://nematode.unl.edu/ogde1.jpg")</f>
        <v>https://nematode.unl.edu/ogde1.jpg</v>
      </c>
      <c r="D7813" t="s">
        <v>77</v>
      </c>
      <c r="G7813" t="s">
        <v>34</v>
      </c>
      <c r="H7813" t="s">
        <v>18</v>
      </c>
      <c r="I7813" t="s">
        <v>516</v>
      </c>
      <c r="J7813" t="s">
        <v>20</v>
      </c>
      <c r="L7813" t="s">
        <v>38</v>
      </c>
      <c r="M7813" t="s">
        <v>1415</v>
      </c>
      <c r="N7813" t="s">
        <v>1416</v>
      </c>
      <c r="O7813" t="s">
        <v>23</v>
      </c>
      <c r="P7813" t="s">
        <v>24</v>
      </c>
      <c r="Q7813" t="s">
        <v>642</v>
      </c>
      <c r="R7813" t="s">
        <v>1417</v>
      </c>
    </row>
    <row r="7814" spans="1:18" x14ac:dyDescent="0.25">
      <c r="A7814" t="s">
        <v>15557</v>
      </c>
      <c r="B7814" t="s">
        <v>1423</v>
      </c>
      <c r="C7814" t="str">
        <f>HYPERLINK("https://nematode.unl.edu/ogde10.jpg")</f>
        <v>https://nematode.unl.edu/ogde10.jpg</v>
      </c>
      <c r="D7814" t="s">
        <v>43</v>
      </c>
      <c r="G7814" t="s">
        <v>28</v>
      </c>
      <c r="J7814" t="s">
        <v>20</v>
      </c>
      <c r="M7814" t="s">
        <v>1415</v>
      </c>
      <c r="N7814" t="s">
        <v>1416</v>
      </c>
      <c r="O7814" t="s">
        <v>23</v>
      </c>
      <c r="P7814" t="s">
        <v>24</v>
      </c>
      <c r="Q7814" t="s">
        <v>642</v>
      </c>
      <c r="R7814" t="s">
        <v>1417</v>
      </c>
    </row>
    <row r="7815" spans="1:18" x14ac:dyDescent="0.25">
      <c r="A7815" t="s">
        <v>15558</v>
      </c>
      <c r="B7815" t="s">
        <v>1424</v>
      </c>
      <c r="C7815" t="str">
        <f>HYPERLINK("https://nematode.unl.edu/ogde2.jpg")</f>
        <v>https://nematode.unl.edu/ogde2.jpg</v>
      </c>
      <c r="D7815" t="s">
        <v>77</v>
      </c>
      <c r="G7815" t="s">
        <v>28</v>
      </c>
      <c r="I7815" t="s">
        <v>19</v>
      </c>
      <c r="J7815" t="s">
        <v>20</v>
      </c>
      <c r="L7815" t="s">
        <v>38</v>
      </c>
      <c r="M7815" t="s">
        <v>1415</v>
      </c>
      <c r="N7815" t="s">
        <v>1416</v>
      </c>
      <c r="O7815" t="s">
        <v>23</v>
      </c>
      <c r="P7815" t="s">
        <v>24</v>
      </c>
      <c r="Q7815" t="s">
        <v>642</v>
      </c>
      <c r="R7815" t="s">
        <v>1417</v>
      </c>
    </row>
    <row r="7816" spans="1:18" x14ac:dyDescent="0.25">
      <c r="A7816" t="s">
        <v>15546</v>
      </c>
      <c r="B7816" t="s">
        <v>1425</v>
      </c>
      <c r="C7816" t="str">
        <f>HYPERLINK("https://nematode.unl.edu/ogde3.jpg")</f>
        <v>https://nematode.unl.edu/ogde3.jpg</v>
      </c>
      <c r="D7816" t="s">
        <v>43</v>
      </c>
      <c r="G7816" t="s">
        <v>224</v>
      </c>
      <c r="M7816" t="s">
        <v>1415</v>
      </c>
      <c r="N7816" t="s">
        <v>1416</v>
      </c>
      <c r="O7816" t="s">
        <v>23</v>
      </c>
      <c r="P7816" t="s">
        <v>24</v>
      </c>
      <c r="Q7816" t="s">
        <v>642</v>
      </c>
      <c r="R7816" t="s">
        <v>1417</v>
      </c>
    </row>
    <row r="7817" spans="1:18" x14ac:dyDescent="0.25">
      <c r="A7817" t="s">
        <v>15547</v>
      </c>
      <c r="B7817" t="s">
        <v>1426</v>
      </c>
      <c r="C7817" t="str">
        <f>HYPERLINK("https://nematode.unl.edu/ogde4.jpg")</f>
        <v>https://nematode.unl.edu/ogde4.jpg</v>
      </c>
      <c r="D7817" t="s">
        <v>43</v>
      </c>
      <c r="G7817" t="s">
        <v>224</v>
      </c>
      <c r="J7817" t="s">
        <v>20</v>
      </c>
      <c r="L7817" t="s">
        <v>38</v>
      </c>
      <c r="M7817" t="s">
        <v>1415</v>
      </c>
      <c r="N7817" t="s">
        <v>1416</v>
      </c>
      <c r="O7817" t="s">
        <v>23</v>
      </c>
      <c r="P7817" t="s">
        <v>24</v>
      </c>
      <c r="Q7817" t="s">
        <v>642</v>
      </c>
      <c r="R7817" t="s">
        <v>1417</v>
      </c>
    </row>
    <row r="7818" spans="1:18" x14ac:dyDescent="0.25">
      <c r="A7818" t="s">
        <v>15531</v>
      </c>
      <c r="B7818" t="s">
        <v>1427</v>
      </c>
      <c r="C7818" t="str">
        <f>HYPERLINK("https://nematode.unl.edu/ogde6.jpg")</f>
        <v>https://nematode.unl.edu/ogde6.jpg</v>
      </c>
      <c r="D7818" t="s">
        <v>43</v>
      </c>
      <c r="G7818" t="s">
        <v>44</v>
      </c>
      <c r="I7818" t="s">
        <v>45</v>
      </c>
      <c r="J7818" t="s">
        <v>20</v>
      </c>
      <c r="L7818" t="s">
        <v>38</v>
      </c>
      <c r="M7818" t="s">
        <v>1415</v>
      </c>
      <c r="N7818" t="s">
        <v>1416</v>
      </c>
      <c r="O7818" t="s">
        <v>23</v>
      </c>
      <c r="P7818" t="s">
        <v>24</v>
      </c>
      <c r="Q7818" t="s">
        <v>642</v>
      </c>
      <c r="R7818" t="s">
        <v>1417</v>
      </c>
    </row>
    <row r="7819" spans="1:18" x14ac:dyDescent="0.25">
      <c r="A7819" t="s">
        <v>15519</v>
      </c>
      <c r="B7819" t="s">
        <v>1428</v>
      </c>
      <c r="C7819" t="str">
        <f>HYPERLINK("https://nematode.unl.edu/ogde7.jpg")</f>
        <v>https://nematode.unl.edu/ogde7.jpg</v>
      </c>
      <c r="D7819" t="s">
        <v>77</v>
      </c>
      <c r="G7819" t="s">
        <v>34</v>
      </c>
      <c r="H7819" t="s">
        <v>18</v>
      </c>
      <c r="J7819" t="s">
        <v>20</v>
      </c>
      <c r="L7819" t="s">
        <v>38</v>
      </c>
      <c r="M7819" t="s">
        <v>1415</v>
      </c>
      <c r="N7819" t="s">
        <v>1416</v>
      </c>
      <c r="O7819" t="s">
        <v>23</v>
      </c>
      <c r="P7819" t="s">
        <v>24</v>
      </c>
      <c r="Q7819" t="s">
        <v>642</v>
      </c>
      <c r="R7819" t="s">
        <v>1417</v>
      </c>
    </row>
    <row r="7820" spans="1:18" x14ac:dyDescent="0.25">
      <c r="A7820" t="s">
        <v>15532</v>
      </c>
      <c r="B7820" t="s">
        <v>1429</v>
      </c>
      <c r="C7820" t="str">
        <f>HYPERLINK("https://nematode.unl.edu/ogde8.jpg")</f>
        <v>https://nematode.unl.edu/ogde8.jpg</v>
      </c>
      <c r="D7820" t="s">
        <v>43</v>
      </c>
      <c r="G7820" t="s">
        <v>44</v>
      </c>
      <c r="I7820" t="s">
        <v>45</v>
      </c>
      <c r="J7820" t="s">
        <v>20</v>
      </c>
      <c r="L7820" t="s">
        <v>352</v>
      </c>
      <c r="M7820" t="s">
        <v>1415</v>
      </c>
      <c r="N7820" t="s">
        <v>1416</v>
      </c>
      <c r="O7820" t="s">
        <v>23</v>
      </c>
      <c r="P7820" t="s">
        <v>24</v>
      </c>
      <c r="Q7820" t="s">
        <v>642</v>
      </c>
      <c r="R7820" t="s">
        <v>1417</v>
      </c>
    </row>
    <row r="7821" spans="1:18" x14ac:dyDescent="0.25">
      <c r="A7821" t="s">
        <v>15520</v>
      </c>
      <c r="B7821" t="s">
        <v>1430</v>
      </c>
      <c r="C7821" t="str">
        <f>HYPERLINK("https://nematode.unl.edu/ogde9.jpg")</f>
        <v>https://nematode.unl.edu/ogde9.jpg</v>
      </c>
      <c r="D7821" t="s">
        <v>43</v>
      </c>
      <c r="G7821" t="s">
        <v>34</v>
      </c>
      <c r="H7821" t="s">
        <v>18</v>
      </c>
      <c r="I7821" t="s">
        <v>19</v>
      </c>
      <c r="J7821" t="s">
        <v>20</v>
      </c>
      <c r="M7821" t="s">
        <v>1415</v>
      </c>
      <c r="N7821" t="s">
        <v>1416</v>
      </c>
      <c r="O7821" t="s">
        <v>23</v>
      </c>
      <c r="P7821" t="s">
        <v>24</v>
      </c>
      <c r="Q7821" t="s">
        <v>642</v>
      </c>
      <c r="R7821" t="s">
        <v>1417</v>
      </c>
    </row>
    <row r="7822" spans="1:18" x14ac:dyDescent="0.25">
      <c r="A7822" t="s">
        <v>15533</v>
      </c>
      <c r="B7822" t="s">
        <v>1431</v>
      </c>
      <c r="C7822" t="str">
        <f>HYPERLINK("https://nematode.unl.edu/ogdebier1.jpg")</f>
        <v>https://nematode.unl.edu/ogdebier1.jpg</v>
      </c>
      <c r="D7822" t="s">
        <v>43</v>
      </c>
      <c r="G7822" t="s">
        <v>44</v>
      </c>
      <c r="I7822" t="s">
        <v>19</v>
      </c>
      <c r="J7822" t="s">
        <v>1432</v>
      </c>
      <c r="M7822" t="s">
        <v>1415</v>
      </c>
      <c r="N7822" t="s">
        <v>1416</v>
      </c>
      <c r="O7822" t="s">
        <v>23</v>
      </c>
      <c r="P7822" t="s">
        <v>24</v>
      </c>
      <c r="Q7822" t="s">
        <v>642</v>
      </c>
      <c r="R7822" t="s">
        <v>1417</v>
      </c>
    </row>
    <row r="7823" spans="1:18" x14ac:dyDescent="0.25">
      <c r="A7823" t="s">
        <v>15521</v>
      </c>
      <c r="B7823" t="s">
        <v>1433</v>
      </c>
      <c r="C7823" t="str">
        <f>HYPERLINK("https://nematode.unl.edu/ogdebier2.jpg")</f>
        <v>https://nematode.unl.edu/ogdebier2.jpg</v>
      </c>
      <c r="D7823" t="s">
        <v>43</v>
      </c>
      <c r="G7823" t="s">
        <v>34</v>
      </c>
      <c r="H7823" t="s">
        <v>18</v>
      </c>
      <c r="I7823" t="s">
        <v>41</v>
      </c>
      <c r="J7823" t="s">
        <v>1432</v>
      </c>
      <c r="M7823" t="s">
        <v>1415</v>
      </c>
      <c r="N7823" t="s">
        <v>1416</v>
      </c>
      <c r="O7823" t="s">
        <v>23</v>
      </c>
      <c r="P7823" t="s">
        <v>24</v>
      </c>
      <c r="Q7823" t="s">
        <v>642</v>
      </c>
      <c r="R7823" t="s">
        <v>1417</v>
      </c>
    </row>
    <row r="7824" spans="1:18" x14ac:dyDescent="0.25">
      <c r="A7824" t="s">
        <v>15559</v>
      </c>
      <c r="B7824" t="s">
        <v>1434</v>
      </c>
      <c r="C7824" t="str">
        <f>HYPERLINK("https://nematode.unl.edu/ogdebier3.jpg")</f>
        <v>https://nematode.unl.edu/ogdebier3.jpg</v>
      </c>
      <c r="D7824" t="s">
        <v>43</v>
      </c>
      <c r="G7824" t="s">
        <v>28</v>
      </c>
      <c r="I7824" t="s">
        <v>41</v>
      </c>
      <c r="J7824" t="s">
        <v>1432</v>
      </c>
      <c r="M7824" t="s">
        <v>1415</v>
      </c>
      <c r="N7824" t="s">
        <v>1416</v>
      </c>
      <c r="O7824" t="s">
        <v>23</v>
      </c>
      <c r="P7824" t="s">
        <v>24</v>
      </c>
      <c r="Q7824" t="s">
        <v>642</v>
      </c>
      <c r="R7824" t="s">
        <v>1417</v>
      </c>
    </row>
    <row r="7825" spans="1:18" x14ac:dyDescent="0.25">
      <c r="A7825" t="s">
        <v>15534</v>
      </c>
      <c r="B7825" t="s">
        <v>1435</v>
      </c>
      <c r="C7825" t="str">
        <f>HYPERLINK("https://nematode.unl.edu/ogdebier4.jpg")</f>
        <v>https://nematode.unl.edu/ogdebier4.jpg</v>
      </c>
      <c r="D7825" t="s">
        <v>43</v>
      </c>
      <c r="G7825" t="s">
        <v>44</v>
      </c>
      <c r="I7825" t="s">
        <v>41</v>
      </c>
      <c r="J7825" t="s">
        <v>1432</v>
      </c>
      <c r="M7825" t="s">
        <v>1415</v>
      </c>
      <c r="N7825" t="s">
        <v>1416</v>
      </c>
      <c r="O7825" t="s">
        <v>23</v>
      </c>
      <c r="P7825" t="s">
        <v>24</v>
      </c>
      <c r="Q7825" t="s">
        <v>642</v>
      </c>
      <c r="R7825" t="s">
        <v>1417</v>
      </c>
    </row>
    <row r="7826" spans="1:18" x14ac:dyDescent="0.25">
      <c r="A7826" t="s">
        <v>15548</v>
      </c>
      <c r="B7826" t="s">
        <v>1436</v>
      </c>
      <c r="C7826" t="str">
        <f>HYPERLINK("https://nematode.unl.edu/ogdebier5.jpg")</f>
        <v>https://nematode.unl.edu/ogdebier5.jpg</v>
      </c>
      <c r="D7826" t="s">
        <v>43</v>
      </c>
      <c r="G7826" t="s">
        <v>224</v>
      </c>
      <c r="I7826" t="s">
        <v>41</v>
      </c>
      <c r="J7826" t="s">
        <v>1432</v>
      </c>
      <c r="M7826" t="s">
        <v>1415</v>
      </c>
      <c r="N7826" t="s">
        <v>1416</v>
      </c>
      <c r="O7826" t="s">
        <v>23</v>
      </c>
      <c r="P7826" t="s">
        <v>24</v>
      </c>
      <c r="Q7826" t="s">
        <v>642</v>
      </c>
      <c r="R7826" t="s">
        <v>1417</v>
      </c>
    </row>
    <row r="7827" spans="1:18" x14ac:dyDescent="0.25">
      <c r="A7827" t="s">
        <v>15560</v>
      </c>
      <c r="B7827" t="s">
        <v>1437</v>
      </c>
      <c r="C7827" t="str">
        <f>HYPERLINK("https://nematode.unl.edu/ogdebier6.jpg")</f>
        <v>https://nematode.unl.edu/ogdebier6.jpg</v>
      </c>
      <c r="D7827" t="s">
        <v>43</v>
      </c>
      <c r="G7827" t="s">
        <v>28</v>
      </c>
      <c r="I7827" t="s">
        <v>41</v>
      </c>
      <c r="J7827" t="s">
        <v>1432</v>
      </c>
      <c r="M7827" t="s">
        <v>1415</v>
      </c>
      <c r="N7827" t="s">
        <v>1416</v>
      </c>
      <c r="O7827" t="s">
        <v>23</v>
      </c>
      <c r="P7827" t="s">
        <v>24</v>
      </c>
      <c r="Q7827" t="s">
        <v>642</v>
      </c>
      <c r="R7827" t="s">
        <v>1417</v>
      </c>
    </row>
    <row r="7828" spans="1:18" x14ac:dyDescent="0.25">
      <c r="A7828" t="s">
        <v>15535</v>
      </c>
      <c r="B7828" t="s">
        <v>1438</v>
      </c>
      <c r="C7828" t="str">
        <f>HYPERLINK("https://nematode.unl.edu/ogdec1.jpg")</f>
        <v>https://nematode.unl.edu/ogdec1.jpg</v>
      </c>
      <c r="D7828" t="s">
        <v>43</v>
      </c>
      <c r="G7828" t="s">
        <v>44</v>
      </c>
      <c r="I7828" t="s">
        <v>137</v>
      </c>
      <c r="J7828" t="s">
        <v>46</v>
      </c>
      <c r="L7828" t="s">
        <v>727</v>
      </c>
      <c r="M7828" t="s">
        <v>1415</v>
      </c>
      <c r="N7828" t="s">
        <v>1416</v>
      </c>
      <c r="O7828" t="s">
        <v>23</v>
      </c>
      <c r="P7828" t="s">
        <v>24</v>
      </c>
      <c r="Q7828" t="s">
        <v>642</v>
      </c>
      <c r="R7828" t="s">
        <v>1417</v>
      </c>
    </row>
    <row r="7829" spans="1:18" x14ac:dyDescent="0.25">
      <c r="A7829" t="s">
        <v>15536</v>
      </c>
      <c r="B7829" t="s">
        <v>1439</v>
      </c>
      <c r="C7829" t="str">
        <f>HYPERLINK("https://nematode.unl.edu/ogdec10.jpg")</f>
        <v>https://nematode.unl.edu/ogdec10.jpg</v>
      </c>
      <c r="D7829" t="s">
        <v>43</v>
      </c>
      <c r="G7829" t="s">
        <v>44</v>
      </c>
      <c r="I7829" t="s">
        <v>19</v>
      </c>
      <c r="J7829" t="s">
        <v>46</v>
      </c>
      <c r="L7829" t="s">
        <v>727</v>
      </c>
      <c r="M7829" t="s">
        <v>1415</v>
      </c>
      <c r="N7829" t="s">
        <v>1416</v>
      </c>
      <c r="O7829" t="s">
        <v>23</v>
      </c>
      <c r="P7829" t="s">
        <v>24</v>
      </c>
      <c r="Q7829" t="s">
        <v>642</v>
      </c>
      <c r="R7829" t="s">
        <v>1417</v>
      </c>
    </row>
    <row r="7830" spans="1:18" x14ac:dyDescent="0.25">
      <c r="A7830" t="s">
        <v>15522</v>
      </c>
      <c r="B7830" t="s">
        <v>1440</v>
      </c>
      <c r="C7830" t="str">
        <f>HYPERLINK("https://nematode.unl.edu/ogdec11.jpg")</f>
        <v>https://nematode.unl.edu/ogdec11.jpg</v>
      </c>
      <c r="D7830" t="s">
        <v>43</v>
      </c>
      <c r="G7830" t="s">
        <v>34</v>
      </c>
      <c r="H7830" t="s">
        <v>18</v>
      </c>
      <c r="I7830" t="s">
        <v>41</v>
      </c>
      <c r="J7830" t="s">
        <v>46</v>
      </c>
      <c r="L7830" t="s">
        <v>727</v>
      </c>
      <c r="M7830" t="s">
        <v>1415</v>
      </c>
      <c r="N7830" t="s">
        <v>1416</v>
      </c>
      <c r="O7830" t="s">
        <v>23</v>
      </c>
      <c r="P7830" t="s">
        <v>24</v>
      </c>
      <c r="Q7830" t="s">
        <v>642</v>
      </c>
      <c r="R7830" t="s">
        <v>1417</v>
      </c>
    </row>
    <row r="7831" spans="1:18" x14ac:dyDescent="0.25">
      <c r="A7831" t="s">
        <v>15561</v>
      </c>
      <c r="B7831" t="s">
        <v>1441</v>
      </c>
      <c r="C7831" t="str">
        <f>HYPERLINK("https://nematode.unl.edu/ogdec12.jpg")</f>
        <v>https://nematode.unl.edu/ogdec12.jpg</v>
      </c>
      <c r="D7831" t="s">
        <v>43</v>
      </c>
      <c r="G7831" t="s">
        <v>28</v>
      </c>
      <c r="I7831" t="s">
        <v>41</v>
      </c>
      <c r="J7831" t="s">
        <v>46</v>
      </c>
      <c r="M7831" t="s">
        <v>1415</v>
      </c>
      <c r="N7831" t="s">
        <v>1416</v>
      </c>
      <c r="O7831" t="s">
        <v>23</v>
      </c>
      <c r="P7831" t="s">
        <v>24</v>
      </c>
      <c r="Q7831" t="s">
        <v>642</v>
      </c>
      <c r="R7831" t="s">
        <v>1417</v>
      </c>
    </row>
    <row r="7832" spans="1:18" x14ac:dyDescent="0.25">
      <c r="A7832" t="s">
        <v>15523</v>
      </c>
      <c r="B7832" t="s">
        <v>1442</v>
      </c>
      <c r="C7832" t="str">
        <f>HYPERLINK("https://nematode.unl.edu/ogdec13.jpg")</f>
        <v>https://nematode.unl.edu/ogdec13.jpg</v>
      </c>
      <c r="D7832" t="s">
        <v>43</v>
      </c>
      <c r="G7832" t="s">
        <v>34</v>
      </c>
      <c r="H7832" t="s">
        <v>18</v>
      </c>
      <c r="J7832" t="s">
        <v>46</v>
      </c>
      <c r="M7832" t="s">
        <v>1415</v>
      </c>
      <c r="N7832" t="s">
        <v>1416</v>
      </c>
      <c r="O7832" t="s">
        <v>23</v>
      </c>
      <c r="P7832" t="s">
        <v>24</v>
      </c>
      <c r="Q7832" t="s">
        <v>642</v>
      </c>
      <c r="R7832" t="s">
        <v>1417</v>
      </c>
    </row>
    <row r="7833" spans="1:18" x14ac:dyDescent="0.25">
      <c r="A7833" t="s">
        <v>15537</v>
      </c>
      <c r="B7833" t="s">
        <v>1443</v>
      </c>
      <c r="C7833" t="str">
        <f>HYPERLINK("https://nematode.unl.edu/ogdec18.jpg")</f>
        <v>https://nematode.unl.edu/ogdec18.jpg</v>
      </c>
      <c r="D7833" t="s">
        <v>16</v>
      </c>
      <c r="G7833" t="s">
        <v>44</v>
      </c>
      <c r="I7833" t="s">
        <v>19</v>
      </c>
      <c r="J7833" t="s">
        <v>46</v>
      </c>
      <c r="M7833" t="s">
        <v>1415</v>
      </c>
      <c r="N7833" t="s">
        <v>1416</v>
      </c>
      <c r="O7833" t="s">
        <v>23</v>
      </c>
      <c r="P7833" t="s">
        <v>24</v>
      </c>
      <c r="Q7833" t="s">
        <v>642</v>
      </c>
      <c r="R7833" t="s">
        <v>1417</v>
      </c>
    </row>
    <row r="7834" spans="1:18" x14ac:dyDescent="0.25">
      <c r="A7834" t="s">
        <v>15549</v>
      </c>
      <c r="B7834" t="s">
        <v>1444</v>
      </c>
      <c r="C7834" t="str">
        <f>HYPERLINK("https://nematode.unl.edu/ogdec19.jpg")</f>
        <v>https://nematode.unl.edu/ogdec19.jpg</v>
      </c>
      <c r="D7834" t="s">
        <v>16</v>
      </c>
      <c r="G7834" t="s">
        <v>224</v>
      </c>
      <c r="I7834" t="s">
        <v>19</v>
      </c>
      <c r="J7834" t="s">
        <v>46</v>
      </c>
      <c r="M7834" t="s">
        <v>1415</v>
      </c>
      <c r="N7834" t="s">
        <v>1416</v>
      </c>
      <c r="O7834" t="s">
        <v>23</v>
      </c>
      <c r="P7834" t="s">
        <v>24</v>
      </c>
      <c r="Q7834" t="s">
        <v>642</v>
      </c>
      <c r="R7834" t="s">
        <v>1417</v>
      </c>
    </row>
    <row r="7835" spans="1:18" x14ac:dyDescent="0.25">
      <c r="A7835" t="s">
        <v>15524</v>
      </c>
      <c r="B7835" t="s">
        <v>1445</v>
      </c>
      <c r="C7835" t="str">
        <f>HYPERLINK("https://nematode.unl.edu/ogdec2.jpg")</f>
        <v>https://nematode.unl.edu/ogdec2.jpg</v>
      </c>
      <c r="D7835" t="s">
        <v>43</v>
      </c>
      <c r="G7835" t="s">
        <v>34</v>
      </c>
      <c r="H7835" t="s">
        <v>18</v>
      </c>
      <c r="J7835" t="s">
        <v>46</v>
      </c>
      <c r="L7835" t="s">
        <v>727</v>
      </c>
      <c r="M7835" t="s">
        <v>1415</v>
      </c>
      <c r="N7835" t="s">
        <v>1416</v>
      </c>
      <c r="O7835" t="s">
        <v>23</v>
      </c>
      <c r="P7835" t="s">
        <v>24</v>
      </c>
      <c r="Q7835" t="s">
        <v>642</v>
      </c>
      <c r="R7835" t="s">
        <v>1417</v>
      </c>
    </row>
    <row r="7836" spans="1:18" x14ac:dyDescent="0.25">
      <c r="A7836" t="s">
        <v>15516</v>
      </c>
      <c r="B7836" t="s">
        <v>1446</v>
      </c>
      <c r="C7836" t="str">
        <f>HYPERLINK("https://nematode.unl.edu/ogdec20.jpg")</f>
        <v>https://nematode.unl.edu/ogdec20.jpg</v>
      </c>
      <c r="D7836" t="s">
        <v>16</v>
      </c>
      <c r="G7836" t="s">
        <v>96</v>
      </c>
      <c r="H7836" t="s">
        <v>18</v>
      </c>
      <c r="I7836" t="s">
        <v>41</v>
      </c>
      <c r="J7836" t="s">
        <v>46</v>
      </c>
      <c r="M7836" t="s">
        <v>1415</v>
      </c>
      <c r="N7836" t="s">
        <v>1416</v>
      </c>
      <c r="O7836" t="s">
        <v>23</v>
      </c>
      <c r="P7836" t="s">
        <v>24</v>
      </c>
      <c r="Q7836" t="s">
        <v>642</v>
      </c>
      <c r="R7836" t="s">
        <v>1417</v>
      </c>
    </row>
    <row r="7837" spans="1:18" x14ac:dyDescent="0.25">
      <c r="A7837" t="s">
        <v>15562</v>
      </c>
      <c r="B7837" t="s">
        <v>1447</v>
      </c>
      <c r="C7837" t="str">
        <f>HYPERLINK("https://nematode.unl.edu/ogdec21.jpg")</f>
        <v>https://nematode.unl.edu/ogdec21.jpg</v>
      </c>
      <c r="D7837" t="s">
        <v>16</v>
      </c>
      <c r="G7837" t="s">
        <v>28</v>
      </c>
      <c r="I7837" t="s">
        <v>41</v>
      </c>
      <c r="J7837" t="s">
        <v>46</v>
      </c>
      <c r="M7837" t="s">
        <v>1415</v>
      </c>
      <c r="N7837" t="s">
        <v>1416</v>
      </c>
      <c r="O7837" t="s">
        <v>23</v>
      </c>
      <c r="P7837" t="s">
        <v>24</v>
      </c>
      <c r="Q7837" t="s">
        <v>642</v>
      </c>
      <c r="R7837" t="s">
        <v>1417</v>
      </c>
    </row>
    <row r="7838" spans="1:18" x14ac:dyDescent="0.25">
      <c r="A7838" t="s">
        <v>15553</v>
      </c>
      <c r="B7838" t="s">
        <v>1448</v>
      </c>
      <c r="C7838" t="str">
        <f>HYPERLINK("https://nematode.unl.edu/ogdec22.jpg")</f>
        <v>https://nematode.unl.edu/ogdec22.jpg</v>
      </c>
      <c r="D7838" t="s">
        <v>16</v>
      </c>
      <c r="G7838" t="s">
        <v>1449</v>
      </c>
      <c r="I7838" t="s">
        <v>41</v>
      </c>
      <c r="J7838" t="s">
        <v>46</v>
      </c>
      <c r="M7838" t="s">
        <v>1415</v>
      </c>
      <c r="N7838" t="s">
        <v>1416</v>
      </c>
      <c r="O7838" t="s">
        <v>23</v>
      </c>
      <c r="P7838" t="s">
        <v>24</v>
      </c>
      <c r="Q7838" t="s">
        <v>642</v>
      </c>
      <c r="R7838" t="s">
        <v>1417</v>
      </c>
    </row>
    <row r="7839" spans="1:18" x14ac:dyDescent="0.25">
      <c r="A7839" t="s">
        <v>15538</v>
      </c>
      <c r="B7839" t="s">
        <v>1450</v>
      </c>
      <c r="C7839" t="str">
        <f>HYPERLINK("https://nematode.unl.edu/ogdec23.jpg")</f>
        <v>https://nematode.unl.edu/ogdec23.jpg</v>
      </c>
      <c r="D7839" t="s">
        <v>16</v>
      </c>
      <c r="G7839" t="s">
        <v>44</v>
      </c>
      <c r="I7839" t="s">
        <v>41</v>
      </c>
      <c r="J7839" t="s">
        <v>46</v>
      </c>
      <c r="M7839" t="s">
        <v>1415</v>
      </c>
      <c r="N7839" t="s">
        <v>1416</v>
      </c>
      <c r="O7839" t="s">
        <v>23</v>
      </c>
      <c r="P7839" t="s">
        <v>24</v>
      </c>
      <c r="Q7839" t="s">
        <v>642</v>
      </c>
      <c r="R7839" t="s">
        <v>1417</v>
      </c>
    </row>
    <row r="7840" spans="1:18" x14ac:dyDescent="0.25">
      <c r="A7840" t="s">
        <v>15550</v>
      </c>
      <c r="B7840" t="s">
        <v>1451</v>
      </c>
      <c r="C7840" t="str">
        <f>HYPERLINK("https://nematode.unl.edu/ogdec24.jpg")</f>
        <v>https://nematode.unl.edu/ogdec24.jpg</v>
      </c>
      <c r="D7840" t="s">
        <v>16</v>
      </c>
      <c r="G7840" t="s">
        <v>224</v>
      </c>
      <c r="I7840" t="s">
        <v>41</v>
      </c>
      <c r="J7840" t="s">
        <v>46</v>
      </c>
      <c r="M7840" t="s">
        <v>1415</v>
      </c>
      <c r="N7840" t="s">
        <v>1416</v>
      </c>
      <c r="O7840" t="s">
        <v>23</v>
      </c>
      <c r="P7840" t="s">
        <v>24</v>
      </c>
      <c r="Q7840" t="s">
        <v>642</v>
      </c>
      <c r="R7840" t="s">
        <v>1417</v>
      </c>
    </row>
    <row r="7841" spans="1:18" x14ac:dyDescent="0.25">
      <c r="A7841" t="s">
        <v>15539</v>
      </c>
      <c r="B7841" t="s">
        <v>1452</v>
      </c>
      <c r="C7841" t="str">
        <f>HYPERLINK("https://nematode.unl.edu/ogdec25.jpg")</f>
        <v>https://nematode.unl.edu/ogdec25.jpg</v>
      </c>
      <c r="D7841" t="s">
        <v>43</v>
      </c>
      <c r="G7841" t="s">
        <v>44</v>
      </c>
      <c r="I7841" t="s">
        <v>19</v>
      </c>
      <c r="J7841" t="s">
        <v>1453</v>
      </c>
      <c r="M7841" t="s">
        <v>1415</v>
      </c>
      <c r="N7841" t="s">
        <v>1416</v>
      </c>
      <c r="O7841" t="s">
        <v>23</v>
      </c>
      <c r="P7841" t="s">
        <v>24</v>
      </c>
      <c r="Q7841" t="s">
        <v>642</v>
      </c>
      <c r="R7841" t="s">
        <v>1417</v>
      </c>
    </row>
    <row r="7842" spans="1:18" x14ac:dyDescent="0.25">
      <c r="A7842" t="s">
        <v>15525</v>
      </c>
      <c r="B7842" t="s">
        <v>1454</v>
      </c>
      <c r="C7842" t="str">
        <f>HYPERLINK("https://nematode.unl.edu/ogdec26.jpg")</f>
        <v>https://nematode.unl.edu/ogdec26.jpg</v>
      </c>
      <c r="D7842" t="s">
        <v>43</v>
      </c>
      <c r="G7842" t="s">
        <v>34</v>
      </c>
      <c r="H7842" t="s">
        <v>18</v>
      </c>
      <c r="J7842" t="s">
        <v>46</v>
      </c>
      <c r="M7842" t="s">
        <v>1415</v>
      </c>
      <c r="N7842" t="s">
        <v>1416</v>
      </c>
      <c r="O7842" t="s">
        <v>23</v>
      </c>
      <c r="P7842" t="s">
        <v>24</v>
      </c>
      <c r="Q7842" t="s">
        <v>642</v>
      </c>
      <c r="R7842" t="s">
        <v>1417</v>
      </c>
    </row>
    <row r="7843" spans="1:18" x14ac:dyDescent="0.25">
      <c r="A7843" t="s">
        <v>15526</v>
      </c>
      <c r="B7843" t="s">
        <v>1455</v>
      </c>
      <c r="C7843" t="str">
        <f>HYPERLINK("https://nematode.unl.edu/ogdec27.jpg")</f>
        <v>https://nematode.unl.edu/ogdec27.jpg</v>
      </c>
      <c r="G7843" t="s">
        <v>34</v>
      </c>
      <c r="H7843" t="s">
        <v>18</v>
      </c>
      <c r="I7843" t="s">
        <v>41</v>
      </c>
      <c r="J7843" t="s">
        <v>46</v>
      </c>
      <c r="M7843" t="s">
        <v>1415</v>
      </c>
      <c r="N7843" t="s">
        <v>1416</v>
      </c>
      <c r="O7843" t="s">
        <v>23</v>
      </c>
      <c r="P7843" t="s">
        <v>24</v>
      </c>
      <c r="Q7843" t="s">
        <v>642</v>
      </c>
      <c r="R7843" t="s">
        <v>1417</v>
      </c>
    </row>
    <row r="7844" spans="1:18" x14ac:dyDescent="0.25">
      <c r="A7844" t="s">
        <v>15563</v>
      </c>
      <c r="B7844" t="s">
        <v>1456</v>
      </c>
      <c r="C7844" t="str">
        <f>HYPERLINK("https://nematode.unl.edu/ogdec28.jpg")</f>
        <v>https://nematode.unl.edu/ogdec28.jpg</v>
      </c>
      <c r="D7844" t="s">
        <v>43</v>
      </c>
      <c r="G7844" t="s">
        <v>28</v>
      </c>
      <c r="J7844" t="s">
        <v>46</v>
      </c>
      <c r="M7844" t="s">
        <v>1415</v>
      </c>
      <c r="N7844" t="s">
        <v>1416</v>
      </c>
      <c r="O7844" t="s">
        <v>23</v>
      </c>
      <c r="P7844" t="s">
        <v>24</v>
      </c>
      <c r="Q7844" t="s">
        <v>642</v>
      </c>
      <c r="R7844" t="s">
        <v>1417</v>
      </c>
    </row>
    <row r="7845" spans="1:18" x14ac:dyDescent="0.25">
      <c r="A7845" t="s">
        <v>15540</v>
      </c>
      <c r="B7845" t="s">
        <v>1457</v>
      </c>
      <c r="C7845" t="str">
        <f>HYPERLINK("https://nematode.unl.edu/ogdec29.jpg")</f>
        <v>https://nematode.unl.edu/ogdec29.jpg</v>
      </c>
      <c r="D7845" t="s">
        <v>43</v>
      </c>
      <c r="G7845" t="s">
        <v>44</v>
      </c>
      <c r="I7845" t="s">
        <v>41</v>
      </c>
      <c r="J7845" t="s">
        <v>46</v>
      </c>
      <c r="M7845" t="s">
        <v>1415</v>
      </c>
      <c r="N7845" t="s">
        <v>1416</v>
      </c>
      <c r="O7845" t="s">
        <v>23</v>
      </c>
      <c r="P7845" t="s">
        <v>24</v>
      </c>
      <c r="Q7845" t="s">
        <v>642</v>
      </c>
      <c r="R7845" t="s">
        <v>1417</v>
      </c>
    </row>
    <row r="7846" spans="1:18" x14ac:dyDescent="0.25">
      <c r="A7846" t="s">
        <v>15564</v>
      </c>
      <c r="B7846" t="s">
        <v>1458</v>
      </c>
      <c r="C7846" t="str">
        <f>HYPERLINK("https://nematode.unl.edu/ogdec3.jpg")</f>
        <v>https://nematode.unl.edu/ogdec3.jpg</v>
      </c>
      <c r="G7846" t="s">
        <v>28</v>
      </c>
      <c r="I7846" t="s">
        <v>19</v>
      </c>
      <c r="L7846" t="s">
        <v>727</v>
      </c>
      <c r="M7846" t="s">
        <v>1415</v>
      </c>
      <c r="N7846" t="s">
        <v>1416</v>
      </c>
      <c r="O7846" t="s">
        <v>23</v>
      </c>
      <c r="P7846" t="s">
        <v>24</v>
      </c>
      <c r="Q7846" t="s">
        <v>642</v>
      </c>
      <c r="R7846" t="s">
        <v>1417</v>
      </c>
    </row>
    <row r="7847" spans="1:18" x14ac:dyDescent="0.25">
      <c r="A7847" t="s">
        <v>15541</v>
      </c>
      <c r="B7847" t="s">
        <v>1459</v>
      </c>
      <c r="C7847" t="str">
        <f>HYPERLINK("https://nematode.unl.edu/ogdec30.jpg")</f>
        <v>https://nematode.unl.edu/ogdec30.jpg</v>
      </c>
      <c r="D7847" t="s">
        <v>43</v>
      </c>
      <c r="G7847" t="s">
        <v>44</v>
      </c>
      <c r="I7847" t="s">
        <v>19</v>
      </c>
      <c r="J7847" t="s">
        <v>46</v>
      </c>
      <c r="M7847" t="s">
        <v>1415</v>
      </c>
      <c r="N7847" t="s">
        <v>1416</v>
      </c>
      <c r="O7847" t="s">
        <v>23</v>
      </c>
      <c r="P7847" t="s">
        <v>24</v>
      </c>
      <c r="Q7847" t="s">
        <v>642</v>
      </c>
      <c r="R7847" t="s">
        <v>1417</v>
      </c>
    </row>
    <row r="7848" spans="1:18" x14ac:dyDescent="0.25">
      <c r="A7848" t="s">
        <v>15527</v>
      </c>
      <c r="B7848" t="s">
        <v>1460</v>
      </c>
      <c r="C7848" t="str">
        <f>HYPERLINK("https://nematode.unl.edu/ogdec31.jpg")</f>
        <v>https://nematode.unl.edu/ogdec31.jpg</v>
      </c>
      <c r="D7848" t="s">
        <v>43</v>
      </c>
      <c r="G7848" t="s">
        <v>34</v>
      </c>
      <c r="H7848" t="s">
        <v>18</v>
      </c>
      <c r="I7848" t="s">
        <v>41</v>
      </c>
      <c r="J7848" t="s">
        <v>46</v>
      </c>
      <c r="M7848" t="s">
        <v>1415</v>
      </c>
      <c r="N7848" t="s">
        <v>1416</v>
      </c>
      <c r="O7848" t="s">
        <v>23</v>
      </c>
      <c r="P7848" t="s">
        <v>24</v>
      </c>
      <c r="Q7848" t="s">
        <v>642</v>
      </c>
      <c r="R7848" t="s">
        <v>1417</v>
      </c>
    </row>
    <row r="7849" spans="1:18" x14ac:dyDescent="0.25">
      <c r="A7849" t="s">
        <v>15565</v>
      </c>
      <c r="B7849" t="s">
        <v>1461</v>
      </c>
      <c r="C7849" t="str">
        <f>HYPERLINK("https://nematode.unl.edu/ogdec32.jpg")</f>
        <v>https://nematode.unl.edu/ogdec32.jpg</v>
      </c>
      <c r="D7849" t="s">
        <v>43</v>
      </c>
      <c r="G7849" t="s">
        <v>28</v>
      </c>
      <c r="I7849" t="s">
        <v>41</v>
      </c>
      <c r="J7849" t="s">
        <v>46</v>
      </c>
      <c r="M7849" t="s">
        <v>1415</v>
      </c>
      <c r="N7849" t="s">
        <v>1416</v>
      </c>
      <c r="O7849" t="s">
        <v>23</v>
      </c>
      <c r="P7849" t="s">
        <v>24</v>
      </c>
      <c r="Q7849" t="s">
        <v>642</v>
      </c>
      <c r="R7849" t="s">
        <v>1417</v>
      </c>
    </row>
    <row r="7850" spans="1:18" x14ac:dyDescent="0.25">
      <c r="A7850" t="s">
        <v>15566</v>
      </c>
      <c r="B7850" t="s">
        <v>1462</v>
      </c>
      <c r="C7850" t="str">
        <f>HYPERLINK("https://nematode.unl.edu/ogdec33.jpg")</f>
        <v>https://nematode.unl.edu/ogdec33.jpg</v>
      </c>
      <c r="D7850" t="s">
        <v>43</v>
      </c>
      <c r="G7850" t="s">
        <v>28</v>
      </c>
      <c r="I7850" t="s">
        <v>41</v>
      </c>
      <c r="J7850" t="s">
        <v>46</v>
      </c>
      <c r="M7850" t="s">
        <v>1415</v>
      </c>
      <c r="N7850" t="s">
        <v>1416</v>
      </c>
      <c r="O7850" t="s">
        <v>23</v>
      </c>
      <c r="P7850" t="s">
        <v>24</v>
      </c>
      <c r="Q7850" t="s">
        <v>642</v>
      </c>
      <c r="R7850" t="s">
        <v>1417</v>
      </c>
    </row>
    <row r="7851" spans="1:18" x14ac:dyDescent="0.25">
      <c r="A7851" t="s">
        <v>15542</v>
      </c>
      <c r="B7851" t="s">
        <v>1463</v>
      </c>
      <c r="C7851" t="str">
        <f>HYPERLINK("https://nematode.unl.edu/ogdec34.jpg")</f>
        <v>https://nematode.unl.edu/ogdec34.jpg</v>
      </c>
      <c r="D7851" t="s">
        <v>43</v>
      </c>
      <c r="G7851" t="s">
        <v>44</v>
      </c>
      <c r="I7851" t="s">
        <v>41</v>
      </c>
      <c r="J7851" t="s">
        <v>46</v>
      </c>
      <c r="M7851" t="s">
        <v>1415</v>
      </c>
      <c r="N7851" t="s">
        <v>1416</v>
      </c>
      <c r="O7851" t="s">
        <v>23</v>
      </c>
      <c r="P7851" t="s">
        <v>24</v>
      </c>
      <c r="Q7851" t="s">
        <v>642</v>
      </c>
      <c r="R7851" t="s">
        <v>1417</v>
      </c>
    </row>
    <row r="7852" spans="1:18" x14ac:dyDescent="0.25">
      <c r="A7852" t="s">
        <v>15528</v>
      </c>
      <c r="B7852" t="s">
        <v>1464</v>
      </c>
      <c r="C7852" t="str">
        <f>HYPERLINK("https://nematode.unl.edu/ogdec4.jpg")</f>
        <v>https://nematode.unl.edu/ogdec4.jpg</v>
      </c>
      <c r="D7852" t="s">
        <v>77</v>
      </c>
      <c r="G7852" t="s">
        <v>34</v>
      </c>
      <c r="H7852" t="s">
        <v>18</v>
      </c>
      <c r="I7852" t="s">
        <v>19</v>
      </c>
      <c r="J7852" t="s">
        <v>46</v>
      </c>
      <c r="L7852" t="s">
        <v>727</v>
      </c>
      <c r="M7852" t="s">
        <v>1415</v>
      </c>
      <c r="N7852" t="s">
        <v>1416</v>
      </c>
      <c r="O7852" t="s">
        <v>23</v>
      </c>
      <c r="P7852" t="s">
        <v>24</v>
      </c>
      <c r="Q7852" t="s">
        <v>642</v>
      </c>
      <c r="R7852" t="s">
        <v>1417</v>
      </c>
    </row>
    <row r="7853" spans="1:18" x14ac:dyDescent="0.25">
      <c r="A7853" t="s">
        <v>15569</v>
      </c>
      <c r="B7853" t="s">
        <v>1465</v>
      </c>
      <c r="C7853" t="str">
        <f>HYPERLINK("https://nematode.unl.edu/ogdec5.jpg")</f>
        <v>https://nematode.unl.edu/ogdec5.jpg</v>
      </c>
      <c r="D7853" t="s">
        <v>43</v>
      </c>
      <c r="G7853" t="s">
        <v>51</v>
      </c>
      <c r="I7853" t="s">
        <v>19</v>
      </c>
      <c r="J7853" t="s">
        <v>46</v>
      </c>
      <c r="L7853" t="s">
        <v>727</v>
      </c>
      <c r="M7853" t="s">
        <v>1415</v>
      </c>
      <c r="N7853" t="s">
        <v>1416</v>
      </c>
      <c r="O7853" t="s">
        <v>23</v>
      </c>
      <c r="P7853" t="s">
        <v>24</v>
      </c>
      <c r="Q7853" t="s">
        <v>642</v>
      </c>
      <c r="R7853" t="s">
        <v>1417</v>
      </c>
    </row>
    <row r="7854" spans="1:18" x14ac:dyDescent="0.25">
      <c r="A7854" t="s">
        <v>15529</v>
      </c>
      <c r="B7854" t="s">
        <v>1466</v>
      </c>
      <c r="C7854" t="str">
        <f>HYPERLINK("https://nematode.unl.edu/ogdec6.jpg")</f>
        <v>https://nematode.unl.edu/ogdec6.jpg</v>
      </c>
      <c r="D7854" t="s">
        <v>43</v>
      </c>
      <c r="G7854" t="s">
        <v>34</v>
      </c>
      <c r="H7854" t="s">
        <v>18</v>
      </c>
      <c r="I7854" t="s">
        <v>19</v>
      </c>
      <c r="J7854" t="s">
        <v>20</v>
      </c>
      <c r="L7854" t="s">
        <v>138</v>
      </c>
      <c r="M7854" t="s">
        <v>1415</v>
      </c>
      <c r="N7854" t="s">
        <v>1416</v>
      </c>
      <c r="O7854" t="s">
        <v>23</v>
      </c>
      <c r="P7854" t="s">
        <v>24</v>
      </c>
      <c r="Q7854" t="s">
        <v>642</v>
      </c>
      <c r="R7854" t="s">
        <v>1417</v>
      </c>
    </row>
    <row r="7855" spans="1:18" x14ac:dyDescent="0.25">
      <c r="A7855" t="s">
        <v>15551</v>
      </c>
      <c r="B7855" t="s">
        <v>1467</v>
      </c>
      <c r="C7855" t="str">
        <f>HYPERLINK("https://nematode.unl.edu/ogdec7.jpg")</f>
        <v>https://nematode.unl.edu/ogdec7.jpg</v>
      </c>
      <c r="D7855" t="s">
        <v>77</v>
      </c>
      <c r="G7855" t="s">
        <v>224</v>
      </c>
      <c r="I7855" t="s">
        <v>19</v>
      </c>
      <c r="J7855" t="s">
        <v>20</v>
      </c>
      <c r="L7855" t="s">
        <v>173</v>
      </c>
      <c r="M7855" t="s">
        <v>1415</v>
      </c>
      <c r="N7855" t="s">
        <v>1416</v>
      </c>
      <c r="O7855" t="s">
        <v>23</v>
      </c>
      <c r="P7855" t="s">
        <v>24</v>
      </c>
      <c r="Q7855" t="s">
        <v>642</v>
      </c>
      <c r="R7855" t="s">
        <v>1417</v>
      </c>
    </row>
    <row r="7856" spans="1:18" x14ac:dyDescent="0.25">
      <c r="A7856" t="s">
        <v>15552</v>
      </c>
      <c r="B7856" t="s">
        <v>1468</v>
      </c>
      <c r="C7856" t="str">
        <f>HYPERLINK("https://nematode.unl.edu/ogdec8.jpg")</f>
        <v>https://nematode.unl.edu/ogdec8.jpg</v>
      </c>
      <c r="D7856" t="s">
        <v>43</v>
      </c>
      <c r="G7856" t="s">
        <v>1469</v>
      </c>
      <c r="I7856" t="s">
        <v>41</v>
      </c>
      <c r="M7856" t="s">
        <v>1415</v>
      </c>
      <c r="N7856" t="s">
        <v>1416</v>
      </c>
      <c r="O7856" t="s">
        <v>23</v>
      </c>
      <c r="P7856" t="s">
        <v>24</v>
      </c>
      <c r="Q7856" t="s">
        <v>642</v>
      </c>
      <c r="R7856" t="s">
        <v>1417</v>
      </c>
    </row>
    <row r="7857" spans="1:18" x14ac:dyDescent="0.25">
      <c r="A7857" t="s">
        <v>15567</v>
      </c>
      <c r="B7857" t="s">
        <v>1470</v>
      </c>
      <c r="C7857" t="str">
        <f>HYPERLINK("https://nematode.unl.edu/ogdec9.jpg")</f>
        <v>https://nematode.unl.edu/ogdec9.jpg</v>
      </c>
      <c r="D7857" t="s">
        <v>16</v>
      </c>
      <c r="G7857" t="s">
        <v>28</v>
      </c>
      <c r="J7857" t="s">
        <v>46</v>
      </c>
      <c r="M7857" t="s">
        <v>1415</v>
      </c>
      <c r="N7857" t="s">
        <v>1416</v>
      </c>
      <c r="O7857" t="s">
        <v>23</v>
      </c>
      <c r="P7857" t="s">
        <v>24</v>
      </c>
      <c r="Q7857" t="s">
        <v>642</v>
      </c>
      <c r="R7857" t="s">
        <v>1417</v>
      </c>
    </row>
    <row r="7858" spans="1:18" x14ac:dyDescent="0.25">
      <c r="A7858" t="s">
        <v>15543</v>
      </c>
      <c r="B7858" t="s">
        <v>1471</v>
      </c>
      <c r="C7858" t="str">
        <f>HYPERLINK("https://nematode.unl.edu/ogmadeth1.jpg")</f>
        <v>https://nematode.unl.edu/ogmadeth1.jpg</v>
      </c>
      <c r="D7858" t="s">
        <v>43</v>
      </c>
      <c r="G7858" t="s">
        <v>44</v>
      </c>
      <c r="I7858" t="s">
        <v>19</v>
      </c>
      <c r="J7858" t="s">
        <v>1472</v>
      </c>
      <c r="M7858" t="s">
        <v>1415</v>
      </c>
      <c r="N7858" t="s">
        <v>1416</v>
      </c>
      <c r="O7858" t="s">
        <v>23</v>
      </c>
      <c r="P7858" t="s">
        <v>24</v>
      </c>
      <c r="Q7858" t="s">
        <v>642</v>
      </c>
      <c r="R7858" t="s">
        <v>1417</v>
      </c>
    </row>
    <row r="7859" spans="1:18" x14ac:dyDescent="0.25">
      <c r="A7859" t="s">
        <v>15530</v>
      </c>
      <c r="B7859" t="s">
        <v>1473</v>
      </c>
      <c r="C7859" t="str">
        <f>HYPERLINK("https://nematode.unl.edu/ogmadeth2.jpg")</f>
        <v>https://nematode.unl.edu/ogmadeth2.jpg</v>
      </c>
      <c r="D7859" t="s">
        <v>43</v>
      </c>
      <c r="G7859" t="s">
        <v>34</v>
      </c>
      <c r="H7859" t="s">
        <v>18</v>
      </c>
      <c r="I7859" t="s">
        <v>41</v>
      </c>
      <c r="M7859" t="s">
        <v>1415</v>
      </c>
      <c r="N7859" t="s">
        <v>1416</v>
      </c>
      <c r="O7859" t="s">
        <v>23</v>
      </c>
      <c r="P7859" t="s">
        <v>24</v>
      </c>
      <c r="Q7859" t="s">
        <v>642</v>
      </c>
      <c r="R7859" t="s">
        <v>1417</v>
      </c>
    </row>
    <row r="7860" spans="1:18" x14ac:dyDescent="0.25">
      <c r="A7860" t="s">
        <v>15568</v>
      </c>
      <c r="B7860" t="s">
        <v>1474</v>
      </c>
      <c r="C7860" t="str">
        <f>HYPERLINK("https://nematode.unl.edu/ogmadeth3.jpg")</f>
        <v>https://nematode.unl.edu/ogmadeth3.jpg</v>
      </c>
      <c r="D7860" t="s">
        <v>43</v>
      </c>
      <c r="G7860" t="s">
        <v>28</v>
      </c>
      <c r="I7860" t="s">
        <v>41</v>
      </c>
      <c r="M7860" t="s">
        <v>1415</v>
      </c>
      <c r="N7860" t="s">
        <v>1416</v>
      </c>
      <c r="O7860" t="s">
        <v>23</v>
      </c>
      <c r="P7860" t="s">
        <v>24</v>
      </c>
      <c r="Q7860" t="s">
        <v>642</v>
      </c>
      <c r="R7860" t="s">
        <v>1417</v>
      </c>
    </row>
    <row r="7861" spans="1:18" x14ac:dyDescent="0.25">
      <c r="A7861" t="s">
        <v>15544</v>
      </c>
      <c r="B7861" t="s">
        <v>1475</v>
      </c>
      <c r="C7861" t="str">
        <f>HYPERLINK("https://nematode.unl.edu/ogmadeth4.jpg")</f>
        <v>https://nematode.unl.edu/ogmadeth4.jpg</v>
      </c>
      <c r="D7861" t="s">
        <v>43</v>
      </c>
      <c r="G7861" t="s">
        <v>44</v>
      </c>
      <c r="I7861" t="s">
        <v>41</v>
      </c>
      <c r="M7861" t="s">
        <v>1415</v>
      </c>
      <c r="N7861" t="s">
        <v>1416</v>
      </c>
      <c r="O7861" t="s">
        <v>23</v>
      </c>
      <c r="P7861" t="s">
        <v>24</v>
      </c>
      <c r="Q7861" t="s">
        <v>642</v>
      </c>
      <c r="R7861" t="s">
        <v>1417</v>
      </c>
    </row>
    <row r="7862" spans="1:18" x14ac:dyDescent="0.25">
      <c r="A7862" t="s">
        <v>13801</v>
      </c>
      <c r="B7862" t="s">
        <v>4103</v>
      </c>
      <c r="C7862" t="str">
        <f>HYPERLINK("https://nematode.unl.edu/ogmaf1.jpg")</f>
        <v>https://nematode.unl.edu/ogmaf1.jpg</v>
      </c>
      <c r="D7862" t="s">
        <v>16</v>
      </c>
      <c r="G7862" t="s">
        <v>44</v>
      </c>
      <c r="I7862" t="s">
        <v>19</v>
      </c>
      <c r="L7862" t="s">
        <v>64</v>
      </c>
      <c r="M7862" t="s">
        <v>682</v>
      </c>
      <c r="N7862" t="s">
        <v>682</v>
      </c>
      <c r="O7862" t="s">
        <v>23</v>
      </c>
      <c r="P7862" t="s">
        <v>24</v>
      </c>
      <c r="Q7862" t="s">
        <v>642</v>
      </c>
      <c r="R7862" t="s">
        <v>683</v>
      </c>
    </row>
    <row r="7863" spans="1:18" x14ac:dyDescent="0.25">
      <c r="A7863" t="s">
        <v>13807</v>
      </c>
      <c r="B7863" t="s">
        <v>4104</v>
      </c>
      <c r="C7863" t="str">
        <f>HYPERLINK("https://nematode.unl.edu/ogmaf10.jpg")</f>
        <v>https://nematode.unl.edu/ogmaf10.jpg</v>
      </c>
      <c r="D7863" t="s">
        <v>43</v>
      </c>
      <c r="G7863" t="s">
        <v>4105</v>
      </c>
      <c r="I7863" t="s">
        <v>41</v>
      </c>
      <c r="J7863" t="s">
        <v>4106</v>
      </c>
      <c r="L7863" t="s">
        <v>4107</v>
      </c>
      <c r="M7863" t="s">
        <v>682</v>
      </c>
      <c r="N7863" t="s">
        <v>682</v>
      </c>
      <c r="O7863" t="s">
        <v>23</v>
      </c>
      <c r="P7863" t="s">
        <v>24</v>
      </c>
      <c r="Q7863" t="s">
        <v>642</v>
      </c>
      <c r="R7863" t="s">
        <v>683</v>
      </c>
    </row>
    <row r="7864" spans="1:18" x14ac:dyDescent="0.25">
      <c r="A7864" t="s">
        <v>13818</v>
      </c>
      <c r="B7864" t="s">
        <v>4108</v>
      </c>
      <c r="C7864" t="str">
        <f>HYPERLINK("https://nematode.unl.edu/ogmaf11.jpg")</f>
        <v>https://nematode.unl.edu/ogmaf11.jpg</v>
      </c>
      <c r="D7864" t="s">
        <v>43</v>
      </c>
      <c r="G7864" t="s">
        <v>51</v>
      </c>
      <c r="J7864" t="s">
        <v>4106</v>
      </c>
      <c r="L7864" t="s">
        <v>4107</v>
      </c>
      <c r="M7864" t="s">
        <v>682</v>
      </c>
      <c r="N7864" t="s">
        <v>682</v>
      </c>
      <c r="O7864" t="s">
        <v>23</v>
      </c>
      <c r="P7864" t="s">
        <v>24</v>
      </c>
      <c r="Q7864" t="s">
        <v>642</v>
      </c>
      <c r="R7864" t="s">
        <v>683</v>
      </c>
    </row>
    <row r="7865" spans="1:18" x14ac:dyDescent="0.25">
      <c r="A7865" t="s">
        <v>13802</v>
      </c>
      <c r="B7865" t="s">
        <v>4109</v>
      </c>
      <c r="C7865" t="str">
        <f>HYPERLINK("https://nematode.unl.edu/ogmaf12.jpg")</f>
        <v>https://nematode.unl.edu/ogmaf12.jpg</v>
      </c>
      <c r="D7865" t="s">
        <v>43</v>
      </c>
      <c r="G7865" t="s">
        <v>44</v>
      </c>
      <c r="I7865" t="s">
        <v>41</v>
      </c>
      <c r="J7865" t="s">
        <v>4106</v>
      </c>
      <c r="L7865" t="s">
        <v>4107</v>
      </c>
      <c r="M7865" t="s">
        <v>682</v>
      </c>
      <c r="N7865" t="s">
        <v>682</v>
      </c>
      <c r="O7865" t="s">
        <v>23</v>
      </c>
      <c r="P7865" t="s">
        <v>24</v>
      </c>
      <c r="Q7865" t="s">
        <v>642</v>
      </c>
      <c r="R7865" t="s">
        <v>683</v>
      </c>
    </row>
    <row r="7866" spans="1:18" x14ac:dyDescent="0.25">
      <c r="A7866" t="s">
        <v>13816</v>
      </c>
      <c r="B7866" t="s">
        <v>4110</v>
      </c>
      <c r="C7866" t="str">
        <f>HYPERLINK("https://nematode.unl.edu/ogmaf13.jpg")</f>
        <v>https://nematode.unl.edu/ogmaf13.jpg</v>
      </c>
      <c r="D7866" t="s">
        <v>43</v>
      </c>
      <c r="G7866" t="s">
        <v>28</v>
      </c>
      <c r="I7866" t="s">
        <v>41</v>
      </c>
      <c r="J7866" t="s">
        <v>4106</v>
      </c>
      <c r="L7866" t="s">
        <v>4107</v>
      </c>
      <c r="M7866" t="s">
        <v>682</v>
      </c>
      <c r="N7866" t="s">
        <v>682</v>
      </c>
      <c r="O7866" t="s">
        <v>23</v>
      </c>
      <c r="P7866" t="s">
        <v>24</v>
      </c>
      <c r="Q7866" t="s">
        <v>642</v>
      </c>
      <c r="R7866" t="s">
        <v>683</v>
      </c>
    </row>
    <row r="7867" spans="1:18" x14ac:dyDescent="0.25">
      <c r="A7867" t="s">
        <v>13797</v>
      </c>
      <c r="B7867" t="s">
        <v>4111</v>
      </c>
      <c r="C7867" t="str">
        <f>HYPERLINK("https://nematode.unl.edu/ogmaf2.jpg")</f>
        <v>https://nematode.unl.edu/ogmaf2.jpg</v>
      </c>
      <c r="D7867" t="s">
        <v>16</v>
      </c>
      <c r="G7867" t="s">
        <v>34</v>
      </c>
      <c r="H7867" t="s">
        <v>18</v>
      </c>
      <c r="I7867" t="s">
        <v>41</v>
      </c>
      <c r="J7867" t="s">
        <v>4106</v>
      </c>
      <c r="L7867" t="s">
        <v>4107</v>
      </c>
      <c r="M7867" t="s">
        <v>682</v>
      </c>
      <c r="N7867" t="s">
        <v>682</v>
      </c>
      <c r="O7867" t="s">
        <v>23</v>
      </c>
      <c r="P7867" t="s">
        <v>24</v>
      </c>
      <c r="Q7867" t="s">
        <v>642</v>
      </c>
      <c r="R7867" t="s">
        <v>683</v>
      </c>
    </row>
    <row r="7868" spans="1:18" x14ac:dyDescent="0.25">
      <c r="A7868" t="s">
        <v>13798</v>
      </c>
      <c r="B7868" t="s">
        <v>4112</v>
      </c>
      <c r="C7868" t="str">
        <f>HYPERLINK("https://nematode.unl.edu/ogmaf3.jpg")</f>
        <v>https://nematode.unl.edu/ogmaf3.jpg</v>
      </c>
      <c r="D7868" t="s">
        <v>16</v>
      </c>
      <c r="G7868" t="s">
        <v>34</v>
      </c>
      <c r="H7868" t="s">
        <v>18</v>
      </c>
      <c r="I7868" t="s">
        <v>41</v>
      </c>
      <c r="J7868" t="s">
        <v>4106</v>
      </c>
      <c r="L7868" t="s">
        <v>4107</v>
      </c>
      <c r="M7868" t="s">
        <v>682</v>
      </c>
      <c r="N7868" t="s">
        <v>682</v>
      </c>
      <c r="O7868" t="s">
        <v>23</v>
      </c>
      <c r="P7868" t="s">
        <v>24</v>
      </c>
      <c r="Q7868" t="s">
        <v>642</v>
      </c>
      <c r="R7868" t="s">
        <v>683</v>
      </c>
    </row>
    <row r="7869" spans="1:18" x14ac:dyDescent="0.25">
      <c r="A7869" t="s">
        <v>13817</v>
      </c>
      <c r="B7869" t="s">
        <v>4113</v>
      </c>
      <c r="C7869" t="str">
        <f>HYPERLINK("https://nematode.unl.edu/ogmaf4.jpg")</f>
        <v>https://nematode.unl.edu/ogmaf4.jpg</v>
      </c>
      <c r="D7869" t="s">
        <v>16</v>
      </c>
      <c r="G7869" t="s">
        <v>28</v>
      </c>
      <c r="I7869" t="s">
        <v>41</v>
      </c>
      <c r="J7869" t="s">
        <v>4106</v>
      </c>
      <c r="L7869" t="s">
        <v>4107</v>
      </c>
      <c r="M7869" t="s">
        <v>682</v>
      </c>
      <c r="N7869" t="s">
        <v>682</v>
      </c>
      <c r="O7869" t="s">
        <v>23</v>
      </c>
      <c r="P7869" t="s">
        <v>24</v>
      </c>
      <c r="Q7869" t="s">
        <v>642</v>
      </c>
      <c r="R7869" t="s">
        <v>683</v>
      </c>
    </row>
    <row r="7870" spans="1:18" x14ac:dyDescent="0.25">
      <c r="A7870" t="s">
        <v>13794</v>
      </c>
      <c r="B7870" t="s">
        <v>4114</v>
      </c>
      <c r="C7870" t="str">
        <f>HYPERLINK("https://nematode.unl.edu/ogmaf5.jpg")</f>
        <v>https://nematode.unl.edu/ogmaf5.jpg</v>
      </c>
      <c r="D7870" t="s">
        <v>16</v>
      </c>
      <c r="G7870" t="s">
        <v>96</v>
      </c>
      <c r="H7870" t="s">
        <v>18</v>
      </c>
      <c r="I7870" t="s">
        <v>41</v>
      </c>
      <c r="J7870" t="s">
        <v>4106</v>
      </c>
      <c r="L7870" t="s">
        <v>4107</v>
      </c>
      <c r="M7870" t="s">
        <v>682</v>
      </c>
      <c r="N7870" t="s">
        <v>682</v>
      </c>
      <c r="O7870" t="s">
        <v>23</v>
      </c>
      <c r="P7870" t="s">
        <v>24</v>
      </c>
      <c r="Q7870" t="s">
        <v>642</v>
      </c>
      <c r="R7870" t="s">
        <v>683</v>
      </c>
    </row>
    <row r="7871" spans="1:18" x14ac:dyDescent="0.25">
      <c r="A7871" t="s">
        <v>13803</v>
      </c>
      <c r="B7871" t="s">
        <v>4115</v>
      </c>
      <c r="C7871" t="str">
        <f>HYPERLINK("https://nematode.unl.edu/ogmaf6.jpg")</f>
        <v>https://nematode.unl.edu/ogmaf6.jpg</v>
      </c>
      <c r="D7871" t="s">
        <v>16</v>
      </c>
      <c r="G7871" t="s">
        <v>44</v>
      </c>
      <c r="I7871" t="s">
        <v>41</v>
      </c>
      <c r="J7871" t="s">
        <v>4106</v>
      </c>
      <c r="L7871" t="s">
        <v>4107</v>
      </c>
      <c r="M7871" t="s">
        <v>682</v>
      </c>
      <c r="N7871" t="s">
        <v>682</v>
      </c>
      <c r="O7871" t="s">
        <v>23</v>
      </c>
      <c r="P7871" t="s">
        <v>24</v>
      </c>
      <c r="Q7871" t="s">
        <v>642</v>
      </c>
      <c r="R7871" t="s">
        <v>683</v>
      </c>
    </row>
    <row r="7872" spans="1:18" x14ac:dyDescent="0.25">
      <c r="A7872" t="s">
        <v>13804</v>
      </c>
      <c r="B7872" t="s">
        <v>4116</v>
      </c>
      <c r="C7872" t="str">
        <f>HYPERLINK("https://nematode.unl.edu/ogmaf7.jpg")</f>
        <v>https://nematode.unl.edu/ogmaf7.jpg</v>
      </c>
      <c r="D7872" t="s">
        <v>43</v>
      </c>
      <c r="G7872" t="s">
        <v>44</v>
      </c>
      <c r="I7872" t="s">
        <v>19</v>
      </c>
      <c r="J7872" t="s">
        <v>4106</v>
      </c>
      <c r="L7872" t="s">
        <v>4107</v>
      </c>
      <c r="M7872" t="s">
        <v>682</v>
      </c>
      <c r="N7872" t="s">
        <v>682</v>
      </c>
      <c r="O7872" t="s">
        <v>23</v>
      </c>
      <c r="P7872" t="s">
        <v>24</v>
      </c>
      <c r="Q7872" t="s">
        <v>642</v>
      </c>
      <c r="R7872" t="s">
        <v>683</v>
      </c>
    </row>
    <row r="7873" spans="1:18" x14ac:dyDescent="0.25">
      <c r="A7873" t="s">
        <v>13805</v>
      </c>
      <c r="B7873" t="s">
        <v>4117</v>
      </c>
      <c r="C7873" t="str">
        <f>HYPERLINK("https://nematode.unl.edu/ogmaf8.jpg")</f>
        <v>https://nematode.unl.edu/ogmaf8.jpg</v>
      </c>
      <c r="D7873" t="s">
        <v>43</v>
      </c>
      <c r="G7873" t="s">
        <v>44</v>
      </c>
      <c r="I7873" t="s">
        <v>41</v>
      </c>
      <c r="J7873" t="s">
        <v>4106</v>
      </c>
      <c r="L7873" t="s">
        <v>4107</v>
      </c>
      <c r="M7873" t="s">
        <v>682</v>
      </c>
      <c r="N7873" t="s">
        <v>682</v>
      </c>
      <c r="O7873" t="s">
        <v>23</v>
      </c>
      <c r="P7873" t="s">
        <v>24</v>
      </c>
      <c r="Q7873" t="s">
        <v>642</v>
      </c>
      <c r="R7873" t="s">
        <v>683</v>
      </c>
    </row>
    <row r="7874" spans="1:18" x14ac:dyDescent="0.25">
      <c r="A7874" t="s">
        <v>13799</v>
      </c>
      <c r="B7874" t="s">
        <v>4118</v>
      </c>
      <c r="C7874" t="str">
        <f>HYPERLINK("https://nematode.unl.edu/ogmaf9.jpg")</f>
        <v>https://nematode.unl.edu/ogmaf9.jpg</v>
      </c>
      <c r="D7874" t="s">
        <v>43</v>
      </c>
      <c r="G7874" t="s">
        <v>34</v>
      </c>
      <c r="H7874" t="s">
        <v>18</v>
      </c>
      <c r="I7874" t="s">
        <v>41</v>
      </c>
      <c r="J7874" t="s">
        <v>4106</v>
      </c>
      <c r="L7874" t="s">
        <v>4107</v>
      </c>
      <c r="M7874" t="s">
        <v>682</v>
      </c>
      <c r="N7874" t="s">
        <v>682</v>
      </c>
      <c r="O7874" t="s">
        <v>23</v>
      </c>
      <c r="P7874" t="s">
        <v>24</v>
      </c>
      <c r="Q7874" t="s">
        <v>642</v>
      </c>
      <c r="R7874" t="s">
        <v>683</v>
      </c>
    </row>
    <row r="7875" spans="1:18" x14ac:dyDescent="0.25">
      <c r="A7875" t="s">
        <v>13862</v>
      </c>
      <c r="B7875" t="s">
        <v>678</v>
      </c>
      <c r="C7875" t="str">
        <f>HYPERLINK("https://nematode.unl.edu/ogmaflo1.jpg")</f>
        <v>https://nematode.unl.edu/ogmaflo1.jpg</v>
      </c>
      <c r="D7875" t="s">
        <v>43</v>
      </c>
      <c r="G7875" t="s">
        <v>44</v>
      </c>
      <c r="I7875" t="s">
        <v>19</v>
      </c>
      <c r="J7875" t="s">
        <v>679</v>
      </c>
      <c r="L7875" t="s">
        <v>680</v>
      </c>
      <c r="M7875" t="s">
        <v>681</v>
      </c>
      <c r="N7875" t="s">
        <v>682</v>
      </c>
      <c r="O7875" t="s">
        <v>23</v>
      </c>
      <c r="P7875" t="s">
        <v>24</v>
      </c>
      <c r="Q7875" t="s">
        <v>642</v>
      </c>
      <c r="R7875" t="s">
        <v>683</v>
      </c>
    </row>
    <row r="7876" spans="1:18" x14ac:dyDescent="0.25">
      <c r="A7876" t="s">
        <v>13858</v>
      </c>
      <c r="B7876" t="s">
        <v>684</v>
      </c>
      <c r="C7876" t="str">
        <f>HYPERLINK("https://nematode.unl.edu/ogmaflo10.jpg")</f>
        <v>https://nematode.unl.edu/ogmaflo10.jpg</v>
      </c>
      <c r="D7876" t="s">
        <v>43</v>
      </c>
      <c r="G7876" t="s">
        <v>685</v>
      </c>
      <c r="H7876" t="s">
        <v>18</v>
      </c>
      <c r="I7876" t="s">
        <v>41</v>
      </c>
      <c r="J7876" t="s">
        <v>679</v>
      </c>
      <c r="L7876" t="s">
        <v>680</v>
      </c>
      <c r="M7876" t="s">
        <v>681</v>
      </c>
      <c r="N7876" t="s">
        <v>682</v>
      </c>
      <c r="O7876" t="s">
        <v>23</v>
      </c>
      <c r="P7876" t="s">
        <v>24</v>
      </c>
      <c r="Q7876" t="s">
        <v>642</v>
      </c>
      <c r="R7876" t="s">
        <v>683</v>
      </c>
    </row>
    <row r="7877" spans="1:18" x14ac:dyDescent="0.25">
      <c r="A7877" t="s">
        <v>13867</v>
      </c>
      <c r="B7877" t="s">
        <v>686</v>
      </c>
      <c r="C7877" t="str">
        <f>HYPERLINK("https://nematode.unl.edu/ogmaflo11.jpg")</f>
        <v>https://nematode.unl.edu/ogmaflo11.jpg</v>
      </c>
      <c r="D7877" t="s">
        <v>43</v>
      </c>
      <c r="G7877" t="s">
        <v>28</v>
      </c>
      <c r="I7877" t="s">
        <v>41</v>
      </c>
      <c r="J7877" t="s">
        <v>679</v>
      </c>
      <c r="L7877" t="s">
        <v>680</v>
      </c>
      <c r="M7877" t="s">
        <v>681</v>
      </c>
      <c r="N7877" t="s">
        <v>682</v>
      </c>
      <c r="O7877" t="s">
        <v>23</v>
      </c>
      <c r="P7877" t="s">
        <v>24</v>
      </c>
      <c r="Q7877" t="s">
        <v>642</v>
      </c>
      <c r="R7877" t="s">
        <v>683</v>
      </c>
    </row>
    <row r="7878" spans="1:18" x14ac:dyDescent="0.25">
      <c r="A7878" t="s">
        <v>13866</v>
      </c>
      <c r="B7878" t="s">
        <v>687</v>
      </c>
      <c r="C7878" t="str">
        <f>HYPERLINK("https://nematode.unl.edu/ogmaflo12.jpg")</f>
        <v>https://nematode.unl.edu/ogmaflo12.jpg</v>
      </c>
      <c r="G7878" t="s">
        <v>674</v>
      </c>
      <c r="I7878" t="s">
        <v>41</v>
      </c>
      <c r="J7878" t="s">
        <v>679</v>
      </c>
      <c r="L7878" t="s">
        <v>680</v>
      </c>
      <c r="M7878" t="s">
        <v>681</v>
      </c>
      <c r="N7878" t="s">
        <v>682</v>
      </c>
      <c r="O7878" t="s">
        <v>23</v>
      </c>
      <c r="P7878" t="s">
        <v>24</v>
      </c>
      <c r="Q7878" t="s">
        <v>642</v>
      </c>
      <c r="R7878" t="s">
        <v>683</v>
      </c>
    </row>
    <row r="7879" spans="1:18" x14ac:dyDescent="0.25">
      <c r="A7879" t="s">
        <v>13868</v>
      </c>
      <c r="B7879" t="s">
        <v>688</v>
      </c>
      <c r="C7879" t="str">
        <f>HYPERLINK("https://nematode.unl.edu/ogmaflo13.jpg")</f>
        <v>https://nematode.unl.edu/ogmaflo13.jpg</v>
      </c>
      <c r="D7879" t="s">
        <v>43</v>
      </c>
      <c r="G7879" t="s">
        <v>28</v>
      </c>
      <c r="I7879" t="s">
        <v>41</v>
      </c>
      <c r="J7879" t="s">
        <v>679</v>
      </c>
      <c r="L7879" t="s">
        <v>680</v>
      </c>
      <c r="M7879" t="s">
        <v>681</v>
      </c>
      <c r="N7879" t="s">
        <v>682</v>
      </c>
      <c r="O7879" t="s">
        <v>23</v>
      </c>
      <c r="P7879" t="s">
        <v>24</v>
      </c>
      <c r="Q7879" t="s">
        <v>642</v>
      </c>
      <c r="R7879" t="s">
        <v>683</v>
      </c>
    </row>
    <row r="7880" spans="1:18" x14ac:dyDescent="0.25">
      <c r="A7880" t="s">
        <v>13869</v>
      </c>
      <c r="B7880" t="s">
        <v>689</v>
      </c>
      <c r="C7880" t="str">
        <f>HYPERLINK("https://nematode.unl.edu/ogmaflo14.jpg")</f>
        <v>https://nematode.unl.edu/ogmaflo14.jpg</v>
      </c>
      <c r="D7880" t="s">
        <v>43</v>
      </c>
      <c r="G7880" t="s">
        <v>28</v>
      </c>
      <c r="I7880" t="s">
        <v>41</v>
      </c>
      <c r="J7880" t="s">
        <v>679</v>
      </c>
      <c r="L7880" t="s">
        <v>680</v>
      </c>
      <c r="M7880" t="s">
        <v>681</v>
      </c>
      <c r="N7880" t="s">
        <v>682</v>
      </c>
      <c r="O7880" t="s">
        <v>23</v>
      </c>
      <c r="P7880" t="s">
        <v>24</v>
      </c>
      <c r="Q7880" t="s">
        <v>642</v>
      </c>
      <c r="R7880" t="s">
        <v>683</v>
      </c>
    </row>
    <row r="7881" spans="1:18" x14ac:dyDescent="0.25">
      <c r="A7881" t="s">
        <v>13857</v>
      </c>
      <c r="B7881" t="s">
        <v>690</v>
      </c>
      <c r="C7881" t="str">
        <f>HYPERLINK("https://nematode.unl.edu/ogmaflo15.jpg")</f>
        <v>https://nematode.unl.edu/ogmaflo15.jpg</v>
      </c>
      <c r="D7881" t="s">
        <v>43</v>
      </c>
      <c r="G7881" t="s">
        <v>96</v>
      </c>
      <c r="H7881" t="s">
        <v>18</v>
      </c>
      <c r="I7881" t="s">
        <v>41</v>
      </c>
      <c r="J7881" t="s">
        <v>679</v>
      </c>
      <c r="L7881" t="s">
        <v>680</v>
      </c>
      <c r="M7881" t="s">
        <v>681</v>
      </c>
      <c r="N7881" t="s">
        <v>682</v>
      </c>
      <c r="O7881" t="s">
        <v>23</v>
      </c>
      <c r="P7881" t="s">
        <v>24</v>
      </c>
      <c r="Q7881" t="s">
        <v>642</v>
      </c>
      <c r="R7881" t="s">
        <v>683</v>
      </c>
    </row>
    <row r="7882" spans="1:18" x14ac:dyDescent="0.25">
      <c r="A7882" t="s">
        <v>13806</v>
      </c>
      <c r="B7882" t="s">
        <v>4119</v>
      </c>
      <c r="C7882" t="str">
        <f>HYPERLINK("https://nematode.unl.edu/ogmaflo16.jpg")</f>
        <v>https://nematode.unl.edu/ogmaflo16.jpg</v>
      </c>
      <c r="D7882" t="s">
        <v>77</v>
      </c>
      <c r="G7882" t="s">
        <v>44</v>
      </c>
      <c r="I7882" t="s">
        <v>41</v>
      </c>
      <c r="J7882" t="s">
        <v>679</v>
      </c>
      <c r="L7882" t="s">
        <v>680</v>
      </c>
      <c r="M7882" t="s">
        <v>682</v>
      </c>
      <c r="N7882" t="s">
        <v>682</v>
      </c>
      <c r="O7882" t="s">
        <v>23</v>
      </c>
      <c r="P7882" t="s">
        <v>24</v>
      </c>
      <c r="Q7882" t="s">
        <v>642</v>
      </c>
      <c r="R7882" t="s">
        <v>683</v>
      </c>
    </row>
    <row r="7883" spans="1:18" x14ac:dyDescent="0.25">
      <c r="A7883" t="s">
        <v>13859</v>
      </c>
      <c r="B7883" t="s">
        <v>691</v>
      </c>
      <c r="C7883" t="str">
        <f>HYPERLINK("https://nematode.unl.edu/ogmaflo2.jpg")</f>
        <v>https://nematode.unl.edu/ogmaflo2.jpg</v>
      </c>
      <c r="D7883" t="s">
        <v>43</v>
      </c>
      <c r="G7883" t="s">
        <v>34</v>
      </c>
      <c r="H7883" t="s">
        <v>18</v>
      </c>
      <c r="I7883" t="s">
        <v>41</v>
      </c>
      <c r="J7883" t="s">
        <v>679</v>
      </c>
      <c r="L7883" t="s">
        <v>680</v>
      </c>
      <c r="M7883" t="s">
        <v>681</v>
      </c>
      <c r="N7883" t="s">
        <v>682</v>
      </c>
      <c r="O7883" t="s">
        <v>23</v>
      </c>
      <c r="P7883" t="s">
        <v>24</v>
      </c>
      <c r="Q7883" t="s">
        <v>642</v>
      </c>
      <c r="R7883" t="s">
        <v>683</v>
      </c>
    </row>
    <row r="7884" spans="1:18" x14ac:dyDescent="0.25">
      <c r="A7884" t="s">
        <v>13870</v>
      </c>
      <c r="B7884" t="s">
        <v>692</v>
      </c>
      <c r="C7884" t="str">
        <f>HYPERLINK("https://nematode.unl.edu/ogmaflo3.jpg")</f>
        <v>https://nematode.unl.edu/ogmaflo3.jpg</v>
      </c>
      <c r="D7884" t="s">
        <v>43</v>
      </c>
      <c r="G7884" t="s">
        <v>28</v>
      </c>
      <c r="I7884" t="s">
        <v>41</v>
      </c>
      <c r="J7884" t="s">
        <v>679</v>
      </c>
      <c r="L7884" t="s">
        <v>680</v>
      </c>
      <c r="M7884" t="s">
        <v>681</v>
      </c>
      <c r="N7884" t="s">
        <v>682</v>
      </c>
      <c r="O7884" t="s">
        <v>23</v>
      </c>
      <c r="P7884" t="s">
        <v>24</v>
      </c>
      <c r="Q7884" t="s">
        <v>642</v>
      </c>
      <c r="R7884" t="s">
        <v>683</v>
      </c>
    </row>
    <row r="7885" spans="1:18" x14ac:dyDescent="0.25">
      <c r="A7885" t="s">
        <v>13864</v>
      </c>
      <c r="B7885" t="s">
        <v>693</v>
      </c>
      <c r="C7885" t="str">
        <f>HYPERLINK("https://nematode.unl.edu/ogmaflo4.jpg")</f>
        <v>https://nematode.unl.edu/ogmaflo4.jpg</v>
      </c>
      <c r="D7885" t="s">
        <v>43</v>
      </c>
      <c r="G7885" t="s">
        <v>224</v>
      </c>
      <c r="I7885" t="s">
        <v>41</v>
      </c>
      <c r="J7885" t="s">
        <v>679</v>
      </c>
      <c r="L7885" t="s">
        <v>680</v>
      </c>
      <c r="M7885" t="s">
        <v>681</v>
      </c>
      <c r="N7885" t="s">
        <v>682</v>
      </c>
      <c r="O7885" t="s">
        <v>23</v>
      </c>
      <c r="P7885" t="s">
        <v>24</v>
      </c>
      <c r="Q7885" t="s">
        <v>642</v>
      </c>
      <c r="R7885" t="s">
        <v>683</v>
      </c>
    </row>
    <row r="7886" spans="1:18" x14ac:dyDescent="0.25">
      <c r="A7886" t="s">
        <v>13865</v>
      </c>
      <c r="B7886" t="s">
        <v>694</v>
      </c>
      <c r="C7886" t="str">
        <f>HYPERLINK("https://nematode.unl.edu/ogmaflo5.jpg")</f>
        <v>https://nematode.unl.edu/ogmaflo5.jpg</v>
      </c>
      <c r="D7886" t="s">
        <v>43</v>
      </c>
      <c r="G7886" t="s">
        <v>224</v>
      </c>
      <c r="I7886" t="s">
        <v>41</v>
      </c>
      <c r="J7886" t="s">
        <v>679</v>
      </c>
      <c r="L7886" t="s">
        <v>680</v>
      </c>
      <c r="M7886" t="s">
        <v>681</v>
      </c>
      <c r="N7886" t="s">
        <v>682</v>
      </c>
      <c r="O7886" t="s">
        <v>23</v>
      </c>
      <c r="P7886" t="s">
        <v>24</v>
      </c>
      <c r="Q7886" t="s">
        <v>642</v>
      </c>
      <c r="R7886" t="s">
        <v>683</v>
      </c>
    </row>
    <row r="7887" spans="1:18" x14ac:dyDescent="0.25">
      <c r="A7887" t="s">
        <v>13860</v>
      </c>
      <c r="B7887" t="s">
        <v>695</v>
      </c>
      <c r="C7887" t="str">
        <f>HYPERLINK("https://nematode.unl.edu/ogmaflo6.jpg")</f>
        <v>https://nematode.unl.edu/ogmaflo6.jpg</v>
      </c>
      <c r="D7887" t="s">
        <v>43</v>
      </c>
      <c r="G7887" t="s">
        <v>34</v>
      </c>
      <c r="H7887" t="s">
        <v>18</v>
      </c>
      <c r="J7887" t="s">
        <v>679</v>
      </c>
      <c r="L7887" t="s">
        <v>680</v>
      </c>
      <c r="M7887" t="s">
        <v>681</v>
      </c>
      <c r="N7887" t="s">
        <v>682</v>
      </c>
      <c r="O7887" t="s">
        <v>23</v>
      </c>
      <c r="P7887" t="s">
        <v>24</v>
      </c>
      <c r="Q7887" t="s">
        <v>642</v>
      </c>
      <c r="R7887" t="s">
        <v>683</v>
      </c>
    </row>
    <row r="7888" spans="1:18" x14ac:dyDescent="0.25">
      <c r="A7888" t="s">
        <v>13871</v>
      </c>
      <c r="B7888" t="s">
        <v>696</v>
      </c>
      <c r="C7888" t="str">
        <f>HYPERLINK("https://nematode.unl.edu/ogmaflo7.jpg")</f>
        <v>https://nematode.unl.edu/ogmaflo7.jpg</v>
      </c>
      <c r="D7888" t="s">
        <v>43</v>
      </c>
      <c r="G7888" t="s">
        <v>28</v>
      </c>
      <c r="I7888" t="s">
        <v>41</v>
      </c>
      <c r="J7888" t="s">
        <v>679</v>
      </c>
      <c r="L7888" t="s">
        <v>680</v>
      </c>
      <c r="M7888" t="s">
        <v>681</v>
      </c>
      <c r="N7888" t="s">
        <v>682</v>
      </c>
      <c r="O7888" t="s">
        <v>23</v>
      </c>
      <c r="P7888" t="s">
        <v>24</v>
      </c>
      <c r="Q7888" t="s">
        <v>642</v>
      </c>
      <c r="R7888" t="s">
        <v>683</v>
      </c>
    </row>
    <row r="7889" spans="1:18" x14ac:dyDescent="0.25">
      <c r="A7889" t="s">
        <v>13863</v>
      </c>
      <c r="B7889" t="s">
        <v>697</v>
      </c>
      <c r="C7889" t="str">
        <f>HYPERLINK("https://nematode.unl.edu/ogmaflo8.jpg")</f>
        <v>https://nematode.unl.edu/ogmaflo8.jpg</v>
      </c>
      <c r="D7889" t="s">
        <v>43</v>
      </c>
      <c r="G7889" t="s">
        <v>44</v>
      </c>
      <c r="J7889" t="s">
        <v>679</v>
      </c>
      <c r="L7889" t="s">
        <v>680</v>
      </c>
      <c r="M7889" t="s">
        <v>681</v>
      </c>
      <c r="N7889" t="s">
        <v>682</v>
      </c>
      <c r="O7889" t="s">
        <v>23</v>
      </c>
      <c r="P7889" t="s">
        <v>24</v>
      </c>
      <c r="Q7889" t="s">
        <v>642</v>
      </c>
      <c r="R7889" t="s">
        <v>683</v>
      </c>
    </row>
    <row r="7890" spans="1:18" x14ac:dyDescent="0.25">
      <c r="A7890" t="s">
        <v>13861</v>
      </c>
      <c r="B7890" t="s">
        <v>698</v>
      </c>
      <c r="C7890" t="str">
        <f>HYPERLINK("https://nematode.unl.edu/ogmaflo9.jpg")</f>
        <v>https://nematode.unl.edu/ogmaflo9.jpg</v>
      </c>
      <c r="D7890" t="s">
        <v>43</v>
      </c>
      <c r="G7890" t="s">
        <v>34</v>
      </c>
      <c r="H7890" t="s">
        <v>18</v>
      </c>
      <c r="I7890" t="s">
        <v>41</v>
      </c>
      <c r="J7890" t="s">
        <v>679</v>
      </c>
      <c r="L7890" t="s">
        <v>680</v>
      </c>
      <c r="M7890" t="s">
        <v>681</v>
      </c>
      <c r="N7890" t="s">
        <v>682</v>
      </c>
      <c r="O7890" t="s">
        <v>23</v>
      </c>
      <c r="P7890" t="s">
        <v>24</v>
      </c>
      <c r="Q7890" t="s">
        <v>642</v>
      </c>
      <c r="R7890" t="s">
        <v>683</v>
      </c>
    </row>
    <row r="7891" spans="1:18" x14ac:dyDescent="0.25">
      <c r="A7891" t="s">
        <v>15473</v>
      </c>
      <c r="B7891" t="s">
        <v>9459</v>
      </c>
      <c r="C7891" t="str">
        <f>HYPERLINK("https://nematode.unl.edu/ogmala1.jpg")</f>
        <v>https://nematode.unl.edu/ogmala1.jpg</v>
      </c>
      <c r="D7891" t="s">
        <v>16</v>
      </c>
      <c r="G7891" t="s">
        <v>44</v>
      </c>
      <c r="I7891" t="s">
        <v>499</v>
      </c>
      <c r="J7891" t="s">
        <v>57</v>
      </c>
      <c r="L7891" t="s">
        <v>9460</v>
      </c>
      <c r="M7891" t="s">
        <v>1417</v>
      </c>
      <c r="N7891" t="s">
        <v>1417</v>
      </c>
      <c r="O7891" t="s">
        <v>23</v>
      </c>
      <c r="P7891" t="s">
        <v>24</v>
      </c>
      <c r="Q7891" t="s">
        <v>642</v>
      </c>
      <c r="R7891" t="s">
        <v>1417</v>
      </c>
    </row>
    <row r="7892" spans="1:18" x14ac:dyDescent="0.25">
      <c r="A7892" t="s">
        <v>15444</v>
      </c>
      <c r="B7892" t="s">
        <v>9461</v>
      </c>
      <c r="C7892" t="str">
        <f>HYPERLINK("https://nematode.unl.edu/ogmala2.jpg")</f>
        <v>https://nematode.unl.edu/ogmala2.jpg</v>
      </c>
      <c r="D7892" t="s">
        <v>16</v>
      </c>
      <c r="G7892" t="s">
        <v>34</v>
      </c>
      <c r="H7892" t="s">
        <v>18</v>
      </c>
      <c r="I7892" t="s">
        <v>19</v>
      </c>
      <c r="J7892" t="s">
        <v>57</v>
      </c>
      <c r="L7892" t="s">
        <v>9460</v>
      </c>
      <c r="M7892" t="s">
        <v>1417</v>
      </c>
      <c r="N7892" t="s">
        <v>1417</v>
      </c>
      <c r="O7892" t="s">
        <v>23</v>
      </c>
      <c r="P7892" t="s">
        <v>24</v>
      </c>
      <c r="Q7892" t="s">
        <v>642</v>
      </c>
      <c r="R7892" t="s">
        <v>1417</v>
      </c>
    </row>
    <row r="7893" spans="1:18" x14ac:dyDescent="0.25">
      <c r="A7893" t="s">
        <v>15506</v>
      </c>
      <c r="B7893" t="s">
        <v>9462</v>
      </c>
      <c r="C7893" t="str">
        <f>HYPERLINK("https://nematode.unl.edu/ogmala3.jpg")</f>
        <v>https://nematode.unl.edu/ogmala3.jpg</v>
      </c>
      <c r="G7893" t="s">
        <v>28</v>
      </c>
      <c r="J7893" t="s">
        <v>57</v>
      </c>
      <c r="L7893" t="s">
        <v>9460</v>
      </c>
      <c r="M7893" t="s">
        <v>1417</v>
      </c>
      <c r="N7893" t="s">
        <v>1417</v>
      </c>
      <c r="O7893" t="s">
        <v>23</v>
      </c>
      <c r="P7893" t="s">
        <v>24</v>
      </c>
      <c r="Q7893" t="s">
        <v>642</v>
      </c>
      <c r="R7893" t="s">
        <v>1417</v>
      </c>
    </row>
    <row r="7894" spans="1:18" x14ac:dyDescent="0.25">
      <c r="A7894" t="s">
        <v>15496</v>
      </c>
      <c r="B7894" t="s">
        <v>9463</v>
      </c>
      <c r="C7894" t="str">
        <f>HYPERLINK("https://nematode.unl.edu/ogmala4.jpg")</f>
        <v>https://nematode.unl.edu/ogmala4.jpg</v>
      </c>
      <c r="D7894" t="s">
        <v>16</v>
      </c>
      <c r="G7894" t="s">
        <v>1469</v>
      </c>
      <c r="I7894" t="s">
        <v>19</v>
      </c>
      <c r="J7894" t="s">
        <v>57</v>
      </c>
      <c r="L7894" t="s">
        <v>9460</v>
      </c>
      <c r="M7894" t="s">
        <v>1417</v>
      </c>
      <c r="N7894" t="s">
        <v>1417</v>
      </c>
      <c r="O7894" t="s">
        <v>23</v>
      </c>
      <c r="P7894" t="s">
        <v>24</v>
      </c>
      <c r="Q7894" t="s">
        <v>642</v>
      </c>
      <c r="R7894" t="s">
        <v>1417</v>
      </c>
    </row>
    <row r="7895" spans="1:18" x14ac:dyDescent="0.25">
      <c r="A7895" t="s">
        <v>15457</v>
      </c>
      <c r="B7895" t="s">
        <v>9464</v>
      </c>
      <c r="C7895" t="str">
        <f>HYPERLINK("https://nematode.unl.edu/ogmala5.jpg")</f>
        <v>https://nematode.unl.edu/ogmala5.jpg</v>
      </c>
      <c r="D7895" t="s">
        <v>16</v>
      </c>
      <c r="G7895" t="s">
        <v>257</v>
      </c>
      <c r="H7895" t="s">
        <v>18</v>
      </c>
      <c r="I7895" t="s">
        <v>41</v>
      </c>
      <c r="J7895" t="s">
        <v>57</v>
      </c>
      <c r="L7895" t="s">
        <v>9460</v>
      </c>
      <c r="M7895" t="s">
        <v>1417</v>
      </c>
      <c r="N7895" t="s">
        <v>1417</v>
      </c>
      <c r="O7895" t="s">
        <v>23</v>
      </c>
      <c r="P7895" t="s">
        <v>24</v>
      </c>
      <c r="Q7895" t="s">
        <v>642</v>
      </c>
      <c r="R7895" t="s">
        <v>1417</v>
      </c>
    </row>
    <row r="7896" spans="1:18" x14ac:dyDescent="0.25">
      <c r="A7896" t="s">
        <v>15497</v>
      </c>
      <c r="B7896" t="s">
        <v>9465</v>
      </c>
      <c r="C7896" t="str">
        <f>HYPERLINK("https://nematode.unl.edu/ogmala6.jpg")</f>
        <v>https://nematode.unl.edu/ogmala6.jpg</v>
      </c>
      <c r="D7896" t="s">
        <v>16</v>
      </c>
      <c r="G7896" t="s">
        <v>1469</v>
      </c>
      <c r="I7896" t="s">
        <v>529</v>
      </c>
      <c r="J7896" t="s">
        <v>57</v>
      </c>
      <c r="L7896" t="s">
        <v>9460</v>
      </c>
      <c r="M7896" t="s">
        <v>1417</v>
      </c>
      <c r="N7896" t="s">
        <v>1417</v>
      </c>
      <c r="O7896" t="s">
        <v>23</v>
      </c>
      <c r="P7896" t="s">
        <v>24</v>
      </c>
      <c r="Q7896" t="s">
        <v>642</v>
      </c>
      <c r="R7896" t="s">
        <v>1417</v>
      </c>
    </row>
    <row r="7897" spans="1:18" x14ac:dyDescent="0.25">
      <c r="A7897" t="s">
        <v>15498</v>
      </c>
      <c r="B7897" t="s">
        <v>9466</v>
      </c>
      <c r="C7897" t="str">
        <f>HYPERLINK("https://nematode.unl.edu/ogmala7.jpg")</f>
        <v>https://nematode.unl.edu/ogmala7.jpg</v>
      </c>
      <c r="D7897" t="s">
        <v>16</v>
      </c>
      <c r="G7897" t="s">
        <v>1469</v>
      </c>
      <c r="I7897" t="s">
        <v>529</v>
      </c>
      <c r="J7897" t="s">
        <v>57</v>
      </c>
      <c r="L7897" t="s">
        <v>9460</v>
      </c>
      <c r="M7897" t="s">
        <v>1417</v>
      </c>
      <c r="N7897" t="s">
        <v>1417</v>
      </c>
      <c r="O7897" t="s">
        <v>23</v>
      </c>
      <c r="P7897" t="s">
        <v>24</v>
      </c>
      <c r="Q7897" t="s">
        <v>642</v>
      </c>
      <c r="R7897" t="s">
        <v>1417</v>
      </c>
    </row>
    <row r="7898" spans="1:18" x14ac:dyDescent="0.25">
      <c r="A7898" t="s">
        <v>15474</v>
      </c>
      <c r="B7898" t="s">
        <v>9467</v>
      </c>
      <c r="C7898" t="str">
        <f>HYPERLINK("https://nematode.unl.edu/ogmas1.jpg")</f>
        <v>https://nematode.unl.edu/ogmas1.jpg</v>
      </c>
      <c r="D7898" t="s">
        <v>43</v>
      </c>
      <c r="G7898" t="s">
        <v>44</v>
      </c>
      <c r="J7898" t="s">
        <v>9468</v>
      </c>
      <c r="L7898" t="s">
        <v>9469</v>
      </c>
      <c r="M7898" t="s">
        <v>1417</v>
      </c>
      <c r="N7898" t="s">
        <v>1417</v>
      </c>
      <c r="O7898" t="s">
        <v>23</v>
      </c>
      <c r="P7898" t="s">
        <v>24</v>
      </c>
      <c r="Q7898" t="s">
        <v>642</v>
      </c>
      <c r="R7898" t="s">
        <v>1417</v>
      </c>
    </row>
    <row r="7899" spans="1:18" x14ac:dyDescent="0.25">
      <c r="A7899" t="s">
        <v>15445</v>
      </c>
      <c r="B7899" t="s">
        <v>9470</v>
      </c>
      <c r="C7899" t="str">
        <f>HYPERLINK("https://nematode.unl.edu/ogmas2.jpg")</f>
        <v>https://nematode.unl.edu/ogmas2.jpg</v>
      </c>
      <c r="D7899" t="s">
        <v>43</v>
      </c>
      <c r="G7899" t="s">
        <v>34</v>
      </c>
      <c r="H7899" t="s">
        <v>18</v>
      </c>
      <c r="J7899" t="s">
        <v>9468</v>
      </c>
      <c r="L7899" t="s">
        <v>9469</v>
      </c>
      <c r="M7899" t="s">
        <v>1417</v>
      </c>
      <c r="N7899" t="s">
        <v>1417</v>
      </c>
      <c r="O7899" t="s">
        <v>23</v>
      </c>
      <c r="P7899" t="s">
        <v>24</v>
      </c>
      <c r="Q7899" t="s">
        <v>642</v>
      </c>
      <c r="R7899" t="s">
        <v>1417</v>
      </c>
    </row>
    <row r="7900" spans="1:18" x14ac:dyDescent="0.25">
      <c r="A7900" t="s">
        <v>15507</v>
      </c>
      <c r="B7900" t="s">
        <v>9471</v>
      </c>
      <c r="C7900" t="str">
        <f>HYPERLINK("https://nematode.unl.edu/ogmas3.jpg")</f>
        <v>https://nematode.unl.edu/ogmas3.jpg</v>
      </c>
      <c r="D7900" t="s">
        <v>43</v>
      </c>
      <c r="G7900" t="s">
        <v>28</v>
      </c>
      <c r="J7900" t="s">
        <v>9468</v>
      </c>
      <c r="L7900" t="s">
        <v>9469</v>
      </c>
      <c r="M7900" t="s">
        <v>1417</v>
      </c>
      <c r="N7900" t="s">
        <v>1417</v>
      </c>
      <c r="O7900" t="s">
        <v>23</v>
      </c>
      <c r="P7900" t="s">
        <v>24</v>
      </c>
      <c r="Q7900" t="s">
        <v>642</v>
      </c>
      <c r="R7900" t="s">
        <v>1417</v>
      </c>
    </row>
    <row r="7901" spans="1:18" x14ac:dyDescent="0.25">
      <c r="A7901" t="s">
        <v>15475</v>
      </c>
      <c r="B7901" t="s">
        <v>9472</v>
      </c>
      <c r="C7901" t="str">
        <f>HYPERLINK("https://nematode.unl.edu/ogmasad1.jpg")</f>
        <v>https://nematode.unl.edu/ogmasad1.jpg</v>
      </c>
      <c r="D7901" t="s">
        <v>16</v>
      </c>
      <c r="G7901" t="s">
        <v>44</v>
      </c>
      <c r="I7901" t="s">
        <v>19</v>
      </c>
      <c r="J7901" t="s">
        <v>8046</v>
      </c>
      <c r="L7901" t="s">
        <v>6241</v>
      </c>
      <c r="M7901" t="s">
        <v>1417</v>
      </c>
      <c r="N7901" t="s">
        <v>1417</v>
      </c>
      <c r="O7901" t="s">
        <v>23</v>
      </c>
      <c r="P7901" t="s">
        <v>24</v>
      </c>
      <c r="Q7901" t="s">
        <v>642</v>
      </c>
      <c r="R7901" t="s">
        <v>1417</v>
      </c>
    </row>
    <row r="7902" spans="1:18" x14ac:dyDescent="0.25">
      <c r="A7902" t="s">
        <v>15446</v>
      </c>
      <c r="B7902" t="s">
        <v>9473</v>
      </c>
      <c r="C7902" t="str">
        <f>HYPERLINK("https://nematode.unl.edu/ogmasad2.jpg")</f>
        <v>https://nematode.unl.edu/ogmasad2.jpg</v>
      </c>
      <c r="D7902" t="s">
        <v>16</v>
      </c>
      <c r="G7902" t="s">
        <v>34</v>
      </c>
      <c r="H7902" t="s">
        <v>18</v>
      </c>
      <c r="I7902" t="s">
        <v>41</v>
      </c>
      <c r="J7902" t="s">
        <v>8046</v>
      </c>
      <c r="L7902" t="s">
        <v>6241</v>
      </c>
      <c r="M7902" t="s">
        <v>1417</v>
      </c>
      <c r="N7902" t="s">
        <v>1417</v>
      </c>
      <c r="O7902" t="s">
        <v>23</v>
      </c>
      <c r="P7902" t="s">
        <v>24</v>
      </c>
      <c r="Q7902" t="s">
        <v>642</v>
      </c>
      <c r="R7902" t="s">
        <v>1417</v>
      </c>
    </row>
    <row r="7903" spans="1:18" x14ac:dyDescent="0.25">
      <c r="A7903" t="s">
        <v>15508</v>
      </c>
      <c r="B7903" t="s">
        <v>9474</v>
      </c>
      <c r="C7903" t="str">
        <f>HYPERLINK("https://nematode.unl.edu/ogmasad3.jpg")</f>
        <v>https://nematode.unl.edu/ogmasad3.jpg</v>
      </c>
      <c r="D7903" t="s">
        <v>16</v>
      </c>
      <c r="G7903" t="s">
        <v>28</v>
      </c>
      <c r="J7903" t="s">
        <v>8046</v>
      </c>
      <c r="L7903" t="s">
        <v>6241</v>
      </c>
      <c r="M7903" t="s">
        <v>1417</v>
      </c>
      <c r="N7903" t="s">
        <v>1417</v>
      </c>
      <c r="O7903" t="s">
        <v>23</v>
      </c>
      <c r="P7903" t="s">
        <v>24</v>
      </c>
      <c r="Q7903" t="s">
        <v>642</v>
      </c>
      <c r="R7903" t="s">
        <v>1417</v>
      </c>
    </row>
    <row r="7904" spans="1:18" x14ac:dyDescent="0.25">
      <c r="A7904" t="s">
        <v>15476</v>
      </c>
      <c r="B7904" t="s">
        <v>9475</v>
      </c>
      <c r="C7904" t="str">
        <f>HYPERLINK("https://nematode.unl.edu/ogmasad4.jpg")</f>
        <v>https://nematode.unl.edu/ogmasad4.jpg</v>
      </c>
      <c r="D7904" t="s">
        <v>16</v>
      </c>
      <c r="G7904" t="s">
        <v>44</v>
      </c>
      <c r="I7904" t="s">
        <v>41</v>
      </c>
      <c r="J7904" t="s">
        <v>8046</v>
      </c>
      <c r="L7904" t="s">
        <v>6241</v>
      </c>
      <c r="M7904" t="s">
        <v>1417</v>
      </c>
      <c r="N7904" t="s">
        <v>1417</v>
      </c>
      <c r="O7904" t="s">
        <v>23</v>
      </c>
      <c r="P7904" t="s">
        <v>24</v>
      </c>
      <c r="Q7904" t="s">
        <v>642</v>
      </c>
      <c r="R7904" t="s">
        <v>1417</v>
      </c>
    </row>
    <row r="7905" spans="1:18" x14ac:dyDescent="0.25">
      <c r="A7905" t="s">
        <v>13830</v>
      </c>
      <c r="B7905" t="s">
        <v>4120</v>
      </c>
      <c r="C7905" t="str">
        <f>HYPERLINK("https://nematode.unl.edu/ogmenze1.jpg")</f>
        <v>https://nematode.unl.edu/ogmenze1.jpg</v>
      </c>
      <c r="D7905" t="s">
        <v>43</v>
      </c>
      <c r="G7905" t="s">
        <v>44</v>
      </c>
      <c r="I7905" t="s">
        <v>137</v>
      </c>
      <c r="J7905" t="s">
        <v>1498</v>
      </c>
      <c r="L7905" t="s">
        <v>1499</v>
      </c>
      <c r="M7905" t="s">
        <v>4121</v>
      </c>
      <c r="N7905" t="s">
        <v>4121</v>
      </c>
      <c r="O7905" t="s">
        <v>23</v>
      </c>
      <c r="P7905" t="s">
        <v>24</v>
      </c>
      <c r="Q7905" t="s">
        <v>642</v>
      </c>
      <c r="R7905" t="s">
        <v>683</v>
      </c>
    </row>
    <row r="7906" spans="1:18" x14ac:dyDescent="0.25">
      <c r="A7906" t="s">
        <v>13831</v>
      </c>
      <c r="B7906" t="s">
        <v>4122</v>
      </c>
      <c r="C7906" t="str">
        <f>HYPERLINK("https://nematode.unl.edu/ogmenze2.jpg")</f>
        <v>https://nematode.unl.edu/ogmenze2.jpg</v>
      </c>
      <c r="D7906" t="s">
        <v>43</v>
      </c>
      <c r="G7906" t="s">
        <v>44</v>
      </c>
      <c r="I7906" t="s">
        <v>19</v>
      </c>
      <c r="J7906" t="s">
        <v>1498</v>
      </c>
      <c r="L7906" t="s">
        <v>1499</v>
      </c>
      <c r="M7906" t="s">
        <v>4121</v>
      </c>
      <c r="N7906" t="s">
        <v>4121</v>
      </c>
      <c r="O7906" t="s">
        <v>23</v>
      </c>
      <c r="P7906" t="s">
        <v>24</v>
      </c>
      <c r="Q7906" t="s">
        <v>642</v>
      </c>
      <c r="R7906" t="s">
        <v>683</v>
      </c>
    </row>
    <row r="7907" spans="1:18" x14ac:dyDescent="0.25">
      <c r="A7907" t="s">
        <v>13832</v>
      </c>
      <c r="B7907" t="s">
        <v>4123</v>
      </c>
      <c r="C7907" t="str">
        <f>HYPERLINK("https://nematode.unl.edu/ogmenze3.jpg")</f>
        <v>https://nematode.unl.edu/ogmenze3.jpg</v>
      </c>
      <c r="D7907" t="s">
        <v>43</v>
      </c>
      <c r="G7907" t="s">
        <v>44</v>
      </c>
      <c r="I7907" t="s">
        <v>19</v>
      </c>
      <c r="J7907" t="s">
        <v>1498</v>
      </c>
      <c r="L7907" t="s">
        <v>1499</v>
      </c>
      <c r="M7907" t="s">
        <v>4121</v>
      </c>
      <c r="N7907" t="s">
        <v>4121</v>
      </c>
      <c r="O7907" t="s">
        <v>23</v>
      </c>
      <c r="P7907" t="s">
        <v>24</v>
      </c>
      <c r="Q7907" t="s">
        <v>642</v>
      </c>
      <c r="R7907" t="s">
        <v>683</v>
      </c>
    </row>
    <row r="7908" spans="1:18" x14ac:dyDescent="0.25">
      <c r="A7908" t="s">
        <v>13824</v>
      </c>
      <c r="B7908" t="s">
        <v>4124</v>
      </c>
      <c r="C7908" t="str">
        <f>HYPERLINK("https://nematode.unl.edu/ogmenze4.jpg")</f>
        <v>https://nematode.unl.edu/ogmenze4.jpg</v>
      </c>
      <c r="D7908" t="s">
        <v>43</v>
      </c>
      <c r="G7908" t="s">
        <v>34</v>
      </c>
      <c r="H7908" t="s">
        <v>18</v>
      </c>
      <c r="I7908" t="s">
        <v>41</v>
      </c>
      <c r="J7908" t="s">
        <v>1498</v>
      </c>
      <c r="L7908" t="s">
        <v>1499</v>
      </c>
      <c r="M7908" t="s">
        <v>4121</v>
      </c>
      <c r="N7908" t="s">
        <v>4121</v>
      </c>
      <c r="O7908" t="s">
        <v>23</v>
      </c>
      <c r="P7908" t="s">
        <v>24</v>
      </c>
      <c r="Q7908" t="s">
        <v>642</v>
      </c>
      <c r="R7908" t="s">
        <v>683</v>
      </c>
    </row>
    <row r="7909" spans="1:18" x14ac:dyDescent="0.25">
      <c r="A7909" t="s">
        <v>13825</v>
      </c>
      <c r="B7909" t="s">
        <v>4125</v>
      </c>
      <c r="C7909" t="str">
        <f>HYPERLINK("https://nematode.unl.edu/ogmenze5.jpg")</f>
        <v>https://nematode.unl.edu/ogmenze5.jpg</v>
      </c>
      <c r="D7909" t="s">
        <v>43</v>
      </c>
      <c r="G7909" t="s">
        <v>34</v>
      </c>
      <c r="H7909" t="s">
        <v>18</v>
      </c>
      <c r="I7909" t="s">
        <v>41</v>
      </c>
      <c r="J7909" t="s">
        <v>1498</v>
      </c>
      <c r="L7909" t="s">
        <v>1499</v>
      </c>
      <c r="M7909" t="s">
        <v>4121</v>
      </c>
      <c r="N7909" t="s">
        <v>4121</v>
      </c>
      <c r="O7909" t="s">
        <v>23</v>
      </c>
      <c r="P7909" t="s">
        <v>24</v>
      </c>
      <c r="Q7909" t="s">
        <v>642</v>
      </c>
      <c r="R7909" t="s">
        <v>683</v>
      </c>
    </row>
    <row r="7910" spans="1:18" x14ac:dyDescent="0.25">
      <c r="A7910" t="s">
        <v>13833</v>
      </c>
      <c r="B7910" t="s">
        <v>4126</v>
      </c>
      <c r="C7910" t="str">
        <f>HYPERLINK("https://nematode.unl.edu/ogmenze6.jpg")</f>
        <v>https://nematode.unl.edu/ogmenze6.jpg</v>
      </c>
      <c r="D7910" t="s">
        <v>43</v>
      </c>
      <c r="G7910" t="s">
        <v>44</v>
      </c>
      <c r="J7910" t="s">
        <v>1498</v>
      </c>
      <c r="L7910" t="s">
        <v>1499</v>
      </c>
      <c r="M7910" t="s">
        <v>4121</v>
      </c>
      <c r="N7910" t="s">
        <v>4121</v>
      </c>
      <c r="O7910" t="s">
        <v>23</v>
      </c>
      <c r="P7910" t="s">
        <v>24</v>
      </c>
      <c r="Q7910" t="s">
        <v>642</v>
      </c>
      <c r="R7910" t="s">
        <v>683</v>
      </c>
    </row>
    <row r="7911" spans="1:18" x14ac:dyDescent="0.25">
      <c r="A7911" t="s">
        <v>13847</v>
      </c>
      <c r="B7911" t="s">
        <v>4127</v>
      </c>
      <c r="C7911" t="str">
        <f>HYPERLINK("https://nematode.unl.edu/ogmenze7.jpg")</f>
        <v>https://nematode.unl.edu/ogmenze7.jpg</v>
      </c>
      <c r="D7911" t="s">
        <v>43</v>
      </c>
      <c r="G7911" t="s">
        <v>28</v>
      </c>
      <c r="I7911" t="s">
        <v>41</v>
      </c>
      <c r="J7911" t="s">
        <v>1498</v>
      </c>
      <c r="L7911" t="s">
        <v>1499</v>
      </c>
      <c r="M7911" t="s">
        <v>4121</v>
      </c>
      <c r="N7911" t="s">
        <v>4121</v>
      </c>
      <c r="O7911" t="s">
        <v>23</v>
      </c>
      <c r="P7911" t="s">
        <v>24</v>
      </c>
      <c r="Q7911" t="s">
        <v>642</v>
      </c>
      <c r="R7911" t="s">
        <v>683</v>
      </c>
    </row>
    <row r="7912" spans="1:18" x14ac:dyDescent="0.25">
      <c r="A7912" t="s">
        <v>15577</v>
      </c>
      <c r="B7912" t="s">
        <v>1476</v>
      </c>
      <c r="C7912" t="str">
        <f>HYPERLINK("https://nematode.unl.edu/ogmoc1.jpg")</f>
        <v>https://nematode.unl.edu/ogmoc1.jpg</v>
      </c>
      <c r="D7912" t="s">
        <v>43</v>
      </c>
      <c r="G7912" t="s">
        <v>44</v>
      </c>
      <c r="I7912" t="s">
        <v>137</v>
      </c>
      <c r="J7912" t="s">
        <v>1477</v>
      </c>
      <c r="L7912" t="s">
        <v>1478</v>
      </c>
      <c r="M7912" t="s">
        <v>1479</v>
      </c>
      <c r="N7912" t="s">
        <v>1480</v>
      </c>
      <c r="O7912" t="s">
        <v>23</v>
      </c>
      <c r="P7912" t="s">
        <v>24</v>
      </c>
      <c r="Q7912" t="s">
        <v>642</v>
      </c>
      <c r="R7912" t="s">
        <v>1417</v>
      </c>
    </row>
    <row r="7913" spans="1:18" x14ac:dyDescent="0.25">
      <c r="A7913" t="s">
        <v>15586</v>
      </c>
      <c r="B7913" t="s">
        <v>1481</v>
      </c>
      <c r="C7913" t="str">
        <f>HYPERLINK("https://nematode.unl.edu/ogmoc10.jpg")</f>
        <v>https://nematode.unl.edu/ogmoc10.jpg</v>
      </c>
      <c r="D7913" t="s">
        <v>43</v>
      </c>
      <c r="G7913" t="s">
        <v>1469</v>
      </c>
      <c r="I7913" t="s">
        <v>41</v>
      </c>
      <c r="J7913" t="s">
        <v>1477</v>
      </c>
      <c r="L7913" t="s">
        <v>1478</v>
      </c>
      <c r="M7913" t="s">
        <v>1479</v>
      </c>
      <c r="N7913" t="s">
        <v>1480</v>
      </c>
      <c r="O7913" t="s">
        <v>23</v>
      </c>
      <c r="P7913" t="s">
        <v>24</v>
      </c>
      <c r="Q7913" t="s">
        <v>642</v>
      </c>
      <c r="R7913" t="s">
        <v>1417</v>
      </c>
    </row>
    <row r="7914" spans="1:18" x14ac:dyDescent="0.25">
      <c r="A7914" t="s">
        <v>15587</v>
      </c>
      <c r="B7914" t="s">
        <v>1482</v>
      </c>
      <c r="C7914" t="str">
        <f>HYPERLINK("https://nematode.unl.edu/ogmoc11.jpg")</f>
        <v>https://nematode.unl.edu/ogmoc11.jpg</v>
      </c>
      <c r="D7914" t="s">
        <v>43</v>
      </c>
      <c r="G7914" t="s">
        <v>28</v>
      </c>
      <c r="I7914" t="s">
        <v>41</v>
      </c>
      <c r="J7914" t="s">
        <v>1477</v>
      </c>
      <c r="L7914" t="s">
        <v>1478</v>
      </c>
      <c r="M7914" t="s">
        <v>1479</v>
      </c>
      <c r="N7914" t="s">
        <v>1480</v>
      </c>
      <c r="O7914" t="s">
        <v>23</v>
      </c>
      <c r="P7914" t="s">
        <v>24</v>
      </c>
      <c r="Q7914" t="s">
        <v>642</v>
      </c>
      <c r="R7914" t="s">
        <v>1417</v>
      </c>
    </row>
    <row r="7915" spans="1:18" x14ac:dyDescent="0.25">
      <c r="A7915" t="s">
        <v>15578</v>
      </c>
      <c r="B7915" t="s">
        <v>1483</v>
      </c>
      <c r="C7915" t="str">
        <f>HYPERLINK("https://nematode.unl.edu/ogmoc12.jpg")</f>
        <v>https://nematode.unl.edu/ogmoc12.jpg</v>
      </c>
      <c r="D7915" t="s">
        <v>16</v>
      </c>
      <c r="G7915" t="s">
        <v>44</v>
      </c>
      <c r="I7915" t="s">
        <v>137</v>
      </c>
      <c r="J7915" t="s">
        <v>1477</v>
      </c>
      <c r="L7915" t="s">
        <v>1478</v>
      </c>
      <c r="M7915" t="s">
        <v>1479</v>
      </c>
      <c r="N7915" t="s">
        <v>1480</v>
      </c>
      <c r="O7915" t="s">
        <v>23</v>
      </c>
      <c r="P7915" t="s">
        <v>24</v>
      </c>
      <c r="Q7915" t="s">
        <v>642</v>
      </c>
      <c r="R7915" t="s">
        <v>1417</v>
      </c>
    </row>
    <row r="7916" spans="1:18" x14ac:dyDescent="0.25">
      <c r="A7916" t="s">
        <v>15579</v>
      </c>
      <c r="B7916" t="s">
        <v>1484</v>
      </c>
      <c r="C7916" t="str">
        <f>HYPERLINK("https://nematode.unl.edu/ogmoc13.jpg")</f>
        <v>https://nematode.unl.edu/ogmoc13.jpg</v>
      </c>
      <c r="D7916" t="s">
        <v>16</v>
      </c>
      <c r="G7916" t="s">
        <v>44</v>
      </c>
      <c r="I7916" t="s">
        <v>19</v>
      </c>
      <c r="J7916" t="s">
        <v>1477</v>
      </c>
      <c r="L7916" t="s">
        <v>1478</v>
      </c>
      <c r="M7916" t="s">
        <v>1479</v>
      </c>
      <c r="N7916" t="s">
        <v>1480</v>
      </c>
      <c r="O7916" t="s">
        <v>23</v>
      </c>
      <c r="P7916" t="s">
        <v>24</v>
      </c>
      <c r="Q7916" t="s">
        <v>642</v>
      </c>
      <c r="R7916" t="s">
        <v>1417</v>
      </c>
    </row>
    <row r="7917" spans="1:18" x14ac:dyDescent="0.25">
      <c r="A7917" t="s">
        <v>15570</v>
      </c>
      <c r="B7917" t="s">
        <v>1485</v>
      </c>
      <c r="C7917" t="str">
        <f>HYPERLINK("https://nematode.unl.edu/ogmoc14.jpg")</f>
        <v>https://nematode.unl.edu/ogmoc14.jpg</v>
      </c>
      <c r="D7917" t="s">
        <v>16</v>
      </c>
      <c r="G7917" t="s">
        <v>96</v>
      </c>
      <c r="H7917" t="s">
        <v>18</v>
      </c>
      <c r="I7917" t="s">
        <v>19</v>
      </c>
      <c r="J7917" t="s">
        <v>1477</v>
      </c>
      <c r="L7917" t="s">
        <v>1478</v>
      </c>
      <c r="M7917" t="s">
        <v>1479</v>
      </c>
      <c r="N7917" t="s">
        <v>1480</v>
      </c>
      <c r="O7917" t="s">
        <v>23</v>
      </c>
      <c r="P7917" t="s">
        <v>24</v>
      </c>
      <c r="Q7917" t="s">
        <v>642</v>
      </c>
      <c r="R7917" t="s">
        <v>1417</v>
      </c>
    </row>
    <row r="7918" spans="1:18" x14ac:dyDescent="0.25">
      <c r="A7918" t="s">
        <v>15574</v>
      </c>
      <c r="B7918" t="s">
        <v>1486</v>
      </c>
      <c r="C7918" t="str">
        <f>HYPERLINK("https://nematode.unl.edu/ogmoc15.jpg")</f>
        <v>https://nematode.unl.edu/ogmoc15.jpg</v>
      </c>
      <c r="D7918" t="s">
        <v>16</v>
      </c>
      <c r="G7918" t="s">
        <v>34</v>
      </c>
      <c r="H7918" t="s">
        <v>18</v>
      </c>
      <c r="J7918" t="s">
        <v>1477</v>
      </c>
      <c r="L7918" t="s">
        <v>1478</v>
      </c>
      <c r="M7918" t="s">
        <v>1479</v>
      </c>
      <c r="N7918" t="s">
        <v>1480</v>
      </c>
      <c r="O7918" t="s">
        <v>23</v>
      </c>
      <c r="P7918" t="s">
        <v>24</v>
      </c>
      <c r="Q7918" t="s">
        <v>642</v>
      </c>
      <c r="R7918" t="s">
        <v>1417</v>
      </c>
    </row>
    <row r="7919" spans="1:18" x14ac:dyDescent="0.25">
      <c r="A7919" t="s">
        <v>15580</v>
      </c>
      <c r="B7919" t="s">
        <v>1487</v>
      </c>
      <c r="C7919" t="str">
        <f>HYPERLINK("https://nematode.unl.edu/ogmoc2.jpg")</f>
        <v>https://nematode.unl.edu/ogmoc2.jpg</v>
      </c>
      <c r="D7919" t="s">
        <v>43</v>
      </c>
      <c r="G7919" t="s">
        <v>44</v>
      </c>
      <c r="I7919" t="s">
        <v>19</v>
      </c>
      <c r="J7919" t="s">
        <v>1477</v>
      </c>
      <c r="L7919" t="s">
        <v>1478</v>
      </c>
      <c r="M7919" t="s">
        <v>1479</v>
      </c>
      <c r="N7919" t="s">
        <v>1480</v>
      </c>
      <c r="O7919" t="s">
        <v>23</v>
      </c>
      <c r="P7919" t="s">
        <v>24</v>
      </c>
      <c r="Q7919" t="s">
        <v>642</v>
      </c>
      <c r="R7919" t="s">
        <v>1417</v>
      </c>
    </row>
    <row r="7920" spans="1:18" x14ac:dyDescent="0.25">
      <c r="A7920" t="s">
        <v>15585</v>
      </c>
      <c r="B7920" t="s">
        <v>1488</v>
      </c>
      <c r="C7920" t="str">
        <f>HYPERLINK("https://nematode.unl.edu/ogmoc3.jpg")</f>
        <v>https://nematode.unl.edu/ogmoc3.jpg</v>
      </c>
      <c r="D7920" t="s">
        <v>43</v>
      </c>
      <c r="G7920" t="s">
        <v>1489</v>
      </c>
      <c r="I7920" t="s">
        <v>41</v>
      </c>
      <c r="J7920" t="s">
        <v>1477</v>
      </c>
      <c r="L7920" t="s">
        <v>1478</v>
      </c>
      <c r="M7920" t="s">
        <v>1479</v>
      </c>
      <c r="N7920" t="s">
        <v>1480</v>
      </c>
      <c r="O7920" t="s">
        <v>23</v>
      </c>
      <c r="P7920" t="s">
        <v>24</v>
      </c>
      <c r="Q7920" t="s">
        <v>642</v>
      </c>
      <c r="R7920" t="s">
        <v>1417</v>
      </c>
    </row>
    <row r="7921" spans="1:18" x14ac:dyDescent="0.25">
      <c r="A7921" t="s">
        <v>15581</v>
      </c>
      <c r="B7921" t="s">
        <v>1490</v>
      </c>
      <c r="C7921" t="str">
        <f>HYPERLINK("https://nematode.unl.edu/ogmoc4.jpg")</f>
        <v>https://nematode.unl.edu/ogmoc4.jpg</v>
      </c>
      <c r="D7921" t="s">
        <v>77</v>
      </c>
      <c r="G7921" t="s">
        <v>44</v>
      </c>
      <c r="I7921" t="s">
        <v>19</v>
      </c>
      <c r="J7921" t="s">
        <v>1477</v>
      </c>
      <c r="L7921" t="s">
        <v>1478</v>
      </c>
      <c r="M7921" t="s">
        <v>1479</v>
      </c>
      <c r="N7921" t="s">
        <v>1480</v>
      </c>
      <c r="O7921" t="s">
        <v>23</v>
      </c>
      <c r="P7921" t="s">
        <v>24</v>
      </c>
      <c r="Q7921" t="s">
        <v>642</v>
      </c>
      <c r="R7921" t="s">
        <v>1417</v>
      </c>
    </row>
    <row r="7922" spans="1:18" x14ac:dyDescent="0.25">
      <c r="A7922" t="s">
        <v>15584</v>
      </c>
      <c r="B7922" t="s">
        <v>1491</v>
      </c>
      <c r="C7922" t="str">
        <f>HYPERLINK("https://nematode.unl.edu/ogmoc5.jpg")</f>
        <v>https://nematode.unl.edu/ogmoc5.jpg</v>
      </c>
      <c r="D7922" t="s">
        <v>43</v>
      </c>
      <c r="G7922" t="s">
        <v>224</v>
      </c>
      <c r="I7922" t="s">
        <v>19</v>
      </c>
      <c r="J7922" t="s">
        <v>1477</v>
      </c>
      <c r="L7922" t="s">
        <v>1478</v>
      </c>
      <c r="M7922" t="s">
        <v>1479</v>
      </c>
      <c r="N7922" t="s">
        <v>1480</v>
      </c>
      <c r="O7922" t="s">
        <v>23</v>
      </c>
      <c r="P7922" t="s">
        <v>24</v>
      </c>
      <c r="Q7922" t="s">
        <v>642</v>
      </c>
      <c r="R7922" t="s">
        <v>1417</v>
      </c>
    </row>
    <row r="7923" spans="1:18" x14ac:dyDescent="0.25">
      <c r="A7923" t="s">
        <v>15582</v>
      </c>
      <c r="B7923" t="s">
        <v>1492</v>
      </c>
      <c r="C7923" t="str">
        <f>HYPERLINK("https://nematode.unl.edu/ogmoc6.jpg")</f>
        <v>https://nematode.unl.edu/ogmoc6.jpg</v>
      </c>
      <c r="D7923" t="s">
        <v>43</v>
      </c>
      <c r="G7923" t="s">
        <v>44</v>
      </c>
      <c r="I7923" t="s">
        <v>19</v>
      </c>
      <c r="J7923" t="s">
        <v>1477</v>
      </c>
      <c r="L7923" t="s">
        <v>1478</v>
      </c>
      <c r="M7923" t="s">
        <v>1479</v>
      </c>
      <c r="N7923" t="s">
        <v>1480</v>
      </c>
      <c r="O7923" t="s">
        <v>23</v>
      </c>
      <c r="P7923" t="s">
        <v>24</v>
      </c>
      <c r="Q7923" t="s">
        <v>642</v>
      </c>
      <c r="R7923" t="s">
        <v>1417</v>
      </c>
    </row>
    <row r="7924" spans="1:18" x14ac:dyDescent="0.25">
      <c r="A7924" t="s">
        <v>15571</v>
      </c>
      <c r="B7924" t="s">
        <v>1493</v>
      </c>
      <c r="C7924" t="str">
        <f>HYPERLINK("https://nematode.unl.edu/ogmoc7.jpg")</f>
        <v>https://nematode.unl.edu/ogmoc7.jpg</v>
      </c>
      <c r="D7924" t="s">
        <v>77</v>
      </c>
      <c r="G7924" t="s">
        <v>96</v>
      </c>
      <c r="H7924" t="s">
        <v>18</v>
      </c>
      <c r="I7924" t="s">
        <v>19</v>
      </c>
      <c r="J7924" t="s">
        <v>1477</v>
      </c>
      <c r="L7924" t="s">
        <v>1478</v>
      </c>
      <c r="M7924" t="s">
        <v>1479</v>
      </c>
      <c r="N7924" t="s">
        <v>1480</v>
      </c>
      <c r="O7924" t="s">
        <v>23</v>
      </c>
      <c r="P7924" t="s">
        <v>24</v>
      </c>
      <c r="Q7924" t="s">
        <v>642</v>
      </c>
      <c r="R7924" t="s">
        <v>1417</v>
      </c>
    </row>
    <row r="7925" spans="1:18" x14ac:dyDescent="0.25">
      <c r="A7925" t="s">
        <v>15575</v>
      </c>
      <c r="B7925" t="s">
        <v>1494</v>
      </c>
      <c r="C7925" t="str">
        <f>HYPERLINK("https://nematode.unl.edu/ogmoc8.jpg")</f>
        <v>https://nematode.unl.edu/ogmoc8.jpg</v>
      </c>
      <c r="D7925" t="s">
        <v>43</v>
      </c>
      <c r="G7925" t="s">
        <v>34</v>
      </c>
      <c r="H7925" t="s">
        <v>18</v>
      </c>
      <c r="J7925" t="s">
        <v>1477</v>
      </c>
      <c r="L7925" t="s">
        <v>1478</v>
      </c>
      <c r="M7925" t="s">
        <v>1479</v>
      </c>
      <c r="N7925" t="s">
        <v>1480</v>
      </c>
      <c r="O7925" t="s">
        <v>23</v>
      </c>
      <c r="P7925" t="s">
        <v>24</v>
      </c>
      <c r="Q7925" t="s">
        <v>642</v>
      </c>
      <c r="R7925" t="s">
        <v>1417</v>
      </c>
    </row>
    <row r="7926" spans="1:18" x14ac:dyDescent="0.25">
      <c r="A7926" t="s">
        <v>15573</v>
      </c>
      <c r="B7926" t="s">
        <v>1495</v>
      </c>
      <c r="C7926" t="str">
        <f>HYPERLINK("https://nematode.unl.edu/ogmoc9.jpg")</f>
        <v>https://nematode.unl.edu/ogmoc9.jpg</v>
      </c>
      <c r="D7926" t="s">
        <v>43</v>
      </c>
      <c r="G7926" t="s">
        <v>1496</v>
      </c>
      <c r="H7926" t="s">
        <v>18</v>
      </c>
      <c r="I7926" t="s">
        <v>41</v>
      </c>
      <c r="J7926" t="s">
        <v>1477</v>
      </c>
      <c r="L7926" t="s">
        <v>1478</v>
      </c>
      <c r="M7926" t="s">
        <v>1479</v>
      </c>
      <c r="N7926" t="s">
        <v>1480</v>
      </c>
      <c r="O7926" t="s">
        <v>23</v>
      </c>
      <c r="P7926" t="s">
        <v>24</v>
      </c>
      <c r="Q7926" t="s">
        <v>642</v>
      </c>
      <c r="R7926" t="s">
        <v>1417</v>
      </c>
    </row>
    <row r="7927" spans="1:18" x14ac:dyDescent="0.25">
      <c r="A7927" t="s">
        <v>15477</v>
      </c>
      <c r="B7927" t="s">
        <v>9476</v>
      </c>
      <c r="C7927" t="str">
        <f>HYPERLINK("https://nematode.unl.edu/ogoa1.jpg")</f>
        <v>https://nematode.unl.edu/ogoa1.jpg</v>
      </c>
      <c r="D7927" t="s">
        <v>43</v>
      </c>
      <c r="G7927" t="s">
        <v>44</v>
      </c>
      <c r="I7927" t="s">
        <v>137</v>
      </c>
      <c r="J7927" t="s">
        <v>649</v>
      </c>
      <c r="L7927" t="s">
        <v>6205</v>
      </c>
      <c r="M7927" t="s">
        <v>1417</v>
      </c>
      <c r="N7927" t="s">
        <v>1417</v>
      </c>
      <c r="O7927" t="s">
        <v>23</v>
      </c>
      <c r="P7927" t="s">
        <v>24</v>
      </c>
      <c r="Q7927" t="s">
        <v>642</v>
      </c>
      <c r="R7927" t="s">
        <v>1417</v>
      </c>
    </row>
    <row r="7928" spans="1:18" x14ac:dyDescent="0.25">
      <c r="A7928" t="s">
        <v>15488</v>
      </c>
      <c r="B7928" t="s">
        <v>9477</v>
      </c>
      <c r="C7928" t="str">
        <f>HYPERLINK("https://nematode.unl.edu/ogoa10.jpg")</f>
        <v>https://nematode.unl.edu/ogoa10.jpg</v>
      </c>
      <c r="D7928" t="s">
        <v>16</v>
      </c>
      <c r="G7928" t="s">
        <v>224</v>
      </c>
      <c r="I7928" t="s">
        <v>41</v>
      </c>
      <c r="J7928" t="s">
        <v>649</v>
      </c>
      <c r="L7928" t="s">
        <v>6205</v>
      </c>
      <c r="M7928" t="s">
        <v>1417</v>
      </c>
      <c r="N7928" t="s">
        <v>1417</v>
      </c>
      <c r="O7928" t="s">
        <v>23</v>
      </c>
      <c r="P7928" t="s">
        <v>24</v>
      </c>
      <c r="Q7928" t="s">
        <v>642</v>
      </c>
      <c r="R7928" t="s">
        <v>1417</v>
      </c>
    </row>
    <row r="7929" spans="1:18" x14ac:dyDescent="0.25">
      <c r="A7929" t="s">
        <v>15478</v>
      </c>
      <c r="B7929" t="s">
        <v>9478</v>
      </c>
      <c r="C7929" t="str">
        <f>HYPERLINK("https://nematode.unl.edu/ogoa11.jpg")</f>
        <v>https://nematode.unl.edu/ogoa11.jpg</v>
      </c>
      <c r="D7929" t="s">
        <v>16</v>
      </c>
      <c r="G7929" t="s">
        <v>44</v>
      </c>
      <c r="I7929" t="s">
        <v>19</v>
      </c>
      <c r="J7929" t="s">
        <v>649</v>
      </c>
      <c r="L7929" t="s">
        <v>6205</v>
      </c>
      <c r="M7929" t="s">
        <v>1417</v>
      </c>
      <c r="N7929" t="s">
        <v>1417</v>
      </c>
      <c r="O7929" t="s">
        <v>23</v>
      </c>
      <c r="P7929" t="s">
        <v>24</v>
      </c>
      <c r="Q7929" t="s">
        <v>642</v>
      </c>
      <c r="R7929" t="s">
        <v>1417</v>
      </c>
    </row>
    <row r="7930" spans="1:18" x14ac:dyDescent="0.25">
      <c r="A7930" t="s">
        <v>15447</v>
      </c>
      <c r="B7930" t="s">
        <v>9479</v>
      </c>
      <c r="C7930" t="str">
        <f>HYPERLINK("https://nematode.unl.edu/ogoa12.jpg")</f>
        <v>https://nematode.unl.edu/ogoa12.jpg</v>
      </c>
      <c r="D7930" t="s">
        <v>16</v>
      </c>
      <c r="G7930" t="s">
        <v>34</v>
      </c>
      <c r="H7930" t="s">
        <v>18</v>
      </c>
      <c r="I7930" t="s">
        <v>41</v>
      </c>
      <c r="J7930" t="s">
        <v>649</v>
      </c>
      <c r="L7930" t="s">
        <v>6205</v>
      </c>
      <c r="M7930" t="s">
        <v>1417</v>
      </c>
      <c r="N7930" t="s">
        <v>1417</v>
      </c>
      <c r="O7930" t="s">
        <v>23</v>
      </c>
      <c r="P7930" t="s">
        <v>24</v>
      </c>
      <c r="Q7930" t="s">
        <v>642</v>
      </c>
      <c r="R7930" t="s">
        <v>1417</v>
      </c>
    </row>
    <row r="7931" spans="1:18" x14ac:dyDescent="0.25">
      <c r="A7931" t="s">
        <v>15495</v>
      </c>
      <c r="B7931" t="s">
        <v>9480</v>
      </c>
      <c r="C7931" t="str">
        <f>HYPERLINK("https://nematode.unl.edu/ogoa13.jpg")</f>
        <v>https://nematode.unl.edu/ogoa13.jpg</v>
      </c>
      <c r="D7931" t="s">
        <v>16</v>
      </c>
      <c r="G7931" t="s">
        <v>181</v>
      </c>
      <c r="J7931" t="s">
        <v>649</v>
      </c>
      <c r="L7931" t="s">
        <v>6205</v>
      </c>
      <c r="M7931" t="s">
        <v>1417</v>
      </c>
      <c r="N7931" t="s">
        <v>1417</v>
      </c>
      <c r="O7931" t="s">
        <v>23</v>
      </c>
      <c r="P7931" t="s">
        <v>24</v>
      </c>
      <c r="Q7931" t="s">
        <v>642</v>
      </c>
      <c r="R7931" t="s">
        <v>1417</v>
      </c>
    </row>
    <row r="7932" spans="1:18" x14ac:dyDescent="0.25">
      <c r="A7932" t="s">
        <v>15479</v>
      </c>
      <c r="B7932" t="s">
        <v>9481</v>
      </c>
      <c r="C7932" t="str">
        <f>HYPERLINK("https://nematode.unl.edu/ogoa14.jpg")</f>
        <v>https://nematode.unl.edu/ogoa14.jpg</v>
      </c>
      <c r="D7932" t="s">
        <v>16</v>
      </c>
      <c r="G7932" t="s">
        <v>44</v>
      </c>
      <c r="J7932" t="s">
        <v>649</v>
      </c>
      <c r="L7932" t="s">
        <v>6205</v>
      </c>
      <c r="M7932" t="s">
        <v>1417</v>
      </c>
      <c r="N7932" t="s">
        <v>1417</v>
      </c>
      <c r="O7932" t="s">
        <v>23</v>
      </c>
      <c r="P7932" t="s">
        <v>24</v>
      </c>
      <c r="Q7932" t="s">
        <v>642</v>
      </c>
      <c r="R7932" t="s">
        <v>1417</v>
      </c>
    </row>
    <row r="7933" spans="1:18" x14ac:dyDescent="0.25">
      <c r="A7933" t="s">
        <v>15435</v>
      </c>
      <c r="B7933" t="s">
        <v>9482</v>
      </c>
      <c r="C7933" t="str">
        <f>HYPERLINK("https://nematode.unl.edu/ogoa15.jpg")</f>
        <v>https://nematode.unl.edu/ogoa15.jpg</v>
      </c>
      <c r="D7933" t="s">
        <v>16</v>
      </c>
      <c r="G7933" t="s">
        <v>96</v>
      </c>
      <c r="H7933" t="s">
        <v>18</v>
      </c>
      <c r="I7933" t="s">
        <v>41</v>
      </c>
      <c r="J7933" t="s">
        <v>649</v>
      </c>
      <c r="L7933" t="s">
        <v>6205</v>
      </c>
      <c r="M7933" t="s">
        <v>1417</v>
      </c>
      <c r="N7933" t="s">
        <v>1417</v>
      </c>
      <c r="O7933" t="s">
        <v>23</v>
      </c>
      <c r="P7933" t="s">
        <v>24</v>
      </c>
      <c r="Q7933" t="s">
        <v>642</v>
      </c>
      <c r="R7933" t="s">
        <v>1417</v>
      </c>
    </row>
    <row r="7934" spans="1:18" x14ac:dyDescent="0.25">
      <c r="A7934" t="s">
        <v>15509</v>
      </c>
      <c r="B7934" t="s">
        <v>9483</v>
      </c>
      <c r="C7934" t="str">
        <f>HYPERLINK("https://nematode.unl.edu/ogoa16.jpg")</f>
        <v>https://nematode.unl.edu/ogoa16.jpg</v>
      </c>
      <c r="D7934" t="s">
        <v>16</v>
      </c>
      <c r="G7934" t="s">
        <v>28</v>
      </c>
      <c r="I7934" t="s">
        <v>41</v>
      </c>
      <c r="J7934" t="s">
        <v>649</v>
      </c>
      <c r="L7934" t="s">
        <v>6205</v>
      </c>
      <c r="M7934" t="s">
        <v>1417</v>
      </c>
      <c r="N7934" t="s">
        <v>1417</v>
      </c>
      <c r="O7934" t="s">
        <v>23</v>
      </c>
      <c r="P7934" t="s">
        <v>24</v>
      </c>
      <c r="Q7934" t="s">
        <v>642</v>
      </c>
      <c r="R7934" t="s">
        <v>1417</v>
      </c>
    </row>
    <row r="7935" spans="1:18" x14ac:dyDescent="0.25">
      <c r="A7935" t="s">
        <v>15489</v>
      </c>
      <c r="B7935" t="s">
        <v>9484</v>
      </c>
      <c r="C7935" t="str">
        <f>HYPERLINK("https://nematode.unl.edu/ogoa2.jpg")</f>
        <v>https://nematode.unl.edu/ogoa2.jpg</v>
      </c>
      <c r="D7935" t="s">
        <v>43</v>
      </c>
      <c r="G7935" t="s">
        <v>224</v>
      </c>
      <c r="J7935" t="s">
        <v>649</v>
      </c>
      <c r="L7935" t="s">
        <v>6205</v>
      </c>
      <c r="M7935" t="s">
        <v>1417</v>
      </c>
      <c r="N7935" t="s">
        <v>1417</v>
      </c>
      <c r="O7935" t="s">
        <v>23</v>
      </c>
      <c r="P7935" t="s">
        <v>24</v>
      </c>
      <c r="Q7935" t="s">
        <v>642</v>
      </c>
      <c r="R7935" t="s">
        <v>1417</v>
      </c>
    </row>
    <row r="7936" spans="1:18" x14ac:dyDescent="0.25">
      <c r="A7936" t="s">
        <v>15480</v>
      </c>
      <c r="B7936" t="s">
        <v>9485</v>
      </c>
      <c r="C7936" t="str">
        <f>HYPERLINK("https://nematode.unl.edu/ogoa3.jpg")</f>
        <v>https://nematode.unl.edu/ogoa3.jpg</v>
      </c>
      <c r="D7936" t="s">
        <v>43</v>
      </c>
      <c r="G7936" t="s">
        <v>44</v>
      </c>
      <c r="I7936" t="s">
        <v>19</v>
      </c>
      <c r="J7936" t="s">
        <v>649</v>
      </c>
      <c r="L7936" t="s">
        <v>6205</v>
      </c>
      <c r="M7936" t="s">
        <v>1417</v>
      </c>
      <c r="N7936" t="s">
        <v>1417</v>
      </c>
      <c r="O7936" t="s">
        <v>23</v>
      </c>
      <c r="P7936" t="s">
        <v>24</v>
      </c>
      <c r="Q7936" t="s">
        <v>642</v>
      </c>
      <c r="R7936" t="s">
        <v>1417</v>
      </c>
    </row>
    <row r="7937" spans="1:18" x14ac:dyDescent="0.25">
      <c r="A7937" t="s">
        <v>15455</v>
      </c>
      <c r="B7937" t="s">
        <v>9486</v>
      </c>
      <c r="C7937" t="str">
        <f>HYPERLINK("https://nematode.unl.edu/ogoa4.jpg")</f>
        <v>https://nematode.unl.edu/ogoa4.jpg</v>
      </c>
      <c r="D7937" t="s">
        <v>43</v>
      </c>
      <c r="G7937" t="s">
        <v>9487</v>
      </c>
      <c r="H7937" t="s">
        <v>18</v>
      </c>
      <c r="I7937" t="s">
        <v>41</v>
      </c>
      <c r="J7937" t="s">
        <v>649</v>
      </c>
      <c r="L7937" t="s">
        <v>6205</v>
      </c>
      <c r="M7937" t="s">
        <v>1417</v>
      </c>
      <c r="N7937" t="s">
        <v>1417</v>
      </c>
      <c r="O7937" t="s">
        <v>23</v>
      </c>
      <c r="P7937" t="s">
        <v>24</v>
      </c>
      <c r="Q7937" t="s">
        <v>642</v>
      </c>
      <c r="R7937" t="s">
        <v>1417</v>
      </c>
    </row>
    <row r="7938" spans="1:18" x14ac:dyDescent="0.25">
      <c r="A7938" t="s">
        <v>15448</v>
      </c>
      <c r="B7938" t="s">
        <v>9488</v>
      </c>
      <c r="C7938" t="str">
        <f>HYPERLINK("https://nematode.unl.edu/ogoa5.jpg")</f>
        <v>https://nematode.unl.edu/ogoa5.jpg</v>
      </c>
      <c r="D7938" t="s">
        <v>43</v>
      </c>
      <c r="G7938" t="s">
        <v>34</v>
      </c>
      <c r="H7938" t="s">
        <v>18</v>
      </c>
      <c r="J7938" t="s">
        <v>649</v>
      </c>
      <c r="L7938" t="s">
        <v>6205</v>
      </c>
      <c r="M7938" t="s">
        <v>1417</v>
      </c>
      <c r="N7938" t="s">
        <v>1417</v>
      </c>
      <c r="O7938" t="s">
        <v>23</v>
      </c>
      <c r="P7938" t="s">
        <v>24</v>
      </c>
      <c r="Q7938" t="s">
        <v>642</v>
      </c>
      <c r="R7938" t="s">
        <v>1417</v>
      </c>
    </row>
    <row r="7939" spans="1:18" x14ac:dyDescent="0.25">
      <c r="A7939" t="s">
        <v>15490</v>
      </c>
      <c r="B7939" t="s">
        <v>9489</v>
      </c>
      <c r="C7939" t="str">
        <f>HYPERLINK("https://nematode.unl.edu/ogoa6.jpg")</f>
        <v>https://nematode.unl.edu/ogoa6.jpg</v>
      </c>
      <c r="D7939" t="s">
        <v>43</v>
      </c>
      <c r="G7939" t="s">
        <v>224</v>
      </c>
      <c r="I7939" t="s">
        <v>41</v>
      </c>
      <c r="J7939" t="s">
        <v>649</v>
      </c>
      <c r="L7939" t="s">
        <v>6205</v>
      </c>
      <c r="M7939" t="s">
        <v>1417</v>
      </c>
      <c r="N7939" t="s">
        <v>1417</v>
      </c>
      <c r="O7939" t="s">
        <v>23</v>
      </c>
      <c r="P7939" t="s">
        <v>24</v>
      </c>
      <c r="Q7939" t="s">
        <v>642</v>
      </c>
      <c r="R7939" t="s">
        <v>1417</v>
      </c>
    </row>
    <row r="7940" spans="1:18" x14ac:dyDescent="0.25">
      <c r="A7940" t="s">
        <v>15510</v>
      </c>
      <c r="B7940" t="s">
        <v>9490</v>
      </c>
      <c r="C7940" t="str">
        <f>HYPERLINK("https://nematode.unl.edu/ogoa7.jpg")</f>
        <v>https://nematode.unl.edu/ogoa7.jpg</v>
      </c>
      <c r="D7940" t="s">
        <v>43</v>
      </c>
      <c r="G7940" t="s">
        <v>28</v>
      </c>
      <c r="I7940" t="s">
        <v>41</v>
      </c>
      <c r="J7940" t="s">
        <v>649</v>
      </c>
      <c r="L7940" t="s">
        <v>6205</v>
      </c>
      <c r="M7940" t="s">
        <v>1417</v>
      </c>
      <c r="N7940" t="s">
        <v>1417</v>
      </c>
      <c r="O7940" t="s">
        <v>23</v>
      </c>
      <c r="P7940" t="s">
        <v>24</v>
      </c>
      <c r="Q7940" t="s">
        <v>642</v>
      </c>
      <c r="R7940" t="s">
        <v>1417</v>
      </c>
    </row>
    <row r="7941" spans="1:18" x14ac:dyDescent="0.25">
      <c r="A7941" t="s">
        <v>15449</v>
      </c>
      <c r="B7941" t="s">
        <v>9491</v>
      </c>
      <c r="C7941" t="str">
        <f>HYPERLINK("https://nematode.unl.edu/ogoa8.jpg")</f>
        <v>https://nematode.unl.edu/ogoa8.jpg</v>
      </c>
      <c r="D7941" t="s">
        <v>16</v>
      </c>
      <c r="G7941" t="s">
        <v>34</v>
      </c>
      <c r="H7941" t="s">
        <v>18</v>
      </c>
      <c r="I7941" t="s">
        <v>41</v>
      </c>
      <c r="J7941" t="s">
        <v>649</v>
      </c>
      <c r="L7941" t="s">
        <v>6205</v>
      </c>
      <c r="M7941" t="s">
        <v>1417</v>
      </c>
      <c r="N7941" t="s">
        <v>1417</v>
      </c>
      <c r="O7941" t="s">
        <v>23</v>
      </c>
      <c r="P7941" t="s">
        <v>24</v>
      </c>
      <c r="Q7941" t="s">
        <v>642</v>
      </c>
      <c r="R7941" t="s">
        <v>1417</v>
      </c>
    </row>
    <row r="7942" spans="1:18" x14ac:dyDescent="0.25">
      <c r="A7942" t="s">
        <v>15511</v>
      </c>
      <c r="B7942" t="s">
        <v>9492</v>
      </c>
      <c r="C7942" t="str">
        <f>HYPERLINK("https://nematode.unl.edu/ogoa9.jpg")</f>
        <v>https://nematode.unl.edu/ogoa9.jpg</v>
      </c>
      <c r="D7942" t="s">
        <v>16</v>
      </c>
      <c r="G7942" t="s">
        <v>28</v>
      </c>
      <c r="I7942" t="s">
        <v>41</v>
      </c>
      <c r="J7942" t="s">
        <v>649</v>
      </c>
      <c r="L7942" t="s">
        <v>6205</v>
      </c>
      <c r="M7942" t="s">
        <v>1417</v>
      </c>
      <c r="N7942" t="s">
        <v>1417</v>
      </c>
      <c r="O7942" t="s">
        <v>23</v>
      </c>
      <c r="P7942" t="s">
        <v>24</v>
      </c>
      <c r="Q7942" t="s">
        <v>642</v>
      </c>
      <c r="R7942" t="s">
        <v>1417</v>
      </c>
    </row>
    <row r="7943" spans="1:18" x14ac:dyDescent="0.25">
      <c r="A7943" t="s">
        <v>15481</v>
      </c>
      <c r="B7943" t="s">
        <v>9493</v>
      </c>
      <c r="C7943" t="str">
        <f>HYPERLINK("https://nematode.unl.edu/ogsa1.jpg")</f>
        <v>https://nematode.unl.edu/ogsa1.jpg</v>
      </c>
      <c r="D7943" t="s">
        <v>43</v>
      </c>
      <c r="G7943" t="s">
        <v>44</v>
      </c>
      <c r="I7943" t="s">
        <v>19</v>
      </c>
      <c r="J7943" t="s">
        <v>6974</v>
      </c>
      <c r="L7943" t="s">
        <v>9494</v>
      </c>
      <c r="M7943" t="s">
        <v>1417</v>
      </c>
      <c r="N7943" t="s">
        <v>1417</v>
      </c>
      <c r="O7943" t="s">
        <v>23</v>
      </c>
      <c r="P7943" t="s">
        <v>24</v>
      </c>
      <c r="Q7943" t="s">
        <v>642</v>
      </c>
      <c r="R7943" t="s">
        <v>1417</v>
      </c>
    </row>
    <row r="7944" spans="1:18" x14ac:dyDescent="0.25">
      <c r="A7944" t="s">
        <v>15450</v>
      </c>
      <c r="B7944" t="s">
        <v>9495</v>
      </c>
      <c r="C7944" t="str">
        <f>HYPERLINK("https://nematode.unl.edu/ogsa2.jpg")</f>
        <v>https://nematode.unl.edu/ogsa2.jpg</v>
      </c>
      <c r="D7944" t="s">
        <v>43</v>
      </c>
      <c r="G7944" t="s">
        <v>34</v>
      </c>
      <c r="H7944" t="s">
        <v>18</v>
      </c>
      <c r="I7944" t="s">
        <v>41</v>
      </c>
      <c r="J7944" t="s">
        <v>6974</v>
      </c>
      <c r="L7944" t="s">
        <v>9494</v>
      </c>
      <c r="M7944" t="s">
        <v>1417</v>
      </c>
      <c r="N7944" t="s">
        <v>1417</v>
      </c>
      <c r="O7944" t="s">
        <v>23</v>
      </c>
      <c r="P7944" t="s">
        <v>24</v>
      </c>
      <c r="Q7944" t="s">
        <v>642</v>
      </c>
      <c r="R7944" t="s">
        <v>1417</v>
      </c>
    </row>
    <row r="7945" spans="1:18" x14ac:dyDescent="0.25">
      <c r="A7945" t="s">
        <v>15512</v>
      </c>
      <c r="B7945" t="s">
        <v>9496</v>
      </c>
      <c r="C7945" t="str">
        <f>HYPERLINK("https://nematode.unl.edu/ogsa3.jpg")</f>
        <v>https://nematode.unl.edu/ogsa3.jpg</v>
      </c>
      <c r="D7945" t="s">
        <v>43</v>
      </c>
      <c r="G7945" t="s">
        <v>28</v>
      </c>
      <c r="I7945" t="s">
        <v>41</v>
      </c>
      <c r="J7945" t="s">
        <v>6974</v>
      </c>
      <c r="L7945" t="s">
        <v>9494</v>
      </c>
      <c r="M7945" t="s">
        <v>1417</v>
      </c>
      <c r="N7945" t="s">
        <v>1417</v>
      </c>
      <c r="O7945" t="s">
        <v>23</v>
      </c>
      <c r="P7945" t="s">
        <v>24</v>
      </c>
      <c r="Q7945" t="s">
        <v>642</v>
      </c>
      <c r="R7945" t="s">
        <v>1417</v>
      </c>
    </row>
    <row r="7946" spans="1:18" x14ac:dyDescent="0.25">
      <c r="A7946" t="s">
        <v>15513</v>
      </c>
      <c r="B7946" t="s">
        <v>9497</v>
      </c>
      <c r="C7946" t="str">
        <f>HYPERLINK("https://nematode.unl.edu/ogsa4.jpg")</f>
        <v>https://nematode.unl.edu/ogsa4.jpg</v>
      </c>
      <c r="D7946" t="s">
        <v>43</v>
      </c>
      <c r="G7946" t="s">
        <v>28</v>
      </c>
      <c r="I7946" t="s">
        <v>41</v>
      </c>
      <c r="J7946" t="s">
        <v>6974</v>
      </c>
      <c r="L7946" t="s">
        <v>9494</v>
      </c>
      <c r="M7946" t="s">
        <v>1417</v>
      </c>
      <c r="N7946" t="s">
        <v>1417</v>
      </c>
      <c r="O7946" t="s">
        <v>23</v>
      </c>
      <c r="P7946" t="s">
        <v>24</v>
      </c>
      <c r="Q7946" t="s">
        <v>642</v>
      </c>
      <c r="R7946" t="s">
        <v>1417</v>
      </c>
    </row>
    <row r="7947" spans="1:18" x14ac:dyDescent="0.25">
      <c r="A7947" t="s">
        <v>15491</v>
      </c>
      <c r="B7947" t="s">
        <v>9498</v>
      </c>
      <c r="C7947" t="str">
        <f>HYPERLINK("https://nematode.unl.edu/ogsa5.jpg")</f>
        <v>https://nematode.unl.edu/ogsa5.jpg</v>
      </c>
      <c r="D7947" t="s">
        <v>43</v>
      </c>
      <c r="G7947" t="s">
        <v>3931</v>
      </c>
      <c r="I7947" t="s">
        <v>41</v>
      </c>
      <c r="J7947" t="s">
        <v>6974</v>
      </c>
      <c r="L7947" t="s">
        <v>9494</v>
      </c>
      <c r="M7947" t="s">
        <v>1417</v>
      </c>
      <c r="N7947" t="s">
        <v>1417</v>
      </c>
      <c r="O7947" t="s">
        <v>23</v>
      </c>
      <c r="P7947" t="s">
        <v>24</v>
      </c>
      <c r="Q7947" t="s">
        <v>642</v>
      </c>
      <c r="R7947" t="s">
        <v>1417</v>
      </c>
    </row>
    <row r="7948" spans="1:18" x14ac:dyDescent="0.25">
      <c r="A7948" t="s">
        <v>15492</v>
      </c>
      <c r="B7948" t="s">
        <v>9499</v>
      </c>
      <c r="C7948" t="str">
        <f>HYPERLINK("https://nematode.unl.edu/ogsa6.jpg")</f>
        <v>https://nematode.unl.edu/ogsa6.jpg</v>
      </c>
      <c r="D7948" t="s">
        <v>43</v>
      </c>
      <c r="G7948" t="s">
        <v>3931</v>
      </c>
      <c r="I7948" t="s">
        <v>41</v>
      </c>
      <c r="J7948" t="s">
        <v>6974</v>
      </c>
      <c r="L7948" t="s">
        <v>9494</v>
      </c>
      <c r="M7948" t="s">
        <v>1417</v>
      </c>
      <c r="N7948" t="s">
        <v>1417</v>
      </c>
      <c r="O7948" t="s">
        <v>23</v>
      </c>
      <c r="P7948" t="s">
        <v>24</v>
      </c>
      <c r="Q7948" t="s">
        <v>642</v>
      </c>
      <c r="R7948" t="s">
        <v>1417</v>
      </c>
    </row>
    <row r="7949" spans="1:18" x14ac:dyDescent="0.25">
      <c r="A7949" t="s">
        <v>15429</v>
      </c>
      <c r="B7949" t="s">
        <v>1511</v>
      </c>
      <c r="C7949" t="str">
        <f>HYPERLINK("https://nematode.unl.edu/ogserne1.jpg")</f>
        <v>https://nematode.unl.edu/ogserne1.jpg</v>
      </c>
      <c r="D7949" t="s">
        <v>43</v>
      </c>
      <c r="G7949" t="s">
        <v>44</v>
      </c>
      <c r="I7949" t="s">
        <v>516</v>
      </c>
      <c r="J7949" t="s">
        <v>1512</v>
      </c>
      <c r="M7949" t="s">
        <v>1505</v>
      </c>
      <c r="N7949" t="s">
        <v>1506</v>
      </c>
      <c r="O7949" t="s">
        <v>23</v>
      </c>
      <c r="P7949" t="s">
        <v>24</v>
      </c>
      <c r="Q7949" t="s">
        <v>642</v>
      </c>
      <c r="R7949" t="s">
        <v>1417</v>
      </c>
    </row>
    <row r="7950" spans="1:18" x14ac:dyDescent="0.25">
      <c r="A7950" t="s">
        <v>15425</v>
      </c>
      <c r="B7950" t="s">
        <v>1513</v>
      </c>
      <c r="C7950" t="str">
        <f>HYPERLINK("https://nematode.unl.edu/ogserne2.jpg")</f>
        <v>https://nematode.unl.edu/ogserne2.jpg</v>
      </c>
      <c r="D7950" t="s">
        <v>43</v>
      </c>
      <c r="G7950" t="s">
        <v>96</v>
      </c>
      <c r="H7950" t="s">
        <v>18</v>
      </c>
      <c r="I7950" t="s">
        <v>516</v>
      </c>
      <c r="J7950" t="s">
        <v>1512</v>
      </c>
      <c r="M7950" t="s">
        <v>1505</v>
      </c>
      <c r="N7950" t="s">
        <v>1506</v>
      </c>
      <c r="O7950" t="s">
        <v>23</v>
      </c>
      <c r="P7950" t="s">
        <v>24</v>
      </c>
      <c r="Q7950" t="s">
        <v>642</v>
      </c>
      <c r="R7950" t="s">
        <v>1417</v>
      </c>
    </row>
    <row r="7951" spans="1:18" x14ac:dyDescent="0.25">
      <c r="A7951" t="s">
        <v>15432</v>
      </c>
      <c r="B7951" t="s">
        <v>1514</v>
      </c>
      <c r="C7951" t="str">
        <f>HYPERLINK("https://nematode.unl.edu/ogserne3.jpg")</f>
        <v>https://nematode.unl.edu/ogserne3.jpg</v>
      </c>
      <c r="D7951" t="s">
        <v>43</v>
      </c>
      <c r="G7951" t="s">
        <v>181</v>
      </c>
      <c r="I7951" t="s">
        <v>516</v>
      </c>
      <c r="J7951" t="s">
        <v>1512</v>
      </c>
      <c r="M7951" t="s">
        <v>1505</v>
      </c>
      <c r="N7951" t="s">
        <v>1506</v>
      </c>
      <c r="O7951" t="s">
        <v>23</v>
      </c>
      <c r="P7951" t="s">
        <v>24</v>
      </c>
      <c r="Q7951" t="s">
        <v>642</v>
      </c>
      <c r="R7951" t="s">
        <v>1417</v>
      </c>
    </row>
    <row r="7952" spans="1:18" x14ac:dyDescent="0.25">
      <c r="A7952" t="s">
        <v>15430</v>
      </c>
      <c r="B7952" t="s">
        <v>1515</v>
      </c>
      <c r="C7952" t="str">
        <f>HYPERLINK("https://nematode.unl.edu/ogserne4.jpg")</f>
        <v>https://nematode.unl.edu/ogserne4.jpg</v>
      </c>
      <c r="D7952" t="s">
        <v>43</v>
      </c>
      <c r="G7952" t="s">
        <v>44</v>
      </c>
      <c r="I7952" t="s">
        <v>516</v>
      </c>
      <c r="J7952" t="s">
        <v>1512</v>
      </c>
      <c r="M7952" t="s">
        <v>1505</v>
      </c>
      <c r="N7952" t="s">
        <v>1506</v>
      </c>
      <c r="O7952" t="s">
        <v>23</v>
      </c>
      <c r="P7952" t="s">
        <v>24</v>
      </c>
      <c r="Q7952" t="s">
        <v>642</v>
      </c>
      <c r="R7952" t="s">
        <v>1417</v>
      </c>
    </row>
    <row r="7953" spans="1:18" x14ac:dyDescent="0.25">
      <c r="A7953" t="s">
        <v>15592</v>
      </c>
      <c r="B7953" t="s">
        <v>9509</v>
      </c>
      <c r="C7953" t="str">
        <f>HYPERLINK("https://nematode.unl.edu/ogsey1.jpg")</f>
        <v>https://nematode.unl.edu/ogsey1.jpg</v>
      </c>
      <c r="D7953" t="s">
        <v>43</v>
      </c>
      <c r="G7953" t="s">
        <v>44</v>
      </c>
      <c r="I7953" t="s">
        <v>516</v>
      </c>
      <c r="J7953" t="s">
        <v>3097</v>
      </c>
      <c r="L7953" t="s">
        <v>9510</v>
      </c>
      <c r="M7953" t="s">
        <v>9511</v>
      </c>
      <c r="N7953" t="s">
        <v>9511</v>
      </c>
      <c r="O7953" t="s">
        <v>23</v>
      </c>
      <c r="P7953" t="s">
        <v>24</v>
      </c>
      <c r="Q7953" t="s">
        <v>642</v>
      </c>
      <c r="R7953" t="s">
        <v>1417</v>
      </c>
    </row>
    <row r="7954" spans="1:18" x14ac:dyDescent="0.25">
      <c r="A7954" t="s">
        <v>15593</v>
      </c>
      <c r="B7954" t="s">
        <v>9512</v>
      </c>
      <c r="C7954" t="str">
        <f>HYPERLINK("https://nematode.unl.edu/ogsey2.jpg")</f>
        <v>https://nematode.unl.edu/ogsey2.jpg</v>
      </c>
      <c r="D7954" t="s">
        <v>43</v>
      </c>
      <c r="G7954" t="s">
        <v>44</v>
      </c>
      <c r="I7954" t="s">
        <v>516</v>
      </c>
      <c r="J7954" t="s">
        <v>3097</v>
      </c>
      <c r="L7954" t="s">
        <v>9510</v>
      </c>
      <c r="M7954" t="s">
        <v>9511</v>
      </c>
      <c r="N7954" t="s">
        <v>9511</v>
      </c>
      <c r="O7954" t="s">
        <v>23</v>
      </c>
      <c r="P7954" t="s">
        <v>24</v>
      </c>
      <c r="Q7954" t="s">
        <v>642</v>
      </c>
      <c r="R7954" t="s">
        <v>1417</v>
      </c>
    </row>
    <row r="7955" spans="1:18" x14ac:dyDescent="0.25">
      <c r="A7955" t="s">
        <v>15591</v>
      </c>
      <c r="B7955" t="s">
        <v>9513</v>
      </c>
      <c r="C7955" t="str">
        <f>HYPERLINK("https://nematode.unl.edu/ogsey3.jpg")</f>
        <v>https://nematode.unl.edu/ogsey3.jpg</v>
      </c>
      <c r="D7955" t="s">
        <v>43</v>
      </c>
      <c r="G7955" t="s">
        <v>9514</v>
      </c>
      <c r="H7955" t="s">
        <v>18</v>
      </c>
      <c r="I7955" t="s">
        <v>41</v>
      </c>
      <c r="J7955" t="s">
        <v>3097</v>
      </c>
      <c r="L7955" t="s">
        <v>9510</v>
      </c>
      <c r="M7955" t="s">
        <v>9511</v>
      </c>
      <c r="N7955" t="s">
        <v>9511</v>
      </c>
      <c r="O7955" t="s">
        <v>23</v>
      </c>
      <c r="P7955" t="s">
        <v>24</v>
      </c>
      <c r="Q7955" t="s">
        <v>642</v>
      </c>
      <c r="R7955" t="s">
        <v>1417</v>
      </c>
    </row>
    <row r="7956" spans="1:18" x14ac:dyDescent="0.25">
      <c r="A7956" t="s">
        <v>15595</v>
      </c>
      <c r="B7956" t="s">
        <v>9515</v>
      </c>
      <c r="C7956" t="str">
        <f>HYPERLINK("https://nematode.unl.edu/ogsey4.jpg")</f>
        <v>https://nematode.unl.edu/ogsey4.jpg</v>
      </c>
      <c r="D7956" t="s">
        <v>43</v>
      </c>
      <c r="G7956" t="s">
        <v>28</v>
      </c>
      <c r="I7956" t="s">
        <v>41</v>
      </c>
      <c r="J7956" t="s">
        <v>3097</v>
      </c>
      <c r="L7956" t="s">
        <v>9510</v>
      </c>
      <c r="M7956" t="s">
        <v>9511</v>
      </c>
      <c r="N7956" t="s">
        <v>9511</v>
      </c>
      <c r="O7956" t="s">
        <v>23</v>
      </c>
      <c r="P7956" t="s">
        <v>24</v>
      </c>
      <c r="Q7956" t="s">
        <v>642</v>
      </c>
      <c r="R7956" t="s">
        <v>1417</v>
      </c>
    </row>
    <row r="7957" spans="1:18" x14ac:dyDescent="0.25">
      <c r="A7957" t="s">
        <v>15589</v>
      </c>
      <c r="B7957" t="s">
        <v>9516</v>
      </c>
      <c r="C7957" t="str">
        <f>HYPERLINK("https://nematode.unl.edu/ogsey5.jpg")</f>
        <v>https://nematode.unl.edu/ogsey5.jpg</v>
      </c>
      <c r="D7957" t="s">
        <v>43</v>
      </c>
      <c r="G7957" t="s">
        <v>96</v>
      </c>
      <c r="H7957" t="s">
        <v>18</v>
      </c>
      <c r="I7957" t="s">
        <v>41</v>
      </c>
      <c r="J7957" t="s">
        <v>3097</v>
      </c>
      <c r="L7957" t="s">
        <v>9510</v>
      </c>
      <c r="M7957" t="s">
        <v>9511</v>
      </c>
      <c r="N7957" t="s">
        <v>9511</v>
      </c>
      <c r="O7957" t="s">
        <v>23</v>
      </c>
      <c r="P7957" t="s">
        <v>24</v>
      </c>
      <c r="Q7957" t="s">
        <v>642</v>
      </c>
      <c r="R7957" t="s">
        <v>1417</v>
      </c>
    </row>
    <row r="7958" spans="1:18" x14ac:dyDescent="0.25">
      <c r="A7958" t="s">
        <v>15594</v>
      </c>
      <c r="B7958" t="s">
        <v>9517</v>
      </c>
      <c r="C7958" t="str">
        <f>HYPERLINK("https://nematode.unl.edu/ogsey6.jpg")</f>
        <v>https://nematode.unl.edu/ogsey6.jpg</v>
      </c>
      <c r="D7958" t="s">
        <v>43</v>
      </c>
      <c r="G7958" t="s">
        <v>44</v>
      </c>
      <c r="I7958" t="s">
        <v>41</v>
      </c>
      <c r="J7958" t="s">
        <v>3097</v>
      </c>
      <c r="L7958" t="s">
        <v>9510</v>
      </c>
      <c r="M7958" t="s">
        <v>9511</v>
      </c>
      <c r="N7958" t="s">
        <v>9511</v>
      </c>
      <c r="O7958" t="s">
        <v>23</v>
      </c>
      <c r="P7958" t="s">
        <v>24</v>
      </c>
      <c r="Q7958" t="s">
        <v>642</v>
      </c>
      <c r="R7958" t="s">
        <v>1417</v>
      </c>
    </row>
    <row r="7959" spans="1:18" x14ac:dyDescent="0.25">
      <c r="A7959" t="s">
        <v>15590</v>
      </c>
      <c r="B7959" t="s">
        <v>9518</v>
      </c>
      <c r="C7959" t="str">
        <f>HYPERLINK("https://nematode.unl.edu/ogsey7.jpg")</f>
        <v>https://nematode.unl.edu/ogsey7.jpg</v>
      </c>
      <c r="D7959" t="s">
        <v>43</v>
      </c>
      <c r="G7959" t="s">
        <v>9519</v>
      </c>
      <c r="H7959" t="s">
        <v>18</v>
      </c>
      <c r="I7959" t="s">
        <v>529</v>
      </c>
      <c r="J7959" t="s">
        <v>3097</v>
      </c>
      <c r="L7959" t="s">
        <v>9510</v>
      </c>
      <c r="M7959" t="s">
        <v>9511</v>
      </c>
      <c r="N7959" t="s">
        <v>9511</v>
      </c>
      <c r="O7959" t="s">
        <v>23</v>
      </c>
      <c r="P7959" t="s">
        <v>24</v>
      </c>
      <c r="Q7959" t="s">
        <v>642</v>
      </c>
      <c r="R7959" t="s">
        <v>1417</v>
      </c>
    </row>
    <row r="7960" spans="1:18" x14ac:dyDescent="0.25">
      <c r="A7960" t="s">
        <v>15482</v>
      </c>
      <c r="B7960" t="s">
        <v>9500</v>
      </c>
      <c r="C7960" t="str">
        <f>HYPERLINK("https://nematode.unl.edu/ogspin1.jpg")</f>
        <v>https://nematode.unl.edu/ogspin1.jpg</v>
      </c>
      <c r="D7960" t="s">
        <v>16</v>
      </c>
      <c r="G7960" t="s">
        <v>44</v>
      </c>
      <c r="I7960" t="s">
        <v>499</v>
      </c>
      <c r="J7960" t="s">
        <v>9501</v>
      </c>
      <c r="L7960" t="s">
        <v>9502</v>
      </c>
      <c r="M7960" t="s">
        <v>1417</v>
      </c>
      <c r="N7960" t="s">
        <v>1417</v>
      </c>
      <c r="O7960" t="s">
        <v>23</v>
      </c>
      <c r="P7960" t="s">
        <v>24</v>
      </c>
      <c r="Q7960" t="s">
        <v>642</v>
      </c>
      <c r="R7960" t="s">
        <v>1417</v>
      </c>
    </row>
    <row r="7961" spans="1:18" x14ac:dyDescent="0.25">
      <c r="A7961" t="s">
        <v>15483</v>
      </c>
      <c r="B7961" t="s">
        <v>9503</v>
      </c>
      <c r="C7961" t="str">
        <f>HYPERLINK("https://nematode.unl.edu/ogspin2.jpg")</f>
        <v>https://nematode.unl.edu/ogspin2.jpg</v>
      </c>
      <c r="G7961" t="s">
        <v>44</v>
      </c>
      <c r="I7961" t="s">
        <v>1008</v>
      </c>
      <c r="J7961" t="s">
        <v>9501</v>
      </c>
      <c r="L7961" t="s">
        <v>9502</v>
      </c>
      <c r="M7961" t="s">
        <v>1417</v>
      </c>
      <c r="N7961" t="s">
        <v>1417</v>
      </c>
      <c r="O7961" t="s">
        <v>23</v>
      </c>
      <c r="P7961" t="s">
        <v>24</v>
      </c>
      <c r="Q7961" t="s">
        <v>642</v>
      </c>
      <c r="R7961" t="s">
        <v>1417</v>
      </c>
    </row>
    <row r="7962" spans="1:18" x14ac:dyDescent="0.25">
      <c r="A7962" t="s">
        <v>15451</v>
      </c>
      <c r="B7962" t="s">
        <v>9504</v>
      </c>
      <c r="C7962" t="str">
        <f>HYPERLINK("https://nematode.unl.edu/ogspin3.jpg")</f>
        <v>https://nematode.unl.edu/ogspin3.jpg</v>
      </c>
      <c r="G7962" t="s">
        <v>34</v>
      </c>
      <c r="H7962" t="s">
        <v>18</v>
      </c>
      <c r="I7962" t="s">
        <v>19</v>
      </c>
      <c r="J7962" t="s">
        <v>9501</v>
      </c>
      <c r="L7962" t="s">
        <v>9502</v>
      </c>
      <c r="M7962" t="s">
        <v>1417</v>
      </c>
      <c r="N7962" t="s">
        <v>1417</v>
      </c>
      <c r="O7962" t="s">
        <v>23</v>
      </c>
      <c r="P7962" t="s">
        <v>24</v>
      </c>
      <c r="Q7962" t="s">
        <v>642</v>
      </c>
      <c r="R7962" t="s">
        <v>1417</v>
      </c>
    </row>
    <row r="7963" spans="1:18" x14ac:dyDescent="0.25">
      <c r="A7963" t="s">
        <v>15452</v>
      </c>
      <c r="B7963" t="s">
        <v>9505</v>
      </c>
      <c r="C7963" t="str">
        <f>HYPERLINK("https://nematode.unl.edu/ogspin4.jpg")</f>
        <v>https://nematode.unl.edu/ogspin4.jpg</v>
      </c>
      <c r="G7963" t="s">
        <v>34</v>
      </c>
      <c r="H7963" t="s">
        <v>18</v>
      </c>
      <c r="I7963" t="s">
        <v>19</v>
      </c>
      <c r="J7963" t="s">
        <v>9501</v>
      </c>
      <c r="L7963" t="s">
        <v>9502</v>
      </c>
      <c r="M7963" t="s">
        <v>1417</v>
      </c>
      <c r="N7963" t="s">
        <v>1417</v>
      </c>
      <c r="O7963" t="s">
        <v>23</v>
      </c>
      <c r="P7963" t="s">
        <v>24</v>
      </c>
      <c r="Q7963" t="s">
        <v>642</v>
      </c>
      <c r="R7963" t="s">
        <v>1417</v>
      </c>
    </row>
    <row r="7964" spans="1:18" x14ac:dyDescent="0.25">
      <c r="A7964" t="s">
        <v>15453</v>
      </c>
      <c r="B7964" t="s">
        <v>9506</v>
      </c>
      <c r="C7964" t="str">
        <f>HYPERLINK("https://nematode.unl.edu/ogspin5.jpg")</f>
        <v>https://nematode.unl.edu/ogspin5.jpg</v>
      </c>
      <c r="G7964" t="s">
        <v>34</v>
      </c>
      <c r="H7964" t="s">
        <v>18</v>
      </c>
      <c r="I7964" t="s">
        <v>19</v>
      </c>
      <c r="J7964" t="s">
        <v>9501</v>
      </c>
      <c r="L7964" t="s">
        <v>9502</v>
      </c>
      <c r="M7964" t="s">
        <v>1417</v>
      </c>
      <c r="N7964" t="s">
        <v>1417</v>
      </c>
      <c r="O7964" t="s">
        <v>23</v>
      </c>
      <c r="P7964" t="s">
        <v>24</v>
      </c>
      <c r="Q7964" t="s">
        <v>642</v>
      </c>
      <c r="R7964" t="s">
        <v>1417</v>
      </c>
    </row>
    <row r="7965" spans="1:18" x14ac:dyDescent="0.25">
      <c r="A7965" t="s">
        <v>15514</v>
      </c>
      <c r="B7965" t="s">
        <v>9507</v>
      </c>
      <c r="C7965" t="str">
        <f>HYPERLINK("https://nematode.unl.edu/ogspin6.jpg")</f>
        <v>https://nematode.unl.edu/ogspin6.jpg</v>
      </c>
      <c r="G7965" t="s">
        <v>28</v>
      </c>
      <c r="I7965" t="s">
        <v>516</v>
      </c>
      <c r="J7965" t="s">
        <v>9501</v>
      </c>
      <c r="L7965" t="s">
        <v>9502</v>
      </c>
      <c r="M7965" t="s">
        <v>1417</v>
      </c>
      <c r="N7965" t="s">
        <v>1417</v>
      </c>
      <c r="O7965" t="s">
        <v>23</v>
      </c>
      <c r="P7965" t="s">
        <v>24</v>
      </c>
      <c r="Q7965" t="s">
        <v>642</v>
      </c>
      <c r="R7965" t="s">
        <v>1417</v>
      </c>
    </row>
    <row r="7966" spans="1:18" x14ac:dyDescent="0.25">
      <c r="A7966" t="s">
        <v>15454</v>
      </c>
      <c r="B7966" t="s">
        <v>9508</v>
      </c>
      <c r="C7966" t="str">
        <f>HYPERLINK("https://nematode.unl.edu/ogspin7.jpg")</f>
        <v>https://nematode.unl.edu/ogspin7.jpg</v>
      </c>
      <c r="G7966" t="s">
        <v>34</v>
      </c>
      <c r="H7966" t="s">
        <v>18</v>
      </c>
      <c r="I7966" t="s">
        <v>529</v>
      </c>
      <c r="J7966" t="s">
        <v>9501</v>
      </c>
      <c r="L7966" t="s">
        <v>9502</v>
      </c>
      <c r="M7966" t="s">
        <v>1417</v>
      </c>
      <c r="N7966" t="s">
        <v>1417</v>
      </c>
      <c r="O7966" t="s">
        <v>23</v>
      </c>
      <c r="P7966" t="s">
        <v>24</v>
      </c>
      <c r="Q7966" t="s">
        <v>642</v>
      </c>
      <c r="R7966" t="s">
        <v>1417</v>
      </c>
    </row>
    <row r="7967" spans="1:18" x14ac:dyDescent="0.25">
      <c r="A7967" t="s">
        <v>13834</v>
      </c>
      <c r="B7967" t="s">
        <v>4128</v>
      </c>
      <c r="C7967" t="str">
        <f>HYPERLINK("https://nematode.unl.edu/omenze1.jpg")</f>
        <v>https://nematode.unl.edu/omenze1.jpg</v>
      </c>
      <c r="D7967" t="s">
        <v>43</v>
      </c>
      <c r="G7967" t="s">
        <v>44</v>
      </c>
      <c r="I7967" t="s">
        <v>19</v>
      </c>
      <c r="J7967" t="s">
        <v>2350</v>
      </c>
      <c r="L7967" t="s">
        <v>4129</v>
      </c>
      <c r="M7967" t="s">
        <v>4121</v>
      </c>
      <c r="N7967" t="s">
        <v>4121</v>
      </c>
      <c r="O7967" t="s">
        <v>23</v>
      </c>
      <c r="P7967" t="s">
        <v>24</v>
      </c>
      <c r="Q7967" t="s">
        <v>642</v>
      </c>
      <c r="R7967" t="s">
        <v>683</v>
      </c>
    </row>
    <row r="7968" spans="1:18" x14ac:dyDescent="0.25">
      <c r="A7968" t="s">
        <v>13853</v>
      </c>
      <c r="B7968" t="s">
        <v>4130</v>
      </c>
      <c r="C7968" t="str">
        <f>HYPERLINK("https://nematode.unl.edu/omenze10.jpg")</f>
        <v>https://nematode.unl.edu/omenze10.jpg</v>
      </c>
      <c r="D7968" t="s">
        <v>43</v>
      </c>
      <c r="G7968" t="s">
        <v>51</v>
      </c>
      <c r="I7968" t="s">
        <v>41</v>
      </c>
      <c r="J7968" t="s">
        <v>2350</v>
      </c>
      <c r="L7968" t="s">
        <v>4129</v>
      </c>
      <c r="M7968" t="s">
        <v>4121</v>
      </c>
      <c r="N7968" t="s">
        <v>4121</v>
      </c>
      <c r="O7968" t="s">
        <v>23</v>
      </c>
      <c r="P7968" t="s">
        <v>24</v>
      </c>
      <c r="Q7968" t="s">
        <v>642</v>
      </c>
      <c r="R7968" t="s">
        <v>683</v>
      </c>
    </row>
    <row r="7969" spans="1:18" x14ac:dyDescent="0.25">
      <c r="A7969" t="s">
        <v>13848</v>
      </c>
      <c r="B7969" t="s">
        <v>4131</v>
      </c>
      <c r="C7969" t="str">
        <f>HYPERLINK("https://nematode.unl.edu/omenze11.jpg")</f>
        <v>https://nematode.unl.edu/omenze11.jpg</v>
      </c>
      <c r="D7969" t="s">
        <v>43</v>
      </c>
      <c r="G7969" t="s">
        <v>28</v>
      </c>
      <c r="I7969" t="s">
        <v>41</v>
      </c>
      <c r="J7969" t="s">
        <v>2350</v>
      </c>
      <c r="L7969" t="s">
        <v>4129</v>
      </c>
      <c r="M7969" t="s">
        <v>4121</v>
      </c>
      <c r="N7969" t="s">
        <v>4121</v>
      </c>
      <c r="O7969" t="s">
        <v>23</v>
      </c>
      <c r="P7969" t="s">
        <v>24</v>
      </c>
      <c r="Q7969" t="s">
        <v>642</v>
      </c>
      <c r="R7969" t="s">
        <v>683</v>
      </c>
    </row>
    <row r="7970" spans="1:18" x14ac:dyDescent="0.25">
      <c r="A7970" t="s">
        <v>13856</v>
      </c>
      <c r="B7970" t="s">
        <v>4132</v>
      </c>
      <c r="C7970" t="str">
        <f>HYPERLINK("https://nematode.unl.edu/omenze12.jpg")</f>
        <v>https://nematode.unl.edu/omenze12.jpg</v>
      </c>
      <c r="D7970" t="s">
        <v>43</v>
      </c>
      <c r="G7970" t="s">
        <v>4133</v>
      </c>
      <c r="I7970" t="s">
        <v>529</v>
      </c>
      <c r="J7970" t="s">
        <v>2350</v>
      </c>
      <c r="L7970" t="s">
        <v>4129</v>
      </c>
      <c r="M7970" t="s">
        <v>4121</v>
      </c>
      <c r="N7970" t="s">
        <v>4121</v>
      </c>
      <c r="O7970" t="s">
        <v>23</v>
      </c>
      <c r="P7970" t="s">
        <v>24</v>
      </c>
      <c r="Q7970" t="s">
        <v>642</v>
      </c>
      <c r="R7970" t="s">
        <v>683</v>
      </c>
    </row>
    <row r="7971" spans="1:18" x14ac:dyDescent="0.25">
      <c r="A7971" t="s">
        <v>13835</v>
      </c>
      <c r="B7971" t="s">
        <v>4134</v>
      </c>
      <c r="C7971" t="str">
        <f>HYPERLINK("https://nematode.unl.edu/omenze13.jpg")</f>
        <v>https://nematode.unl.edu/omenze13.jpg</v>
      </c>
      <c r="D7971" t="s">
        <v>43</v>
      </c>
      <c r="G7971" t="s">
        <v>44</v>
      </c>
      <c r="I7971" t="s">
        <v>19</v>
      </c>
      <c r="J7971" t="s">
        <v>2350</v>
      </c>
      <c r="L7971" t="s">
        <v>4129</v>
      </c>
      <c r="M7971" t="s">
        <v>4121</v>
      </c>
      <c r="N7971" t="s">
        <v>4121</v>
      </c>
      <c r="O7971" t="s">
        <v>23</v>
      </c>
      <c r="P7971" t="s">
        <v>24</v>
      </c>
      <c r="Q7971" t="s">
        <v>642</v>
      </c>
      <c r="R7971" t="s">
        <v>683</v>
      </c>
    </row>
    <row r="7972" spans="1:18" x14ac:dyDescent="0.25">
      <c r="A7972" t="s">
        <v>13836</v>
      </c>
      <c r="B7972" t="s">
        <v>4135</v>
      </c>
      <c r="C7972" t="str">
        <f>HYPERLINK("https://nematode.unl.edu/omenze14.jpg")</f>
        <v>https://nematode.unl.edu/omenze14.jpg</v>
      </c>
      <c r="D7972" t="s">
        <v>43</v>
      </c>
      <c r="G7972" t="s">
        <v>44</v>
      </c>
      <c r="I7972" t="s">
        <v>499</v>
      </c>
      <c r="J7972" t="s">
        <v>2350</v>
      </c>
      <c r="L7972" t="s">
        <v>4129</v>
      </c>
      <c r="M7972" t="s">
        <v>4121</v>
      </c>
      <c r="N7972" t="s">
        <v>4121</v>
      </c>
      <c r="O7972" t="s">
        <v>23</v>
      </c>
      <c r="P7972" t="s">
        <v>24</v>
      </c>
      <c r="Q7972" t="s">
        <v>642</v>
      </c>
      <c r="R7972" t="s">
        <v>683</v>
      </c>
    </row>
    <row r="7973" spans="1:18" x14ac:dyDescent="0.25">
      <c r="A7973" t="s">
        <v>13819</v>
      </c>
      <c r="B7973" t="s">
        <v>4136</v>
      </c>
      <c r="C7973" t="str">
        <f>HYPERLINK("https://nematode.unl.edu/omenze15.jpg")</f>
        <v>https://nematode.unl.edu/omenze15.jpg</v>
      </c>
      <c r="D7973" t="s">
        <v>43</v>
      </c>
      <c r="G7973" t="s">
        <v>96</v>
      </c>
      <c r="H7973" t="s">
        <v>18</v>
      </c>
      <c r="I7973" t="s">
        <v>41</v>
      </c>
      <c r="J7973" t="s">
        <v>2350</v>
      </c>
      <c r="L7973" t="s">
        <v>4129</v>
      </c>
      <c r="M7973" t="s">
        <v>4121</v>
      </c>
      <c r="N7973" t="s">
        <v>4121</v>
      </c>
      <c r="O7973" t="s">
        <v>23</v>
      </c>
      <c r="P7973" t="s">
        <v>24</v>
      </c>
      <c r="Q7973" t="s">
        <v>642</v>
      </c>
      <c r="R7973" t="s">
        <v>683</v>
      </c>
    </row>
    <row r="7974" spans="1:18" x14ac:dyDescent="0.25">
      <c r="A7974" t="s">
        <v>13820</v>
      </c>
      <c r="B7974" t="s">
        <v>4137</v>
      </c>
      <c r="C7974" t="str">
        <f>HYPERLINK("https://nematode.unl.edu/omenze16.jpg")</f>
        <v>https://nematode.unl.edu/omenze16.jpg</v>
      </c>
      <c r="D7974" t="s">
        <v>43</v>
      </c>
      <c r="G7974" t="s">
        <v>96</v>
      </c>
      <c r="H7974" t="s">
        <v>18</v>
      </c>
      <c r="I7974" t="s">
        <v>41</v>
      </c>
      <c r="J7974" t="s">
        <v>2350</v>
      </c>
      <c r="L7974" t="s">
        <v>4129</v>
      </c>
      <c r="M7974" t="s">
        <v>4121</v>
      </c>
      <c r="N7974" t="s">
        <v>4121</v>
      </c>
      <c r="O7974" t="s">
        <v>23</v>
      </c>
      <c r="P7974" t="s">
        <v>24</v>
      </c>
      <c r="Q7974" t="s">
        <v>642</v>
      </c>
      <c r="R7974" t="s">
        <v>683</v>
      </c>
    </row>
    <row r="7975" spans="1:18" x14ac:dyDescent="0.25">
      <c r="A7975" t="s">
        <v>13826</v>
      </c>
      <c r="B7975" t="s">
        <v>4138</v>
      </c>
      <c r="C7975" t="str">
        <f>HYPERLINK("https://nematode.unl.edu/omenze17.jpg")</f>
        <v>https://nematode.unl.edu/omenze17.jpg</v>
      </c>
      <c r="D7975" t="s">
        <v>43</v>
      </c>
      <c r="G7975" t="s">
        <v>34</v>
      </c>
      <c r="H7975" t="s">
        <v>18</v>
      </c>
      <c r="I7975" t="s">
        <v>41</v>
      </c>
      <c r="J7975" t="s">
        <v>2350</v>
      </c>
      <c r="L7975" t="s">
        <v>4129</v>
      </c>
      <c r="M7975" t="s">
        <v>4121</v>
      </c>
      <c r="N7975" t="s">
        <v>4121</v>
      </c>
      <c r="O7975" t="s">
        <v>23</v>
      </c>
      <c r="P7975" t="s">
        <v>24</v>
      </c>
      <c r="Q7975" t="s">
        <v>642</v>
      </c>
      <c r="R7975" t="s">
        <v>683</v>
      </c>
    </row>
    <row r="7976" spans="1:18" x14ac:dyDescent="0.25">
      <c r="A7976" t="s">
        <v>13849</v>
      </c>
      <c r="B7976" t="s">
        <v>4139</v>
      </c>
      <c r="C7976" t="str">
        <f>HYPERLINK("https://nematode.unl.edu/omenze18.jpg")</f>
        <v>https://nematode.unl.edu/omenze18.jpg</v>
      </c>
      <c r="D7976" t="s">
        <v>43</v>
      </c>
      <c r="G7976" t="s">
        <v>28</v>
      </c>
      <c r="I7976" t="s">
        <v>41</v>
      </c>
      <c r="J7976" t="s">
        <v>2350</v>
      </c>
      <c r="L7976" t="s">
        <v>4129</v>
      </c>
      <c r="M7976" t="s">
        <v>4121</v>
      </c>
      <c r="N7976" t="s">
        <v>4121</v>
      </c>
      <c r="O7976" t="s">
        <v>23</v>
      </c>
      <c r="P7976" t="s">
        <v>24</v>
      </c>
      <c r="Q7976" t="s">
        <v>642</v>
      </c>
      <c r="R7976" t="s">
        <v>683</v>
      </c>
    </row>
    <row r="7977" spans="1:18" x14ac:dyDescent="0.25">
      <c r="A7977" t="s">
        <v>13837</v>
      </c>
      <c r="B7977" t="s">
        <v>4140</v>
      </c>
      <c r="C7977" t="str">
        <f>HYPERLINK("https://nematode.unl.edu/omenze19.jpg")</f>
        <v>https://nematode.unl.edu/omenze19.jpg</v>
      </c>
      <c r="D7977" t="s">
        <v>16</v>
      </c>
      <c r="G7977" t="s">
        <v>44</v>
      </c>
      <c r="I7977" t="s">
        <v>19</v>
      </c>
      <c r="J7977" t="s">
        <v>4141</v>
      </c>
      <c r="L7977" t="s">
        <v>4142</v>
      </c>
      <c r="M7977" t="s">
        <v>4121</v>
      </c>
      <c r="N7977" t="s">
        <v>4121</v>
      </c>
      <c r="O7977" t="s">
        <v>23</v>
      </c>
      <c r="P7977" t="s">
        <v>24</v>
      </c>
      <c r="Q7977" t="s">
        <v>642</v>
      </c>
      <c r="R7977" t="s">
        <v>683</v>
      </c>
    </row>
    <row r="7978" spans="1:18" x14ac:dyDescent="0.25">
      <c r="A7978" t="s">
        <v>13838</v>
      </c>
      <c r="B7978" t="s">
        <v>4143</v>
      </c>
      <c r="C7978" t="str">
        <f>HYPERLINK("https://nematode.unl.edu/omenze2.jpg")</f>
        <v>https://nematode.unl.edu/omenze2.jpg</v>
      </c>
      <c r="D7978" t="s">
        <v>43</v>
      </c>
      <c r="G7978" t="s">
        <v>44</v>
      </c>
      <c r="I7978" t="s">
        <v>516</v>
      </c>
      <c r="J7978" t="s">
        <v>4141</v>
      </c>
      <c r="L7978" t="s">
        <v>4129</v>
      </c>
      <c r="M7978" t="s">
        <v>4121</v>
      </c>
      <c r="N7978" t="s">
        <v>4121</v>
      </c>
      <c r="O7978" t="s">
        <v>23</v>
      </c>
      <c r="P7978" t="s">
        <v>24</v>
      </c>
      <c r="Q7978" t="s">
        <v>642</v>
      </c>
      <c r="R7978" t="s">
        <v>683</v>
      </c>
    </row>
    <row r="7979" spans="1:18" x14ac:dyDescent="0.25">
      <c r="A7979" t="s">
        <v>13839</v>
      </c>
      <c r="B7979" t="s">
        <v>4144</v>
      </c>
      <c r="C7979" t="str">
        <f>HYPERLINK("https://nematode.unl.edu/omenze20.jpg")</f>
        <v>https://nematode.unl.edu/omenze20.jpg</v>
      </c>
      <c r="D7979" t="s">
        <v>16</v>
      </c>
      <c r="G7979" t="s">
        <v>44</v>
      </c>
      <c r="I7979" t="s">
        <v>19</v>
      </c>
      <c r="J7979" t="s">
        <v>2350</v>
      </c>
      <c r="L7979" t="s">
        <v>4129</v>
      </c>
      <c r="M7979" t="s">
        <v>4121</v>
      </c>
      <c r="N7979" t="s">
        <v>4121</v>
      </c>
      <c r="O7979" t="s">
        <v>23</v>
      </c>
      <c r="P7979" t="s">
        <v>24</v>
      </c>
      <c r="Q7979" t="s">
        <v>642</v>
      </c>
      <c r="R7979" t="s">
        <v>683</v>
      </c>
    </row>
    <row r="7980" spans="1:18" x14ac:dyDescent="0.25">
      <c r="A7980" t="s">
        <v>13827</v>
      </c>
      <c r="B7980" t="s">
        <v>4145</v>
      </c>
      <c r="C7980" t="str">
        <f>HYPERLINK("https://nematode.unl.edu/omenze21.jpg")</f>
        <v>https://nematode.unl.edu/omenze21.jpg</v>
      </c>
      <c r="D7980" t="s">
        <v>16</v>
      </c>
      <c r="G7980" t="s">
        <v>34</v>
      </c>
      <c r="H7980" t="s">
        <v>18</v>
      </c>
      <c r="I7980" t="s">
        <v>41</v>
      </c>
      <c r="J7980" t="s">
        <v>2350</v>
      </c>
      <c r="L7980" t="s">
        <v>4129</v>
      </c>
      <c r="M7980" t="s">
        <v>4121</v>
      </c>
      <c r="N7980" t="s">
        <v>4121</v>
      </c>
      <c r="O7980" t="s">
        <v>23</v>
      </c>
      <c r="P7980" t="s">
        <v>24</v>
      </c>
      <c r="Q7980" t="s">
        <v>642</v>
      </c>
      <c r="R7980" t="s">
        <v>683</v>
      </c>
    </row>
    <row r="7981" spans="1:18" x14ac:dyDescent="0.25">
      <c r="A7981" t="s">
        <v>13842</v>
      </c>
      <c r="B7981" t="s">
        <v>4146</v>
      </c>
      <c r="C7981" t="str">
        <f>HYPERLINK("https://nematode.unl.edu/omenze22.jpg")</f>
        <v>https://nematode.unl.edu/omenze22.jpg</v>
      </c>
      <c r="G7981" t="s">
        <v>224</v>
      </c>
      <c r="I7981" t="s">
        <v>41</v>
      </c>
      <c r="J7981" t="s">
        <v>2350</v>
      </c>
      <c r="L7981" t="s">
        <v>4129</v>
      </c>
      <c r="M7981" t="s">
        <v>4121</v>
      </c>
      <c r="N7981" t="s">
        <v>4121</v>
      </c>
      <c r="O7981" t="s">
        <v>23</v>
      </c>
      <c r="P7981" t="s">
        <v>24</v>
      </c>
      <c r="Q7981" t="s">
        <v>642</v>
      </c>
      <c r="R7981" t="s">
        <v>683</v>
      </c>
    </row>
    <row r="7982" spans="1:18" x14ac:dyDescent="0.25">
      <c r="A7982" t="s">
        <v>13843</v>
      </c>
      <c r="B7982" t="s">
        <v>4147</v>
      </c>
      <c r="C7982" t="str">
        <f>HYPERLINK("https://nematode.unl.edu/omenze23.jpg")</f>
        <v>https://nematode.unl.edu/omenze23.jpg</v>
      </c>
      <c r="D7982" t="s">
        <v>16</v>
      </c>
      <c r="G7982" t="s">
        <v>224</v>
      </c>
      <c r="I7982" t="s">
        <v>41</v>
      </c>
      <c r="J7982" t="s">
        <v>2350</v>
      </c>
      <c r="L7982" t="s">
        <v>4129</v>
      </c>
      <c r="M7982" t="s">
        <v>4121</v>
      </c>
      <c r="N7982" t="s">
        <v>4121</v>
      </c>
      <c r="O7982" t="s">
        <v>23</v>
      </c>
      <c r="P7982" t="s">
        <v>24</v>
      </c>
      <c r="Q7982" t="s">
        <v>642</v>
      </c>
      <c r="R7982" t="s">
        <v>683</v>
      </c>
    </row>
    <row r="7983" spans="1:18" x14ac:dyDescent="0.25">
      <c r="A7983" t="s">
        <v>13844</v>
      </c>
      <c r="B7983" t="s">
        <v>4148</v>
      </c>
      <c r="C7983" t="str">
        <f>HYPERLINK("https://nematode.unl.edu/omenze24.jpg")</f>
        <v>https://nematode.unl.edu/omenze24.jpg</v>
      </c>
      <c r="G7983" t="s">
        <v>224</v>
      </c>
      <c r="I7983" t="s">
        <v>41</v>
      </c>
      <c r="J7983" t="s">
        <v>2350</v>
      </c>
      <c r="L7983" t="s">
        <v>4129</v>
      </c>
      <c r="M7983" t="s">
        <v>4121</v>
      </c>
      <c r="N7983" t="s">
        <v>4121</v>
      </c>
      <c r="O7983" t="s">
        <v>23</v>
      </c>
      <c r="P7983" t="s">
        <v>24</v>
      </c>
      <c r="Q7983" t="s">
        <v>642</v>
      </c>
      <c r="R7983" t="s">
        <v>683</v>
      </c>
    </row>
    <row r="7984" spans="1:18" x14ac:dyDescent="0.25">
      <c r="A7984" t="s">
        <v>13845</v>
      </c>
      <c r="B7984" t="s">
        <v>4149</v>
      </c>
      <c r="C7984" t="str">
        <f>HYPERLINK("https://nematode.unl.edu/omenze25.jpg")</f>
        <v>https://nematode.unl.edu/omenze25.jpg</v>
      </c>
      <c r="D7984" t="s">
        <v>16</v>
      </c>
      <c r="G7984" t="s">
        <v>224</v>
      </c>
      <c r="I7984" t="s">
        <v>41</v>
      </c>
      <c r="J7984" t="s">
        <v>2350</v>
      </c>
      <c r="L7984" t="s">
        <v>4129</v>
      </c>
      <c r="M7984" t="s">
        <v>4121</v>
      </c>
      <c r="N7984" t="s">
        <v>4121</v>
      </c>
      <c r="O7984" t="s">
        <v>23</v>
      </c>
      <c r="P7984" t="s">
        <v>24</v>
      </c>
      <c r="Q7984" t="s">
        <v>642</v>
      </c>
      <c r="R7984" t="s">
        <v>683</v>
      </c>
    </row>
    <row r="7985" spans="1:18" x14ac:dyDescent="0.25">
      <c r="A7985" t="s">
        <v>13850</v>
      </c>
      <c r="B7985" t="s">
        <v>4150</v>
      </c>
      <c r="C7985" t="str">
        <f>HYPERLINK("https://nematode.unl.edu/omenze26.jpg")</f>
        <v>https://nematode.unl.edu/omenze26.jpg</v>
      </c>
      <c r="D7985" t="s">
        <v>16</v>
      </c>
      <c r="G7985" t="s">
        <v>28</v>
      </c>
      <c r="I7985" t="s">
        <v>41</v>
      </c>
      <c r="J7985" t="s">
        <v>2350</v>
      </c>
      <c r="L7985" t="s">
        <v>4129</v>
      </c>
      <c r="M7985" t="s">
        <v>4121</v>
      </c>
      <c r="N7985" t="s">
        <v>4121</v>
      </c>
      <c r="O7985" t="s">
        <v>23</v>
      </c>
      <c r="P7985" t="s">
        <v>24</v>
      </c>
      <c r="Q7985" t="s">
        <v>642</v>
      </c>
      <c r="R7985" t="s">
        <v>683</v>
      </c>
    </row>
    <row r="7986" spans="1:18" x14ac:dyDescent="0.25">
      <c r="A7986" t="s">
        <v>13840</v>
      </c>
      <c r="B7986" t="s">
        <v>4151</v>
      </c>
      <c r="C7986" t="str">
        <f>HYPERLINK("https://nematode.unl.edu/omenze27.jpg")</f>
        <v>https://nematode.unl.edu/omenze27.jpg</v>
      </c>
      <c r="D7986" t="s">
        <v>43</v>
      </c>
      <c r="G7986" t="s">
        <v>44</v>
      </c>
      <c r="I7986" t="s">
        <v>516</v>
      </c>
      <c r="J7986" t="s">
        <v>4152</v>
      </c>
      <c r="L7986" t="s">
        <v>4129</v>
      </c>
      <c r="M7986" t="s">
        <v>4121</v>
      </c>
      <c r="N7986" t="s">
        <v>4121</v>
      </c>
      <c r="O7986" t="s">
        <v>23</v>
      </c>
      <c r="P7986" t="s">
        <v>24</v>
      </c>
      <c r="Q7986" t="s">
        <v>642</v>
      </c>
      <c r="R7986" t="s">
        <v>683</v>
      </c>
    </row>
    <row r="7987" spans="1:18" x14ac:dyDescent="0.25">
      <c r="A7987" t="s">
        <v>13828</v>
      </c>
      <c r="B7987" t="s">
        <v>4153</v>
      </c>
      <c r="C7987" t="str">
        <f>HYPERLINK("https://nematode.unl.edu/omenze28.jpg")</f>
        <v>https://nematode.unl.edu/omenze28.jpg</v>
      </c>
      <c r="D7987" t="s">
        <v>43</v>
      </c>
      <c r="G7987" t="s">
        <v>34</v>
      </c>
      <c r="H7987" t="s">
        <v>18</v>
      </c>
      <c r="I7987" t="s">
        <v>41</v>
      </c>
      <c r="J7987" t="s">
        <v>4152</v>
      </c>
      <c r="M7987" t="s">
        <v>4121</v>
      </c>
      <c r="N7987" t="s">
        <v>4121</v>
      </c>
      <c r="O7987" t="s">
        <v>23</v>
      </c>
      <c r="P7987" t="s">
        <v>24</v>
      </c>
      <c r="Q7987" t="s">
        <v>642</v>
      </c>
      <c r="R7987" t="s">
        <v>683</v>
      </c>
    </row>
    <row r="7988" spans="1:18" x14ac:dyDescent="0.25">
      <c r="A7988" t="s">
        <v>13829</v>
      </c>
      <c r="B7988" t="s">
        <v>4154</v>
      </c>
      <c r="C7988" t="str">
        <f>HYPERLINK("https://nematode.unl.edu/omenze29.jpg")</f>
        <v>https://nematode.unl.edu/omenze29.jpg</v>
      </c>
      <c r="D7988" t="s">
        <v>43</v>
      </c>
      <c r="G7988" t="s">
        <v>34</v>
      </c>
      <c r="H7988" t="s">
        <v>18</v>
      </c>
      <c r="J7988" t="s">
        <v>2350</v>
      </c>
      <c r="L7988" t="s">
        <v>4129</v>
      </c>
      <c r="M7988" t="s">
        <v>4121</v>
      </c>
      <c r="N7988" t="s">
        <v>4121</v>
      </c>
      <c r="O7988" t="s">
        <v>23</v>
      </c>
      <c r="P7988" t="s">
        <v>24</v>
      </c>
      <c r="Q7988" t="s">
        <v>642</v>
      </c>
      <c r="R7988" t="s">
        <v>683</v>
      </c>
    </row>
    <row r="7989" spans="1:18" x14ac:dyDescent="0.25">
      <c r="A7989" t="s">
        <v>13821</v>
      </c>
      <c r="B7989" t="s">
        <v>4155</v>
      </c>
      <c r="C7989" t="str">
        <f>HYPERLINK("https://nematode.unl.edu/omenze3.jpg")</f>
        <v>https://nematode.unl.edu/omenze3.jpg</v>
      </c>
      <c r="D7989" t="s">
        <v>43</v>
      </c>
      <c r="G7989" t="s">
        <v>96</v>
      </c>
      <c r="H7989" t="s">
        <v>18</v>
      </c>
      <c r="I7989" t="s">
        <v>41</v>
      </c>
      <c r="J7989" t="s">
        <v>2350</v>
      </c>
      <c r="L7989" t="s">
        <v>4129</v>
      </c>
      <c r="M7989" t="s">
        <v>4121</v>
      </c>
      <c r="N7989" t="s">
        <v>4121</v>
      </c>
      <c r="O7989" t="s">
        <v>23</v>
      </c>
      <c r="P7989" t="s">
        <v>24</v>
      </c>
      <c r="Q7989" t="s">
        <v>642</v>
      </c>
      <c r="R7989" t="s">
        <v>683</v>
      </c>
    </row>
    <row r="7990" spans="1:18" x14ac:dyDescent="0.25">
      <c r="A7990" t="s">
        <v>13851</v>
      </c>
      <c r="B7990" t="s">
        <v>4156</v>
      </c>
      <c r="C7990" t="str">
        <f>HYPERLINK("https://nematode.unl.edu/omenze30.jpg")</f>
        <v>https://nematode.unl.edu/omenze30.jpg</v>
      </c>
      <c r="D7990" t="s">
        <v>43</v>
      </c>
      <c r="G7990" t="s">
        <v>28</v>
      </c>
      <c r="J7990" t="s">
        <v>2350</v>
      </c>
      <c r="L7990" t="s">
        <v>4129</v>
      </c>
      <c r="M7990" t="s">
        <v>4121</v>
      </c>
      <c r="N7990" t="s">
        <v>4121</v>
      </c>
      <c r="O7990" t="s">
        <v>23</v>
      </c>
      <c r="P7990" t="s">
        <v>24</v>
      </c>
      <c r="Q7990" t="s">
        <v>642</v>
      </c>
      <c r="R7990" t="s">
        <v>683</v>
      </c>
    </row>
    <row r="7991" spans="1:18" x14ac:dyDescent="0.25">
      <c r="A7991" t="s">
        <v>13852</v>
      </c>
      <c r="B7991" t="s">
        <v>4157</v>
      </c>
      <c r="C7991" t="str">
        <f>HYPERLINK("https://nematode.unl.edu/omenze31.jpg")</f>
        <v>https://nematode.unl.edu/omenze31.jpg</v>
      </c>
      <c r="D7991" t="s">
        <v>43</v>
      </c>
      <c r="G7991" t="s">
        <v>28</v>
      </c>
      <c r="I7991" t="s">
        <v>41</v>
      </c>
      <c r="J7991" t="s">
        <v>2350</v>
      </c>
      <c r="L7991" t="s">
        <v>4129</v>
      </c>
      <c r="M7991" t="s">
        <v>4121</v>
      </c>
      <c r="N7991" t="s">
        <v>4121</v>
      </c>
      <c r="O7991" t="s">
        <v>23</v>
      </c>
      <c r="P7991" t="s">
        <v>24</v>
      </c>
      <c r="Q7991" t="s">
        <v>642</v>
      </c>
      <c r="R7991" t="s">
        <v>683</v>
      </c>
    </row>
    <row r="7992" spans="1:18" x14ac:dyDescent="0.25">
      <c r="A7992" t="s">
        <v>13822</v>
      </c>
      <c r="B7992" t="s">
        <v>4158</v>
      </c>
      <c r="C7992" t="str">
        <f>HYPERLINK("https://nematode.unl.edu/omenze4.jpg")</f>
        <v>https://nematode.unl.edu/omenze4.jpg</v>
      </c>
      <c r="D7992" t="s">
        <v>43</v>
      </c>
      <c r="G7992" t="s">
        <v>96</v>
      </c>
      <c r="H7992" t="s">
        <v>18</v>
      </c>
      <c r="I7992" t="s">
        <v>41</v>
      </c>
      <c r="J7992" t="s">
        <v>2350</v>
      </c>
      <c r="L7992" t="s">
        <v>4129</v>
      </c>
      <c r="M7992" t="s">
        <v>4121</v>
      </c>
      <c r="N7992" t="s">
        <v>4121</v>
      </c>
      <c r="O7992" t="s">
        <v>23</v>
      </c>
      <c r="P7992" t="s">
        <v>24</v>
      </c>
      <c r="Q7992" t="s">
        <v>642</v>
      </c>
      <c r="R7992" t="s">
        <v>683</v>
      </c>
    </row>
    <row r="7993" spans="1:18" x14ac:dyDescent="0.25">
      <c r="A7993" t="s">
        <v>13823</v>
      </c>
      <c r="B7993" t="s">
        <v>4159</v>
      </c>
      <c r="C7993" t="str">
        <f>HYPERLINK("https://nematode.unl.edu/omenze5.jpg")</f>
        <v>https://nematode.unl.edu/omenze5.jpg</v>
      </c>
      <c r="D7993" t="s">
        <v>43</v>
      </c>
      <c r="G7993" t="s">
        <v>96</v>
      </c>
      <c r="H7993" t="s">
        <v>18</v>
      </c>
      <c r="I7993" t="s">
        <v>41</v>
      </c>
      <c r="J7993" t="s">
        <v>2350</v>
      </c>
      <c r="L7993" t="s">
        <v>4129</v>
      </c>
      <c r="M7993" t="s">
        <v>4121</v>
      </c>
      <c r="N7993" t="s">
        <v>4121</v>
      </c>
      <c r="O7993" t="s">
        <v>23</v>
      </c>
      <c r="P7993" t="s">
        <v>24</v>
      </c>
      <c r="Q7993" t="s">
        <v>642</v>
      </c>
      <c r="R7993" t="s">
        <v>683</v>
      </c>
    </row>
    <row r="7994" spans="1:18" x14ac:dyDescent="0.25">
      <c r="A7994" t="s">
        <v>13841</v>
      </c>
      <c r="B7994" t="s">
        <v>4160</v>
      </c>
      <c r="C7994" t="str">
        <f>HYPERLINK("https://nematode.unl.edu/omenze6.jpg")</f>
        <v>https://nematode.unl.edu/omenze6.jpg</v>
      </c>
      <c r="D7994" t="s">
        <v>43</v>
      </c>
      <c r="G7994" t="s">
        <v>44</v>
      </c>
      <c r="I7994" t="s">
        <v>41</v>
      </c>
      <c r="J7994" t="s">
        <v>2350</v>
      </c>
      <c r="L7994" t="s">
        <v>4129</v>
      </c>
      <c r="M7994" t="s">
        <v>4121</v>
      </c>
      <c r="N7994" t="s">
        <v>4121</v>
      </c>
      <c r="O7994" t="s">
        <v>23</v>
      </c>
      <c r="P7994" t="s">
        <v>24</v>
      </c>
      <c r="Q7994" t="s">
        <v>642</v>
      </c>
      <c r="R7994" t="s">
        <v>683</v>
      </c>
    </row>
    <row r="7995" spans="1:18" x14ac:dyDescent="0.25">
      <c r="A7995" t="s">
        <v>13846</v>
      </c>
      <c r="B7995" t="s">
        <v>4161</v>
      </c>
      <c r="C7995" t="str">
        <f>HYPERLINK("https://nematode.unl.edu/omenze7.jpg")</f>
        <v>https://nematode.unl.edu/omenze7.jpg</v>
      </c>
      <c r="G7995" t="s">
        <v>674</v>
      </c>
      <c r="J7995" t="s">
        <v>2350</v>
      </c>
      <c r="L7995" t="s">
        <v>4129</v>
      </c>
      <c r="M7995" t="s">
        <v>4121</v>
      </c>
      <c r="N7995" t="s">
        <v>4121</v>
      </c>
      <c r="O7995" t="s">
        <v>23</v>
      </c>
      <c r="P7995" t="s">
        <v>24</v>
      </c>
      <c r="Q7995" t="s">
        <v>642</v>
      </c>
      <c r="R7995" t="s">
        <v>683</v>
      </c>
    </row>
    <row r="7996" spans="1:18" x14ac:dyDescent="0.25">
      <c r="A7996" t="s">
        <v>13854</v>
      </c>
      <c r="B7996" t="s">
        <v>4162</v>
      </c>
      <c r="C7996" t="str">
        <f>HYPERLINK("https://nematode.unl.edu/omenze8.jpg")</f>
        <v>https://nematode.unl.edu/omenze8.jpg</v>
      </c>
      <c r="D7996" t="s">
        <v>43</v>
      </c>
      <c r="G7996" t="s">
        <v>51</v>
      </c>
      <c r="I7996" t="s">
        <v>41</v>
      </c>
      <c r="J7996" t="s">
        <v>2350</v>
      </c>
      <c r="L7996" t="s">
        <v>4129</v>
      </c>
      <c r="M7996" t="s">
        <v>4121</v>
      </c>
      <c r="N7996" t="s">
        <v>4121</v>
      </c>
      <c r="O7996" t="s">
        <v>23</v>
      </c>
      <c r="P7996" t="s">
        <v>24</v>
      </c>
      <c r="Q7996" t="s">
        <v>642</v>
      </c>
      <c r="R7996" t="s">
        <v>683</v>
      </c>
    </row>
    <row r="7997" spans="1:18" x14ac:dyDescent="0.25">
      <c r="A7997" t="s">
        <v>13855</v>
      </c>
      <c r="B7997" t="s">
        <v>4163</v>
      </c>
      <c r="C7997" t="str">
        <f>HYPERLINK("https://nematode.unl.edu/omenze9.jpg")</f>
        <v>https://nematode.unl.edu/omenze9.jpg</v>
      </c>
      <c r="D7997" t="s">
        <v>43</v>
      </c>
      <c r="G7997" t="s">
        <v>51</v>
      </c>
      <c r="I7997" t="s">
        <v>41</v>
      </c>
      <c r="J7997" t="s">
        <v>2350</v>
      </c>
      <c r="L7997" t="s">
        <v>4129</v>
      </c>
      <c r="M7997" t="s">
        <v>4121</v>
      </c>
      <c r="N7997" t="s">
        <v>4121</v>
      </c>
      <c r="O7997" t="s">
        <v>23</v>
      </c>
      <c r="P7997" t="s">
        <v>24</v>
      </c>
      <c r="Q7997" t="s">
        <v>642</v>
      </c>
      <c r="R7997" t="s">
        <v>683</v>
      </c>
    </row>
    <row r="7998" spans="1:18" x14ac:dyDescent="0.25">
      <c r="A7998" t="s">
        <v>15583</v>
      </c>
      <c r="B7998" t="s">
        <v>1497</v>
      </c>
      <c r="C7998" t="str">
        <f>HYPERLINK("https://nematode.unl.edu/ooctan1.jpg")</f>
        <v>https://nematode.unl.edu/ooctan1.jpg</v>
      </c>
      <c r="D7998" t="s">
        <v>43</v>
      </c>
      <c r="G7998" t="s">
        <v>44</v>
      </c>
      <c r="I7998" t="s">
        <v>19</v>
      </c>
      <c r="J7998" t="s">
        <v>1498</v>
      </c>
      <c r="L7998" t="s">
        <v>1499</v>
      </c>
      <c r="M7998" t="s">
        <v>1479</v>
      </c>
      <c r="N7998" t="s">
        <v>1480</v>
      </c>
      <c r="O7998" t="s">
        <v>23</v>
      </c>
      <c r="P7998" t="s">
        <v>24</v>
      </c>
      <c r="Q7998" t="s">
        <v>642</v>
      </c>
      <c r="R7998" t="s">
        <v>1417</v>
      </c>
    </row>
    <row r="7999" spans="1:18" x14ac:dyDescent="0.25">
      <c r="A7999" t="s">
        <v>15576</v>
      </c>
      <c r="B7999" t="s">
        <v>1500</v>
      </c>
      <c r="C7999" t="str">
        <f>HYPERLINK("https://nematode.unl.edu/ooctan2.jpg")</f>
        <v>https://nematode.unl.edu/ooctan2.jpg</v>
      </c>
      <c r="D7999" t="s">
        <v>43</v>
      </c>
      <c r="G7999" t="s">
        <v>34</v>
      </c>
      <c r="H7999" t="s">
        <v>18</v>
      </c>
      <c r="I7999" t="s">
        <v>41</v>
      </c>
      <c r="J7999" t="s">
        <v>1498</v>
      </c>
      <c r="L7999" t="s">
        <v>1499</v>
      </c>
      <c r="M7999" t="s">
        <v>1479</v>
      </c>
      <c r="N7999" t="s">
        <v>1480</v>
      </c>
      <c r="O7999" t="s">
        <v>23</v>
      </c>
      <c r="P7999" t="s">
        <v>24</v>
      </c>
      <c r="Q7999" t="s">
        <v>642</v>
      </c>
      <c r="R7999" t="s">
        <v>1417</v>
      </c>
    </row>
    <row r="8000" spans="1:18" x14ac:dyDescent="0.25">
      <c r="A8000" t="s">
        <v>15572</v>
      </c>
      <c r="B8000" t="s">
        <v>1501</v>
      </c>
      <c r="C8000" t="str">
        <f>HYPERLINK("https://nematode.unl.edu/ooctan3.jpg")</f>
        <v>https://nematode.unl.edu/ooctan3.jpg</v>
      </c>
      <c r="D8000" t="s">
        <v>43</v>
      </c>
      <c r="G8000" t="s">
        <v>96</v>
      </c>
      <c r="H8000" t="s">
        <v>18</v>
      </c>
      <c r="I8000" t="s">
        <v>41</v>
      </c>
      <c r="J8000" t="s">
        <v>1498</v>
      </c>
      <c r="L8000" t="s">
        <v>1499</v>
      </c>
      <c r="M8000" t="s">
        <v>1479</v>
      </c>
      <c r="N8000" t="s">
        <v>1480</v>
      </c>
      <c r="O8000" t="s">
        <v>23</v>
      </c>
      <c r="P8000" t="s">
        <v>24</v>
      </c>
      <c r="Q8000" t="s">
        <v>642</v>
      </c>
      <c r="R8000" t="s">
        <v>1417</v>
      </c>
    </row>
    <row r="8001" spans="1:18" x14ac:dyDescent="0.25">
      <c r="A8001" t="s">
        <v>15588</v>
      </c>
      <c r="B8001" t="s">
        <v>1502</v>
      </c>
      <c r="C8001" t="str">
        <f>HYPERLINK("https://nematode.unl.edu/ooctan4.jpg")</f>
        <v>https://nematode.unl.edu/ooctan4.jpg</v>
      </c>
      <c r="D8001" t="s">
        <v>43</v>
      </c>
      <c r="G8001" t="s">
        <v>28</v>
      </c>
      <c r="I8001" t="s">
        <v>41</v>
      </c>
      <c r="J8001" t="s">
        <v>1498</v>
      </c>
      <c r="L8001" t="s">
        <v>1499</v>
      </c>
      <c r="M8001" t="s">
        <v>1479</v>
      </c>
      <c r="N8001" t="s">
        <v>1480</v>
      </c>
      <c r="O8001" t="s">
        <v>23</v>
      </c>
      <c r="P8001" t="s">
        <v>24</v>
      </c>
      <c r="Q8001" t="s">
        <v>642</v>
      </c>
      <c r="R8001" t="s">
        <v>1417</v>
      </c>
    </row>
    <row r="8002" spans="1:18" x14ac:dyDescent="0.25">
      <c r="A8002" t="s">
        <v>20014</v>
      </c>
      <c r="B8002" t="s">
        <v>9520</v>
      </c>
      <c r="C8002" t="str">
        <f>HYPERLINK("https://nematode.unl.edu/oriver1.jpg")</f>
        <v>https://nematode.unl.edu/oriver1.jpg</v>
      </c>
      <c r="D8002" t="s">
        <v>43</v>
      </c>
      <c r="G8002" t="s">
        <v>44</v>
      </c>
      <c r="I8002" t="s">
        <v>45</v>
      </c>
      <c r="J8002" t="s">
        <v>20</v>
      </c>
      <c r="L8002" t="s">
        <v>38</v>
      </c>
      <c r="M8002" t="s">
        <v>9521</v>
      </c>
      <c r="N8002" t="s">
        <v>9521</v>
      </c>
      <c r="O8002" t="s">
        <v>73</v>
      </c>
      <c r="P8002" t="s">
        <v>81</v>
      </c>
      <c r="Q8002" t="s">
        <v>9522</v>
      </c>
      <c r="R8002" t="s">
        <v>9521</v>
      </c>
    </row>
    <row r="8003" spans="1:18" x14ac:dyDescent="0.25">
      <c r="A8003" t="s">
        <v>20006</v>
      </c>
      <c r="B8003" t="s">
        <v>9523</v>
      </c>
      <c r="C8003" t="str">
        <f>HYPERLINK("https://nematode.unl.edu/oriver10.jpg")</f>
        <v>https://nematode.unl.edu/oriver10.jpg</v>
      </c>
      <c r="D8003" t="s">
        <v>16</v>
      </c>
      <c r="G8003" t="s">
        <v>34</v>
      </c>
      <c r="H8003" t="s">
        <v>18</v>
      </c>
      <c r="I8003" t="s">
        <v>41</v>
      </c>
      <c r="J8003" t="s">
        <v>20</v>
      </c>
      <c r="M8003" t="s">
        <v>9521</v>
      </c>
      <c r="N8003" t="s">
        <v>9521</v>
      </c>
      <c r="O8003" t="s">
        <v>73</v>
      </c>
      <c r="P8003" t="s">
        <v>81</v>
      </c>
      <c r="Q8003" t="s">
        <v>9522</v>
      </c>
      <c r="R8003" t="s">
        <v>9521</v>
      </c>
    </row>
    <row r="8004" spans="1:18" x14ac:dyDescent="0.25">
      <c r="A8004" t="s">
        <v>20007</v>
      </c>
      <c r="B8004" t="s">
        <v>9524</v>
      </c>
      <c r="C8004" t="str">
        <f>HYPERLINK("https://nematode.unl.edu/oriver11.jpg")</f>
        <v>https://nematode.unl.edu/oriver11.jpg</v>
      </c>
      <c r="D8004" t="s">
        <v>16</v>
      </c>
      <c r="G8004" t="s">
        <v>34</v>
      </c>
      <c r="H8004" t="s">
        <v>18</v>
      </c>
      <c r="I8004" t="s">
        <v>19</v>
      </c>
      <c r="M8004" t="s">
        <v>9521</v>
      </c>
      <c r="N8004" t="s">
        <v>9521</v>
      </c>
      <c r="O8004" t="s">
        <v>73</v>
      </c>
      <c r="P8004" t="s">
        <v>81</v>
      </c>
      <c r="Q8004" t="s">
        <v>9522</v>
      </c>
      <c r="R8004" t="s">
        <v>9521</v>
      </c>
    </row>
    <row r="8005" spans="1:18" x14ac:dyDescent="0.25">
      <c r="A8005" t="s">
        <v>20017</v>
      </c>
      <c r="B8005" t="s">
        <v>9525</v>
      </c>
      <c r="C8005" t="str">
        <f>HYPERLINK("https://nematode.unl.edu/oriver12.jpg")</f>
        <v>https://nematode.unl.edu/oriver12.jpg</v>
      </c>
      <c r="D8005" t="s">
        <v>16</v>
      </c>
      <c r="G8005" t="s">
        <v>28</v>
      </c>
      <c r="I8005" t="s">
        <v>19</v>
      </c>
      <c r="J8005" t="s">
        <v>20</v>
      </c>
      <c r="M8005" t="s">
        <v>9521</v>
      </c>
      <c r="N8005" t="s">
        <v>9521</v>
      </c>
      <c r="O8005" t="s">
        <v>73</v>
      </c>
      <c r="P8005" t="s">
        <v>81</v>
      </c>
      <c r="Q8005" t="s">
        <v>9522</v>
      </c>
      <c r="R8005" t="s">
        <v>9521</v>
      </c>
    </row>
    <row r="8006" spans="1:18" x14ac:dyDescent="0.25">
      <c r="A8006" t="s">
        <v>20008</v>
      </c>
      <c r="B8006" t="s">
        <v>9526</v>
      </c>
      <c r="C8006" t="str">
        <f>HYPERLINK("https://nematode.unl.edu/oriver13.jpg")</f>
        <v>https://nematode.unl.edu/oriver13.jpg</v>
      </c>
      <c r="D8006" t="s">
        <v>43</v>
      </c>
      <c r="G8006" t="s">
        <v>34</v>
      </c>
      <c r="H8006" t="s">
        <v>18</v>
      </c>
      <c r="I8006" t="s">
        <v>45</v>
      </c>
      <c r="J8006" t="s">
        <v>20</v>
      </c>
      <c r="M8006" t="s">
        <v>9521</v>
      </c>
      <c r="N8006" t="s">
        <v>9521</v>
      </c>
      <c r="O8006" t="s">
        <v>73</v>
      </c>
      <c r="P8006" t="s">
        <v>81</v>
      </c>
      <c r="Q8006" t="s">
        <v>9522</v>
      </c>
      <c r="R8006" t="s">
        <v>9521</v>
      </c>
    </row>
    <row r="8007" spans="1:18" x14ac:dyDescent="0.25">
      <c r="A8007" t="s">
        <v>20016</v>
      </c>
      <c r="B8007" t="s">
        <v>9527</v>
      </c>
      <c r="C8007" t="str">
        <f>HYPERLINK("https://nematode.unl.edu/oriver14.jpg")</f>
        <v>https://nematode.unl.edu/oriver14.jpg</v>
      </c>
      <c r="D8007" t="s">
        <v>43</v>
      </c>
      <c r="G8007" t="s">
        <v>181</v>
      </c>
      <c r="I8007" t="s">
        <v>45</v>
      </c>
      <c r="M8007" t="s">
        <v>9521</v>
      </c>
      <c r="N8007" t="s">
        <v>9521</v>
      </c>
      <c r="O8007" t="s">
        <v>73</v>
      </c>
      <c r="P8007" t="s">
        <v>81</v>
      </c>
      <c r="Q8007" t="s">
        <v>9522</v>
      </c>
      <c r="R8007" t="s">
        <v>9521</v>
      </c>
    </row>
    <row r="8008" spans="1:18" x14ac:dyDescent="0.25">
      <c r="A8008" t="s">
        <v>20009</v>
      </c>
      <c r="B8008" t="s">
        <v>9528</v>
      </c>
      <c r="C8008" t="str">
        <f>HYPERLINK("https://nematode.unl.edu/oriver15.jpg")</f>
        <v>https://nematode.unl.edu/oriver15.jpg</v>
      </c>
      <c r="D8008" t="s">
        <v>43</v>
      </c>
      <c r="G8008" t="s">
        <v>34</v>
      </c>
      <c r="H8008" t="s">
        <v>18</v>
      </c>
      <c r="I8008" t="s">
        <v>19</v>
      </c>
      <c r="J8008" t="s">
        <v>20</v>
      </c>
      <c r="M8008" t="s">
        <v>9521</v>
      </c>
      <c r="N8008" t="s">
        <v>9521</v>
      </c>
      <c r="O8008" t="s">
        <v>73</v>
      </c>
      <c r="P8008" t="s">
        <v>81</v>
      </c>
      <c r="Q8008" t="s">
        <v>9522</v>
      </c>
      <c r="R8008" t="s">
        <v>9521</v>
      </c>
    </row>
    <row r="8009" spans="1:18" x14ac:dyDescent="0.25">
      <c r="A8009" t="s">
        <v>20010</v>
      </c>
      <c r="B8009" t="s">
        <v>9529</v>
      </c>
      <c r="C8009" t="str">
        <f>HYPERLINK("https://nematode.unl.edu/oriver2.jpg")</f>
        <v>https://nematode.unl.edu/oriver2.jpg</v>
      </c>
      <c r="D8009" t="s">
        <v>43</v>
      </c>
      <c r="G8009" t="s">
        <v>34</v>
      </c>
      <c r="H8009" t="s">
        <v>18</v>
      </c>
      <c r="J8009" t="s">
        <v>20</v>
      </c>
      <c r="L8009" t="s">
        <v>38</v>
      </c>
      <c r="M8009" t="s">
        <v>9521</v>
      </c>
      <c r="N8009" t="s">
        <v>9521</v>
      </c>
      <c r="O8009" t="s">
        <v>73</v>
      </c>
      <c r="P8009" t="s">
        <v>81</v>
      </c>
      <c r="Q8009" t="s">
        <v>9522</v>
      </c>
      <c r="R8009" t="s">
        <v>9521</v>
      </c>
    </row>
    <row r="8010" spans="1:18" x14ac:dyDescent="0.25">
      <c r="A8010" t="s">
        <v>20005</v>
      </c>
      <c r="B8010" t="s">
        <v>9530</v>
      </c>
      <c r="C8010" t="str">
        <f>HYPERLINK("https://nematode.unl.edu/oriver3.jpg")</f>
        <v>https://nematode.unl.edu/oriver3.jpg</v>
      </c>
      <c r="D8010" t="s">
        <v>43</v>
      </c>
      <c r="G8010" t="s">
        <v>17</v>
      </c>
      <c r="H8010" t="s">
        <v>18</v>
      </c>
      <c r="J8010" t="s">
        <v>20</v>
      </c>
      <c r="L8010" t="s">
        <v>38</v>
      </c>
      <c r="M8010" t="s">
        <v>9521</v>
      </c>
      <c r="N8010" t="s">
        <v>9521</v>
      </c>
      <c r="O8010" t="s">
        <v>73</v>
      </c>
      <c r="P8010" t="s">
        <v>81</v>
      </c>
      <c r="Q8010" t="s">
        <v>9522</v>
      </c>
      <c r="R8010" t="s">
        <v>9521</v>
      </c>
    </row>
    <row r="8011" spans="1:18" x14ac:dyDescent="0.25">
      <c r="A8011" t="s">
        <v>20019</v>
      </c>
      <c r="B8011" t="s">
        <v>9531</v>
      </c>
      <c r="C8011" t="str">
        <f>HYPERLINK("https://nematode.unl.edu/oriver4.jpg")</f>
        <v>https://nematode.unl.edu/oriver4.jpg</v>
      </c>
      <c r="D8011" t="s">
        <v>43</v>
      </c>
      <c r="G8011" t="s">
        <v>51</v>
      </c>
      <c r="I8011" t="s">
        <v>19</v>
      </c>
      <c r="J8011" t="s">
        <v>20</v>
      </c>
      <c r="L8011" t="s">
        <v>38</v>
      </c>
      <c r="M8011" t="s">
        <v>9521</v>
      </c>
      <c r="N8011" t="s">
        <v>9521</v>
      </c>
      <c r="O8011" t="s">
        <v>73</v>
      </c>
      <c r="P8011" t="s">
        <v>81</v>
      </c>
      <c r="Q8011" t="s">
        <v>9522</v>
      </c>
      <c r="R8011" t="s">
        <v>9521</v>
      </c>
    </row>
    <row r="8012" spans="1:18" x14ac:dyDescent="0.25">
      <c r="A8012" t="s">
        <v>20018</v>
      </c>
      <c r="B8012" t="s">
        <v>9532</v>
      </c>
      <c r="C8012" t="str">
        <f>HYPERLINK("https://nematode.unl.edu/oriver5.jpg")</f>
        <v>https://nematode.unl.edu/oriver5.jpg</v>
      </c>
      <c r="D8012" t="s">
        <v>43</v>
      </c>
      <c r="G8012" t="s">
        <v>28</v>
      </c>
      <c r="J8012" t="s">
        <v>20</v>
      </c>
      <c r="L8012" t="s">
        <v>38</v>
      </c>
      <c r="M8012" t="s">
        <v>9521</v>
      </c>
      <c r="N8012" t="s">
        <v>9521</v>
      </c>
      <c r="O8012" t="s">
        <v>73</v>
      </c>
      <c r="P8012" t="s">
        <v>81</v>
      </c>
      <c r="Q8012" t="s">
        <v>9522</v>
      </c>
      <c r="R8012" t="s">
        <v>9521</v>
      </c>
    </row>
    <row r="8013" spans="1:18" x14ac:dyDescent="0.25">
      <c r="A8013" t="s">
        <v>20013</v>
      </c>
      <c r="B8013" t="s">
        <v>9533</v>
      </c>
      <c r="C8013" t="str">
        <f>HYPERLINK("https://nematode.unl.edu/oriver6.jpg")</f>
        <v>https://nematode.unl.edu/oriver6.jpg</v>
      </c>
      <c r="D8013" t="s">
        <v>43</v>
      </c>
      <c r="G8013" t="s">
        <v>87</v>
      </c>
      <c r="I8013" t="s">
        <v>41</v>
      </c>
      <c r="J8013" t="s">
        <v>20</v>
      </c>
      <c r="L8013" t="s">
        <v>38</v>
      </c>
      <c r="M8013" t="s">
        <v>9521</v>
      </c>
      <c r="N8013" t="s">
        <v>9521</v>
      </c>
      <c r="O8013" t="s">
        <v>73</v>
      </c>
      <c r="P8013" t="s">
        <v>81</v>
      </c>
      <c r="Q8013" t="s">
        <v>9522</v>
      </c>
      <c r="R8013" t="s">
        <v>9521</v>
      </c>
    </row>
    <row r="8014" spans="1:18" x14ac:dyDescent="0.25">
      <c r="A8014" t="s">
        <v>20011</v>
      </c>
      <c r="B8014" t="s">
        <v>9534</v>
      </c>
      <c r="C8014" t="str">
        <f>HYPERLINK("https://nematode.unl.edu/oriver7.jpg")</f>
        <v>https://nematode.unl.edu/oriver7.jpg</v>
      </c>
      <c r="D8014" t="s">
        <v>43</v>
      </c>
      <c r="G8014" t="s">
        <v>34</v>
      </c>
      <c r="H8014" t="s">
        <v>18</v>
      </c>
      <c r="I8014" t="s">
        <v>41</v>
      </c>
      <c r="J8014" t="s">
        <v>20</v>
      </c>
      <c r="L8014" t="s">
        <v>38</v>
      </c>
      <c r="M8014" t="s">
        <v>9521</v>
      </c>
      <c r="N8014" t="s">
        <v>9521</v>
      </c>
      <c r="O8014" t="s">
        <v>73</v>
      </c>
      <c r="P8014" t="s">
        <v>81</v>
      </c>
      <c r="Q8014" t="s">
        <v>9522</v>
      </c>
      <c r="R8014" t="s">
        <v>9521</v>
      </c>
    </row>
    <row r="8015" spans="1:18" x14ac:dyDescent="0.25">
      <c r="A8015" t="s">
        <v>20015</v>
      </c>
      <c r="B8015" t="s">
        <v>9535</v>
      </c>
      <c r="C8015" t="str">
        <f>HYPERLINK("https://nematode.unl.edu/oriver8.jpg")</f>
        <v>https://nematode.unl.edu/oriver8.jpg</v>
      </c>
      <c r="D8015" t="s">
        <v>16</v>
      </c>
      <c r="G8015" t="s">
        <v>243</v>
      </c>
      <c r="I8015" t="s">
        <v>41</v>
      </c>
      <c r="J8015" t="s">
        <v>20</v>
      </c>
      <c r="L8015" t="s">
        <v>29</v>
      </c>
      <c r="M8015" t="s">
        <v>9521</v>
      </c>
      <c r="N8015" t="s">
        <v>9521</v>
      </c>
      <c r="O8015" t="s">
        <v>73</v>
      </c>
      <c r="P8015" t="s">
        <v>81</v>
      </c>
      <c r="Q8015" t="s">
        <v>9522</v>
      </c>
      <c r="R8015" t="s">
        <v>9521</v>
      </c>
    </row>
    <row r="8016" spans="1:18" x14ac:dyDescent="0.25">
      <c r="A8016" t="s">
        <v>20012</v>
      </c>
      <c r="B8016" t="s">
        <v>9536</v>
      </c>
      <c r="C8016" t="str">
        <f>HYPERLINK("https://nematode.unl.edu/oriver9.jpg")</f>
        <v>https://nematode.unl.edu/oriver9.jpg</v>
      </c>
      <c r="G8016" t="s">
        <v>34</v>
      </c>
      <c r="H8016" t="s">
        <v>18</v>
      </c>
      <c r="I8016" t="s">
        <v>41</v>
      </c>
      <c r="J8016" t="s">
        <v>20</v>
      </c>
      <c r="L8016" t="s">
        <v>29</v>
      </c>
      <c r="M8016" t="s">
        <v>9521</v>
      </c>
      <c r="N8016" t="s">
        <v>9521</v>
      </c>
      <c r="O8016" t="s">
        <v>73</v>
      </c>
      <c r="P8016" t="s">
        <v>81</v>
      </c>
      <c r="Q8016" t="s">
        <v>9522</v>
      </c>
      <c r="R8016" t="s">
        <v>9521</v>
      </c>
    </row>
    <row r="8017" spans="1:18" x14ac:dyDescent="0.25">
      <c r="A8017" t="s">
        <v>19689</v>
      </c>
      <c r="B8017" t="s">
        <v>9537</v>
      </c>
      <c r="C8017" t="str">
        <f>HYPERLINK("https://nematode.unl.edu/oxydir1.jpg")</f>
        <v>https://nematode.unl.edu/oxydir1.jpg</v>
      </c>
      <c r="D8017" t="s">
        <v>16</v>
      </c>
      <c r="G8017" t="s">
        <v>44</v>
      </c>
      <c r="I8017" t="s">
        <v>499</v>
      </c>
      <c r="J8017" t="s">
        <v>1517</v>
      </c>
      <c r="L8017" t="s">
        <v>1526</v>
      </c>
      <c r="M8017" t="s">
        <v>9538</v>
      </c>
      <c r="N8017" t="s">
        <v>9538</v>
      </c>
      <c r="O8017" t="s">
        <v>73</v>
      </c>
      <c r="P8017" t="s">
        <v>81</v>
      </c>
      <c r="Q8017" t="s">
        <v>733</v>
      </c>
      <c r="R8017" t="s">
        <v>9538</v>
      </c>
    </row>
    <row r="8018" spans="1:18" x14ac:dyDescent="0.25">
      <c r="A8018" t="s">
        <v>19686</v>
      </c>
      <c r="B8018" t="s">
        <v>9539</v>
      </c>
      <c r="C8018" t="str">
        <f>HYPERLINK("https://nematode.unl.edu/oxydir2.jpg")</f>
        <v>https://nematode.unl.edu/oxydir2.jpg</v>
      </c>
      <c r="D8018" t="s">
        <v>16</v>
      </c>
      <c r="G8018" t="s">
        <v>96</v>
      </c>
      <c r="H8018" t="s">
        <v>18</v>
      </c>
      <c r="I8018" t="s">
        <v>19</v>
      </c>
      <c r="J8018" t="s">
        <v>1517</v>
      </c>
      <c r="L8018" t="s">
        <v>1526</v>
      </c>
      <c r="M8018" t="s">
        <v>9538</v>
      </c>
      <c r="N8018" t="s">
        <v>9538</v>
      </c>
      <c r="O8018" t="s">
        <v>73</v>
      </c>
      <c r="P8018" t="s">
        <v>81</v>
      </c>
      <c r="Q8018" t="s">
        <v>733</v>
      </c>
      <c r="R8018" t="s">
        <v>9538</v>
      </c>
    </row>
    <row r="8019" spans="1:18" x14ac:dyDescent="0.25">
      <c r="A8019" t="s">
        <v>19691</v>
      </c>
      <c r="B8019" t="s">
        <v>9540</v>
      </c>
      <c r="C8019" t="str">
        <f>HYPERLINK("https://nematode.unl.edu/oxydir3.jpg")</f>
        <v>https://nematode.unl.edu/oxydir3.jpg</v>
      </c>
      <c r="D8019" t="s">
        <v>16</v>
      </c>
      <c r="G8019" t="s">
        <v>28</v>
      </c>
      <c r="I8019" t="s">
        <v>19</v>
      </c>
      <c r="J8019" t="s">
        <v>1517</v>
      </c>
      <c r="L8019" t="s">
        <v>1526</v>
      </c>
      <c r="M8019" t="s">
        <v>9538</v>
      </c>
      <c r="N8019" t="s">
        <v>9538</v>
      </c>
      <c r="O8019" t="s">
        <v>73</v>
      </c>
      <c r="P8019" t="s">
        <v>81</v>
      </c>
      <c r="Q8019" t="s">
        <v>733</v>
      </c>
      <c r="R8019" t="s">
        <v>9538</v>
      </c>
    </row>
    <row r="8020" spans="1:18" x14ac:dyDescent="0.25">
      <c r="A8020" t="s">
        <v>19687</v>
      </c>
      <c r="B8020" t="s">
        <v>9541</v>
      </c>
      <c r="C8020" t="str">
        <f>HYPERLINK("https://nematode.unl.edu/oxydir4.jpg")</f>
        <v>https://nematode.unl.edu/oxydir4.jpg</v>
      </c>
      <c r="D8020" t="s">
        <v>16</v>
      </c>
      <c r="G8020" t="s">
        <v>34</v>
      </c>
      <c r="H8020" t="s">
        <v>18</v>
      </c>
      <c r="I8020" t="s">
        <v>41</v>
      </c>
      <c r="J8020" t="s">
        <v>1517</v>
      </c>
      <c r="L8020" t="s">
        <v>1526</v>
      </c>
      <c r="M8020" t="s">
        <v>9538</v>
      </c>
      <c r="N8020" t="s">
        <v>9538</v>
      </c>
      <c r="O8020" t="s">
        <v>73</v>
      </c>
      <c r="P8020" t="s">
        <v>81</v>
      </c>
      <c r="Q8020" t="s">
        <v>733</v>
      </c>
      <c r="R8020" t="s">
        <v>9538</v>
      </c>
    </row>
    <row r="8021" spans="1:18" x14ac:dyDescent="0.25">
      <c r="A8021" t="s">
        <v>19690</v>
      </c>
      <c r="B8021" t="s">
        <v>9542</v>
      </c>
      <c r="C8021" t="str">
        <f>HYPERLINK("https://nematode.unl.edu/oxydir5.jpg")</f>
        <v>https://nematode.unl.edu/oxydir5.jpg</v>
      </c>
      <c r="D8021" t="s">
        <v>16</v>
      </c>
      <c r="G8021" t="s">
        <v>2150</v>
      </c>
      <c r="I8021" t="s">
        <v>41</v>
      </c>
      <c r="J8021" t="s">
        <v>1517</v>
      </c>
      <c r="L8021" t="s">
        <v>1526</v>
      </c>
      <c r="M8021" t="s">
        <v>9538</v>
      </c>
      <c r="N8021" t="s">
        <v>9538</v>
      </c>
      <c r="O8021" t="s">
        <v>73</v>
      </c>
      <c r="P8021" t="s">
        <v>81</v>
      </c>
      <c r="Q8021" t="s">
        <v>733</v>
      </c>
      <c r="R8021" t="s">
        <v>9538</v>
      </c>
    </row>
    <row r="8022" spans="1:18" x14ac:dyDescent="0.25">
      <c r="A8022" t="s">
        <v>19688</v>
      </c>
      <c r="B8022" t="s">
        <v>9543</v>
      </c>
      <c r="C8022" t="str">
        <f>HYPERLINK("https://nematode.unl.edu/oxydir6.jpg")</f>
        <v>https://nematode.unl.edu/oxydir6.jpg</v>
      </c>
      <c r="D8022" t="s">
        <v>16</v>
      </c>
      <c r="G8022" t="s">
        <v>905</v>
      </c>
      <c r="I8022" t="s">
        <v>41</v>
      </c>
      <c r="J8022" t="s">
        <v>1517</v>
      </c>
      <c r="L8022" t="s">
        <v>1526</v>
      </c>
      <c r="M8022" t="s">
        <v>9538</v>
      </c>
      <c r="N8022" t="s">
        <v>9538</v>
      </c>
      <c r="O8022" t="s">
        <v>73</v>
      </c>
      <c r="P8022" t="s">
        <v>81</v>
      </c>
      <c r="Q8022" t="s">
        <v>733</v>
      </c>
      <c r="R8022" t="s">
        <v>9538</v>
      </c>
    </row>
    <row r="8023" spans="1:18" x14ac:dyDescent="0.25">
      <c r="A8023" t="s">
        <v>19692</v>
      </c>
      <c r="B8023" t="s">
        <v>9544</v>
      </c>
      <c r="C8023" t="str">
        <f>HYPERLINK("https://nematode.unl.edu/oxydir7.jpg")</f>
        <v>https://nematode.unl.edu/oxydir7.jpg</v>
      </c>
      <c r="D8023" t="s">
        <v>16</v>
      </c>
      <c r="G8023" t="s">
        <v>28</v>
      </c>
      <c r="I8023" t="s">
        <v>41</v>
      </c>
      <c r="J8023" t="s">
        <v>1517</v>
      </c>
      <c r="L8023" t="s">
        <v>1526</v>
      </c>
      <c r="M8023" t="s">
        <v>9538</v>
      </c>
      <c r="N8023" t="s">
        <v>9538</v>
      </c>
      <c r="O8023" t="s">
        <v>73</v>
      </c>
      <c r="P8023" t="s">
        <v>81</v>
      </c>
      <c r="Q8023" t="s">
        <v>733</v>
      </c>
      <c r="R8023" t="s">
        <v>9538</v>
      </c>
    </row>
    <row r="8024" spans="1:18" x14ac:dyDescent="0.25">
      <c r="A8024" t="s">
        <v>17035</v>
      </c>
      <c r="B8024" t="s">
        <v>10192</v>
      </c>
      <c r="C8024" t="str">
        <f>HYPERLINK("https://nematode.unl.edu/pagil1.jpg")</f>
        <v>https://nematode.unl.edu/pagil1.jpg</v>
      </c>
      <c r="D8024" t="s">
        <v>43</v>
      </c>
      <c r="G8024" t="s">
        <v>44</v>
      </c>
      <c r="I8024" t="s">
        <v>499</v>
      </c>
      <c r="J8024" t="s">
        <v>20</v>
      </c>
      <c r="L8024" t="s">
        <v>5685</v>
      </c>
      <c r="M8024" t="s">
        <v>10193</v>
      </c>
      <c r="N8024" t="s">
        <v>10193</v>
      </c>
      <c r="O8024" t="s">
        <v>23</v>
      </c>
      <c r="P8024" t="s">
        <v>24</v>
      </c>
      <c r="Q8024" t="s">
        <v>6484</v>
      </c>
      <c r="R8024" t="s">
        <v>10109</v>
      </c>
    </row>
    <row r="8025" spans="1:18" x14ac:dyDescent="0.25">
      <c r="A8025" t="s">
        <v>17037</v>
      </c>
      <c r="B8025" t="s">
        <v>10194</v>
      </c>
      <c r="C8025" t="str">
        <f>HYPERLINK("https://nematode.unl.edu/pagil2.jpg")</f>
        <v>https://nematode.unl.edu/pagil2.jpg</v>
      </c>
      <c r="D8025" t="s">
        <v>43</v>
      </c>
      <c r="G8025" t="s">
        <v>53</v>
      </c>
      <c r="I8025" t="s">
        <v>529</v>
      </c>
      <c r="J8025" t="s">
        <v>20</v>
      </c>
      <c r="L8025" t="s">
        <v>5685</v>
      </c>
      <c r="M8025" t="s">
        <v>10193</v>
      </c>
      <c r="N8025" t="s">
        <v>10193</v>
      </c>
      <c r="O8025" t="s">
        <v>23</v>
      </c>
      <c r="P8025" t="s">
        <v>24</v>
      </c>
      <c r="Q8025" t="s">
        <v>6484</v>
      </c>
      <c r="R8025" t="s">
        <v>10109</v>
      </c>
    </row>
    <row r="8026" spans="1:18" x14ac:dyDescent="0.25">
      <c r="A8026" t="s">
        <v>17034</v>
      </c>
      <c r="B8026" t="s">
        <v>10195</v>
      </c>
      <c r="C8026" t="str">
        <f>HYPERLINK("https://nematode.unl.edu/pagil3.jpg")</f>
        <v>https://nematode.unl.edu/pagil3.jpg</v>
      </c>
      <c r="D8026" t="s">
        <v>43</v>
      </c>
      <c r="G8026" t="s">
        <v>34</v>
      </c>
      <c r="H8026" t="s">
        <v>18</v>
      </c>
      <c r="I8026" t="s">
        <v>41</v>
      </c>
      <c r="J8026" t="s">
        <v>20</v>
      </c>
      <c r="M8026" t="s">
        <v>10193</v>
      </c>
      <c r="N8026" t="s">
        <v>10193</v>
      </c>
      <c r="O8026" t="s">
        <v>23</v>
      </c>
      <c r="P8026" t="s">
        <v>24</v>
      </c>
      <c r="Q8026" t="s">
        <v>6484</v>
      </c>
      <c r="R8026" t="s">
        <v>10109</v>
      </c>
    </row>
    <row r="8027" spans="1:18" x14ac:dyDescent="0.25">
      <c r="A8027" t="s">
        <v>17038</v>
      </c>
      <c r="B8027" t="s">
        <v>10196</v>
      </c>
      <c r="C8027" t="str">
        <f>HYPERLINK("https://nematode.unl.edu/pagil4.jpg")</f>
        <v>https://nematode.unl.edu/pagil4.jpg</v>
      </c>
      <c r="G8027" t="s">
        <v>1404</v>
      </c>
      <c r="I8027" t="s">
        <v>41</v>
      </c>
      <c r="L8027" t="s">
        <v>220</v>
      </c>
      <c r="M8027" t="s">
        <v>10193</v>
      </c>
      <c r="N8027" t="s">
        <v>10193</v>
      </c>
      <c r="O8027" t="s">
        <v>23</v>
      </c>
      <c r="P8027" t="s">
        <v>24</v>
      </c>
      <c r="Q8027" t="s">
        <v>6484</v>
      </c>
      <c r="R8027" t="s">
        <v>10109</v>
      </c>
    </row>
    <row r="8028" spans="1:18" x14ac:dyDescent="0.25">
      <c r="A8028" t="s">
        <v>17040</v>
      </c>
      <c r="B8028" t="s">
        <v>10197</v>
      </c>
      <c r="C8028" t="str">
        <f>HYPERLINK("https://nematode.unl.edu/pagil5.jpg")</f>
        <v>https://nematode.unl.edu/pagil5.jpg</v>
      </c>
      <c r="D8028" t="s">
        <v>43</v>
      </c>
      <c r="G8028" t="s">
        <v>51</v>
      </c>
      <c r="I8028" t="s">
        <v>41</v>
      </c>
      <c r="J8028" t="s">
        <v>20</v>
      </c>
      <c r="L8028" t="s">
        <v>29</v>
      </c>
      <c r="M8028" t="s">
        <v>10193</v>
      </c>
      <c r="N8028" t="s">
        <v>10193</v>
      </c>
      <c r="O8028" t="s">
        <v>23</v>
      </c>
      <c r="P8028" t="s">
        <v>24</v>
      </c>
      <c r="Q8028" t="s">
        <v>6484</v>
      </c>
      <c r="R8028" t="s">
        <v>10109</v>
      </c>
    </row>
    <row r="8029" spans="1:18" x14ac:dyDescent="0.25">
      <c r="A8029" t="s">
        <v>17039</v>
      </c>
      <c r="B8029" t="s">
        <v>10198</v>
      </c>
      <c r="C8029" t="str">
        <f>HYPERLINK("https://nematode.unl.edu/pagil6.jpg")</f>
        <v>https://nematode.unl.edu/pagil6.jpg</v>
      </c>
      <c r="D8029" t="s">
        <v>43</v>
      </c>
      <c r="G8029" t="s">
        <v>28</v>
      </c>
      <c r="I8029" t="s">
        <v>41</v>
      </c>
      <c r="J8029" t="s">
        <v>20</v>
      </c>
      <c r="L8029" t="s">
        <v>220</v>
      </c>
      <c r="M8029" t="s">
        <v>10193</v>
      </c>
      <c r="N8029" t="s">
        <v>10193</v>
      </c>
      <c r="O8029" t="s">
        <v>23</v>
      </c>
      <c r="P8029" t="s">
        <v>24</v>
      </c>
      <c r="Q8029" t="s">
        <v>6484</v>
      </c>
      <c r="R8029" t="s">
        <v>10109</v>
      </c>
    </row>
    <row r="8030" spans="1:18" x14ac:dyDescent="0.25">
      <c r="A8030" t="s">
        <v>17036</v>
      </c>
      <c r="B8030" t="s">
        <v>10199</v>
      </c>
      <c r="C8030" t="str">
        <f>HYPERLINK("https://nematode.unl.edu/pagilcmp.jpg")</f>
        <v>https://nematode.unl.edu/pagilcmp.jpg</v>
      </c>
      <c r="D8030" t="s">
        <v>43</v>
      </c>
      <c r="G8030" t="s">
        <v>108</v>
      </c>
      <c r="M8030" t="s">
        <v>10193</v>
      </c>
      <c r="N8030" t="s">
        <v>10193</v>
      </c>
      <c r="O8030" t="s">
        <v>23</v>
      </c>
      <c r="P8030" t="s">
        <v>24</v>
      </c>
      <c r="Q8030" t="s">
        <v>6484</v>
      </c>
      <c r="R8030" t="s">
        <v>10109</v>
      </c>
    </row>
    <row r="8031" spans="1:18" x14ac:dyDescent="0.25">
      <c r="A8031" t="s">
        <v>17057</v>
      </c>
      <c r="B8031" t="s">
        <v>10200</v>
      </c>
      <c r="C8031" t="str">
        <f>HYPERLINK("https://nematode.unl.edu/pallen1.jpg")</f>
        <v>https://nematode.unl.edu/pallen1.jpg</v>
      </c>
      <c r="D8031" t="s">
        <v>43</v>
      </c>
      <c r="G8031" t="s">
        <v>28</v>
      </c>
      <c r="I8031" t="s">
        <v>516</v>
      </c>
      <c r="J8031" t="s">
        <v>20</v>
      </c>
      <c r="L8031" t="s">
        <v>206</v>
      </c>
      <c r="M8031" t="s">
        <v>10201</v>
      </c>
      <c r="N8031" t="s">
        <v>10201</v>
      </c>
      <c r="O8031" t="s">
        <v>23</v>
      </c>
      <c r="P8031" t="s">
        <v>24</v>
      </c>
      <c r="Q8031" t="s">
        <v>6484</v>
      </c>
      <c r="R8031" t="s">
        <v>10109</v>
      </c>
    </row>
    <row r="8032" spans="1:18" x14ac:dyDescent="0.25">
      <c r="A8032" t="s">
        <v>17058</v>
      </c>
      <c r="B8032" t="s">
        <v>10202</v>
      </c>
      <c r="C8032" t="str">
        <f>HYPERLINK("https://nematode.unl.edu/pallen10.jpg")</f>
        <v>https://nematode.unl.edu/pallen10.jpg</v>
      </c>
      <c r="D8032" t="s">
        <v>43</v>
      </c>
      <c r="G8032" t="s">
        <v>28</v>
      </c>
      <c r="I8032" t="s">
        <v>41</v>
      </c>
      <c r="J8032" t="s">
        <v>20</v>
      </c>
      <c r="L8032" t="s">
        <v>85</v>
      </c>
      <c r="M8032" t="s">
        <v>10201</v>
      </c>
      <c r="N8032" t="s">
        <v>10201</v>
      </c>
      <c r="O8032" t="s">
        <v>23</v>
      </c>
      <c r="P8032" t="s">
        <v>24</v>
      </c>
      <c r="Q8032" t="s">
        <v>6484</v>
      </c>
      <c r="R8032" t="s">
        <v>10109</v>
      </c>
    </row>
    <row r="8033" spans="1:18" x14ac:dyDescent="0.25">
      <c r="A8033" t="s">
        <v>17052</v>
      </c>
      <c r="B8033" t="s">
        <v>10203</v>
      </c>
      <c r="C8033" t="str">
        <f>HYPERLINK("https://nematode.unl.edu/pallen11.jpg")</f>
        <v>https://nematode.unl.edu/pallen11.jpg</v>
      </c>
      <c r="D8033" t="s">
        <v>43</v>
      </c>
      <c r="G8033" t="s">
        <v>53</v>
      </c>
      <c r="I8033" t="s">
        <v>41</v>
      </c>
      <c r="J8033" t="s">
        <v>20</v>
      </c>
      <c r="M8033" t="s">
        <v>10201</v>
      </c>
      <c r="N8033" t="s">
        <v>10201</v>
      </c>
      <c r="O8033" t="s">
        <v>23</v>
      </c>
      <c r="P8033" t="s">
        <v>24</v>
      </c>
      <c r="Q8033" t="s">
        <v>6484</v>
      </c>
      <c r="R8033" t="s">
        <v>10109</v>
      </c>
    </row>
    <row r="8034" spans="1:18" x14ac:dyDescent="0.25">
      <c r="A8034" t="s">
        <v>17041</v>
      </c>
      <c r="B8034" t="s">
        <v>10204</v>
      </c>
      <c r="C8034" t="str">
        <f>HYPERLINK("https://nematode.unl.edu/pallen12.jpg")</f>
        <v>https://nematode.unl.edu/pallen12.jpg</v>
      </c>
      <c r="D8034" t="s">
        <v>43</v>
      </c>
      <c r="G8034" t="s">
        <v>34</v>
      </c>
      <c r="H8034" t="s">
        <v>18</v>
      </c>
      <c r="I8034" t="s">
        <v>41</v>
      </c>
      <c r="J8034" t="s">
        <v>20</v>
      </c>
      <c r="M8034" t="s">
        <v>10201</v>
      </c>
      <c r="N8034" t="s">
        <v>10201</v>
      </c>
      <c r="O8034" t="s">
        <v>23</v>
      </c>
      <c r="P8034" t="s">
        <v>24</v>
      </c>
      <c r="Q8034" t="s">
        <v>6484</v>
      </c>
      <c r="R8034" t="s">
        <v>10109</v>
      </c>
    </row>
    <row r="8035" spans="1:18" x14ac:dyDescent="0.25">
      <c r="A8035" t="s">
        <v>17053</v>
      </c>
      <c r="B8035" t="s">
        <v>10205</v>
      </c>
      <c r="C8035" t="str">
        <f>HYPERLINK("https://nematode.unl.edu/pallen13.jpg")</f>
        <v>https://nematode.unl.edu/pallen13.jpg</v>
      </c>
      <c r="G8035" t="s">
        <v>1404</v>
      </c>
      <c r="I8035" t="s">
        <v>41</v>
      </c>
      <c r="J8035" t="s">
        <v>20</v>
      </c>
      <c r="M8035" t="s">
        <v>10201</v>
      </c>
      <c r="N8035" t="s">
        <v>10201</v>
      </c>
      <c r="O8035" t="s">
        <v>23</v>
      </c>
      <c r="P8035" t="s">
        <v>24</v>
      </c>
      <c r="Q8035" t="s">
        <v>6484</v>
      </c>
      <c r="R8035" t="s">
        <v>10109</v>
      </c>
    </row>
    <row r="8036" spans="1:18" x14ac:dyDescent="0.25">
      <c r="A8036" t="s">
        <v>17049</v>
      </c>
      <c r="B8036" t="s">
        <v>10206</v>
      </c>
      <c r="C8036" t="str">
        <f>HYPERLINK("https://nematode.unl.edu/pallen14.jpg")</f>
        <v>https://nematode.unl.edu/pallen14.jpg</v>
      </c>
      <c r="D8036" t="s">
        <v>43</v>
      </c>
      <c r="G8036" t="s">
        <v>44</v>
      </c>
      <c r="I8036" t="s">
        <v>45</v>
      </c>
      <c r="J8036" t="s">
        <v>20</v>
      </c>
      <c r="L8036" t="s">
        <v>78</v>
      </c>
      <c r="M8036" t="s">
        <v>10201</v>
      </c>
      <c r="N8036" t="s">
        <v>10201</v>
      </c>
      <c r="O8036" t="s">
        <v>23</v>
      </c>
      <c r="P8036" t="s">
        <v>24</v>
      </c>
      <c r="Q8036" t="s">
        <v>6484</v>
      </c>
      <c r="R8036" t="s">
        <v>10109</v>
      </c>
    </row>
    <row r="8037" spans="1:18" x14ac:dyDescent="0.25">
      <c r="A8037" t="s">
        <v>17059</v>
      </c>
      <c r="B8037" t="s">
        <v>10207</v>
      </c>
      <c r="C8037" t="str">
        <f>HYPERLINK("https://nematode.unl.edu/pallen15.jpg")</f>
        <v>https://nematode.unl.edu/pallen15.jpg</v>
      </c>
      <c r="D8037" t="s">
        <v>43</v>
      </c>
      <c r="G8037" t="s">
        <v>28</v>
      </c>
      <c r="I8037" t="s">
        <v>19</v>
      </c>
      <c r="J8037" t="s">
        <v>20</v>
      </c>
      <c r="L8037" t="s">
        <v>64</v>
      </c>
      <c r="M8037" t="s">
        <v>10201</v>
      </c>
      <c r="N8037" t="s">
        <v>10201</v>
      </c>
      <c r="O8037" t="s">
        <v>23</v>
      </c>
      <c r="P8037" t="s">
        <v>24</v>
      </c>
      <c r="Q8037" t="s">
        <v>6484</v>
      </c>
      <c r="R8037" t="s">
        <v>10109</v>
      </c>
    </row>
    <row r="8038" spans="1:18" x14ac:dyDescent="0.25">
      <c r="A8038" t="s">
        <v>17042</v>
      </c>
      <c r="B8038" t="s">
        <v>10208</v>
      </c>
      <c r="C8038" t="str">
        <f>HYPERLINK("https://nematode.unl.edu/pallen16.jpg")</f>
        <v>https://nematode.unl.edu/pallen16.jpg</v>
      </c>
      <c r="G8038" t="s">
        <v>34</v>
      </c>
      <c r="H8038" t="s">
        <v>18</v>
      </c>
      <c r="I8038" t="s">
        <v>19</v>
      </c>
      <c r="J8038" t="s">
        <v>20</v>
      </c>
      <c r="L8038" t="s">
        <v>35</v>
      </c>
      <c r="M8038" t="s">
        <v>10201</v>
      </c>
      <c r="N8038" t="s">
        <v>10201</v>
      </c>
      <c r="O8038" t="s">
        <v>23</v>
      </c>
      <c r="P8038" t="s">
        <v>24</v>
      </c>
      <c r="Q8038" t="s">
        <v>6484</v>
      </c>
      <c r="R8038" t="s">
        <v>10109</v>
      </c>
    </row>
    <row r="8039" spans="1:18" x14ac:dyDescent="0.25">
      <c r="A8039" t="s">
        <v>17060</v>
      </c>
      <c r="B8039" t="s">
        <v>10209</v>
      </c>
      <c r="C8039" t="str">
        <f>HYPERLINK("https://nematode.unl.edu/pallen17.jpg")</f>
        <v>https://nematode.unl.edu/pallen17.jpg</v>
      </c>
      <c r="D8039" t="s">
        <v>43</v>
      </c>
      <c r="G8039" t="s">
        <v>28</v>
      </c>
      <c r="I8039" t="s">
        <v>41</v>
      </c>
      <c r="J8039" t="s">
        <v>20</v>
      </c>
      <c r="L8039" t="s">
        <v>64</v>
      </c>
      <c r="M8039" t="s">
        <v>10201</v>
      </c>
      <c r="N8039" t="s">
        <v>10201</v>
      </c>
      <c r="O8039" t="s">
        <v>23</v>
      </c>
      <c r="P8039" t="s">
        <v>24</v>
      </c>
      <c r="Q8039" t="s">
        <v>6484</v>
      </c>
      <c r="R8039" t="s">
        <v>10109</v>
      </c>
    </row>
    <row r="8040" spans="1:18" x14ac:dyDescent="0.25">
      <c r="A8040" t="s">
        <v>17043</v>
      </c>
      <c r="B8040" t="s">
        <v>10210</v>
      </c>
      <c r="C8040" t="str">
        <f>HYPERLINK("https://nematode.unl.edu/pallen18.jpg")</f>
        <v>https://nematode.unl.edu/pallen18.jpg</v>
      </c>
      <c r="D8040" t="s">
        <v>43</v>
      </c>
      <c r="G8040" t="s">
        <v>34</v>
      </c>
      <c r="H8040" t="s">
        <v>18</v>
      </c>
      <c r="I8040" t="s">
        <v>41</v>
      </c>
      <c r="J8040" t="s">
        <v>20</v>
      </c>
      <c r="L8040" t="s">
        <v>35</v>
      </c>
      <c r="M8040" t="s">
        <v>10201</v>
      </c>
      <c r="N8040" t="s">
        <v>10201</v>
      </c>
      <c r="O8040" t="s">
        <v>23</v>
      </c>
      <c r="P8040" t="s">
        <v>24</v>
      </c>
      <c r="Q8040" t="s">
        <v>6484</v>
      </c>
      <c r="R8040" t="s">
        <v>10109</v>
      </c>
    </row>
    <row r="8041" spans="1:18" x14ac:dyDescent="0.25">
      <c r="A8041" t="s">
        <v>17054</v>
      </c>
      <c r="B8041" t="s">
        <v>10211</v>
      </c>
      <c r="C8041" t="str">
        <f>HYPERLINK("https://nematode.unl.edu/pallen19.jpg")</f>
        <v>https://nematode.unl.edu/pallen19.jpg</v>
      </c>
      <c r="G8041" t="s">
        <v>1404</v>
      </c>
      <c r="I8041" t="s">
        <v>41</v>
      </c>
      <c r="J8041" t="s">
        <v>20</v>
      </c>
      <c r="L8041" t="s">
        <v>35</v>
      </c>
      <c r="M8041" t="s">
        <v>10201</v>
      </c>
      <c r="N8041" t="s">
        <v>10201</v>
      </c>
      <c r="O8041" t="s">
        <v>23</v>
      </c>
      <c r="P8041" t="s">
        <v>24</v>
      </c>
      <c r="Q8041" t="s">
        <v>6484</v>
      </c>
      <c r="R8041" t="s">
        <v>10109</v>
      </c>
    </row>
    <row r="8042" spans="1:18" x14ac:dyDescent="0.25">
      <c r="A8042" t="s">
        <v>17064</v>
      </c>
      <c r="B8042" t="s">
        <v>10212</v>
      </c>
      <c r="C8042" t="str">
        <f>HYPERLINK("https://nematode.unl.edu/pallen2.jpg")</f>
        <v>https://nematode.unl.edu/pallen2.jpg</v>
      </c>
      <c r="D8042" t="s">
        <v>43</v>
      </c>
      <c r="G8042" t="s">
        <v>51</v>
      </c>
      <c r="J8042" t="s">
        <v>20</v>
      </c>
      <c r="M8042" t="s">
        <v>10201</v>
      </c>
      <c r="N8042" t="s">
        <v>10201</v>
      </c>
      <c r="O8042" t="s">
        <v>23</v>
      </c>
      <c r="P8042" t="s">
        <v>24</v>
      </c>
      <c r="Q8042" t="s">
        <v>6484</v>
      </c>
      <c r="R8042" t="s">
        <v>10109</v>
      </c>
    </row>
    <row r="8043" spans="1:18" x14ac:dyDescent="0.25">
      <c r="A8043" t="s">
        <v>17044</v>
      </c>
      <c r="B8043" t="s">
        <v>10213</v>
      </c>
      <c r="C8043" t="str">
        <f>HYPERLINK("https://nematode.unl.edu/pallen3.jpg")</f>
        <v>https://nematode.unl.edu/pallen3.jpg</v>
      </c>
      <c r="D8043" t="s">
        <v>43</v>
      </c>
      <c r="G8043" t="s">
        <v>34</v>
      </c>
      <c r="H8043" t="s">
        <v>18</v>
      </c>
      <c r="J8043" t="s">
        <v>20</v>
      </c>
      <c r="L8043" t="s">
        <v>206</v>
      </c>
      <c r="M8043" t="s">
        <v>10201</v>
      </c>
      <c r="N8043" t="s">
        <v>10201</v>
      </c>
      <c r="O8043" t="s">
        <v>23</v>
      </c>
      <c r="P8043" t="s">
        <v>24</v>
      </c>
      <c r="Q8043" t="s">
        <v>6484</v>
      </c>
      <c r="R8043" t="s">
        <v>10109</v>
      </c>
    </row>
    <row r="8044" spans="1:18" x14ac:dyDescent="0.25">
      <c r="A8044" t="s">
        <v>17055</v>
      </c>
      <c r="B8044" t="s">
        <v>10214</v>
      </c>
      <c r="C8044" t="str">
        <f>HYPERLINK("https://nematode.unl.edu/pallen4.jpg")</f>
        <v>https://nematode.unl.edu/pallen4.jpg</v>
      </c>
      <c r="G8044" t="s">
        <v>1404</v>
      </c>
      <c r="I8044" t="s">
        <v>41</v>
      </c>
      <c r="J8044" t="s">
        <v>20</v>
      </c>
      <c r="M8044" t="s">
        <v>10201</v>
      </c>
      <c r="N8044" t="s">
        <v>10201</v>
      </c>
      <c r="O8044" t="s">
        <v>23</v>
      </c>
      <c r="P8044" t="s">
        <v>24</v>
      </c>
      <c r="Q8044" t="s">
        <v>6484</v>
      </c>
      <c r="R8044" t="s">
        <v>10109</v>
      </c>
    </row>
    <row r="8045" spans="1:18" x14ac:dyDescent="0.25">
      <c r="A8045" t="s">
        <v>17050</v>
      </c>
      <c r="B8045" t="s">
        <v>10215</v>
      </c>
      <c r="C8045" t="str">
        <f>HYPERLINK("https://nematode.unl.edu/pallen5.jpg")</f>
        <v>https://nematode.unl.edu/pallen5.jpg</v>
      </c>
      <c r="D8045" t="s">
        <v>77</v>
      </c>
      <c r="G8045" t="s">
        <v>44</v>
      </c>
      <c r="I8045" t="s">
        <v>45</v>
      </c>
      <c r="J8045" t="s">
        <v>20</v>
      </c>
      <c r="L8045" t="s">
        <v>217</v>
      </c>
      <c r="M8045" t="s">
        <v>10201</v>
      </c>
      <c r="N8045" t="s">
        <v>10201</v>
      </c>
      <c r="O8045" t="s">
        <v>23</v>
      </c>
      <c r="P8045" t="s">
        <v>24</v>
      </c>
      <c r="Q8045" t="s">
        <v>6484</v>
      </c>
      <c r="R8045" t="s">
        <v>10109</v>
      </c>
    </row>
    <row r="8046" spans="1:18" x14ac:dyDescent="0.25">
      <c r="A8046" t="s">
        <v>17045</v>
      </c>
      <c r="B8046" t="s">
        <v>10216</v>
      </c>
      <c r="C8046" t="str">
        <f>HYPERLINK("https://nematode.unl.edu/pallen6.jpg")</f>
        <v>https://nematode.unl.edu/pallen6.jpg</v>
      </c>
      <c r="G8046" t="s">
        <v>34</v>
      </c>
      <c r="H8046" t="s">
        <v>18</v>
      </c>
      <c r="I8046" t="s">
        <v>19</v>
      </c>
      <c r="J8046" t="s">
        <v>20</v>
      </c>
      <c r="L8046" t="s">
        <v>220</v>
      </c>
      <c r="M8046" t="s">
        <v>10201</v>
      </c>
      <c r="N8046" t="s">
        <v>10201</v>
      </c>
      <c r="O8046" t="s">
        <v>23</v>
      </c>
      <c r="P8046" t="s">
        <v>24</v>
      </c>
      <c r="Q8046" t="s">
        <v>6484</v>
      </c>
      <c r="R8046" t="s">
        <v>10109</v>
      </c>
    </row>
    <row r="8047" spans="1:18" x14ac:dyDescent="0.25">
      <c r="A8047" t="s">
        <v>17061</v>
      </c>
      <c r="B8047" t="s">
        <v>10217</v>
      </c>
      <c r="C8047" t="str">
        <f>HYPERLINK("https://nematode.unl.edu/pallen7.jpg")</f>
        <v>https://nematode.unl.edu/pallen7.jpg</v>
      </c>
      <c r="D8047" t="s">
        <v>77</v>
      </c>
      <c r="G8047" t="s">
        <v>28</v>
      </c>
      <c r="I8047" t="s">
        <v>19</v>
      </c>
      <c r="J8047" t="s">
        <v>20</v>
      </c>
      <c r="L8047" t="s">
        <v>217</v>
      </c>
      <c r="M8047" t="s">
        <v>10201</v>
      </c>
      <c r="N8047" t="s">
        <v>10201</v>
      </c>
      <c r="O8047" t="s">
        <v>23</v>
      </c>
      <c r="P8047" t="s">
        <v>24</v>
      </c>
      <c r="Q8047" t="s">
        <v>6484</v>
      </c>
      <c r="R8047" t="s">
        <v>10109</v>
      </c>
    </row>
    <row r="8048" spans="1:18" x14ac:dyDescent="0.25">
      <c r="A8048" t="s">
        <v>17046</v>
      </c>
      <c r="B8048" t="s">
        <v>10218</v>
      </c>
      <c r="C8048" t="str">
        <f>HYPERLINK("https://nematode.unl.edu/pallen8.jpg")</f>
        <v>https://nematode.unl.edu/pallen8.jpg</v>
      </c>
      <c r="D8048" t="s">
        <v>77</v>
      </c>
      <c r="G8048" t="s">
        <v>34</v>
      </c>
      <c r="H8048" t="s">
        <v>18</v>
      </c>
      <c r="I8048" t="s">
        <v>41</v>
      </c>
      <c r="J8048" t="s">
        <v>20</v>
      </c>
      <c r="L8048" t="s">
        <v>64</v>
      </c>
      <c r="M8048" t="s">
        <v>10201</v>
      </c>
      <c r="N8048" t="s">
        <v>10201</v>
      </c>
      <c r="O8048" t="s">
        <v>23</v>
      </c>
      <c r="P8048" t="s">
        <v>24</v>
      </c>
      <c r="Q8048" t="s">
        <v>6484</v>
      </c>
      <c r="R8048" t="s">
        <v>10109</v>
      </c>
    </row>
    <row r="8049" spans="1:18" x14ac:dyDescent="0.25">
      <c r="A8049" t="s">
        <v>17056</v>
      </c>
      <c r="B8049" t="s">
        <v>10219</v>
      </c>
      <c r="C8049" t="str">
        <f>HYPERLINK("https://nematode.unl.edu/pallen9.jpg")</f>
        <v>https://nematode.unl.edu/pallen9.jpg</v>
      </c>
      <c r="D8049" t="s">
        <v>77</v>
      </c>
      <c r="G8049" t="s">
        <v>112</v>
      </c>
      <c r="I8049" t="s">
        <v>41</v>
      </c>
      <c r="J8049" t="s">
        <v>20</v>
      </c>
      <c r="L8049" t="s">
        <v>193</v>
      </c>
      <c r="M8049" t="s">
        <v>10201</v>
      </c>
      <c r="N8049" t="s">
        <v>10201</v>
      </c>
      <c r="O8049" t="s">
        <v>23</v>
      </c>
      <c r="P8049" t="s">
        <v>24</v>
      </c>
      <c r="Q8049" t="s">
        <v>6484</v>
      </c>
      <c r="R8049" t="s">
        <v>10109</v>
      </c>
    </row>
    <row r="8050" spans="1:18" x14ac:dyDescent="0.25">
      <c r="A8050" t="s">
        <v>16892</v>
      </c>
      <c r="B8050" t="s">
        <v>9545</v>
      </c>
      <c r="C8050" t="str">
        <f>HYPERLINK("https://nematode.unl.edu/panag1.jpg")</f>
        <v>https://nematode.unl.edu/panag1.jpg</v>
      </c>
      <c r="D8050" t="s">
        <v>43</v>
      </c>
      <c r="G8050" t="s">
        <v>96</v>
      </c>
      <c r="H8050" t="s">
        <v>18</v>
      </c>
      <c r="I8050" t="s">
        <v>19</v>
      </c>
      <c r="J8050" t="s">
        <v>20</v>
      </c>
      <c r="L8050" t="s">
        <v>217</v>
      </c>
      <c r="M8050" t="s">
        <v>9546</v>
      </c>
      <c r="N8050" t="s">
        <v>9546</v>
      </c>
      <c r="O8050" t="s">
        <v>23</v>
      </c>
      <c r="P8050" t="s">
        <v>24</v>
      </c>
      <c r="Q8050" t="s">
        <v>9547</v>
      </c>
      <c r="R8050" t="s">
        <v>9546</v>
      </c>
    </row>
    <row r="8051" spans="1:18" x14ac:dyDescent="0.25">
      <c r="A8051" t="s">
        <v>16905</v>
      </c>
      <c r="B8051" t="s">
        <v>9548</v>
      </c>
      <c r="C8051" t="str">
        <f>HYPERLINK("https://nematode.unl.edu/panag10.jpg")</f>
        <v>https://nematode.unl.edu/panag10.jpg</v>
      </c>
      <c r="D8051" t="s">
        <v>16</v>
      </c>
      <c r="G8051" t="s">
        <v>44</v>
      </c>
      <c r="I8051" t="s">
        <v>499</v>
      </c>
      <c r="J8051" t="s">
        <v>20</v>
      </c>
      <c r="L8051" t="s">
        <v>85</v>
      </c>
      <c r="M8051" t="s">
        <v>9546</v>
      </c>
      <c r="N8051" t="s">
        <v>9546</v>
      </c>
      <c r="O8051" t="s">
        <v>23</v>
      </c>
      <c r="P8051" t="s">
        <v>24</v>
      </c>
      <c r="Q8051" t="s">
        <v>9547</v>
      </c>
      <c r="R8051" t="s">
        <v>9546</v>
      </c>
    </row>
    <row r="8052" spans="1:18" x14ac:dyDescent="0.25">
      <c r="A8052" t="s">
        <v>16895</v>
      </c>
      <c r="B8052" t="s">
        <v>9549</v>
      </c>
      <c r="C8052" t="str">
        <f>HYPERLINK("https://nematode.unl.edu/panag11.jpg")</f>
        <v>https://nematode.unl.edu/panag11.jpg</v>
      </c>
      <c r="D8052" t="s">
        <v>16</v>
      </c>
      <c r="G8052" t="s">
        <v>34</v>
      </c>
      <c r="H8052" t="s">
        <v>18</v>
      </c>
      <c r="I8052" t="s">
        <v>19</v>
      </c>
      <c r="J8052" t="s">
        <v>20</v>
      </c>
      <c r="L8052" t="s">
        <v>64</v>
      </c>
      <c r="M8052" t="s">
        <v>9546</v>
      </c>
      <c r="N8052" t="s">
        <v>9546</v>
      </c>
      <c r="O8052" t="s">
        <v>23</v>
      </c>
      <c r="P8052" t="s">
        <v>24</v>
      </c>
      <c r="Q8052" t="s">
        <v>9547</v>
      </c>
      <c r="R8052" t="s">
        <v>9546</v>
      </c>
    </row>
    <row r="8053" spans="1:18" x14ac:dyDescent="0.25">
      <c r="A8053" t="s">
        <v>16908</v>
      </c>
      <c r="B8053" t="s">
        <v>9550</v>
      </c>
      <c r="C8053" t="str">
        <f>HYPERLINK("https://nematode.unl.edu/panag12.jpg")</f>
        <v>https://nematode.unl.edu/panag12.jpg</v>
      </c>
      <c r="D8053" t="s">
        <v>16</v>
      </c>
      <c r="G8053" t="s">
        <v>28</v>
      </c>
      <c r="I8053" t="s">
        <v>516</v>
      </c>
      <c r="J8053" t="s">
        <v>20</v>
      </c>
      <c r="L8053" t="s">
        <v>6932</v>
      </c>
      <c r="M8053" t="s">
        <v>9546</v>
      </c>
      <c r="N8053" t="s">
        <v>9546</v>
      </c>
      <c r="O8053" t="s">
        <v>23</v>
      </c>
      <c r="P8053" t="s">
        <v>24</v>
      </c>
      <c r="Q8053" t="s">
        <v>9547</v>
      </c>
      <c r="R8053" t="s">
        <v>9546</v>
      </c>
    </row>
    <row r="8054" spans="1:18" x14ac:dyDescent="0.25">
      <c r="A8054" t="s">
        <v>16896</v>
      </c>
      <c r="B8054" t="s">
        <v>9551</v>
      </c>
      <c r="C8054" t="str">
        <f>HYPERLINK("https://nematode.unl.edu/panag13.jpg")</f>
        <v>https://nematode.unl.edu/panag13.jpg</v>
      </c>
      <c r="D8054" t="s">
        <v>16</v>
      </c>
      <c r="G8054" t="s">
        <v>34</v>
      </c>
      <c r="H8054" t="s">
        <v>18</v>
      </c>
      <c r="J8054" t="s">
        <v>20</v>
      </c>
      <c r="L8054" t="s">
        <v>193</v>
      </c>
      <c r="M8054" t="s">
        <v>9546</v>
      </c>
      <c r="N8054" t="s">
        <v>9546</v>
      </c>
      <c r="O8054" t="s">
        <v>23</v>
      </c>
      <c r="P8054" t="s">
        <v>24</v>
      </c>
      <c r="Q8054" t="s">
        <v>9547</v>
      </c>
      <c r="R8054" t="s">
        <v>9546</v>
      </c>
    </row>
    <row r="8055" spans="1:18" x14ac:dyDescent="0.25">
      <c r="A8055" t="s">
        <v>16897</v>
      </c>
      <c r="B8055" t="s">
        <v>9552</v>
      </c>
      <c r="C8055" t="str">
        <f>HYPERLINK("https://nematode.unl.edu/panag14.jpg")</f>
        <v>https://nematode.unl.edu/panag14.jpg</v>
      </c>
      <c r="G8055" t="s">
        <v>34</v>
      </c>
      <c r="H8055" t="s">
        <v>18</v>
      </c>
      <c r="J8055" t="s">
        <v>20</v>
      </c>
      <c r="M8055" t="s">
        <v>9546</v>
      </c>
      <c r="N8055" t="s">
        <v>9546</v>
      </c>
      <c r="O8055" t="s">
        <v>23</v>
      </c>
      <c r="P8055" t="s">
        <v>24</v>
      </c>
      <c r="Q8055" t="s">
        <v>9547</v>
      </c>
      <c r="R8055" t="s">
        <v>9546</v>
      </c>
    </row>
    <row r="8056" spans="1:18" x14ac:dyDescent="0.25">
      <c r="A8056" t="s">
        <v>16909</v>
      </c>
      <c r="B8056" t="s">
        <v>9553</v>
      </c>
      <c r="C8056" t="str">
        <f>HYPERLINK("https://nematode.unl.edu/panag15.jpg")</f>
        <v>https://nematode.unl.edu/panag15.jpg</v>
      </c>
      <c r="D8056" t="s">
        <v>16</v>
      </c>
      <c r="G8056" t="s">
        <v>28</v>
      </c>
      <c r="J8056" t="s">
        <v>20</v>
      </c>
      <c r="L8056" t="s">
        <v>220</v>
      </c>
      <c r="M8056" t="s">
        <v>9546</v>
      </c>
      <c r="N8056" t="s">
        <v>9546</v>
      </c>
      <c r="O8056" t="s">
        <v>23</v>
      </c>
      <c r="P8056" t="s">
        <v>24</v>
      </c>
      <c r="Q8056" t="s">
        <v>9547</v>
      </c>
      <c r="R8056" t="s">
        <v>9546</v>
      </c>
    </row>
    <row r="8057" spans="1:18" x14ac:dyDescent="0.25">
      <c r="A8057" t="s">
        <v>16898</v>
      </c>
      <c r="B8057" t="s">
        <v>9554</v>
      </c>
      <c r="C8057" t="str">
        <f>HYPERLINK("https://nematode.unl.edu/panag16.jpg")</f>
        <v>https://nematode.unl.edu/panag16.jpg</v>
      </c>
      <c r="D8057" t="s">
        <v>16</v>
      </c>
      <c r="G8057" t="s">
        <v>34</v>
      </c>
      <c r="H8057" t="s">
        <v>18</v>
      </c>
      <c r="M8057" t="s">
        <v>9546</v>
      </c>
      <c r="N8057" t="s">
        <v>9546</v>
      </c>
      <c r="O8057" t="s">
        <v>23</v>
      </c>
      <c r="P8057" t="s">
        <v>24</v>
      </c>
      <c r="Q8057" t="s">
        <v>9547</v>
      </c>
      <c r="R8057" t="s">
        <v>9546</v>
      </c>
    </row>
    <row r="8058" spans="1:18" x14ac:dyDescent="0.25">
      <c r="A8058" t="s">
        <v>16915</v>
      </c>
      <c r="B8058" t="s">
        <v>9555</v>
      </c>
      <c r="C8058" t="str">
        <f>HYPERLINK("https://nematode.unl.edu/panag2.jpg")</f>
        <v>https://nematode.unl.edu/panag2.jpg</v>
      </c>
      <c r="D8058" t="s">
        <v>43</v>
      </c>
      <c r="G8058" t="s">
        <v>51</v>
      </c>
      <c r="I8058" t="s">
        <v>19</v>
      </c>
      <c r="J8058" t="s">
        <v>20</v>
      </c>
      <c r="L8058" t="s">
        <v>193</v>
      </c>
      <c r="M8058" t="s">
        <v>9546</v>
      </c>
      <c r="N8058" t="s">
        <v>9546</v>
      </c>
      <c r="O8058" t="s">
        <v>23</v>
      </c>
      <c r="P8058" t="s">
        <v>24</v>
      </c>
      <c r="Q8058" t="s">
        <v>9547</v>
      </c>
      <c r="R8058" t="s">
        <v>9546</v>
      </c>
    </row>
    <row r="8059" spans="1:18" x14ac:dyDescent="0.25">
      <c r="A8059" t="s">
        <v>16910</v>
      </c>
      <c r="B8059" t="s">
        <v>9556</v>
      </c>
      <c r="C8059" t="str">
        <f>HYPERLINK("https://nematode.unl.edu/panag3.jpg")</f>
        <v>https://nematode.unl.edu/panag3.jpg</v>
      </c>
      <c r="D8059" t="s">
        <v>43</v>
      </c>
      <c r="G8059" t="s">
        <v>28</v>
      </c>
      <c r="J8059" t="s">
        <v>20</v>
      </c>
      <c r="L8059" t="s">
        <v>141</v>
      </c>
      <c r="M8059" t="s">
        <v>9546</v>
      </c>
      <c r="N8059" t="s">
        <v>9546</v>
      </c>
      <c r="O8059" t="s">
        <v>23</v>
      </c>
      <c r="P8059" t="s">
        <v>24</v>
      </c>
      <c r="Q8059" t="s">
        <v>9547</v>
      </c>
      <c r="R8059" t="s">
        <v>9546</v>
      </c>
    </row>
    <row r="8060" spans="1:18" x14ac:dyDescent="0.25">
      <c r="A8060" t="s">
        <v>16903</v>
      </c>
      <c r="B8060" t="s">
        <v>9557</v>
      </c>
      <c r="C8060" t="str">
        <f>HYPERLINK("https://nematode.unl.edu/panag4.jpg")</f>
        <v>https://nematode.unl.edu/panag4.jpg</v>
      </c>
      <c r="D8060" t="s">
        <v>16</v>
      </c>
      <c r="G8060" t="s">
        <v>384</v>
      </c>
      <c r="I8060" t="s">
        <v>41</v>
      </c>
      <c r="J8060" t="s">
        <v>20</v>
      </c>
      <c r="L8060" t="s">
        <v>456</v>
      </c>
      <c r="M8060" t="s">
        <v>9546</v>
      </c>
      <c r="N8060" t="s">
        <v>9546</v>
      </c>
      <c r="O8060" t="s">
        <v>23</v>
      </c>
      <c r="P8060" t="s">
        <v>24</v>
      </c>
      <c r="Q8060" t="s">
        <v>9547</v>
      </c>
      <c r="R8060" t="s">
        <v>9546</v>
      </c>
    </row>
    <row r="8061" spans="1:18" x14ac:dyDescent="0.25">
      <c r="A8061" t="s">
        <v>16904</v>
      </c>
      <c r="B8061" t="s">
        <v>9558</v>
      </c>
      <c r="C8061" t="str">
        <f>HYPERLINK("https://nematode.unl.edu/panag5.jpg")</f>
        <v>https://nematode.unl.edu/panag5.jpg</v>
      </c>
      <c r="D8061" t="s">
        <v>16</v>
      </c>
      <c r="G8061" t="s">
        <v>384</v>
      </c>
      <c r="J8061" t="s">
        <v>20</v>
      </c>
      <c r="L8061" t="s">
        <v>85</v>
      </c>
      <c r="M8061" t="s">
        <v>9546</v>
      </c>
      <c r="N8061" t="s">
        <v>9546</v>
      </c>
      <c r="O8061" t="s">
        <v>23</v>
      </c>
      <c r="P8061" t="s">
        <v>24</v>
      </c>
      <c r="Q8061" t="s">
        <v>9547</v>
      </c>
      <c r="R8061" t="s">
        <v>9546</v>
      </c>
    </row>
    <row r="8062" spans="1:18" x14ac:dyDescent="0.25">
      <c r="A8062" t="s">
        <v>16911</v>
      </c>
      <c r="B8062" t="s">
        <v>9559</v>
      </c>
      <c r="C8062" t="str">
        <f>HYPERLINK("https://nematode.unl.edu/panag6.jpg")</f>
        <v>https://nematode.unl.edu/panag6.jpg</v>
      </c>
      <c r="D8062" t="s">
        <v>16</v>
      </c>
      <c r="G8062" t="s">
        <v>28</v>
      </c>
      <c r="J8062" t="s">
        <v>20</v>
      </c>
      <c r="L8062" t="s">
        <v>85</v>
      </c>
      <c r="M8062" t="s">
        <v>9546</v>
      </c>
      <c r="N8062" t="s">
        <v>9546</v>
      </c>
      <c r="O8062" t="s">
        <v>23</v>
      </c>
      <c r="P8062" t="s">
        <v>24</v>
      </c>
      <c r="Q8062" t="s">
        <v>9547</v>
      </c>
      <c r="R8062" t="s">
        <v>9546</v>
      </c>
    </row>
    <row r="8063" spans="1:18" x14ac:dyDescent="0.25">
      <c r="A8063" t="s">
        <v>16899</v>
      </c>
      <c r="B8063" t="s">
        <v>9560</v>
      </c>
      <c r="C8063" t="str">
        <f>HYPERLINK("https://nematode.unl.edu/panag7.jpg")</f>
        <v>https://nematode.unl.edu/panag7.jpg</v>
      </c>
      <c r="D8063" t="s">
        <v>16</v>
      </c>
      <c r="G8063" t="s">
        <v>34</v>
      </c>
      <c r="H8063" t="s">
        <v>18</v>
      </c>
      <c r="J8063" t="s">
        <v>20</v>
      </c>
      <c r="L8063" t="s">
        <v>85</v>
      </c>
      <c r="M8063" t="s">
        <v>9546</v>
      </c>
      <c r="N8063" t="s">
        <v>9546</v>
      </c>
      <c r="O8063" t="s">
        <v>23</v>
      </c>
      <c r="P8063" t="s">
        <v>24</v>
      </c>
      <c r="Q8063" t="s">
        <v>9547</v>
      </c>
      <c r="R8063" t="s">
        <v>9546</v>
      </c>
    </row>
    <row r="8064" spans="1:18" x14ac:dyDescent="0.25">
      <c r="A8064" t="s">
        <v>16900</v>
      </c>
      <c r="B8064" t="s">
        <v>9561</v>
      </c>
      <c r="C8064" t="str">
        <f>HYPERLINK("https://nematode.unl.edu/panag8.jpg")</f>
        <v>https://nematode.unl.edu/panag8.jpg</v>
      </c>
      <c r="G8064" t="s">
        <v>34</v>
      </c>
      <c r="H8064" t="s">
        <v>18</v>
      </c>
      <c r="I8064" t="s">
        <v>19</v>
      </c>
      <c r="M8064" t="s">
        <v>9546</v>
      </c>
      <c r="N8064" t="s">
        <v>9546</v>
      </c>
      <c r="O8064" t="s">
        <v>23</v>
      </c>
      <c r="P8064" t="s">
        <v>24</v>
      </c>
      <c r="Q8064" t="s">
        <v>9547</v>
      </c>
      <c r="R8064" t="s">
        <v>9546</v>
      </c>
    </row>
    <row r="8065" spans="1:18" x14ac:dyDescent="0.25">
      <c r="A8065" t="s">
        <v>16912</v>
      </c>
      <c r="B8065" t="s">
        <v>9562</v>
      </c>
      <c r="C8065" t="str">
        <f>HYPERLINK("https://nematode.unl.edu/panag9.jpg")</f>
        <v>https://nematode.unl.edu/panag9.jpg</v>
      </c>
      <c r="D8065" t="s">
        <v>16</v>
      </c>
      <c r="G8065" t="s">
        <v>28</v>
      </c>
      <c r="M8065" t="s">
        <v>9546</v>
      </c>
      <c r="N8065" t="s">
        <v>9546</v>
      </c>
      <c r="O8065" t="s">
        <v>23</v>
      </c>
      <c r="P8065" t="s">
        <v>24</v>
      </c>
      <c r="Q8065" t="s">
        <v>9547</v>
      </c>
      <c r="R8065" t="s">
        <v>9546</v>
      </c>
    </row>
    <row r="8066" spans="1:18" x14ac:dyDescent="0.25">
      <c r="A8066" t="s">
        <v>16913</v>
      </c>
      <c r="B8066" t="s">
        <v>9563</v>
      </c>
      <c r="C8066" t="str">
        <f>HYPERLINK("https://nematode.unl.edu/panagro1.jpg")</f>
        <v>https://nematode.unl.edu/panagro1.jpg</v>
      </c>
      <c r="D8066" t="s">
        <v>77</v>
      </c>
      <c r="G8066" t="s">
        <v>28</v>
      </c>
      <c r="J8066" t="s">
        <v>46</v>
      </c>
      <c r="M8066" t="s">
        <v>9546</v>
      </c>
      <c r="N8066" t="s">
        <v>9546</v>
      </c>
      <c r="O8066" t="s">
        <v>23</v>
      </c>
      <c r="P8066" t="s">
        <v>24</v>
      </c>
      <c r="Q8066" t="s">
        <v>9547</v>
      </c>
      <c r="R8066" t="s">
        <v>9546</v>
      </c>
    </row>
    <row r="8067" spans="1:18" x14ac:dyDescent="0.25">
      <c r="A8067" t="s">
        <v>16901</v>
      </c>
      <c r="B8067" t="s">
        <v>9564</v>
      </c>
      <c r="C8067" t="str">
        <f>HYPERLINK("https://nematode.unl.edu/panagro2.jpg")</f>
        <v>https://nematode.unl.edu/panagro2.jpg</v>
      </c>
      <c r="D8067" t="s">
        <v>43</v>
      </c>
      <c r="G8067" t="s">
        <v>34</v>
      </c>
      <c r="H8067" t="s">
        <v>18</v>
      </c>
      <c r="J8067" t="s">
        <v>46</v>
      </c>
      <c r="L8067" t="s">
        <v>85</v>
      </c>
      <c r="M8067" t="s">
        <v>9546</v>
      </c>
      <c r="N8067" t="s">
        <v>9546</v>
      </c>
      <c r="O8067" t="s">
        <v>23</v>
      </c>
      <c r="P8067" t="s">
        <v>24</v>
      </c>
      <c r="Q8067" t="s">
        <v>9547</v>
      </c>
      <c r="R8067" t="s">
        <v>9546</v>
      </c>
    </row>
    <row r="8068" spans="1:18" x14ac:dyDescent="0.25">
      <c r="A8068" t="s">
        <v>16906</v>
      </c>
      <c r="B8068" t="s">
        <v>9565</v>
      </c>
      <c r="C8068" t="str">
        <f>HYPERLINK("https://nematode.unl.edu/panasp1.jpg")</f>
        <v>https://nematode.unl.edu/panasp1.jpg</v>
      </c>
      <c r="D8068" t="s">
        <v>77</v>
      </c>
      <c r="G8068" t="s">
        <v>44</v>
      </c>
      <c r="I8068" t="s">
        <v>499</v>
      </c>
      <c r="J8068" t="s">
        <v>267</v>
      </c>
      <c r="M8068" t="s">
        <v>9546</v>
      </c>
      <c r="N8068" t="s">
        <v>9546</v>
      </c>
      <c r="O8068" t="s">
        <v>23</v>
      </c>
      <c r="P8068" t="s">
        <v>24</v>
      </c>
      <c r="Q8068" t="s">
        <v>9547</v>
      </c>
      <c r="R8068" t="s">
        <v>9546</v>
      </c>
    </row>
    <row r="8069" spans="1:18" x14ac:dyDescent="0.25">
      <c r="A8069" t="s">
        <v>16893</v>
      </c>
      <c r="B8069" t="s">
        <v>9566</v>
      </c>
      <c r="C8069" t="str">
        <f>HYPERLINK("https://nematode.unl.edu/panasp2.jpg")</f>
        <v>https://nematode.unl.edu/panasp2.jpg</v>
      </c>
      <c r="D8069" t="s">
        <v>77</v>
      </c>
      <c r="G8069" t="s">
        <v>96</v>
      </c>
      <c r="H8069" t="s">
        <v>18</v>
      </c>
      <c r="I8069" t="s">
        <v>19</v>
      </c>
      <c r="J8069" t="s">
        <v>267</v>
      </c>
      <c r="M8069" t="s">
        <v>9546</v>
      </c>
      <c r="N8069" t="s">
        <v>9546</v>
      </c>
      <c r="O8069" t="s">
        <v>23</v>
      </c>
      <c r="P8069" t="s">
        <v>24</v>
      </c>
      <c r="Q8069" t="s">
        <v>9547</v>
      </c>
      <c r="R8069" t="s">
        <v>9546</v>
      </c>
    </row>
    <row r="8070" spans="1:18" x14ac:dyDescent="0.25">
      <c r="A8070" t="s">
        <v>16914</v>
      </c>
      <c r="B8070" t="s">
        <v>9567</v>
      </c>
      <c r="C8070" t="str">
        <f>HYPERLINK("https://nematode.unl.edu/panasp3.jpg")</f>
        <v>https://nematode.unl.edu/panasp3.jpg</v>
      </c>
      <c r="D8070" t="s">
        <v>77</v>
      </c>
      <c r="G8070" t="s">
        <v>28</v>
      </c>
      <c r="J8070" t="s">
        <v>267</v>
      </c>
      <c r="M8070" t="s">
        <v>9546</v>
      </c>
      <c r="N8070" t="s">
        <v>9546</v>
      </c>
      <c r="O8070" t="s">
        <v>23</v>
      </c>
      <c r="P8070" t="s">
        <v>24</v>
      </c>
      <c r="Q8070" t="s">
        <v>9547</v>
      </c>
      <c r="R8070" t="s">
        <v>9546</v>
      </c>
    </row>
    <row r="8071" spans="1:18" x14ac:dyDescent="0.25">
      <c r="A8071" t="s">
        <v>16902</v>
      </c>
      <c r="B8071" t="s">
        <v>9568</v>
      </c>
      <c r="C8071" t="str">
        <f>HYPERLINK("https://nematode.unl.edu/panasp4.jpg")</f>
        <v>https://nematode.unl.edu/panasp4.jpg</v>
      </c>
      <c r="D8071" t="s">
        <v>77</v>
      </c>
      <c r="G8071" t="s">
        <v>34</v>
      </c>
      <c r="H8071" t="s">
        <v>18</v>
      </c>
      <c r="I8071" t="s">
        <v>529</v>
      </c>
      <c r="J8071" t="s">
        <v>267</v>
      </c>
      <c r="M8071" t="s">
        <v>9546</v>
      </c>
      <c r="N8071" t="s">
        <v>9546</v>
      </c>
      <c r="O8071" t="s">
        <v>23</v>
      </c>
      <c r="P8071" t="s">
        <v>24</v>
      </c>
      <c r="Q8071" t="s">
        <v>9547</v>
      </c>
      <c r="R8071" t="s">
        <v>9546</v>
      </c>
    </row>
    <row r="8072" spans="1:18" x14ac:dyDescent="0.25">
      <c r="A8072" t="s">
        <v>16894</v>
      </c>
      <c r="B8072" t="s">
        <v>9569</v>
      </c>
      <c r="C8072" t="str">
        <f>HYPERLINK("https://nematode.unl.edu/panasp5.jpg")</f>
        <v>https://nematode.unl.edu/panasp5.jpg</v>
      </c>
      <c r="D8072" t="s">
        <v>77</v>
      </c>
      <c r="G8072" t="s">
        <v>17</v>
      </c>
      <c r="H8072" t="s">
        <v>18</v>
      </c>
      <c r="I8072" t="s">
        <v>41</v>
      </c>
      <c r="J8072" t="s">
        <v>267</v>
      </c>
      <c r="M8072" t="s">
        <v>9546</v>
      </c>
      <c r="N8072" t="s">
        <v>9546</v>
      </c>
      <c r="O8072" t="s">
        <v>23</v>
      </c>
      <c r="P8072" t="s">
        <v>24</v>
      </c>
      <c r="Q8072" t="s">
        <v>9547</v>
      </c>
      <c r="R8072" t="s">
        <v>9546</v>
      </c>
    </row>
    <row r="8073" spans="1:18" x14ac:dyDescent="0.25">
      <c r="A8073" t="s">
        <v>16907</v>
      </c>
      <c r="B8073" t="s">
        <v>9570</v>
      </c>
      <c r="C8073" t="str">
        <f>HYPERLINK("https://nematode.unl.edu/panasp6.jpg")</f>
        <v>https://nematode.unl.edu/panasp6.jpg</v>
      </c>
      <c r="D8073" t="s">
        <v>77</v>
      </c>
      <c r="G8073" t="s">
        <v>112</v>
      </c>
      <c r="I8073" t="s">
        <v>41</v>
      </c>
      <c r="J8073" t="s">
        <v>267</v>
      </c>
      <c r="M8073" t="s">
        <v>9546</v>
      </c>
      <c r="N8073" t="s">
        <v>9546</v>
      </c>
      <c r="O8073" t="s">
        <v>23</v>
      </c>
      <c r="P8073" t="s">
        <v>24</v>
      </c>
      <c r="Q8073" t="s">
        <v>9547</v>
      </c>
      <c r="R8073" t="s">
        <v>9546</v>
      </c>
    </row>
    <row r="8074" spans="1:18" x14ac:dyDescent="0.25">
      <c r="A8074" t="s">
        <v>12439</v>
      </c>
      <c r="B8074" t="s">
        <v>9846</v>
      </c>
      <c r="C8074" t="str">
        <f>HYPERLINK("https://nematode.unl.edu/panda1.jpg")</f>
        <v>https://nematode.unl.edu/panda1.jpg</v>
      </c>
      <c r="D8074" t="s">
        <v>43</v>
      </c>
      <c r="G8074" t="s">
        <v>44</v>
      </c>
      <c r="I8074" t="s">
        <v>91</v>
      </c>
      <c r="J8074" t="s">
        <v>116</v>
      </c>
      <c r="L8074" t="s">
        <v>85</v>
      </c>
      <c r="M8074" t="s">
        <v>9847</v>
      </c>
      <c r="N8074" t="s">
        <v>9847</v>
      </c>
      <c r="O8074" t="s">
        <v>23</v>
      </c>
      <c r="P8074" t="s">
        <v>1649</v>
      </c>
      <c r="Q8074" t="s">
        <v>1650</v>
      </c>
      <c r="R8074" t="s">
        <v>1651</v>
      </c>
    </row>
    <row r="8075" spans="1:18" x14ac:dyDescent="0.25">
      <c r="A8075" t="s">
        <v>12433</v>
      </c>
      <c r="B8075" t="s">
        <v>9848</v>
      </c>
      <c r="C8075" t="str">
        <f>HYPERLINK("https://nematode.unl.edu/panda2.jpg")</f>
        <v>https://nematode.unl.edu/panda2.jpg</v>
      </c>
      <c r="D8075" t="s">
        <v>43</v>
      </c>
      <c r="G8075" t="s">
        <v>34</v>
      </c>
      <c r="H8075" t="s">
        <v>18</v>
      </c>
      <c r="J8075" t="s">
        <v>116</v>
      </c>
      <c r="L8075" t="s">
        <v>85</v>
      </c>
      <c r="M8075" t="s">
        <v>9847</v>
      </c>
      <c r="N8075" t="s">
        <v>9847</v>
      </c>
      <c r="O8075" t="s">
        <v>23</v>
      </c>
      <c r="P8075" t="s">
        <v>1649</v>
      </c>
      <c r="Q8075" t="s">
        <v>1650</v>
      </c>
      <c r="R8075" t="s">
        <v>1651</v>
      </c>
    </row>
    <row r="8076" spans="1:18" x14ac:dyDescent="0.25">
      <c r="A8076" t="s">
        <v>12445</v>
      </c>
      <c r="B8076" t="s">
        <v>9849</v>
      </c>
      <c r="C8076" t="str">
        <f>HYPERLINK("https://nematode.unl.edu/panda3.jpg")</f>
        <v>https://nematode.unl.edu/panda3.jpg</v>
      </c>
      <c r="D8076" t="s">
        <v>43</v>
      </c>
      <c r="G8076" t="s">
        <v>51</v>
      </c>
      <c r="I8076" t="s">
        <v>19</v>
      </c>
      <c r="J8076" t="s">
        <v>116</v>
      </c>
      <c r="L8076" t="s">
        <v>85</v>
      </c>
      <c r="M8076" t="s">
        <v>9847</v>
      </c>
      <c r="N8076" t="s">
        <v>9847</v>
      </c>
      <c r="O8076" t="s">
        <v>23</v>
      </c>
      <c r="P8076" t="s">
        <v>1649</v>
      </c>
      <c r="Q8076" t="s">
        <v>1650</v>
      </c>
      <c r="R8076" t="s">
        <v>1651</v>
      </c>
    </row>
    <row r="8077" spans="1:18" x14ac:dyDescent="0.25">
      <c r="A8077" t="s">
        <v>12442</v>
      </c>
      <c r="B8077" t="s">
        <v>9850</v>
      </c>
      <c r="C8077" t="str">
        <f>HYPERLINK("https://nematode.unl.edu/panda4.jpg")</f>
        <v>https://nematode.unl.edu/panda4.jpg</v>
      </c>
      <c r="D8077" t="s">
        <v>43</v>
      </c>
      <c r="G8077" t="s">
        <v>28</v>
      </c>
      <c r="J8077" t="s">
        <v>116</v>
      </c>
      <c r="L8077" t="s">
        <v>85</v>
      </c>
      <c r="M8077" t="s">
        <v>9847</v>
      </c>
      <c r="N8077" t="s">
        <v>9847</v>
      </c>
      <c r="O8077" t="s">
        <v>23</v>
      </c>
      <c r="P8077" t="s">
        <v>1649</v>
      </c>
      <c r="Q8077" t="s">
        <v>1650</v>
      </c>
      <c r="R8077" t="s">
        <v>1651</v>
      </c>
    </row>
    <row r="8078" spans="1:18" x14ac:dyDescent="0.25">
      <c r="A8078" t="s">
        <v>18776</v>
      </c>
      <c r="B8078" t="s">
        <v>9571</v>
      </c>
      <c r="C8078" t="str">
        <f>HYPERLINK("https://nematode.unl.edu/paract1.jpg")</f>
        <v>https://nematode.unl.edu/paract1.jpg</v>
      </c>
      <c r="D8078" t="s">
        <v>16</v>
      </c>
      <c r="G8078" t="s">
        <v>34</v>
      </c>
      <c r="H8078" t="s">
        <v>18</v>
      </c>
      <c r="I8078" t="s">
        <v>19</v>
      </c>
      <c r="J8078" t="s">
        <v>1292</v>
      </c>
      <c r="M8078" t="s">
        <v>9572</v>
      </c>
      <c r="N8078" t="s">
        <v>9572</v>
      </c>
      <c r="O8078" t="s">
        <v>73</v>
      </c>
      <c r="P8078" t="s">
        <v>81</v>
      </c>
      <c r="Q8078" t="s">
        <v>1794</v>
      </c>
      <c r="R8078" t="s">
        <v>9572</v>
      </c>
    </row>
    <row r="8079" spans="1:18" x14ac:dyDescent="0.25">
      <c r="A8079" t="s">
        <v>18780</v>
      </c>
      <c r="B8079" t="s">
        <v>9573</v>
      </c>
      <c r="C8079" t="str">
        <f>HYPERLINK("https://nematode.unl.edu/paract2.jpg")</f>
        <v>https://nematode.unl.edu/paract2.jpg</v>
      </c>
      <c r="D8079" t="s">
        <v>16</v>
      </c>
      <c r="G8079" t="s">
        <v>2142</v>
      </c>
      <c r="I8079" t="s">
        <v>19</v>
      </c>
      <c r="J8079" t="s">
        <v>1292</v>
      </c>
      <c r="M8079" t="s">
        <v>9572</v>
      </c>
      <c r="N8079" t="s">
        <v>9572</v>
      </c>
      <c r="O8079" t="s">
        <v>73</v>
      </c>
      <c r="P8079" t="s">
        <v>81</v>
      </c>
      <c r="Q8079" t="s">
        <v>1794</v>
      </c>
      <c r="R8079" t="s">
        <v>9572</v>
      </c>
    </row>
    <row r="8080" spans="1:18" x14ac:dyDescent="0.25">
      <c r="A8080" t="s">
        <v>18781</v>
      </c>
      <c r="B8080" t="s">
        <v>9574</v>
      </c>
      <c r="C8080" t="str">
        <f>HYPERLINK("https://nematode.unl.edu/paract3.jpg")</f>
        <v>https://nematode.unl.edu/paract3.jpg</v>
      </c>
      <c r="G8080" t="s">
        <v>28</v>
      </c>
      <c r="I8080" t="s">
        <v>19</v>
      </c>
      <c r="J8080" t="s">
        <v>1292</v>
      </c>
      <c r="M8080" t="s">
        <v>9572</v>
      </c>
      <c r="N8080" t="s">
        <v>9572</v>
      </c>
      <c r="O8080" t="s">
        <v>73</v>
      </c>
      <c r="P8080" t="s">
        <v>81</v>
      </c>
      <c r="Q8080" t="s">
        <v>1794</v>
      </c>
      <c r="R8080" t="s">
        <v>9572</v>
      </c>
    </row>
    <row r="8081" spans="1:18" x14ac:dyDescent="0.25">
      <c r="A8081" t="s">
        <v>18777</v>
      </c>
      <c r="B8081" t="s">
        <v>9575</v>
      </c>
      <c r="C8081" t="str">
        <f>HYPERLINK("https://nematode.unl.edu/paract4.jpg")</f>
        <v>https://nematode.unl.edu/paract4.jpg</v>
      </c>
      <c r="D8081" t="s">
        <v>16</v>
      </c>
      <c r="G8081" t="s">
        <v>34</v>
      </c>
      <c r="H8081" t="s">
        <v>18</v>
      </c>
      <c r="I8081" t="s">
        <v>41</v>
      </c>
      <c r="J8081" t="s">
        <v>1292</v>
      </c>
      <c r="M8081" t="s">
        <v>9572</v>
      </c>
      <c r="N8081" t="s">
        <v>9572</v>
      </c>
      <c r="O8081" t="s">
        <v>73</v>
      </c>
      <c r="P8081" t="s">
        <v>81</v>
      </c>
      <c r="Q8081" t="s">
        <v>1794</v>
      </c>
      <c r="R8081" t="s">
        <v>9572</v>
      </c>
    </row>
    <row r="8082" spans="1:18" x14ac:dyDescent="0.25">
      <c r="A8082" t="s">
        <v>18778</v>
      </c>
      <c r="B8082" t="s">
        <v>9576</v>
      </c>
      <c r="C8082" t="str">
        <f>HYPERLINK("https://nematode.unl.edu/paract5.jpg")</f>
        <v>https://nematode.unl.edu/paract5.jpg</v>
      </c>
      <c r="D8082" t="s">
        <v>16</v>
      </c>
      <c r="G8082" t="s">
        <v>257</v>
      </c>
      <c r="H8082" t="s">
        <v>18</v>
      </c>
      <c r="I8082" t="s">
        <v>41</v>
      </c>
      <c r="M8082" t="s">
        <v>9572</v>
      </c>
      <c r="N8082" t="s">
        <v>9572</v>
      </c>
      <c r="O8082" t="s">
        <v>73</v>
      </c>
      <c r="P8082" t="s">
        <v>81</v>
      </c>
      <c r="Q8082" t="s">
        <v>1794</v>
      </c>
      <c r="R8082" t="s">
        <v>9572</v>
      </c>
    </row>
    <row r="8083" spans="1:18" x14ac:dyDescent="0.25">
      <c r="A8083" t="s">
        <v>18779</v>
      </c>
      <c r="B8083" t="s">
        <v>9577</v>
      </c>
      <c r="C8083" t="str">
        <f>HYPERLINK("https://nematode.unl.edu/paract6.jpg")</f>
        <v>https://nematode.unl.edu/paract6.jpg</v>
      </c>
      <c r="D8083" t="s">
        <v>16</v>
      </c>
      <c r="G8083" t="s">
        <v>243</v>
      </c>
      <c r="I8083" t="s">
        <v>529</v>
      </c>
      <c r="M8083" t="s">
        <v>9572</v>
      </c>
      <c r="N8083" t="s">
        <v>9572</v>
      </c>
      <c r="O8083" t="s">
        <v>73</v>
      </c>
      <c r="P8083" t="s">
        <v>81</v>
      </c>
      <c r="Q8083" t="s">
        <v>1794</v>
      </c>
      <c r="R8083" t="s">
        <v>9572</v>
      </c>
    </row>
    <row r="8084" spans="1:18" x14ac:dyDescent="0.25">
      <c r="A8084" t="s">
        <v>12212</v>
      </c>
      <c r="B8084" t="s">
        <v>9578</v>
      </c>
      <c r="C8084" t="str">
        <f>HYPERLINK("https://nematode.unl.edu/paracy1.jpg")</f>
        <v>https://nematode.unl.edu/paracy1.jpg</v>
      </c>
      <c r="D8084" t="s">
        <v>16</v>
      </c>
      <c r="G8084" t="s">
        <v>34</v>
      </c>
      <c r="H8084" t="s">
        <v>18</v>
      </c>
      <c r="I8084" t="s">
        <v>19</v>
      </c>
      <c r="J8084" t="s">
        <v>20</v>
      </c>
      <c r="L8084" t="s">
        <v>752</v>
      </c>
      <c r="M8084" t="s">
        <v>9579</v>
      </c>
      <c r="N8084" t="s">
        <v>9579</v>
      </c>
      <c r="O8084" t="s">
        <v>23</v>
      </c>
      <c r="P8084" t="s">
        <v>1947</v>
      </c>
      <c r="Q8084" t="s">
        <v>9580</v>
      </c>
      <c r="R8084" t="s">
        <v>9579</v>
      </c>
    </row>
    <row r="8085" spans="1:18" x14ac:dyDescent="0.25">
      <c r="A8085" t="s">
        <v>12214</v>
      </c>
      <c r="B8085" t="s">
        <v>9581</v>
      </c>
      <c r="C8085" t="str">
        <f>HYPERLINK("https://nematode.unl.edu/paracy2.jpg")</f>
        <v>https://nematode.unl.edu/paracy2.jpg</v>
      </c>
      <c r="G8085" t="s">
        <v>28</v>
      </c>
      <c r="I8085" t="s">
        <v>19</v>
      </c>
      <c r="J8085" t="s">
        <v>20</v>
      </c>
      <c r="L8085" t="s">
        <v>752</v>
      </c>
      <c r="M8085" t="s">
        <v>9579</v>
      </c>
      <c r="N8085" t="s">
        <v>9579</v>
      </c>
      <c r="O8085" t="s">
        <v>23</v>
      </c>
      <c r="P8085" t="s">
        <v>1947</v>
      </c>
      <c r="Q8085" t="s">
        <v>9580</v>
      </c>
      <c r="R8085" t="s">
        <v>9579</v>
      </c>
    </row>
    <row r="8086" spans="1:18" x14ac:dyDescent="0.25">
      <c r="A8086" t="s">
        <v>12213</v>
      </c>
      <c r="B8086" t="s">
        <v>9582</v>
      </c>
      <c r="C8086" t="str">
        <f>HYPERLINK("https://nematode.unl.edu/paracy3.jpg")</f>
        <v>https://nematode.unl.edu/paracy3.jpg</v>
      </c>
      <c r="D8086" t="s">
        <v>16</v>
      </c>
      <c r="G8086" t="s">
        <v>34</v>
      </c>
      <c r="H8086" t="s">
        <v>18</v>
      </c>
      <c r="I8086" t="s">
        <v>41</v>
      </c>
      <c r="J8086" t="s">
        <v>20</v>
      </c>
      <c r="L8086" t="s">
        <v>752</v>
      </c>
      <c r="M8086" t="s">
        <v>9579</v>
      </c>
      <c r="N8086" t="s">
        <v>9579</v>
      </c>
      <c r="O8086" t="s">
        <v>23</v>
      </c>
      <c r="P8086" t="s">
        <v>1947</v>
      </c>
      <c r="Q8086" t="s">
        <v>9580</v>
      </c>
      <c r="R8086" t="s">
        <v>9579</v>
      </c>
    </row>
    <row r="8087" spans="1:18" x14ac:dyDescent="0.25">
      <c r="A8087" t="s">
        <v>18656</v>
      </c>
      <c r="B8087" t="s">
        <v>9652</v>
      </c>
      <c r="C8087" t="str">
        <f>HYPERLINK("https://nematode.unl.edu/paragsm1.jpg")</f>
        <v>https://nematode.unl.edu/paragsm1.jpg</v>
      </c>
      <c r="D8087" t="s">
        <v>43</v>
      </c>
      <c r="G8087" t="s">
        <v>44</v>
      </c>
      <c r="I8087" t="s">
        <v>516</v>
      </c>
      <c r="J8087" t="s">
        <v>9653</v>
      </c>
      <c r="L8087" t="s">
        <v>9654</v>
      </c>
      <c r="M8087" t="s">
        <v>1591</v>
      </c>
      <c r="N8087" t="s">
        <v>1591</v>
      </c>
      <c r="O8087" t="s">
        <v>23</v>
      </c>
      <c r="P8087" t="s">
        <v>24</v>
      </c>
      <c r="Q8087" t="s">
        <v>1592</v>
      </c>
      <c r="R8087" t="s">
        <v>1591</v>
      </c>
    </row>
    <row r="8088" spans="1:18" x14ac:dyDescent="0.25">
      <c r="A8088" t="s">
        <v>18653</v>
      </c>
      <c r="B8088" t="s">
        <v>9655</v>
      </c>
      <c r="C8088" t="str">
        <f>HYPERLINK("https://nematode.unl.edu/paragsm2.jpg")</f>
        <v>https://nematode.unl.edu/paragsm2.jpg</v>
      </c>
      <c r="D8088" t="s">
        <v>43</v>
      </c>
      <c r="G8088" t="s">
        <v>34</v>
      </c>
      <c r="H8088" t="s">
        <v>18</v>
      </c>
      <c r="J8088" t="s">
        <v>9653</v>
      </c>
      <c r="L8088" t="s">
        <v>9654</v>
      </c>
      <c r="M8088" t="s">
        <v>1591</v>
      </c>
      <c r="N8088" t="s">
        <v>1591</v>
      </c>
      <c r="O8088" t="s">
        <v>23</v>
      </c>
      <c r="P8088" t="s">
        <v>24</v>
      </c>
      <c r="Q8088" t="s">
        <v>1592</v>
      </c>
      <c r="R8088" t="s">
        <v>1591</v>
      </c>
    </row>
    <row r="8089" spans="1:18" x14ac:dyDescent="0.25">
      <c r="A8089" t="s">
        <v>18661</v>
      </c>
      <c r="B8089" t="s">
        <v>9656</v>
      </c>
      <c r="C8089" t="str">
        <f>HYPERLINK("https://nematode.unl.edu/paragsm3.jpg")</f>
        <v>https://nematode.unl.edu/paragsm3.jpg</v>
      </c>
      <c r="D8089" t="s">
        <v>43</v>
      </c>
      <c r="G8089" t="s">
        <v>28</v>
      </c>
      <c r="I8089" t="s">
        <v>41</v>
      </c>
      <c r="J8089" t="s">
        <v>9653</v>
      </c>
      <c r="L8089" t="s">
        <v>9654</v>
      </c>
      <c r="M8089" t="s">
        <v>1591</v>
      </c>
      <c r="N8089" t="s">
        <v>1591</v>
      </c>
      <c r="O8089" t="s">
        <v>23</v>
      </c>
      <c r="P8089" t="s">
        <v>24</v>
      </c>
      <c r="Q8089" t="s">
        <v>1592</v>
      </c>
      <c r="R8089" t="s">
        <v>1591</v>
      </c>
    </row>
    <row r="8090" spans="1:18" x14ac:dyDescent="0.25">
      <c r="A8090" t="s">
        <v>18659</v>
      </c>
      <c r="B8090" t="s">
        <v>9657</v>
      </c>
      <c r="C8090" t="str">
        <f>HYPERLINK("https://nematode.unl.edu/paragsm4.jpg")</f>
        <v>https://nematode.unl.edu/paragsm4.jpg</v>
      </c>
      <c r="D8090" t="s">
        <v>43</v>
      </c>
      <c r="G8090" t="s">
        <v>3111</v>
      </c>
      <c r="I8090" t="s">
        <v>41</v>
      </c>
      <c r="J8090" t="s">
        <v>9653</v>
      </c>
      <c r="L8090" t="s">
        <v>9654</v>
      </c>
      <c r="M8090" t="s">
        <v>1591</v>
      </c>
      <c r="N8090" t="s">
        <v>1591</v>
      </c>
      <c r="O8090" t="s">
        <v>23</v>
      </c>
      <c r="P8090" t="s">
        <v>24</v>
      </c>
      <c r="Q8090" t="s">
        <v>1592</v>
      </c>
      <c r="R8090" t="s">
        <v>1591</v>
      </c>
    </row>
    <row r="8091" spans="1:18" x14ac:dyDescent="0.25">
      <c r="A8091" t="s">
        <v>18657</v>
      </c>
      <c r="B8091" t="s">
        <v>9658</v>
      </c>
      <c r="C8091" t="str">
        <f>HYPERLINK("https://nematode.unl.edu/paragsm5.jpg")</f>
        <v>https://nematode.unl.edu/paragsm5.jpg</v>
      </c>
      <c r="D8091" t="s">
        <v>43</v>
      </c>
      <c r="G8091" t="s">
        <v>44</v>
      </c>
      <c r="J8091" t="s">
        <v>9653</v>
      </c>
      <c r="L8091" t="s">
        <v>9654</v>
      </c>
      <c r="M8091" t="s">
        <v>1591</v>
      </c>
      <c r="N8091" t="s">
        <v>1591</v>
      </c>
      <c r="O8091" t="s">
        <v>23</v>
      </c>
      <c r="P8091" t="s">
        <v>24</v>
      </c>
      <c r="Q8091" t="s">
        <v>1592</v>
      </c>
      <c r="R8091" t="s">
        <v>1591</v>
      </c>
    </row>
    <row r="8092" spans="1:18" x14ac:dyDescent="0.25">
      <c r="A8092" t="s">
        <v>18654</v>
      </c>
      <c r="B8092" t="s">
        <v>9659</v>
      </c>
      <c r="C8092" t="str">
        <f>HYPERLINK("https://nematode.unl.edu/paragsm6.jpg")</f>
        <v>https://nematode.unl.edu/paragsm6.jpg</v>
      </c>
      <c r="D8092" t="s">
        <v>43</v>
      </c>
      <c r="G8092" t="s">
        <v>34</v>
      </c>
      <c r="H8092" t="s">
        <v>18</v>
      </c>
      <c r="J8092" t="s">
        <v>9653</v>
      </c>
      <c r="L8092" t="s">
        <v>9654</v>
      </c>
      <c r="M8092" t="s">
        <v>1591</v>
      </c>
      <c r="N8092" t="s">
        <v>1591</v>
      </c>
      <c r="O8092" t="s">
        <v>23</v>
      </c>
      <c r="P8092" t="s">
        <v>24</v>
      </c>
      <c r="Q8092" t="s">
        <v>1592</v>
      </c>
      <c r="R8092" t="s">
        <v>1591</v>
      </c>
    </row>
    <row r="8093" spans="1:18" x14ac:dyDescent="0.25">
      <c r="A8093" t="s">
        <v>18662</v>
      </c>
      <c r="B8093" t="s">
        <v>9660</v>
      </c>
      <c r="C8093" t="str">
        <f>HYPERLINK("https://nematode.unl.edu/paragsm7.jpg")</f>
        <v>https://nematode.unl.edu/paragsm7.jpg</v>
      </c>
      <c r="D8093" t="s">
        <v>43</v>
      </c>
      <c r="G8093" t="s">
        <v>28</v>
      </c>
      <c r="I8093" t="s">
        <v>41</v>
      </c>
      <c r="J8093" t="s">
        <v>9653</v>
      </c>
      <c r="L8093" t="s">
        <v>9654</v>
      </c>
      <c r="M8093" t="s">
        <v>1591</v>
      </c>
      <c r="N8093" t="s">
        <v>1591</v>
      </c>
      <c r="O8093" t="s">
        <v>23</v>
      </c>
      <c r="P8093" t="s">
        <v>24</v>
      </c>
      <c r="Q8093" t="s">
        <v>1592</v>
      </c>
      <c r="R8093" t="s">
        <v>1591</v>
      </c>
    </row>
    <row r="8094" spans="1:18" x14ac:dyDescent="0.25">
      <c r="A8094" t="s">
        <v>18660</v>
      </c>
      <c r="B8094" t="s">
        <v>9661</v>
      </c>
      <c r="C8094" t="str">
        <f>HYPERLINK("https://nematode.unl.edu/paragsm8.jpg")</f>
        <v>https://nematode.unl.edu/paragsm8.jpg</v>
      </c>
      <c r="D8094" t="s">
        <v>43</v>
      </c>
      <c r="G8094" t="s">
        <v>3111</v>
      </c>
      <c r="I8094" t="s">
        <v>41</v>
      </c>
      <c r="J8094" t="s">
        <v>9653</v>
      </c>
      <c r="L8094" t="s">
        <v>9654</v>
      </c>
      <c r="M8094" t="s">
        <v>1591</v>
      </c>
      <c r="N8094" t="s">
        <v>1591</v>
      </c>
      <c r="O8094" t="s">
        <v>23</v>
      </c>
      <c r="P8094" t="s">
        <v>24</v>
      </c>
      <c r="Q8094" t="s">
        <v>1592</v>
      </c>
      <c r="R8094" t="s">
        <v>1591</v>
      </c>
    </row>
    <row r="8095" spans="1:18" x14ac:dyDescent="0.25">
      <c r="A8095" t="s">
        <v>18658</v>
      </c>
      <c r="B8095" t="s">
        <v>9662</v>
      </c>
      <c r="C8095" t="str">
        <f>HYPERLINK("https://nematode.unl.edu/paragsm9.jpg")</f>
        <v>https://nematode.unl.edu/paragsm9.jpg</v>
      </c>
      <c r="D8095" t="s">
        <v>43</v>
      </c>
      <c r="G8095" t="s">
        <v>44</v>
      </c>
      <c r="I8095" t="s">
        <v>41</v>
      </c>
      <c r="J8095" t="s">
        <v>9653</v>
      </c>
      <c r="L8095" t="s">
        <v>9654</v>
      </c>
      <c r="M8095" t="s">
        <v>1591</v>
      </c>
      <c r="N8095" t="s">
        <v>1591</v>
      </c>
      <c r="O8095" t="s">
        <v>23</v>
      </c>
      <c r="P8095" t="s">
        <v>24</v>
      </c>
      <c r="Q8095" t="s">
        <v>1592</v>
      </c>
      <c r="R8095" t="s">
        <v>1591</v>
      </c>
    </row>
    <row r="8096" spans="1:18" x14ac:dyDescent="0.25">
      <c r="A8096" t="s">
        <v>12979</v>
      </c>
      <c r="B8096" t="s">
        <v>1577</v>
      </c>
      <c r="C8096" t="str">
        <f>HYPERLINK("https://nematode.unl.edu/parap1.jpg")</f>
        <v>https://nematode.unl.edu/parap1.jpg</v>
      </c>
      <c r="D8096" t="s">
        <v>43</v>
      </c>
      <c r="G8096" t="s">
        <v>44</v>
      </c>
      <c r="I8096" t="s">
        <v>45</v>
      </c>
      <c r="J8096" t="s">
        <v>20</v>
      </c>
      <c r="L8096" t="s">
        <v>85</v>
      </c>
      <c r="M8096" t="s">
        <v>1578</v>
      </c>
      <c r="N8096" t="s">
        <v>1579</v>
      </c>
      <c r="O8096" t="s">
        <v>23</v>
      </c>
      <c r="P8096" t="s">
        <v>24</v>
      </c>
      <c r="Q8096" t="s">
        <v>1580</v>
      </c>
      <c r="R8096" t="s">
        <v>1581</v>
      </c>
    </row>
    <row r="8097" spans="1:18" x14ac:dyDescent="0.25">
      <c r="A8097" t="s">
        <v>12976</v>
      </c>
      <c r="B8097" t="s">
        <v>1582</v>
      </c>
      <c r="C8097" t="str">
        <f>HYPERLINK("https://nematode.unl.edu/parap2.jpg")</f>
        <v>https://nematode.unl.edu/parap2.jpg</v>
      </c>
      <c r="D8097" t="s">
        <v>43</v>
      </c>
      <c r="G8097" t="s">
        <v>96</v>
      </c>
      <c r="H8097" t="s">
        <v>18</v>
      </c>
      <c r="J8097" t="s">
        <v>20</v>
      </c>
      <c r="L8097" t="s">
        <v>173</v>
      </c>
      <c r="M8097" t="s">
        <v>1578</v>
      </c>
      <c r="N8097" t="s">
        <v>1579</v>
      </c>
      <c r="O8097" t="s">
        <v>23</v>
      </c>
      <c r="P8097" t="s">
        <v>24</v>
      </c>
      <c r="Q8097" t="s">
        <v>1580</v>
      </c>
      <c r="R8097" t="s">
        <v>1581</v>
      </c>
    </row>
    <row r="8098" spans="1:18" x14ac:dyDescent="0.25">
      <c r="A8098" t="s">
        <v>12983</v>
      </c>
      <c r="B8098" t="s">
        <v>1583</v>
      </c>
      <c r="C8098" t="str">
        <f>HYPERLINK("https://nematode.unl.edu/parap3.jpg")</f>
        <v>https://nematode.unl.edu/parap3.jpg</v>
      </c>
      <c r="D8098" t="s">
        <v>43</v>
      </c>
      <c r="G8098" t="s">
        <v>51</v>
      </c>
      <c r="I8098" t="s">
        <v>19</v>
      </c>
      <c r="M8098" t="s">
        <v>1578</v>
      </c>
      <c r="N8098" t="s">
        <v>1579</v>
      </c>
      <c r="O8098" t="s">
        <v>23</v>
      </c>
      <c r="P8098" t="s">
        <v>24</v>
      </c>
      <c r="Q8098" t="s">
        <v>1580</v>
      </c>
      <c r="R8098" t="s">
        <v>1581</v>
      </c>
    </row>
    <row r="8099" spans="1:18" x14ac:dyDescent="0.25">
      <c r="A8099" t="s">
        <v>12982</v>
      </c>
      <c r="B8099" t="s">
        <v>1584</v>
      </c>
      <c r="C8099" t="str">
        <f>HYPERLINK("https://nematode.unl.edu/parap4.jpg")</f>
        <v>https://nematode.unl.edu/parap4.jpg</v>
      </c>
      <c r="D8099" t="s">
        <v>43</v>
      </c>
      <c r="G8099" t="s">
        <v>28</v>
      </c>
      <c r="J8099" t="s">
        <v>20</v>
      </c>
      <c r="L8099" t="s">
        <v>173</v>
      </c>
      <c r="M8099" t="s">
        <v>1578</v>
      </c>
      <c r="N8099" t="s">
        <v>1579</v>
      </c>
      <c r="O8099" t="s">
        <v>23</v>
      </c>
      <c r="P8099" t="s">
        <v>24</v>
      </c>
      <c r="Q8099" t="s">
        <v>1580</v>
      </c>
      <c r="R8099" t="s">
        <v>1581</v>
      </c>
    </row>
    <row r="8100" spans="1:18" x14ac:dyDescent="0.25">
      <c r="A8100" t="s">
        <v>12980</v>
      </c>
      <c r="B8100" t="s">
        <v>1585</v>
      </c>
      <c r="C8100" t="str">
        <f>HYPERLINK("https://nematode.unl.edu/parap5.jpg")</f>
        <v>https://nematode.unl.edu/parap5.jpg</v>
      </c>
      <c r="D8100" t="s">
        <v>77</v>
      </c>
      <c r="G8100" t="s">
        <v>53</v>
      </c>
      <c r="I8100" t="s">
        <v>41</v>
      </c>
      <c r="J8100" t="s">
        <v>20</v>
      </c>
      <c r="L8100" t="s">
        <v>141</v>
      </c>
      <c r="M8100" t="s">
        <v>1578</v>
      </c>
      <c r="N8100" t="s">
        <v>1579</v>
      </c>
      <c r="O8100" t="s">
        <v>23</v>
      </c>
      <c r="P8100" t="s">
        <v>24</v>
      </c>
      <c r="Q8100" t="s">
        <v>1580</v>
      </c>
      <c r="R8100" t="s">
        <v>1581</v>
      </c>
    </row>
    <row r="8101" spans="1:18" x14ac:dyDescent="0.25">
      <c r="A8101" t="s">
        <v>12978</v>
      </c>
      <c r="B8101" t="s">
        <v>1586</v>
      </c>
      <c r="C8101" t="str">
        <f>HYPERLINK("https://nematode.unl.edu/parap6.jpg")</f>
        <v>https://nematode.unl.edu/parap6.jpg</v>
      </c>
      <c r="D8101" t="s">
        <v>43</v>
      </c>
      <c r="G8101" t="s">
        <v>87</v>
      </c>
      <c r="L8101" t="s">
        <v>138</v>
      </c>
      <c r="M8101" t="s">
        <v>1578</v>
      </c>
      <c r="N8101" t="s">
        <v>1579</v>
      </c>
      <c r="O8101" t="s">
        <v>23</v>
      </c>
      <c r="P8101" t="s">
        <v>24</v>
      </c>
      <c r="Q8101" t="s">
        <v>1580</v>
      </c>
      <c r="R8101" t="s">
        <v>1581</v>
      </c>
    </row>
    <row r="8102" spans="1:18" x14ac:dyDescent="0.25">
      <c r="A8102" t="s">
        <v>12981</v>
      </c>
      <c r="B8102" t="s">
        <v>1587</v>
      </c>
      <c r="C8102" t="str">
        <f>HYPERLINK("https://nematode.unl.edu/parap7.jpg")</f>
        <v>https://nematode.unl.edu/parap7.jpg</v>
      </c>
      <c r="D8102" t="s">
        <v>43</v>
      </c>
      <c r="G8102" t="s">
        <v>414</v>
      </c>
      <c r="I8102" t="s">
        <v>41</v>
      </c>
      <c r="J8102" t="s">
        <v>20</v>
      </c>
      <c r="L8102" t="s">
        <v>141</v>
      </c>
      <c r="M8102" t="s">
        <v>1578</v>
      </c>
      <c r="N8102" t="s">
        <v>1579</v>
      </c>
      <c r="O8102" t="s">
        <v>23</v>
      </c>
      <c r="P8102" t="s">
        <v>24</v>
      </c>
      <c r="Q8102" t="s">
        <v>1580</v>
      </c>
      <c r="R8102" t="s">
        <v>1581</v>
      </c>
    </row>
    <row r="8103" spans="1:18" x14ac:dyDescent="0.25">
      <c r="A8103" t="s">
        <v>12977</v>
      </c>
      <c r="B8103" t="s">
        <v>1588</v>
      </c>
      <c r="C8103" t="str">
        <f>HYPERLINK("https://nematode.unl.edu/parap8.jpg")</f>
        <v>https://nematode.unl.edu/parap8.jpg</v>
      </c>
      <c r="D8103" t="s">
        <v>43</v>
      </c>
      <c r="G8103" t="s">
        <v>34</v>
      </c>
      <c r="H8103" t="s">
        <v>18</v>
      </c>
      <c r="J8103" t="s">
        <v>20</v>
      </c>
      <c r="L8103" t="s">
        <v>173</v>
      </c>
      <c r="M8103" t="s">
        <v>1578</v>
      </c>
      <c r="N8103" t="s">
        <v>1579</v>
      </c>
      <c r="O8103" t="s">
        <v>23</v>
      </c>
      <c r="P8103" t="s">
        <v>24</v>
      </c>
      <c r="Q8103" t="s">
        <v>1580</v>
      </c>
      <c r="R8103" t="s">
        <v>1581</v>
      </c>
    </row>
    <row r="8104" spans="1:18" x14ac:dyDescent="0.25">
      <c r="A8104" t="s">
        <v>12313</v>
      </c>
      <c r="B8104" t="s">
        <v>9583</v>
      </c>
      <c r="C8104" t="str">
        <f>HYPERLINK("https://nematode.unl.edu/parapl1.jpg")</f>
        <v>https://nematode.unl.edu/parapl1.jpg</v>
      </c>
      <c r="G8104" t="s">
        <v>34</v>
      </c>
      <c r="H8104" t="s">
        <v>18</v>
      </c>
      <c r="I8104" t="s">
        <v>19</v>
      </c>
      <c r="J8104" t="s">
        <v>20</v>
      </c>
      <c r="L8104" t="s">
        <v>141</v>
      </c>
      <c r="M8104" t="s">
        <v>9584</v>
      </c>
      <c r="N8104" t="s">
        <v>9584</v>
      </c>
      <c r="O8104" t="s">
        <v>23</v>
      </c>
      <c r="P8104" t="s">
        <v>1649</v>
      </c>
      <c r="Q8104" t="s">
        <v>6870</v>
      </c>
      <c r="R8104" t="s">
        <v>9584</v>
      </c>
    </row>
    <row r="8105" spans="1:18" x14ac:dyDescent="0.25">
      <c r="A8105" t="s">
        <v>12317</v>
      </c>
      <c r="B8105" t="s">
        <v>9585</v>
      </c>
      <c r="C8105" t="str">
        <f>HYPERLINK("https://nematode.unl.edu/parapl2.jpg")</f>
        <v>https://nematode.unl.edu/parapl2.jpg</v>
      </c>
      <c r="D8105" t="s">
        <v>16</v>
      </c>
      <c r="G8105" t="s">
        <v>28</v>
      </c>
      <c r="I8105" t="s">
        <v>19</v>
      </c>
      <c r="J8105" t="s">
        <v>20</v>
      </c>
      <c r="L8105" t="s">
        <v>141</v>
      </c>
      <c r="M8105" t="s">
        <v>9584</v>
      </c>
      <c r="N8105" t="s">
        <v>9584</v>
      </c>
      <c r="O8105" t="s">
        <v>23</v>
      </c>
      <c r="P8105" t="s">
        <v>1649</v>
      </c>
      <c r="Q8105" t="s">
        <v>6870</v>
      </c>
      <c r="R8105" t="s">
        <v>9584</v>
      </c>
    </row>
    <row r="8106" spans="1:18" x14ac:dyDescent="0.25">
      <c r="A8106" t="s">
        <v>18702</v>
      </c>
      <c r="B8106" t="s">
        <v>1626</v>
      </c>
      <c r="C8106" t="str">
        <f>HYPERLINK("https://nematode.unl.edu/paraprobo1.jpg")</f>
        <v>https://nematode.unl.edu/paraprobo1.jpg</v>
      </c>
      <c r="D8106" t="s">
        <v>43</v>
      </c>
      <c r="G8106" t="s">
        <v>44</v>
      </c>
      <c r="I8106" t="s">
        <v>529</v>
      </c>
      <c r="J8106" t="s">
        <v>1627</v>
      </c>
      <c r="L8106" t="s">
        <v>1628</v>
      </c>
      <c r="M8106" t="s">
        <v>1629</v>
      </c>
      <c r="N8106" t="s">
        <v>1630</v>
      </c>
      <c r="O8106" t="s">
        <v>23</v>
      </c>
      <c r="P8106" t="s">
        <v>24</v>
      </c>
      <c r="Q8106" t="s">
        <v>1592</v>
      </c>
      <c r="R8106" t="s">
        <v>1591</v>
      </c>
    </row>
    <row r="8107" spans="1:18" x14ac:dyDescent="0.25">
      <c r="A8107" t="s">
        <v>18701</v>
      </c>
      <c r="B8107" t="s">
        <v>1631</v>
      </c>
      <c r="C8107" t="str">
        <f>HYPERLINK("https://nematode.unl.edu/paraprobo2.jpg")</f>
        <v>https://nematode.unl.edu/paraprobo2.jpg</v>
      </c>
      <c r="D8107" t="s">
        <v>43</v>
      </c>
      <c r="G8107" t="s">
        <v>96</v>
      </c>
      <c r="H8107" t="s">
        <v>18</v>
      </c>
      <c r="J8107" t="s">
        <v>1627</v>
      </c>
      <c r="L8107" t="s">
        <v>1628</v>
      </c>
      <c r="M8107" t="s">
        <v>1629</v>
      </c>
      <c r="N8107" t="s">
        <v>1630</v>
      </c>
      <c r="O8107" t="s">
        <v>23</v>
      </c>
      <c r="P8107" t="s">
        <v>24</v>
      </c>
      <c r="Q8107" t="s">
        <v>1592</v>
      </c>
      <c r="R8107" t="s">
        <v>1591</v>
      </c>
    </row>
    <row r="8108" spans="1:18" x14ac:dyDescent="0.25">
      <c r="A8108" t="s">
        <v>18704</v>
      </c>
      <c r="B8108" t="s">
        <v>1632</v>
      </c>
      <c r="C8108" t="str">
        <f>HYPERLINK("https://nematode.unl.edu/paraprobo3.jpg")</f>
        <v>https://nematode.unl.edu/paraprobo3.jpg</v>
      </c>
      <c r="D8108" t="s">
        <v>43</v>
      </c>
      <c r="G8108" t="s">
        <v>181</v>
      </c>
      <c r="J8108" t="s">
        <v>1627</v>
      </c>
      <c r="L8108" t="s">
        <v>1628</v>
      </c>
      <c r="M8108" t="s">
        <v>1629</v>
      </c>
      <c r="N8108" t="s">
        <v>1630</v>
      </c>
      <c r="O8108" t="s">
        <v>23</v>
      </c>
      <c r="P8108" t="s">
        <v>24</v>
      </c>
      <c r="Q8108" t="s">
        <v>1592</v>
      </c>
      <c r="R8108" t="s">
        <v>1591</v>
      </c>
    </row>
    <row r="8109" spans="1:18" x14ac:dyDescent="0.25">
      <c r="A8109" t="s">
        <v>18703</v>
      </c>
      <c r="B8109" t="s">
        <v>1633</v>
      </c>
      <c r="C8109" t="str">
        <f>HYPERLINK("https://nematode.unl.edu/paraprojedrw.jpg")</f>
        <v>https://nematode.unl.edu/paraprojedrw.jpg</v>
      </c>
      <c r="G8109" t="s">
        <v>108</v>
      </c>
      <c r="M8109" t="s">
        <v>1629</v>
      </c>
      <c r="N8109" t="s">
        <v>1630</v>
      </c>
      <c r="O8109" t="s">
        <v>23</v>
      </c>
      <c r="P8109" t="s">
        <v>24</v>
      </c>
      <c r="Q8109" t="s">
        <v>1592</v>
      </c>
      <c r="R8109" t="s">
        <v>1591</v>
      </c>
    </row>
    <row r="8110" spans="1:18" x14ac:dyDescent="0.25">
      <c r="A8110" t="s">
        <v>18664</v>
      </c>
      <c r="B8110" t="s">
        <v>9665</v>
      </c>
      <c r="C8110" t="str">
        <f>HYPERLINK("https://nematode.unl.edu/paraq1.jpg")</f>
        <v>https://nematode.unl.edu/paraq1.jpg</v>
      </c>
      <c r="D8110" t="s">
        <v>77</v>
      </c>
      <c r="G8110" t="s">
        <v>34</v>
      </c>
      <c r="H8110" t="s">
        <v>18</v>
      </c>
      <c r="I8110" t="s">
        <v>516</v>
      </c>
      <c r="J8110" t="s">
        <v>20</v>
      </c>
      <c r="L8110" t="s">
        <v>85</v>
      </c>
      <c r="M8110" t="s">
        <v>9666</v>
      </c>
      <c r="N8110" t="s">
        <v>9666</v>
      </c>
      <c r="O8110" t="s">
        <v>23</v>
      </c>
      <c r="P8110" t="s">
        <v>24</v>
      </c>
      <c r="Q8110" t="s">
        <v>1592</v>
      </c>
      <c r="R8110" t="s">
        <v>1591</v>
      </c>
    </row>
    <row r="8111" spans="1:18" x14ac:dyDescent="0.25">
      <c r="A8111" t="s">
        <v>18667</v>
      </c>
      <c r="B8111" t="s">
        <v>9667</v>
      </c>
      <c r="C8111" t="str">
        <f>HYPERLINK("https://nematode.unl.edu/paraq2.jpg")</f>
        <v>https://nematode.unl.edu/paraq2.jpg</v>
      </c>
      <c r="D8111" t="s">
        <v>43</v>
      </c>
      <c r="G8111" t="s">
        <v>44</v>
      </c>
      <c r="I8111" t="s">
        <v>516</v>
      </c>
      <c r="J8111" t="s">
        <v>20</v>
      </c>
      <c r="L8111" t="s">
        <v>85</v>
      </c>
      <c r="M8111" t="s">
        <v>9666</v>
      </c>
      <c r="N8111" t="s">
        <v>9666</v>
      </c>
      <c r="O8111" t="s">
        <v>23</v>
      </c>
      <c r="P8111" t="s">
        <v>24</v>
      </c>
      <c r="Q8111" t="s">
        <v>1592</v>
      </c>
      <c r="R8111" t="s">
        <v>1591</v>
      </c>
    </row>
    <row r="8112" spans="1:18" x14ac:dyDescent="0.25">
      <c r="A8112" t="s">
        <v>18671</v>
      </c>
      <c r="B8112" t="s">
        <v>9668</v>
      </c>
      <c r="C8112" t="str">
        <f>HYPERLINK("https://nematode.unl.edu/paraq3.jpg")</f>
        <v>https://nematode.unl.edu/paraq3.jpg</v>
      </c>
      <c r="D8112" t="s">
        <v>77</v>
      </c>
      <c r="G8112" t="s">
        <v>28</v>
      </c>
      <c r="I8112" t="s">
        <v>19</v>
      </c>
      <c r="J8112" t="s">
        <v>20</v>
      </c>
      <c r="L8112" t="s">
        <v>85</v>
      </c>
      <c r="M8112" t="s">
        <v>9666</v>
      </c>
      <c r="N8112" t="s">
        <v>9666</v>
      </c>
      <c r="O8112" t="s">
        <v>23</v>
      </c>
      <c r="P8112" t="s">
        <v>24</v>
      </c>
      <c r="Q8112" t="s">
        <v>1592</v>
      </c>
      <c r="R8112" t="s">
        <v>1591</v>
      </c>
    </row>
    <row r="8113" spans="1:18" x14ac:dyDescent="0.25">
      <c r="A8113" t="s">
        <v>18673</v>
      </c>
      <c r="B8113" t="s">
        <v>9669</v>
      </c>
      <c r="C8113" t="str">
        <f>HYPERLINK("https://nematode.unl.edu/paraq4.jpg")</f>
        <v>https://nematode.unl.edu/paraq4.jpg</v>
      </c>
      <c r="D8113" t="s">
        <v>43</v>
      </c>
      <c r="G8113" t="s">
        <v>51</v>
      </c>
      <c r="I8113" t="s">
        <v>41</v>
      </c>
      <c r="J8113" t="s">
        <v>20</v>
      </c>
      <c r="L8113" t="s">
        <v>85</v>
      </c>
      <c r="M8113" t="s">
        <v>9666</v>
      </c>
      <c r="N8113" t="s">
        <v>9666</v>
      </c>
      <c r="O8113" t="s">
        <v>23</v>
      </c>
      <c r="P8113" t="s">
        <v>24</v>
      </c>
      <c r="Q8113" t="s">
        <v>1592</v>
      </c>
      <c r="R8113" t="s">
        <v>1591</v>
      </c>
    </row>
    <row r="8114" spans="1:18" x14ac:dyDescent="0.25">
      <c r="A8114" t="s">
        <v>18665</v>
      </c>
      <c r="B8114" t="s">
        <v>9670</v>
      </c>
      <c r="C8114" t="str">
        <f>HYPERLINK("https://nematode.unl.edu/paraq5.jpg")</f>
        <v>https://nematode.unl.edu/paraq5.jpg</v>
      </c>
      <c r="D8114" t="s">
        <v>43</v>
      </c>
      <c r="G8114" t="s">
        <v>34</v>
      </c>
      <c r="H8114" t="s">
        <v>18</v>
      </c>
      <c r="I8114" t="s">
        <v>41</v>
      </c>
      <c r="J8114" t="s">
        <v>20</v>
      </c>
      <c r="L8114" t="s">
        <v>85</v>
      </c>
      <c r="M8114" t="s">
        <v>9666</v>
      </c>
      <c r="N8114" t="s">
        <v>9666</v>
      </c>
      <c r="O8114" t="s">
        <v>23</v>
      </c>
      <c r="P8114" t="s">
        <v>24</v>
      </c>
      <c r="Q8114" t="s">
        <v>1592</v>
      </c>
      <c r="R8114" t="s">
        <v>1591</v>
      </c>
    </row>
    <row r="8115" spans="1:18" x14ac:dyDescent="0.25">
      <c r="A8115" t="s">
        <v>18668</v>
      </c>
      <c r="B8115" t="s">
        <v>9671</v>
      </c>
      <c r="C8115" t="str">
        <f>HYPERLINK("https://nematode.unl.edu/paraqua1.jpg")</f>
        <v>https://nematode.unl.edu/paraqua1.jpg</v>
      </c>
      <c r="D8115" t="s">
        <v>43</v>
      </c>
      <c r="G8115" t="s">
        <v>44</v>
      </c>
      <c r="I8115" t="s">
        <v>137</v>
      </c>
      <c r="J8115" t="s">
        <v>127</v>
      </c>
      <c r="L8115" t="s">
        <v>5264</v>
      </c>
      <c r="M8115" t="s">
        <v>9666</v>
      </c>
      <c r="N8115" t="s">
        <v>9666</v>
      </c>
      <c r="O8115" t="s">
        <v>23</v>
      </c>
      <c r="P8115" t="s">
        <v>24</v>
      </c>
      <c r="Q8115" t="s">
        <v>1592</v>
      </c>
      <c r="R8115" t="s">
        <v>1591</v>
      </c>
    </row>
    <row r="8116" spans="1:18" x14ac:dyDescent="0.25">
      <c r="A8116" t="s">
        <v>18669</v>
      </c>
      <c r="B8116" t="s">
        <v>9672</v>
      </c>
      <c r="C8116" t="str">
        <f>HYPERLINK("https://nematode.unl.edu/paraqua2.jpg")</f>
        <v>https://nematode.unl.edu/paraqua2.jpg</v>
      </c>
      <c r="D8116" t="s">
        <v>43</v>
      </c>
      <c r="G8116" t="s">
        <v>44</v>
      </c>
      <c r="J8116" t="s">
        <v>127</v>
      </c>
      <c r="L8116" t="s">
        <v>5264</v>
      </c>
      <c r="M8116" t="s">
        <v>9666</v>
      </c>
      <c r="N8116" t="s">
        <v>9666</v>
      </c>
      <c r="O8116" t="s">
        <v>23</v>
      </c>
      <c r="P8116" t="s">
        <v>24</v>
      </c>
      <c r="Q8116" t="s">
        <v>1592</v>
      </c>
      <c r="R8116" t="s">
        <v>1591</v>
      </c>
    </row>
    <row r="8117" spans="1:18" x14ac:dyDescent="0.25">
      <c r="A8117" t="s">
        <v>18666</v>
      </c>
      <c r="B8117" t="s">
        <v>9673</v>
      </c>
      <c r="C8117" t="str">
        <f>HYPERLINK("https://nematode.unl.edu/paraqua3.jpg")</f>
        <v>https://nematode.unl.edu/paraqua3.jpg</v>
      </c>
      <c r="D8117" t="s">
        <v>43</v>
      </c>
      <c r="G8117" t="s">
        <v>34</v>
      </c>
      <c r="H8117" t="s">
        <v>18</v>
      </c>
      <c r="I8117" t="s">
        <v>41</v>
      </c>
      <c r="J8117" t="s">
        <v>127</v>
      </c>
      <c r="L8117" t="s">
        <v>5264</v>
      </c>
      <c r="M8117" t="s">
        <v>9666</v>
      </c>
      <c r="N8117" t="s">
        <v>9666</v>
      </c>
      <c r="O8117" t="s">
        <v>23</v>
      </c>
      <c r="P8117" t="s">
        <v>24</v>
      </c>
      <c r="Q8117" t="s">
        <v>1592</v>
      </c>
      <c r="R8117" t="s">
        <v>1591</v>
      </c>
    </row>
    <row r="8118" spans="1:18" x14ac:dyDescent="0.25">
      <c r="A8118" t="s">
        <v>18670</v>
      </c>
      <c r="B8118" t="s">
        <v>9674</v>
      </c>
      <c r="C8118" t="str">
        <f>HYPERLINK("https://nematode.unl.edu/paraqua4.jpg")</f>
        <v>https://nematode.unl.edu/paraqua4.jpg</v>
      </c>
      <c r="D8118" t="s">
        <v>43</v>
      </c>
      <c r="G8118" t="s">
        <v>53</v>
      </c>
      <c r="I8118" t="s">
        <v>41</v>
      </c>
      <c r="J8118" t="s">
        <v>127</v>
      </c>
      <c r="L8118" t="s">
        <v>5264</v>
      </c>
      <c r="M8118" t="s">
        <v>9666</v>
      </c>
      <c r="N8118" t="s">
        <v>9666</v>
      </c>
      <c r="O8118" t="s">
        <v>23</v>
      </c>
      <c r="P8118" t="s">
        <v>24</v>
      </c>
      <c r="Q8118" t="s">
        <v>1592</v>
      </c>
      <c r="R8118" t="s">
        <v>1591</v>
      </c>
    </row>
    <row r="8119" spans="1:18" x14ac:dyDescent="0.25">
      <c r="A8119" t="s">
        <v>18672</v>
      </c>
      <c r="B8119" t="s">
        <v>9675</v>
      </c>
      <c r="C8119" t="str">
        <f>HYPERLINK("https://nematode.unl.edu/paraqua5.jpg")</f>
        <v>https://nematode.unl.edu/paraqua5.jpg</v>
      </c>
      <c r="D8119" t="s">
        <v>43</v>
      </c>
      <c r="G8119" t="s">
        <v>28</v>
      </c>
      <c r="I8119" t="s">
        <v>41</v>
      </c>
      <c r="J8119" t="s">
        <v>127</v>
      </c>
      <c r="L8119" t="s">
        <v>5264</v>
      </c>
      <c r="M8119" t="s">
        <v>9666</v>
      </c>
      <c r="N8119" t="s">
        <v>9666</v>
      </c>
      <c r="O8119" t="s">
        <v>23</v>
      </c>
      <c r="P8119" t="s">
        <v>24</v>
      </c>
      <c r="Q8119" t="s">
        <v>1592</v>
      </c>
      <c r="R8119" t="s">
        <v>1591</v>
      </c>
    </row>
    <row r="8120" spans="1:18" x14ac:dyDescent="0.25">
      <c r="A8120" t="s">
        <v>16649</v>
      </c>
      <c r="B8120" t="s">
        <v>9590</v>
      </c>
      <c r="C8120" t="str">
        <f>HYPERLINK("https://nematode.unl.edu/pararo1.jpg")</f>
        <v>https://nematode.unl.edu/pararo1.jpg</v>
      </c>
      <c r="D8120" t="s">
        <v>43</v>
      </c>
      <c r="G8120" t="s">
        <v>44</v>
      </c>
      <c r="I8120" t="s">
        <v>45</v>
      </c>
      <c r="J8120" t="s">
        <v>20</v>
      </c>
      <c r="L8120" t="s">
        <v>85</v>
      </c>
      <c r="M8120" t="s">
        <v>9591</v>
      </c>
      <c r="N8120" t="s">
        <v>9591</v>
      </c>
      <c r="O8120" t="s">
        <v>23</v>
      </c>
      <c r="P8120" t="s">
        <v>24</v>
      </c>
      <c r="Q8120" t="s">
        <v>2454</v>
      </c>
      <c r="R8120" t="s">
        <v>9591</v>
      </c>
    </row>
    <row r="8121" spans="1:18" x14ac:dyDescent="0.25">
      <c r="A8121" t="s">
        <v>16664</v>
      </c>
      <c r="B8121" t="s">
        <v>9592</v>
      </c>
      <c r="C8121" t="str">
        <f>HYPERLINK("https://nematode.unl.edu/pararo10.jpg")</f>
        <v>https://nematode.unl.edu/pararo10.jpg</v>
      </c>
      <c r="D8121" t="s">
        <v>43</v>
      </c>
      <c r="G8121" t="s">
        <v>51</v>
      </c>
      <c r="I8121" t="s">
        <v>19</v>
      </c>
      <c r="J8121" t="s">
        <v>20</v>
      </c>
      <c r="L8121" t="s">
        <v>85</v>
      </c>
      <c r="M8121" t="s">
        <v>9591</v>
      </c>
      <c r="N8121" t="s">
        <v>9591</v>
      </c>
      <c r="O8121" t="s">
        <v>23</v>
      </c>
      <c r="P8121" t="s">
        <v>24</v>
      </c>
      <c r="Q8121" t="s">
        <v>2454</v>
      </c>
      <c r="R8121" t="s">
        <v>9591</v>
      </c>
    </row>
    <row r="8122" spans="1:18" x14ac:dyDescent="0.25">
      <c r="A8122" t="s">
        <v>16658</v>
      </c>
      <c r="B8122" t="s">
        <v>9593</v>
      </c>
      <c r="C8122" t="str">
        <f>HYPERLINK("https://nematode.unl.edu/pararo11.jpg")</f>
        <v>https://nematode.unl.edu/pararo11.jpg</v>
      </c>
      <c r="D8122" t="s">
        <v>43</v>
      </c>
      <c r="G8122" t="s">
        <v>28</v>
      </c>
      <c r="J8122" t="s">
        <v>20</v>
      </c>
      <c r="L8122" t="s">
        <v>85</v>
      </c>
      <c r="M8122" t="s">
        <v>9591</v>
      </c>
      <c r="N8122" t="s">
        <v>9591</v>
      </c>
      <c r="O8122" t="s">
        <v>23</v>
      </c>
      <c r="P8122" t="s">
        <v>24</v>
      </c>
      <c r="Q8122" t="s">
        <v>2454</v>
      </c>
      <c r="R8122" t="s">
        <v>9591</v>
      </c>
    </row>
    <row r="8123" spans="1:18" x14ac:dyDescent="0.25">
      <c r="A8123" t="s">
        <v>16650</v>
      </c>
      <c r="B8123" t="s">
        <v>9594</v>
      </c>
      <c r="C8123" t="str">
        <f>HYPERLINK("https://nematode.unl.edu/pararo12.jpg")</f>
        <v>https://nematode.unl.edu/pararo12.jpg</v>
      </c>
      <c r="D8123" t="s">
        <v>77</v>
      </c>
      <c r="G8123" t="s">
        <v>44</v>
      </c>
      <c r="I8123" t="s">
        <v>499</v>
      </c>
      <c r="J8123" t="s">
        <v>20</v>
      </c>
      <c r="L8123" t="s">
        <v>85</v>
      </c>
      <c r="M8123" t="s">
        <v>9591</v>
      </c>
      <c r="N8123" t="s">
        <v>9591</v>
      </c>
      <c r="O8123" t="s">
        <v>23</v>
      </c>
      <c r="P8123" t="s">
        <v>24</v>
      </c>
      <c r="Q8123" t="s">
        <v>2454</v>
      </c>
      <c r="R8123" t="s">
        <v>9591</v>
      </c>
    </row>
    <row r="8124" spans="1:18" x14ac:dyDescent="0.25">
      <c r="A8124" t="s">
        <v>16639</v>
      </c>
      <c r="B8124" t="s">
        <v>9595</v>
      </c>
      <c r="C8124" t="str">
        <f>HYPERLINK("https://nematode.unl.edu/pararo13.jpg")</f>
        <v>https://nematode.unl.edu/pararo13.jpg</v>
      </c>
      <c r="D8124" t="s">
        <v>43</v>
      </c>
      <c r="G8124" t="s">
        <v>34</v>
      </c>
      <c r="H8124" t="s">
        <v>18</v>
      </c>
      <c r="I8124" t="s">
        <v>19</v>
      </c>
      <c r="J8124" t="s">
        <v>20</v>
      </c>
      <c r="L8124" t="s">
        <v>85</v>
      </c>
      <c r="M8124" t="s">
        <v>9591</v>
      </c>
      <c r="N8124" t="s">
        <v>9591</v>
      </c>
      <c r="O8124" t="s">
        <v>23</v>
      </c>
      <c r="P8124" t="s">
        <v>24</v>
      </c>
      <c r="Q8124" t="s">
        <v>2454</v>
      </c>
      <c r="R8124" t="s">
        <v>9591</v>
      </c>
    </row>
    <row r="8125" spans="1:18" x14ac:dyDescent="0.25">
      <c r="A8125" t="s">
        <v>16659</v>
      </c>
      <c r="B8125" t="s">
        <v>9596</v>
      </c>
      <c r="C8125" t="str">
        <f>HYPERLINK("https://nematode.unl.edu/pararo14.jpg")</f>
        <v>https://nematode.unl.edu/pararo14.jpg</v>
      </c>
      <c r="D8125" t="s">
        <v>43</v>
      </c>
      <c r="G8125" t="s">
        <v>28</v>
      </c>
      <c r="J8125" t="s">
        <v>20</v>
      </c>
      <c r="L8125" t="s">
        <v>85</v>
      </c>
      <c r="M8125" t="s">
        <v>9591</v>
      </c>
      <c r="N8125" t="s">
        <v>9591</v>
      </c>
      <c r="O8125" t="s">
        <v>23</v>
      </c>
      <c r="P8125" t="s">
        <v>24</v>
      </c>
      <c r="Q8125" t="s">
        <v>2454</v>
      </c>
      <c r="R8125" t="s">
        <v>9591</v>
      </c>
    </row>
    <row r="8126" spans="1:18" x14ac:dyDescent="0.25">
      <c r="A8126" t="s">
        <v>16640</v>
      </c>
      <c r="B8126" t="s">
        <v>9597</v>
      </c>
      <c r="C8126" t="str">
        <f>HYPERLINK("https://nematode.unl.edu/pararo15.jpg")</f>
        <v>https://nematode.unl.edu/pararo15.jpg</v>
      </c>
      <c r="D8126" t="s">
        <v>43</v>
      </c>
      <c r="G8126" t="s">
        <v>34</v>
      </c>
      <c r="H8126" t="s">
        <v>18</v>
      </c>
      <c r="I8126" t="s">
        <v>41</v>
      </c>
      <c r="J8126" t="s">
        <v>20</v>
      </c>
      <c r="L8126" t="s">
        <v>85</v>
      </c>
      <c r="M8126" t="s">
        <v>9591</v>
      </c>
      <c r="N8126" t="s">
        <v>9591</v>
      </c>
      <c r="O8126" t="s">
        <v>23</v>
      </c>
      <c r="P8126" t="s">
        <v>24</v>
      </c>
      <c r="Q8126" t="s">
        <v>2454</v>
      </c>
      <c r="R8126" t="s">
        <v>9591</v>
      </c>
    </row>
    <row r="8127" spans="1:18" x14ac:dyDescent="0.25">
      <c r="A8127" t="s">
        <v>16648</v>
      </c>
      <c r="B8127" t="s">
        <v>9598</v>
      </c>
      <c r="C8127" t="str">
        <f>HYPERLINK("https://nematode.unl.edu/pararo16.jpg")</f>
        <v>https://nematode.unl.edu/pararo16.jpg</v>
      </c>
      <c r="D8127" t="s">
        <v>43</v>
      </c>
      <c r="G8127" t="s">
        <v>87</v>
      </c>
      <c r="I8127" t="s">
        <v>41</v>
      </c>
      <c r="J8127" t="s">
        <v>20</v>
      </c>
      <c r="L8127" t="s">
        <v>85</v>
      </c>
      <c r="M8127" t="s">
        <v>9591</v>
      </c>
      <c r="N8127" t="s">
        <v>9591</v>
      </c>
      <c r="O8127" t="s">
        <v>23</v>
      </c>
      <c r="P8127" t="s">
        <v>24</v>
      </c>
      <c r="Q8127" t="s">
        <v>2454</v>
      </c>
      <c r="R8127" t="s">
        <v>9591</v>
      </c>
    </row>
    <row r="8128" spans="1:18" x14ac:dyDescent="0.25">
      <c r="A8128" t="s">
        <v>16656</v>
      </c>
      <c r="B8128" t="s">
        <v>9599</v>
      </c>
      <c r="C8128" t="str">
        <f>HYPERLINK("https://nematode.unl.edu/pararo17.jpg")</f>
        <v>https://nematode.unl.edu/pararo17.jpg</v>
      </c>
      <c r="D8128" t="s">
        <v>43</v>
      </c>
      <c r="G8128" t="s">
        <v>53</v>
      </c>
      <c r="I8128" t="s">
        <v>529</v>
      </c>
      <c r="J8128" t="s">
        <v>20</v>
      </c>
      <c r="L8128" t="s">
        <v>85</v>
      </c>
      <c r="M8128" t="s">
        <v>9591</v>
      </c>
      <c r="N8128" t="s">
        <v>9591</v>
      </c>
      <c r="O8128" t="s">
        <v>23</v>
      </c>
      <c r="P8128" t="s">
        <v>24</v>
      </c>
      <c r="Q8128" t="s">
        <v>2454</v>
      </c>
      <c r="R8128" t="s">
        <v>9591</v>
      </c>
    </row>
    <row r="8129" spans="1:18" x14ac:dyDescent="0.25">
      <c r="A8129" t="s">
        <v>16641</v>
      </c>
      <c r="B8129" t="s">
        <v>9600</v>
      </c>
      <c r="C8129" t="str">
        <f>HYPERLINK("https://nematode.unl.edu/pararo18.jpg")</f>
        <v>https://nematode.unl.edu/pararo18.jpg</v>
      </c>
      <c r="D8129" t="s">
        <v>16</v>
      </c>
      <c r="G8129" t="s">
        <v>34</v>
      </c>
      <c r="H8129" t="s">
        <v>18</v>
      </c>
      <c r="I8129" t="s">
        <v>19</v>
      </c>
      <c r="J8129" t="s">
        <v>20</v>
      </c>
      <c r="L8129" t="s">
        <v>85</v>
      </c>
      <c r="M8129" t="s">
        <v>9591</v>
      </c>
      <c r="N8129" t="s">
        <v>9591</v>
      </c>
      <c r="O8129" t="s">
        <v>23</v>
      </c>
      <c r="P8129" t="s">
        <v>24</v>
      </c>
      <c r="Q8129" t="s">
        <v>2454</v>
      </c>
      <c r="R8129" t="s">
        <v>9591</v>
      </c>
    </row>
    <row r="8130" spans="1:18" x14ac:dyDescent="0.25">
      <c r="A8130" t="s">
        <v>16655</v>
      </c>
      <c r="B8130" t="s">
        <v>9601</v>
      </c>
      <c r="C8130" t="str">
        <f>HYPERLINK("https://nematode.unl.edu/pararo19.jpg")</f>
        <v>https://nematode.unl.edu/pararo19.jpg</v>
      </c>
      <c r="D8130" t="s">
        <v>16</v>
      </c>
      <c r="G8130" t="s">
        <v>224</v>
      </c>
      <c r="J8130" t="s">
        <v>20</v>
      </c>
      <c r="L8130" t="s">
        <v>85</v>
      </c>
      <c r="M8130" t="s">
        <v>9591</v>
      </c>
      <c r="N8130" t="s">
        <v>9591</v>
      </c>
      <c r="O8130" t="s">
        <v>23</v>
      </c>
      <c r="P8130" t="s">
        <v>24</v>
      </c>
      <c r="Q8130" t="s">
        <v>2454</v>
      </c>
      <c r="R8130" t="s">
        <v>9591</v>
      </c>
    </row>
    <row r="8131" spans="1:18" x14ac:dyDescent="0.25">
      <c r="A8131" t="s">
        <v>16637</v>
      </c>
      <c r="B8131" t="s">
        <v>9602</v>
      </c>
      <c r="C8131" t="str">
        <f>HYPERLINK("https://nematode.unl.edu/pararo2.jpg")</f>
        <v>https://nematode.unl.edu/pararo2.jpg</v>
      </c>
      <c r="D8131" t="s">
        <v>43</v>
      </c>
      <c r="G8131" t="s">
        <v>17</v>
      </c>
      <c r="H8131" t="s">
        <v>18</v>
      </c>
      <c r="J8131" t="s">
        <v>20</v>
      </c>
      <c r="L8131" t="s">
        <v>85</v>
      </c>
      <c r="M8131" t="s">
        <v>9591</v>
      </c>
      <c r="N8131" t="s">
        <v>9591</v>
      </c>
      <c r="O8131" t="s">
        <v>23</v>
      </c>
      <c r="P8131" t="s">
        <v>24</v>
      </c>
      <c r="Q8131" t="s">
        <v>2454</v>
      </c>
      <c r="R8131" t="s">
        <v>9591</v>
      </c>
    </row>
    <row r="8132" spans="1:18" x14ac:dyDescent="0.25">
      <c r="A8132" t="s">
        <v>16651</v>
      </c>
      <c r="B8132" t="s">
        <v>9603</v>
      </c>
      <c r="C8132" t="str">
        <f>HYPERLINK("https://nematode.unl.edu/pararo20.jpg")</f>
        <v>https://nematode.unl.edu/pararo20.jpg</v>
      </c>
      <c r="D8132" t="s">
        <v>43</v>
      </c>
      <c r="G8132" t="s">
        <v>44</v>
      </c>
      <c r="I8132" t="s">
        <v>45</v>
      </c>
      <c r="J8132" t="s">
        <v>20</v>
      </c>
      <c r="L8132" t="s">
        <v>85</v>
      </c>
      <c r="M8132" t="s">
        <v>9591</v>
      </c>
      <c r="N8132" t="s">
        <v>9591</v>
      </c>
      <c r="O8132" t="s">
        <v>23</v>
      </c>
      <c r="P8132" t="s">
        <v>24</v>
      </c>
      <c r="Q8132" t="s">
        <v>2454</v>
      </c>
      <c r="R8132" t="s">
        <v>9591</v>
      </c>
    </row>
    <row r="8133" spans="1:18" x14ac:dyDescent="0.25">
      <c r="A8133" t="s">
        <v>16642</v>
      </c>
      <c r="B8133" t="s">
        <v>9604</v>
      </c>
      <c r="C8133" t="str">
        <f>HYPERLINK("https://nematode.unl.edu/pararo21.jpg")</f>
        <v>https://nematode.unl.edu/pararo21.jpg</v>
      </c>
      <c r="D8133" t="s">
        <v>43</v>
      </c>
      <c r="G8133" t="s">
        <v>34</v>
      </c>
      <c r="H8133" t="s">
        <v>18</v>
      </c>
      <c r="I8133" t="s">
        <v>19</v>
      </c>
      <c r="J8133" t="s">
        <v>20</v>
      </c>
      <c r="L8133" t="s">
        <v>85</v>
      </c>
      <c r="M8133" t="s">
        <v>9591</v>
      </c>
      <c r="N8133" t="s">
        <v>9591</v>
      </c>
      <c r="O8133" t="s">
        <v>23</v>
      </c>
      <c r="P8133" t="s">
        <v>24</v>
      </c>
      <c r="Q8133" t="s">
        <v>2454</v>
      </c>
      <c r="R8133" t="s">
        <v>9591</v>
      </c>
    </row>
    <row r="8134" spans="1:18" x14ac:dyDescent="0.25">
      <c r="A8134" t="s">
        <v>16638</v>
      </c>
      <c r="B8134" t="s">
        <v>9605</v>
      </c>
      <c r="C8134" t="str">
        <f>HYPERLINK("https://nematode.unl.edu/pararo22.jpg")</f>
        <v>https://nematode.unl.edu/pararo22.jpg</v>
      </c>
      <c r="D8134" t="s">
        <v>43</v>
      </c>
      <c r="G8134" t="s">
        <v>17</v>
      </c>
      <c r="H8134" t="s">
        <v>18</v>
      </c>
      <c r="J8134" t="s">
        <v>20</v>
      </c>
      <c r="L8134" t="s">
        <v>85</v>
      </c>
      <c r="M8134" t="s">
        <v>9591</v>
      </c>
      <c r="N8134" t="s">
        <v>9591</v>
      </c>
      <c r="O8134" t="s">
        <v>23</v>
      </c>
      <c r="P8134" t="s">
        <v>24</v>
      </c>
      <c r="Q8134" t="s">
        <v>2454</v>
      </c>
      <c r="R8134" t="s">
        <v>9591</v>
      </c>
    </row>
    <row r="8135" spans="1:18" x14ac:dyDescent="0.25">
      <c r="A8135" t="s">
        <v>16643</v>
      </c>
      <c r="B8135" t="s">
        <v>9606</v>
      </c>
      <c r="C8135" t="str">
        <f>HYPERLINK("https://nematode.unl.edu/pararo23.jpg")</f>
        <v>https://nematode.unl.edu/pararo23.jpg</v>
      </c>
      <c r="D8135" t="s">
        <v>43</v>
      </c>
      <c r="G8135" t="s">
        <v>34</v>
      </c>
      <c r="H8135" t="s">
        <v>18</v>
      </c>
      <c r="J8135" t="s">
        <v>20</v>
      </c>
      <c r="L8135" t="s">
        <v>85</v>
      </c>
      <c r="M8135" t="s">
        <v>9591</v>
      </c>
      <c r="N8135" t="s">
        <v>9591</v>
      </c>
      <c r="O8135" t="s">
        <v>23</v>
      </c>
      <c r="P8135" t="s">
        <v>24</v>
      </c>
      <c r="Q8135" t="s">
        <v>2454</v>
      </c>
      <c r="R8135" t="s">
        <v>9591</v>
      </c>
    </row>
    <row r="8136" spans="1:18" x14ac:dyDescent="0.25">
      <c r="A8136" t="s">
        <v>16652</v>
      </c>
      <c r="B8136" t="s">
        <v>9607</v>
      </c>
      <c r="C8136" t="str">
        <f>HYPERLINK("https://nematode.unl.edu/pararo24.jpg")</f>
        <v>https://nematode.unl.edu/pararo24.jpg</v>
      </c>
      <c r="D8136" t="s">
        <v>43</v>
      </c>
      <c r="G8136" t="s">
        <v>44</v>
      </c>
      <c r="J8136" t="s">
        <v>20</v>
      </c>
      <c r="L8136" t="s">
        <v>85</v>
      </c>
      <c r="M8136" t="s">
        <v>9591</v>
      </c>
      <c r="N8136" t="s">
        <v>9591</v>
      </c>
      <c r="O8136" t="s">
        <v>23</v>
      </c>
      <c r="P8136" t="s">
        <v>24</v>
      </c>
      <c r="Q8136" t="s">
        <v>2454</v>
      </c>
      <c r="R8136" t="s">
        <v>9591</v>
      </c>
    </row>
    <row r="8137" spans="1:18" x14ac:dyDescent="0.25">
      <c r="A8137" t="s">
        <v>16644</v>
      </c>
      <c r="B8137" t="s">
        <v>9608</v>
      </c>
      <c r="C8137" t="str">
        <f>HYPERLINK("https://nematode.unl.edu/pararo25.jpg")</f>
        <v>https://nematode.unl.edu/pararo25.jpg</v>
      </c>
      <c r="D8137" t="s">
        <v>43</v>
      </c>
      <c r="G8137" t="s">
        <v>34</v>
      </c>
      <c r="H8137" t="s">
        <v>18</v>
      </c>
      <c r="I8137" t="s">
        <v>19</v>
      </c>
      <c r="J8137" t="s">
        <v>20</v>
      </c>
      <c r="L8137" t="s">
        <v>85</v>
      </c>
      <c r="M8137" t="s">
        <v>9591</v>
      </c>
      <c r="N8137" t="s">
        <v>9591</v>
      </c>
      <c r="O8137" t="s">
        <v>23</v>
      </c>
      <c r="P8137" t="s">
        <v>24</v>
      </c>
      <c r="Q8137" t="s">
        <v>2454</v>
      </c>
      <c r="R8137" t="s">
        <v>9591</v>
      </c>
    </row>
    <row r="8138" spans="1:18" x14ac:dyDescent="0.25">
      <c r="A8138" t="s">
        <v>16660</v>
      </c>
      <c r="B8138" t="s">
        <v>9609</v>
      </c>
      <c r="C8138" t="str">
        <f>HYPERLINK("https://nematode.unl.edu/pararo26.jpg")</f>
        <v>https://nematode.unl.edu/pararo26.jpg</v>
      </c>
      <c r="D8138" t="s">
        <v>43</v>
      </c>
      <c r="G8138" t="s">
        <v>28</v>
      </c>
      <c r="J8138" t="s">
        <v>20</v>
      </c>
      <c r="L8138" t="s">
        <v>85</v>
      </c>
      <c r="M8138" t="s">
        <v>9591</v>
      </c>
      <c r="N8138" t="s">
        <v>9591</v>
      </c>
      <c r="O8138" t="s">
        <v>23</v>
      </c>
      <c r="P8138" t="s">
        <v>24</v>
      </c>
      <c r="Q8138" t="s">
        <v>2454</v>
      </c>
      <c r="R8138" t="s">
        <v>9591</v>
      </c>
    </row>
    <row r="8139" spans="1:18" x14ac:dyDescent="0.25">
      <c r="A8139" t="s">
        <v>16653</v>
      </c>
      <c r="B8139" t="s">
        <v>9610</v>
      </c>
      <c r="C8139" t="str">
        <f>HYPERLINK("https://nematode.unl.edu/pararo27.jpg")</f>
        <v>https://nematode.unl.edu/pararo27.jpg</v>
      </c>
      <c r="D8139" t="s">
        <v>43</v>
      </c>
      <c r="G8139" t="s">
        <v>44</v>
      </c>
      <c r="I8139" t="s">
        <v>45</v>
      </c>
      <c r="J8139" t="s">
        <v>20</v>
      </c>
      <c r="L8139" t="s">
        <v>85</v>
      </c>
      <c r="M8139" t="s">
        <v>9591</v>
      </c>
      <c r="N8139" t="s">
        <v>9591</v>
      </c>
      <c r="O8139" t="s">
        <v>23</v>
      </c>
      <c r="P8139" t="s">
        <v>24</v>
      </c>
      <c r="Q8139" t="s">
        <v>2454</v>
      </c>
      <c r="R8139" t="s">
        <v>9591</v>
      </c>
    </row>
    <row r="8140" spans="1:18" x14ac:dyDescent="0.25">
      <c r="A8140" t="s">
        <v>16636</v>
      </c>
      <c r="B8140" t="s">
        <v>9611</v>
      </c>
      <c r="C8140" t="str">
        <f>HYPERLINK("https://nematode.unl.edu/pararo28.jpg")</f>
        <v>https://nematode.unl.edu/pararo28.jpg</v>
      </c>
      <c r="D8140" t="s">
        <v>43</v>
      </c>
      <c r="G8140" t="s">
        <v>96</v>
      </c>
      <c r="H8140" t="s">
        <v>18</v>
      </c>
      <c r="J8140" t="s">
        <v>20</v>
      </c>
      <c r="L8140" t="s">
        <v>85</v>
      </c>
      <c r="M8140" t="s">
        <v>9591</v>
      </c>
      <c r="N8140" t="s">
        <v>9591</v>
      </c>
      <c r="O8140" t="s">
        <v>23</v>
      </c>
      <c r="P8140" t="s">
        <v>24</v>
      </c>
      <c r="Q8140" t="s">
        <v>2454</v>
      </c>
      <c r="R8140" t="s">
        <v>9591</v>
      </c>
    </row>
    <row r="8141" spans="1:18" x14ac:dyDescent="0.25">
      <c r="A8141" t="s">
        <v>16661</v>
      </c>
      <c r="B8141" t="s">
        <v>9612</v>
      </c>
      <c r="C8141" t="str">
        <f>HYPERLINK("https://nematode.unl.edu/pararo29.jpg")</f>
        <v>https://nematode.unl.edu/pararo29.jpg</v>
      </c>
      <c r="D8141" t="s">
        <v>43</v>
      </c>
      <c r="G8141" t="s">
        <v>28</v>
      </c>
      <c r="J8141" t="s">
        <v>20</v>
      </c>
      <c r="L8141" t="s">
        <v>85</v>
      </c>
      <c r="M8141" t="s">
        <v>9591</v>
      </c>
      <c r="N8141" t="s">
        <v>9591</v>
      </c>
      <c r="O8141" t="s">
        <v>23</v>
      </c>
      <c r="P8141" t="s">
        <v>24</v>
      </c>
      <c r="Q8141" t="s">
        <v>2454</v>
      </c>
      <c r="R8141" t="s">
        <v>9591</v>
      </c>
    </row>
    <row r="8142" spans="1:18" x14ac:dyDescent="0.25">
      <c r="A8142" t="s">
        <v>16645</v>
      </c>
      <c r="B8142" t="s">
        <v>9613</v>
      </c>
      <c r="C8142" t="str">
        <f>HYPERLINK("https://nematode.unl.edu/pararo3.jpg")</f>
        <v>https://nematode.unl.edu/pararo3.jpg</v>
      </c>
      <c r="D8142" t="s">
        <v>43</v>
      </c>
      <c r="G8142" t="s">
        <v>34</v>
      </c>
      <c r="H8142" t="s">
        <v>18</v>
      </c>
      <c r="I8142" t="s">
        <v>41</v>
      </c>
      <c r="J8142" t="s">
        <v>20</v>
      </c>
      <c r="L8142" t="s">
        <v>85</v>
      </c>
      <c r="M8142" t="s">
        <v>9591</v>
      </c>
      <c r="N8142" t="s">
        <v>9591</v>
      </c>
      <c r="O8142" t="s">
        <v>23</v>
      </c>
      <c r="P8142" t="s">
        <v>24</v>
      </c>
      <c r="Q8142" t="s">
        <v>2454</v>
      </c>
      <c r="R8142" t="s">
        <v>9591</v>
      </c>
    </row>
    <row r="8143" spans="1:18" x14ac:dyDescent="0.25">
      <c r="A8143" t="s">
        <v>16662</v>
      </c>
      <c r="B8143" t="s">
        <v>9614</v>
      </c>
      <c r="C8143" t="str">
        <f>HYPERLINK("https://nematode.unl.edu/pararo4.jpg")</f>
        <v>https://nematode.unl.edu/pararo4.jpg</v>
      </c>
      <c r="D8143" t="s">
        <v>43</v>
      </c>
      <c r="G8143" t="s">
        <v>28</v>
      </c>
      <c r="I8143" t="s">
        <v>41</v>
      </c>
      <c r="J8143" t="s">
        <v>20</v>
      </c>
      <c r="L8143" t="s">
        <v>85</v>
      </c>
      <c r="M8143" t="s">
        <v>9591</v>
      </c>
      <c r="N8143" t="s">
        <v>9591</v>
      </c>
      <c r="O8143" t="s">
        <v>23</v>
      </c>
      <c r="P8143" t="s">
        <v>24</v>
      </c>
      <c r="Q8143" t="s">
        <v>2454</v>
      </c>
      <c r="R8143" t="s">
        <v>9591</v>
      </c>
    </row>
    <row r="8144" spans="1:18" x14ac:dyDescent="0.25">
      <c r="A8144" t="s">
        <v>16657</v>
      </c>
      <c r="B8144" t="s">
        <v>9615</v>
      </c>
      <c r="C8144" t="str">
        <f>HYPERLINK("https://nematode.unl.edu/pararo5.jpg")</f>
        <v>https://nematode.unl.edu/pararo5.jpg</v>
      </c>
      <c r="D8144" t="s">
        <v>43</v>
      </c>
      <c r="G8144" t="s">
        <v>2029</v>
      </c>
      <c r="J8144" t="s">
        <v>20</v>
      </c>
      <c r="L8144" t="s">
        <v>85</v>
      </c>
      <c r="M8144" t="s">
        <v>9591</v>
      </c>
      <c r="N8144" t="s">
        <v>9591</v>
      </c>
      <c r="O8144" t="s">
        <v>23</v>
      </c>
      <c r="P8144" t="s">
        <v>24</v>
      </c>
      <c r="Q8144" t="s">
        <v>2454</v>
      </c>
      <c r="R8144" t="s">
        <v>9591</v>
      </c>
    </row>
    <row r="8145" spans="1:18" x14ac:dyDescent="0.25">
      <c r="A8145" t="s">
        <v>16663</v>
      </c>
      <c r="B8145" t="s">
        <v>9616</v>
      </c>
      <c r="C8145" t="str">
        <f>HYPERLINK("https://nematode.unl.edu/pararo6.jpg")</f>
        <v>https://nematode.unl.edu/pararo6.jpg</v>
      </c>
      <c r="D8145" t="s">
        <v>43</v>
      </c>
      <c r="G8145" t="s">
        <v>28</v>
      </c>
      <c r="J8145" t="s">
        <v>20</v>
      </c>
      <c r="L8145" t="s">
        <v>85</v>
      </c>
      <c r="M8145" t="s">
        <v>9591</v>
      </c>
      <c r="N8145" t="s">
        <v>9591</v>
      </c>
      <c r="O8145" t="s">
        <v>23</v>
      </c>
      <c r="P8145" t="s">
        <v>24</v>
      </c>
      <c r="Q8145" t="s">
        <v>2454</v>
      </c>
      <c r="R8145" t="s">
        <v>9591</v>
      </c>
    </row>
    <row r="8146" spans="1:18" x14ac:dyDescent="0.25">
      <c r="A8146" t="s">
        <v>16646</v>
      </c>
      <c r="B8146" t="s">
        <v>9617</v>
      </c>
      <c r="C8146" t="str">
        <f>HYPERLINK("https://nematode.unl.edu/pararo7.jpg")</f>
        <v>https://nematode.unl.edu/pararo7.jpg</v>
      </c>
      <c r="D8146" t="s">
        <v>43</v>
      </c>
      <c r="G8146" t="s">
        <v>34</v>
      </c>
      <c r="H8146" t="s">
        <v>18</v>
      </c>
      <c r="I8146" t="s">
        <v>41</v>
      </c>
      <c r="J8146" t="s">
        <v>20</v>
      </c>
      <c r="L8146" t="s">
        <v>85</v>
      </c>
      <c r="M8146" t="s">
        <v>9591</v>
      </c>
      <c r="N8146" t="s">
        <v>9591</v>
      </c>
      <c r="O8146" t="s">
        <v>23</v>
      </c>
      <c r="P8146" t="s">
        <v>24</v>
      </c>
      <c r="Q8146" t="s">
        <v>2454</v>
      </c>
      <c r="R8146" t="s">
        <v>9591</v>
      </c>
    </row>
    <row r="8147" spans="1:18" x14ac:dyDescent="0.25">
      <c r="A8147" t="s">
        <v>16654</v>
      </c>
      <c r="B8147" t="s">
        <v>9618</v>
      </c>
      <c r="C8147" t="str">
        <f>HYPERLINK("https://nematode.unl.edu/pararo8.jpg")</f>
        <v>https://nematode.unl.edu/pararo8.jpg</v>
      </c>
      <c r="D8147" t="s">
        <v>43</v>
      </c>
      <c r="G8147" t="s">
        <v>44</v>
      </c>
      <c r="I8147" t="s">
        <v>45</v>
      </c>
      <c r="J8147" t="s">
        <v>20</v>
      </c>
      <c r="L8147" t="s">
        <v>85</v>
      </c>
      <c r="M8147" t="s">
        <v>9591</v>
      </c>
      <c r="N8147" t="s">
        <v>9591</v>
      </c>
      <c r="O8147" t="s">
        <v>23</v>
      </c>
      <c r="P8147" t="s">
        <v>24</v>
      </c>
      <c r="Q8147" t="s">
        <v>2454</v>
      </c>
      <c r="R8147" t="s">
        <v>9591</v>
      </c>
    </row>
    <row r="8148" spans="1:18" x14ac:dyDescent="0.25">
      <c r="A8148" t="s">
        <v>16647</v>
      </c>
      <c r="B8148" t="s">
        <v>9619</v>
      </c>
      <c r="C8148" t="str">
        <f>HYPERLINK("https://nematode.unl.edu/pararo9.jpg")</f>
        <v>https://nematode.unl.edu/pararo9.jpg</v>
      </c>
      <c r="D8148" t="s">
        <v>43</v>
      </c>
      <c r="G8148" t="s">
        <v>34</v>
      </c>
      <c r="H8148" t="s">
        <v>18</v>
      </c>
      <c r="J8148" t="s">
        <v>20</v>
      </c>
      <c r="L8148" t="s">
        <v>85</v>
      </c>
      <c r="M8148" t="s">
        <v>9591</v>
      </c>
      <c r="N8148" t="s">
        <v>9591</v>
      </c>
      <c r="O8148" t="s">
        <v>23</v>
      </c>
      <c r="P8148" t="s">
        <v>24</v>
      </c>
      <c r="Q8148" t="s">
        <v>2454</v>
      </c>
      <c r="R8148" t="s">
        <v>9591</v>
      </c>
    </row>
    <row r="8149" spans="1:18" x14ac:dyDescent="0.25">
      <c r="A8149" t="s">
        <v>18655</v>
      </c>
      <c r="B8149" t="s">
        <v>9663</v>
      </c>
      <c r="C8149" t="str">
        <f>HYPERLINK("https://nematode.unl.edu/parats1.jpg")</f>
        <v>https://nematode.unl.edu/parats1.jpg</v>
      </c>
      <c r="D8149" t="s">
        <v>16</v>
      </c>
      <c r="G8149" t="s">
        <v>34</v>
      </c>
      <c r="H8149" t="s">
        <v>18</v>
      </c>
      <c r="M8149" t="s">
        <v>1591</v>
      </c>
      <c r="N8149" t="s">
        <v>1591</v>
      </c>
      <c r="O8149" t="s">
        <v>23</v>
      </c>
      <c r="P8149" t="s">
        <v>24</v>
      </c>
      <c r="Q8149" t="s">
        <v>1592</v>
      </c>
      <c r="R8149" t="s">
        <v>1591</v>
      </c>
    </row>
    <row r="8150" spans="1:18" x14ac:dyDescent="0.25">
      <c r="A8150" t="s">
        <v>18663</v>
      </c>
      <c r="B8150" t="s">
        <v>9664</v>
      </c>
      <c r="C8150" t="str">
        <f>HYPERLINK("https://nematode.unl.edu/parats2.jpg")</f>
        <v>https://nematode.unl.edu/parats2.jpg</v>
      </c>
      <c r="D8150" t="s">
        <v>16</v>
      </c>
      <c r="G8150" t="s">
        <v>28</v>
      </c>
      <c r="M8150" t="s">
        <v>1591</v>
      </c>
      <c r="N8150" t="s">
        <v>1591</v>
      </c>
      <c r="O8150" t="s">
        <v>23</v>
      </c>
      <c r="P8150" t="s">
        <v>24</v>
      </c>
      <c r="Q8150" t="s">
        <v>1592</v>
      </c>
      <c r="R8150" t="s">
        <v>1591</v>
      </c>
    </row>
    <row r="8151" spans="1:18" x14ac:dyDescent="0.25">
      <c r="A8151" t="s">
        <v>20806</v>
      </c>
      <c r="B8151" t="s">
        <v>9705</v>
      </c>
      <c r="C8151" t="str">
        <f>HYPERLINK("https://nematode.unl.edu/parav1.jpg")</f>
        <v>https://nematode.unl.edu/parav1.jpg</v>
      </c>
      <c r="D8151" t="s">
        <v>43</v>
      </c>
      <c r="G8151" t="s">
        <v>44</v>
      </c>
      <c r="I8151" t="s">
        <v>499</v>
      </c>
      <c r="J8151" t="s">
        <v>267</v>
      </c>
      <c r="M8151" t="s">
        <v>9706</v>
      </c>
      <c r="N8151" t="s">
        <v>9706</v>
      </c>
      <c r="O8151" t="s">
        <v>73</v>
      </c>
      <c r="P8151" t="s">
        <v>81</v>
      </c>
      <c r="Q8151" t="s">
        <v>339</v>
      </c>
      <c r="R8151" t="s">
        <v>9706</v>
      </c>
    </row>
    <row r="8152" spans="1:18" x14ac:dyDescent="0.25">
      <c r="A8152" t="s">
        <v>20801</v>
      </c>
      <c r="B8152" t="s">
        <v>9707</v>
      </c>
      <c r="C8152" t="str">
        <f>HYPERLINK("https://nematode.unl.edu/parav10.jpg")</f>
        <v>https://nematode.unl.edu/parav10.jpg</v>
      </c>
      <c r="D8152" t="s">
        <v>43</v>
      </c>
      <c r="G8152" t="s">
        <v>34</v>
      </c>
      <c r="H8152" t="s">
        <v>18</v>
      </c>
      <c r="I8152" t="s">
        <v>41</v>
      </c>
      <c r="J8152" t="s">
        <v>267</v>
      </c>
      <c r="M8152" t="s">
        <v>9706</v>
      </c>
      <c r="N8152" t="s">
        <v>9706</v>
      </c>
      <c r="O8152" t="s">
        <v>73</v>
      </c>
      <c r="P8152" t="s">
        <v>81</v>
      </c>
      <c r="Q8152" t="s">
        <v>339</v>
      </c>
      <c r="R8152" t="s">
        <v>9706</v>
      </c>
    </row>
    <row r="8153" spans="1:18" x14ac:dyDescent="0.25">
      <c r="A8153" t="s">
        <v>20810</v>
      </c>
      <c r="B8153" t="s">
        <v>9708</v>
      </c>
      <c r="C8153" t="str">
        <f>HYPERLINK("https://nematode.unl.edu/parav11.jpg")</f>
        <v>https://nematode.unl.edu/parav11.jpg</v>
      </c>
      <c r="D8153" t="s">
        <v>43</v>
      </c>
      <c r="G8153" t="s">
        <v>51</v>
      </c>
      <c r="I8153" t="s">
        <v>41</v>
      </c>
      <c r="J8153" t="s">
        <v>267</v>
      </c>
      <c r="M8153" t="s">
        <v>9706</v>
      </c>
      <c r="N8153" t="s">
        <v>9706</v>
      </c>
      <c r="O8153" t="s">
        <v>73</v>
      </c>
      <c r="P8153" t="s">
        <v>81</v>
      </c>
      <c r="Q8153" t="s">
        <v>339</v>
      </c>
      <c r="R8153" t="s">
        <v>9706</v>
      </c>
    </row>
    <row r="8154" spans="1:18" x14ac:dyDescent="0.25">
      <c r="A8154" t="s">
        <v>20802</v>
      </c>
      <c r="B8154" t="s">
        <v>9709</v>
      </c>
      <c r="C8154" t="str">
        <f>HYPERLINK("https://nematode.unl.edu/parav12.jpg")</f>
        <v>https://nematode.unl.edu/parav12.jpg</v>
      </c>
      <c r="D8154" t="s">
        <v>43</v>
      </c>
      <c r="G8154" t="s">
        <v>34</v>
      </c>
      <c r="H8154" t="s">
        <v>18</v>
      </c>
      <c r="I8154" t="s">
        <v>41</v>
      </c>
      <c r="J8154" t="s">
        <v>267</v>
      </c>
      <c r="M8154" t="s">
        <v>9706</v>
      </c>
      <c r="N8154" t="s">
        <v>9706</v>
      </c>
      <c r="O8154" t="s">
        <v>73</v>
      </c>
      <c r="P8154" t="s">
        <v>81</v>
      </c>
      <c r="Q8154" t="s">
        <v>339</v>
      </c>
      <c r="R8154" t="s">
        <v>9706</v>
      </c>
    </row>
    <row r="8155" spans="1:18" x14ac:dyDescent="0.25">
      <c r="A8155" t="s">
        <v>20811</v>
      </c>
      <c r="B8155" t="s">
        <v>9710</v>
      </c>
      <c r="C8155" t="str">
        <f>HYPERLINK("https://nematode.unl.edu/parav13.jpg")</f>
        <v>https://nematode.unl.edu/parav13.jpg</v>
      </c>
      <c r="D8155" t="s">
        <v>43</v>
      </c>
      <c r="G8155" t="s">
        <v>51</v>
      </c>
      <c r="J8155" t="s">
        <v>267</v>
      </c>
      <c r="M8155" t="s">
        <v>9706</v>
      </c>
      <c r="N8155" t="s">
        <v>9706</v>
      </c>
      <c r="O8155" t="s">
        <v>73</v>
      </c>
      <c r="P8155" t="s">
        <v>81</v>
      </c>
      <c r="Q8155" t="s">
        <v>339</v>
      </c>
      <c r="R8155" t="s">
        <v>9706</v>
      </c>
    </row>
    <row r="8156" spans="1:18" x14ac:dyDescent="0.25">
      <c r="A8156" t="s">
        <v>20803</v>
      </c>
      <c r="B8156" t="s">
        <v>9711</v>
      </c>
      <c r="C8156" t="str">
        <f>HYPERLINK("https://nematode.unl.edu/parav2.jpg")</f>
        <v>https://nematode.unl.edu/parav2.jpg</v>
      </c>
      <c r="D8156" t="s">
        <v>43</v>
      </c>
      <c r="G8156" t="s">
        <v>34</v>
      </c>
      <c r="H8156" t="s">
        <v>18</v>
      </c>
      <c r="I8156" t="s">
        <v>19</v>
      </c>
      <c r="J8156" t="s">
        <v>267</v>
      </c>
      <c r="M8156" t="s">
        <v>9706</v>
      </c>
      <c r="N8156" t="s">
        <v>9706</v>
      </c>
      <c r="O8156" t="s">
        <v>73</v>
      </c>
      <c r="P8156" t="s">
        <v>81</v>
      </c>
      <c r="Q8156" t="s">
        <v>339</v>
      </c>
      <c r="R8156" t="s">
        <v>9706</v>
      </c>
    </row>
    <row r="8157" spans="1:18" x14ac:dyDescent="0.25">
      <c r="A8157" t="s">
        <v>20812</v>
      </c>
      <c r="B8157" t="s">
        <v>9712</v>
      </c>
      <c r="C8157" t="str">
        <f>HYPERLINK("https://nematode.unl.edu/parav3.jpg")</f>
        <v>https://nematode.unl.edu/parav3.jpg</v>
      </c>
      <c r="D8157" t="s">
        <v>43</v>
      </c>
      <c r="G8157" t="s">
        <v>51</v>
      </c>
      <c r="J8157" t="s">
        <v>267</v>
      </c>
      <c r="M8157" t="s">
        <v>9706</v>
      </c>
      <c r="N8157" t="s">
        <v>9706</v>
      </c>
      <c r="O8157" t="s">
        <v>73</v>
      </c>
      <c r="P8157" t="s">
        <v>81</v>
      </c>
      <c r="Q8157" t="s">
        <v>339</v>
      </c>
      <c r="R8157" t="s">
        <v>9706</v>
      </c>
    </row>
    <row r="8158" spans="1:18" x14ac:dyDescent="0.25">
      <c r="A8158" t="s">
        <v>20808</v>
      </c>
      <c r="B8158" t="s">
        <v>9713</v>
      </c>
      <c r="C8158" t="str">
        <f>HYPERLINK("https://nematode.unl.edu/parav4.jpg")</f>
        <v>https://nematode.unl.edu/parav4.jpg</v>
      </c>
      <c r="D8158" t="s">
        <v>43</v>
      </c>
      <c r="G8158" t="s">
        <v>28</v>
      </c>
      <c r="I8158" t="s">
        <v>19</v>
      </c>
      <c r="J8158" t="s">
        <v>267</v>
      </c>
      <c r="M8158" t="s">
        <v>9706</v>
      </c>
      <c r="N8158" t="s">
        <v>9706</v>
      </c>
      <c r="O8158" t="s">
        <v>73</v>
      </c>
      <c r="P8158" t="s">
        <v>81</v>
      </c>
      <c r="Q8158" t="s">
        <v>339</v>
      </c>
      <c r="R8158" t="s">
        <v>9706</v>
      </c>
    </row>
    <row r="8159" spans="1:18" x14ac:dyDescent="0.25">
      <c r="A8159" t="s">
        <v>20807</v>
      </c>
      <c r="B8159" t="s">
        <v>9714</v>
      </c>
      <c r="C8159" t="str">
        <f>HYPERLINK("https://nematode.unl.edu/parav5.jpg")</f>
        <v>https://nematode.unl.edu/parav5.jpg</v>
      </c>
      <c r="D8159" t="s">
        <v>43</v>
      </c>
      <c r="G8159" t="s">
        <v>44</v>
      </c>
      <c r="I8159" t="s">
        <v>45</v>
      </c>
      <c r="J8159" t="s">
        <v>267</v>
      </c>
      <c r="M8159" t="s">
        <v>9706</v>
      </c>
      <c r="N8159" t="s">
        <v>9706</v>
      </c>
      <c r="O8159" t="s">
        <v>73</v>
      </c>
      <c r="P8159" t="s">
        <v>81</v>
      </c>
      <c r="Q8159" t="s">
        <v>339</v>
      </c>
      <c r="R8159" t="s">
        <v>9706</v>
      </c>
    </row>
    <row r="8160" spans="1:18" x14ac:dyDescent="0.25">
      <c r="A8160" t="s">
        <v>20804</v>
      </c>
      <c r="B8160" t="s">
        <v>9715</v>
      </c>
      <c r="C8160" t="str">
        <f>HYPERLINK("https://nematode.unl.edu/parav6.jpg")</f>
        <v>https://nematode.unl.edu/parav6.jpg</v>
      </c>
      <c r="D8160" t="s">
        <v>43</v>
      </c>
      <c r="G8160" t="s">
        <v>34</v>
      </c>
      <c r="H8160" t="s">
        <v>18</v>
      </c>
      <c r="I8160" t="s">
        <v>19</v>
      </c>
      <c r="J8160" t="s">
        <v>267</v>
      </c>
      <c r="M8160" t="s">
        <v>9706</v>
      </c>
      <c r="N8160" t="s">
        <v>9706</v>
      </c>
      <c r="O8160" t="s">
        <v>73</v>
      </c>
      <c r="P8160" t="s">
        <v>81</v>
      </c>
      <c r="Q8160" t="s">
        <v>339</v>
      </c>
      <c r="R8160" t="s">
        <v>9706</v>
      </c>
    </row>
    <row r="8161" spans="1:18" x14ac:dyDescent="0.25">
      <c r="A8161" t="s">
        <v>20805</v>
      </c>
      <c r="B8161" t="s">
        <v>9716</v>
      </c>
      <c r="C8161" t="str">
        <f>HYPERLINK("https://nematode.unl.edu/parav7.jpg")</f>
        <v>https://nematode.unl.edu/parav7.jpg</v>
      </c>
      <c r="D8161" t="s">
        <v>43</v>
      </c>
      <c r="G8161" t="s">
        <v>87</v>
      </c>
      <c r="J8161" t="s">
        <v>267</v>
      </c>
      <c r="M8161" t="s">
        <v>9706</v>
      </c>
      <c r="N8161" t="s">
        <v>9706</v>
      </c>
      <c r="O8161" t="s">
        <v>73</v>
      </c>
      <c r="P8161" t="s">
        <v>81</v>
      </c>
      <c r="Q8161" t="s">
        <v>339</v>
      </c>
      <c r="R8161" t="s">
        <v>9706</v>
      </c>
    </row>
    <row r="8162" spans="1:18" x14ac:dyDescent="0.25">
      <c r="A8162" t="s">
        <v>20813</v>
      </c>
      <c r="B8162" t="s">
        <v>9717</v>
      </c>
      <c r="C8162" t="str">
        <f>HYPERLINK("https://nematode.unl.edu/parav8.jpg")</f>
        <v>https://nematode.unl.edu/parav8.jpg</v>
      </c>
      <c r="D8162" t="s">
        <v>43</v>
      </c>
      <c r="G8162" t="s">
        <v>51</v>
      </c>
      <c r="I8162" t="s">
        <v>19</v>
      </c>
      <c r="J8162" t="s">
        <v>267</v>
      </c>
      <c r="M8162" t="s">
        <v>9706</v>
      </c>
      <c r="N8162" t="s">
        <v>9706</v>
      </c>
      <c r="O8162" t="s">
        <v>73</v>
      </c>
      <c r="P8162" t="s">
        <v>81</v>
      </c>
      <c r="Q8162" t="s">
        <v>339</v>
      </c>
      <c r="R8162" t="s">
        <v>9706</v>
      </c>
    </row>
    <row r="8163" spans="1:18" x14ac:dyDescent="0.25">
      <c r="A8163" t="s">
        <v>20809</v>
      </c>
      <c r="B8163" t="s">
        <v>9718</v>
      </c>
      <c r="C8163" t="str">
        <f>HYPERLINK("https://nematode.unl.edu/parav9.jpg")</f>
        <v>https://nematode.unl.edu/parav9.jpg</v>
      </c>
      <c r="D8163" t="s">
        <v>43</v>
      </c>
      <c r="G8163" t="s">
        <v>28</v>
      </c>
      <c r="I8163" t="s">
        <v>19</v>
      </c>
      <c r="J8163" t="s">
        <v>267</v>
      </c>
      <c r="M8163" t="s">
        <v>9706</v>
      </c>
      <c r="N8163" t="s">
        <v>9706</v>
      </c>
      <c r="O8163" t="s">
        <v>73</v>
      </c>
      <c r="P8163" t="s">
        <v>81</v>
      </c>
      <c r="Q8163" t="s">
        <v>339</v>
      </c>
      <c r="R8163" t="s">
        <v>9706</v>
      </c>
    </row>
    <row r="8164" spans="1:18" x14ac:dyDescent="0.25">
      <c r="A8164" t="s">
        <v>19250</v>
      </c>
      <c r="B8164" t="s">
        <v>9759</v>
      </c>
      <c r="C8164" t="str">
        <f>HYPERLINK("https://nematode.unl.edu/paraxom1.jpg")</f>
        <v>https://nematode.unl.edu/paraxom1.jpg</v>
      </c>
      <c r="D8164" t="s">
        <v>43</v>
      </c>
      <c r="G8164" t="s">
        <v>44</v>
      </c>
      <c r="I8164" t="s">
        <v>499</v>
      </c>
      <c r="J8164" t="s">
        <v>9760</v>
      </c>
      <c r="L8164" t="s">
        <v>656</v>
      </c>
      <c r="M8164" t="s">
        <v>9761</v>
      </c>
      <c r="N8164" t="s">
        <v>9761</v>
      </c>
      <c r="O8164" t="s">
        <v>73</v>
      </c>
      <c r="P8164" t="s">
        <v>81</v>
      </c>
      <c r="Q8164" t="s">
        <v>119</v>
      </c>
      <c r="R8164" t="s">
        <v>9762</v>
      </c>
    </row>
    <row r="8165" spans="1:18" x14ac:dyDescent="0.25">
      <c r="A8165" t="s">
        <v>19256</v>
      </c>
      <c r="B8165" t="s">
        <v>9763</v>
      </c>
      <c r="C8165" t="str">
        <f>HYPERLINK("https://nematode.unl.edu/paraxom10.jpg")</f>
        <v>https://nematode.unl.edu/paraxom10.jpg</v>
      </c>
      <c r="D8165" t="s">
        <v>43</v>
      </c>
      <c r="G8165" t="s">
        <v>9764</v>
      </c>
      <c r="I8165" t="s">
        <v>529</v>
      </c>
      <c r="J8165" t="s">
        <v>9760</v>
      </c>
      <c r="L8165" t="s">
        <v>656</v>
      </c>
      <c r="M8165" t="s">
        <v>9761</v>
      </c>
      <c r="N8165" t="s">
        <v>9761</v>
      </c>
      <c r="O8165" t="s">
        <v>73</v>
      </c>
      <c r="P8165" t="s">
        <v>81</v>
      </c>
      <c r="Q8165" t="s">
        <v>119</v>
      </c>
      <c r="R8165" t="s">
        <v>9762</v>
      </c>
    </row>
    <row r="8166" spans="1:18" x14ac:dyDescent="0.25">
      <c r="A8166" t="s">
        <v>19251</v>
      </c>
      <c r="B8166" t="s">
        <v>9765</v>
      </c>
      <c r="C8166" t="str">
        <f>HYPERLINK("https://nematode.unl.edu/paraxom11.jpg")</f>
        <v>https://nematode.unl.edu/paraxom11.jpg</v>
      </c>
      <c r="D8166" t="s">
        <v>43</v>
      </c>
      <c r="G8166" t="s">
        <v>243</v>
      </c>
      <c r="I8166" t="s">
        <v>529</v>
      </c>
      <c r="J8166" t="s">
        <v>9760</v>
      </c>
      <c r="L8166" t="s">
        <v>656</v>
      </c>
      <c r="M8166" t="s">
        <v>9761</v>
      </c>
      <c r="N8166" t="s">
        <v>9761</v>
      </c>
      <c r="O8166" t="s">
        <v>73</v>
      </c>
      <c r="P8166" t="s">
        <v>81</v>
      </c>
      <c r="Q8166" t="s">
        <v>119</v>
      </c>
      <c r="R8166" t="s">
        <v>9762</v>
      </c>
    </row>
    <row r="8167" spans="1:18" x14ac:dyDescent="0.25">
      <c r="A8167" t="s">
        <v>19261</v>
      </c>
      <c r="B8167" t="s">
        <v>9766</v>
      </c>
      <c r="C8167" t="str">
        <f>HYPERLINK("https://nematode.unl.edu/paraxom12.jpg")</f>
        <v>https://nematode.unl.edu/paraxom12.jpg</v>
      </c>
      <c r="D8167" t="s">
        <v>43</v>
      </c>
      <c r="G8167" t="s">
        <v>51</v>
      </c>
      <c r="I8167" t="s">
        <v>41</v>
      </c>
      <c r="J8167" t="s">
        <v>9760</v>
      </c>
      <c r="L8167" t="s">
        <v>656</v>
      </c>
      <c r="M8167" t="s">
        <v>9761</v>
      </c>
      <c r="N8167" t="s">
        <v>9761</v>
      </c>
      <c r="O8167" t="s">
        <v>73</v>
      </c>
      <c r="P8167" t="s">
        <v>81</v>
      </c>
      <c r="Q8167" t="s">
        <v>119</v>
      </c>
      <c r="R8167" t="s">
        <v>9762</v>
      </c>
    </row>
    <row r="8168" spans="1:18" x14ac:dyDescent="0.25">
      <c r="A8168" t="s">
        <v>19254</v>
      </c>
      <c r="B8168" t="s">
        <v>9767</v>
      </c>
      <c r="C8168" t="str">
        <f>HYPERLINK("https://nematode.unl.edu/paraxom13.jpg")</f>
        <v>https://nematode.unl.edu/paraxom13.jpg</v>
      </c>
      <c r="D8168" t="s">
        <v>43</v>
      </c>
      <c r="G8168" t="s">
        <v>5156</v>
      </c>
      <c r="I8168" t="s">
        <v>41</v>
      </c>
      <c r="J8168" t="s">
        <v>9760</v>
      </c>
      <c r="L8168" t="s">
        <v>656</v>
      </c>
      <c r="M8168" t="s">
        <v>9761</v>
      </c>
      <c r="N8168" t="s">
        <v>9761</v>
      </c>
      <c r="O8168" t="s">
        <v>73</v>
      </c>
      <c r="P8168" t="s">
        <v>81</v>
      </c>
      <c r="Q8168" t="s">
        <v>119</v>
      </c>
      <c r="R8168" t="s">
        <v>9762</v>
      </c>
    </row>
    <row r="8169" spans="1:18" x14ac:dyDescent="0.25">
      <c r="A8169" t="s">
        <v>19257</v>
      </c>
      <c r="B8169" t="s">
        <v>9768</v>
      </c>
      <c r="C8169" t="str">
        <f>HYPERLINK("https://nematode.unl.edu/paraxom14.jpg")</f>
        <v>https://nematode.unl.edu/paraxom14.jpg</v>
      </c>
      <c r="D8169" t="s">
        <v>43</v>
      </c>
      <c r="G8169" t="s">
        <v>28</v>
      </c>
      <c r="I8169" t="s">
        <v>41</v>
      </c>
      <c r="J8169" t="s">
        <v>9760</v>
      </c>
      <c r="L8169" t="s">
        <v>656</v>
      </c>
      <c r="M8169" t="s">
        <v>9761</v>
      </c>
      <c r="N8169" t="s">
        <v>9761</v>
      </c>
      <c r="O8169" t="s">
        <v>73</v>
      </c>
      <c r="P8169" t="s">
        <v>81</v>
      </c>
      <c r="Q8169" t="s">
        <v>119</v>
      </c>
      <c r="R8169" t="s">
        <v>9762</v>
      </c>
    </row>
    <row r="8170" spans="1:18" x14ac:dyDescent="0.25">
      <c r="A8170" t="s">
        <v>19244</v>
      </c>
      <c r="B8170" t="s">
        <v>9769</v>
      </c>
      <c r="C8170" t="str">
        <f>HYPERLINK("https://nematode.unl.edu/paraxom2.jpg")</f>
        <v>https://nematode.unl.edu/paraxom2.jpg</v>
      </c>
      <c r="D8170" t="s">
        <v>43</v>
      </c>
      <c r="G8170" t="s">
        <v>96</v>
      </c>
      <c r="H8170" t="s">
        <v>18</v>
      </c>
      <c r="J8170" t="s">
        <v>9760</v>
      </c>
      <c r="L8170" t="s">
        <v>656</v>
      </c>
      <c r="M8170" t="s">
        <v>9761</v>
      </c>
      <c r="N8170" t="s">
        <v>9761</v>
      </c>
      <c r="O8170" t="s">
        <v>73</v>
      </c>
      <c r="P8170" t="s">
        <v>81</v>
      </c>
      <c r="Q8170" t="s">
        <v>119</v>
      </c>
      <c r="R8170" t="s">
        <v>9762</v>
      </c>
    </row>
    <row r="8171" spans="1:18" x14ac:dyDescent="0.25">
      <c r="A8171" t="s">
        <v>19245</v>
      </c>
      <c r="B8171" t="s">
        <v>9770</v>
      </c>
      <c r="C8171" t="str">
        <f>HYPERLINK("https://nematode.unl.edu/paraxom3.jpg")</f>
        <v>https://nematode.unl.edu/paraxom3.jpg</v>
      </c>
      <c r="D8171" t="s">
        <v>43</v>
      </c>
      <c r="G8171" t="s">
        <v>96</v>
      </c>
      <c r="H8171" t="s">
        <v>18</v>
      </c>
      <c r="J8171" t="s">
        <v>9760</v>
      </c>
      <c r="L8171" t="s">
        <v>656</v>
      </c>
      <c r="M8171" t="s">
        <v>9761</v>
      </c>
      <c r="N8171" t="s">
        <v>9761</v>
      </c>
      <c r="O8171" t="s">
        <v>73</v>
      </c>
      <c r="P8171" t="s">
        <v>81</v>
      </c>
      <c r="Q8171" t="s">
        <v>119</v>
      </c>
      <c r="R8171" t="s">
        <v>9762</v>
      </c>
    </row>
    <row r="8172" spans="1:18" x14ac:dyDescent="0.25">
      <c r="A8172" t="s">
        <v>19262</v>
      </c>
      <c r="B8172" t="s">
        <v>9771</v>
      </c>
      <c r="C8172" t="str">
        <f>HYPERLINK("https://nematode.unl.edu/paraxom4.jpg")</f>
        <v>https://nematode.unl.edu/paraxom4.jpg</v>
      </c>
      <c r="D8172" t="s">
        <v>43</v>
      </c>
      <c r="G8172" t="s">
        <v>51</v>
      </c>
      <c r="I8172" t="s">
        <v>516</v>
      </c>
      <c r="J8172" t="s">
        <v>9760</v>
      </c>
      <c r="L8172" t="s">
        <v>656</v>
      </c>
      <c r="M8172" t="s">
        <v>9761</v>
      </c>
      <c r="N8172" t="s">
        <v>9761</v>
      </c>
      <c r="O8172" t="s">
        <v>73</v>
      </c>
      <c r="P8172" t="s">
        <v>81</v>
      </c>
      <c r="Q8172" t="s">
        <v>119</v>
      </c>
      <c r="R8172" t="s">
        <v>9762</v>
      </c>
    </row>
    <row r="8173" spans="1:18" x14ac:dyDescent="0.25">
      <c r="A8173" t="s">
        <v>19258</v>
      </c>
      <c r="B8173" t="s">
        <v>9772</v>
      </c>
      <c r="C8173" t="str">
        <f>HYPERLINK("https://nematode.unl.edu/paraxom5.jpg")</f>
        <v>https://nematode.unl.edu/paraxom5.jpg</v>
      </c>
      <c r="D8173" t="s">
        <v>43</v>
      </c>
      <c r="G8173" t="s">
        <v>28</v>
      </c>
      <c r="J8173" t="s">
        <v>9760</v>
      </c>
      <c r="L8173" t="s">
        <v>656</v>
      </c>
      <c r="M8173" t="s">
        <v>9761</v>
      </c>
      <c r="N8173" t="s">
        <v>9761</v>
      </c>
      <c r="O8173" t="s">
        <v>73</v>
      </c>
      <c r="P8173" t="s">
        <v>81</v>
      </c>
      <c r="Q8173" t="s">
        <v>119</v>
      </c>
      <c r="R8173" t="s">
        <v>9762</v>
      </c>
    </row>
    <row r="8174" spans="1:18" x14ac:dyDescent="0.25">
      <c r="A8174" t="s">
        <v>19247</v>
      </c>
      <c r="B8174" t="s">
        <v>9773</v>
      </c>
      <c r="C8174" t="str">
        <f>HYPERLINK("https://nematode.unl.edu/paraxom6.jpg")</f>
        <v>https://nematode.unl.edu/paraxom6.jpg</v>
      </c>
      <c r="D8174" t="s">
        <v>43</v>
      </c>
      <c r="G8174" t="s">
        <v>34</v>
      </c>
      <c r="H8174" t="s">
        <v>18</v>
      </c>
      <c r="I8174" t="s">
        <v>41</v>
      </c>
      <c r="J8174" t="s">
        <v>9760</v>
      </c>
      <c r="L8174" t="s">
        <v>656</v>
      </c>
      <c r="M8174" t="s">
        <v>9761</v>
      </c>
      <c r="N8174" t="s">
        <v>9761</v>
      </c>
      <c r="O8174" t="s">
        <v>73</v>
      </c>
      <c r="P8174" t="s">
        <v>81</v>
      </c>
      <c r="Q8174" t="s">
        <v>119</v>
      </c>
      <c r="R8174" t="s">
        <v>9762</v>
      </c>
    </row>
    <row r="8175" spans="1:18" x14ac:dyDescent="0.25">
      <c r="A8175" t="s">
        <v>19243</v>
      </c>
      <c r="B8175" t="s">
        <v>9774</v>
      </c>
      <c r="C8175" t="str">
        <f>HYPERLINK("https://nematode.unl.edu/paraxom7.jpg")</f>
        <v>https://nematode.unl.edu/paraxom7.jpg</v>
      </c>
      <c r="D8175" t="s">
        <v>43</v>
      </c>
      <c r="G8175" t="s">
        <v>386</v>
      </c>
      <c r="H8175" t="s">
        <v>18</v>
      </c>
      <c r="I8175" t="s">
        <v>41</v>
      </c>
      <c r="J8175" t="s">
        <v>9760</v>
      </c>
      <c r="L8175" t="s">
        <v>656</v>
      </c>
      <c r="M8175" t="s">
        <v>9761</v>
      </c>
      <c r="N8175" t="s">
        <v>9761</v>
      </c>
      <c r="O8175" t="s">
        <v>73</v>
      </c>
      <c r="P8175" t="s">
        <v>81</v>
      </c>
      <c r="Q8175" t="s">
        <v>119</v>
      </c>
      <c r="R8175" t="s">
        <v>9762</v>
      </c>
    </row>
    <row r="8176" spans="1:18" x14ac:dyDescent="0.25">
      <c r="A8176" t="s">
        <v>19253</v>
      </c>
      <c r="B8176" t="s">
        <v>9775</v>
      </c>
      <c r="C8176" t="str">
        <f>HYPERLINK("https://nematode.unl.edu/paraxom8.jpg")</f>
        <v>https://nematode.unl.edu/paraxom8.jpg</v>
      </c>
      <c r="D8176" t="s">
        <v>43</v>
      </c>
      <c r="G8176" t="s">
        <v>9776</v>
      </c>
      <c r="I8176" t="s">
        <v>41</v>
      </c>
      <c r="J8176" t="s">
        <v>9760</v>
      </c>
      <c r="L8176" t="s">
        <v>656</v>
      </c>
      <c r="M8176" t="s">
        <v>9761</v>
      </c>
      <c r="N8176" t="s">
        <v>9761</v>
      </c>
      <c r="O8176" t="s">
        <v>73</v>
      </c>
      <c r="P8176" t="s">
        <v>81</v>
      </c>
      <c r="Q8176" t="s">
        <v>119</v>
      </c>
      <c r="R8176" t="s">
        <v>9762</v>
      </c>
    </row>
    <row r="8177" spans="1:18" x14ac:dyDescent="0.25">
      <c r="A8177" t="s">
        <v>19255</v>
      </c>
      <c r="B8177" t="s">
        <v>9777</v>
      </c>
      <c r="C8177" t="str">
        <f>HYPERLINK("https://nematode.unl.edu/paraxom9.jpg")</f>
        <v>https://nematode.unl.edu/paraxom9.jpg</v>
      </c>
      <c r="D8177" t="s">
        <v>77</v>
      </c>
      <c r="G8177" t="s">
        <v>9778</v>
      </c>
      <c r="I8177" t="s">
        <v>41</v>
      </c>
      <c r="J8177" t="s">
        <v>9760</v>
      </c>
      <c r="L8177" t="s">
        <v>656</v>
      </c>
      <c r="M8177" t="s">
        <v>9761</v>
      </c>
      <c r="N8177" t="s">
        <v>9761</v>
      </c>
      <c r="O8177" t="s">
        <v>73</v>
      </c>
      <c r="P8177" t="s">
        <v>81</v>
      </c>
      <c r="Q8177" t="s">
        <v>119</v>
      </c>
      <c r="R8177" t="s">
        <v>9762</v>
      </c>
    </row>
    <row r="8178" spans="1:18" x14ac:dyDescent="0.25">
      <c r="A8178" t="s">
        <v>20832</v>
      </c>
      <c r="B8178" t="s">
        <v>9719</v>
      </c>
      <c r="C8178" t="str">
        <f>HYPERLINK("https://nematode.unl.edu/parhar1.jpg")</f>
        <v>https://nematode.unl.edu/parhar1.jpg</v>
      </c>
      <c r="D8178" t="s">
        <v>43</v>
      </c>
      <c r="G8178" t="s">
        <v>44</v>
      </c>
      <c r="I8178" t="s">
        <v>91</v>
      </c>
      <c r="J8178" t="s">
        <v>20</v>
      </c>
      <c r="L8178" t="s">
        <v>64</v>
      </c>
      <c r="M8178" t="s">
        <v>9720</v>
      </c>
      <c r="N8178" t="s">
        <v>9720</v>
      </c>
      <c r="O8178" t="s">
        <v>73</v>
      </c>
      <c r="P8178" t="s">
        <v>81</v>
      </c>
      <c r="Q8178" t="s">
        <v>339</v>
      </c>
      <c r="R8178" t="s">
        <v>9706</v>
      </c>
    </row>
    <row r="8179" spans="1:18" x14ac:dyDescent="0.25">
      <c r="A8179" t="s">
        <v>20825</v>
      </c>
      <c r="B8179" t="s">
        <v>9721</v>
      </c>
      <c r="C8179" t="str">
        <f>HYPERLINK("https://nematode.unl.edu/parhar10.jpg")</f>
        <v>https://nematode.unl.edu/parhar10.jpg</v>
      </c>
      <c r="D8179" t="s">
        <v>43</v>
      </c>
      <c r="G8179" t="s">
        <v>87</v>
      </c>
      <c r="I8179" t="s">
        <v>41</v>
      </c>
      <c r="J8179" t="s">
        <v>20</v>
      </c>
      <c r="L8179" t="s">
        <v>141</v>
      </c>
      <c r="M8179" t="s">
        <v>9720</v>
      </c>
      <c r="N8179" t="s">
        <v>9720</v>
      </c>
      <c r="O8179" t="s">
        <v>73</v>
      </c>
      <c r="P8179" t="s">
        <v>81</v>
      </c>
      <c r="Q8179" t="s">
        <v>339</v>
      </c>
      <c r="R8179" t="s">
        <v>9706</v>
      </c>
    </row>
    <row r="8180" spans="1:18" x14ac:dyDescent="0.25">
      <c r="A8180" t="s">
        <v>20816</v>
      </c>
      <c r="B8180" t="s">
        <v>9722</v>
      </c>
      <c r="C8180" t="str">
        <f>HYPERLINK("https://nematode.unl.edu/parhar11.jpg")</f>
        <v>https://nematode.unl.edu/parhar11.jpg</v>
      </c>
      <c r="D8180" t="s">
        <v>43</v>
      </c>
      <c r="G8180" t="s">
        <v>34</v>
      </c>
      <c r="H8180" t="s">
        <v>18</v>
      </c>
      <c r="J8180" t="s">
        <v>20</v>
      </c>
      <c r="L8180" t="s">
        <v>193</v>
      </c>
      <c r="M8180" t="s">
        <v>9720</v>
      </c>
      <c r="N8180" t="s">
        <v>9720</v>
      </c>
      <c r="O8180" t="s">
        <v>73</v>
      </c>
      <c r="P8180" t="s">
        <v>81</v>
      </c>
      <c r="Q8180" t="s">
        <v>339</v>
      </c>
      <c r="R8180" t="s">
        <v>9706</v>
      </c>
    </row>
    <row r="8181" spans="1:18" x14ac:dyDescent="0.25">
      <c r="A8181" t="s">
        <v>20815</v>
      </c>
      <c r="B8181" t="s">
        <v>9723</v>
      </c>
      <c r="C8181" t="str">
        <f>HYPERLINK("https://nematode.unl.edu/parhar12.jpg")</f>
        <v>https://nematode.unl.edu/parhar12.jpg</v>
      </c>
      <c r="D8181" t="s">
        <v>43</v>
      </c>
      <c r="G8181" t="s">
        <v>96</v>
      </c>
      <c r="H8181" t="s">
        <v>18</v>
      </c>
      <c r="J8181" t="s">
        <v>20</v>
      </c>
      <c r="L8181" t="s">
        <v>193</v>
      </c>
      <c r="M8181" t="s">
        <v>9720</v>
      </c>
      <c r="N8181" t="s">
        <v>9720</v>
      </c>
      <c r="O8181" t="s">
        <v>73</v>
      </c>
      <c r="P8181" t="s">
        <v>81</v>
      </c>
      <c r="Q8181" t="s">
        <v>339</v>
      </c>
      <c r="R8181" t="s">
        <v>9706</v>
      </c>
    </row>
    <row r="8182" spans="1:18" x14ac:dyDescent="0.25">
      <c r="A8182" t="s">
        <v>20833</v>
      </c>
      <c r="B8182" t="s">
        <v>9724</v>
      </c>
      <c r="C8182" t="str">
        <f>HYPERLINK("https://nematode.unl.edu/parhar13.jpg")</f>
        <v>https://nematode.unl.edu/parhar13.jpg</v>
      </c>
      <c r="D8182" t="s">
        <v>43</v>
      </c>
      <c r="G8182" t="s">
        <v>44</v>
      </c>
      <c r="I8182" t="s">
        <v>91</v>
      </c>
      <c r="J8182" t="s">
        <v>20</v>
      </c>
      <c r="L8182" t="s">
        <v>141</v>
      </c>
      <c r="M8182" t="s">
        <v>9720</v>
      </c>
      <c r="N8182" t="s">
        <v>9720</v>
      </c>
      <c r="O8182" t="s">
        <v>73</v>
      </c>
      <c r="P8182" t="s">
        <v>81</v>
      </c>
      <c r="Q8182" t="s">
        <v>339</v>
      </c>
      <c r="R8182" t="s">
        <v>9706</v>
      </c>
    </row>
    <row r="8183" spans="1:18" x14ac:dyDescent="0.25">
      <c r="A8183" t="s">
        <v>20817</v>
      </c>
      <c r="B8183" t="s">
        <v>9725</v>
      </c>
      <c r="C8183" t="str">
        <f>HYPERLINK("https://nematode.unl.edu/parhar14.jpg")</f>
        <v>https://nematode.unl.edu/parhar14.jpg</v>
      </c>
      <c r="D8183" t="s">
        <v>43</v>
      </c>
      <c r="G8183" t="s">
        <v>34</v>
      </c>
      <c r="H8183" t="s">
        <v>18</v>
      </c>
      <c r="J8183" t="s">
        <v>20</v>
      </c>
      <c r="L8183" t="s">
        <v>141</v>
      </c>
      <c r="M8183" t="s">
        <v>9720</v>
      </c>
      <c r="N8183" t="s">
        <v>9720</v>
      </c>
      <c r="O8183" t="s">
        <v>73</v>
      </c>
      <c r="P8183" t="s">
        <v>81</v>
      </c>
      <c r="Q8183" t="s">
        <v>339</v>
      </c>
      <c r="R8183" t="s">
        <v>9706</v>
      </c>
    </row>
    <row r="8184" spans="1:18" x14ac:dyDescent="0.25">
      <c r="A8184" t="s">
        <v>20842</v>
      </c>
      <c r="B8184" t="s">
        <v>9726</v>
      </c>
      <c r="C8184" t="str">
        <f>HYPERLINK("https://nematode.unl.edu/parhar15.jpg")</f>
        <v>https://nematode.unl.edu/parhar15.jpg</v>
      </c>
      <c r="D8184" t="s">
        <v>43</v>
      </c>
      <c r="G8184" t="s">
        <v>51</v>
      </c>
      <c r="J8184" t="s">
        <v>20</v>
      </c>
      <c r="L8184" t="s">
        <v>141</v>
      </c>
      <c r="M8184" t="s">
        <v>9720</v>
      </c>
      <c r="N8184" t="s">
        <v>9720</v>
      </c>
      <c r="O8184" t="s">
        <v>73</v>
      </c>
      <c r="P8184" t="s">
        <v>81</v>
      </c>
      <c r="Q8184" t="s">
        <v>339</v>
      </c>
      <c r="R8184" t="s">
        <v>9706</v>
      </c>
    </row>
    <row r="8185" spans="1:18" x14ac:dyDescent="0.25">
      <c r="A8185" t="s">
        <v>20839</v>
      </c>
      <c r="B8185" t="s">
        <v>9727</v>
      </c>
      <c r="C8185" t="str">
        <f>HYPERLINK("https://nematode.unl.edu/parhar16.jpg")</f>
        <v>https://nematode.unl.edu/parhar16.jpg</v>
      </c>
      <c r="D8185" t="s">
        <v>43</v>
      </c>
      <c r="G8185" t="s">
        <v>28</v>
      </c>
      <c r="J8185" t="s">
        <v>20</v>
      </c>
      <c r="L8185" t="s">
        <v>141</v>
      </c>
      <c r="M8185" t="s">
        <v>9720</v>
      </c>
      <c r="N8185" t="s">
        <v>9720</v>
      </c>
      <c r="O8185" t="s">
        <v>73</v>
      </c>
      <c r="P8185" t="s">
        <v>81</v>
      </c>
      <c r="Q8185" t="s">
        <v>339</v>
      </c>
      <c r="R8185" t="s">
        <v>9706</v>
      </c>
    </row>
    <row r="8186" spans="1:18" x14ac:dyDescent="0.25">
      <c r="A8186" t="s">
        <v>20843</v>
      </c>
      <c r="B8186" t="s">
        <v>9728</v>
      </c>
      <c r="C8186" t="str">
        <f>HYPERLINK("https://nematode.unl.edu/parhar17.jpg")</f>
        <v>https://nematode.unl.edu/parhar17.jpg</v>
      </c>
      <c r="D8186" t="s">
        <v>43</v>
      </c>
      <c r="G8186" t="s">
        <v>51</v>
      </c>
      <c r="I8186" t="s">
        <v>41</v>
      </c>
      <c r="J8186" t="s">
        <v>20</v>
      </c>
      <c r="L8186" t="s">
        <v>352</v>
      </c>
      <c r="M8186" t="s">
        <v>9720</v>
      </c>
      <c r="N8186" t="s">
        <v>9720</v>
      </c>
      <c r="O8186" t="s">
        <v>73</v>
      </c>
      <c r="P8186" t="s">
        <v>81</v>
      </c>
      <c r="Q8186" t="s">
        <v>339</v>
      </c>
      <c r="R8186" t="s">
        <v>9706</v>
      </c>
    </row>
    <row r="8187" spans="1:18" x14ac:dyDescent="0.25">
      <c r="A8187" t="s">
        <v>20835</v>
      </c>
      <c r="B8187" t="s">
        <v>9729</v>
      </c>
      <c r="C8187" t="str">
        <f>HYPERLINK("https://nematode.unl.edu/parhar18.jpg")</f>
        <v>https://nematode.unl.edu/parhar18.jpg</v>
      </c>
      <c r="D8187" t="s">
        <v>43</v>
      </c>
      <c r="G8187" t="s">
        <v>243</v>
      </c>
      <c r="J8187" t="s">
        <v>20</v>
      </c>
      <c r="L8187" t="s">
        <v>141</v>
      </c>
      <c r="M8187" t="s">
        <v>9720</v>
      </c>
      <c r="N8187" t="s">
        <v>9720</v>
      </c>
      <c r="O8187" t="s">
        <v>73</v>
      </c>
      <c r="P8187" t="s">
        <v>81</v>
      </c>
      <c r="Q8187" t="s">
        <v>339</v>
      </c>
      <c r="R8187" t="s">
        <v>9706</v>
      </c>
    </row>
    <row r="8188" spans="1:18" x14ac:dyDescent="0.25">
      <c r="A8188" t="s">
        <v>20818</v>
      </c>
      <c r="B8188" t="s">
        <v>9730</v>
      </c>
      <c r="C8188" t="str">
        <f>HYPERLINK("https://nematode.unl.edu/parhar19.jpg")</f>
        <v>https://nematode.unl.edu/parhar19.jpg</v>
      </c>
      <c r="D8188" t="s">
        <v>43</v>
      </c>
      <c r="G8188" t="s">
        <v>34</v>
      </c>
      <c r="H8188" t="s">
        <v>18</v>
      </c>
      <c r="J8188" t="s">
        <v>20</v>
      </c>
      <c r="L8188" t="s">
        <v>141</v>
      </c>
      <c r="M8188" t="s">
        <v>9720</v>
      </c>
      <c r="N8188" t="s">
        <v>9720</v>
      </c>
      <c r="O8188" t="s">
        <v>73</v>
      </c>
      <c r="P8188" t="s">
        <v>81</v>
      </c>
      <c r="Q8188" t="s">
        <v>339</v>
      </c>
      <c r="R8188" t="s">
        <v>9706</v>
      </c>
    </row>
    <row r="8189" spans="1:18" x14ac:dyDescent="0.25">
      <c r="A8189" t="s">
        <v>20826</v>
      </c>
      <c r="B8189" t="s">
        <v>9731</v>
      </c>
      <c r="C8189" t="str">
        <f>HYPERLINK("https://nematode.unl.edu/parhar2.jpg")</f>
        <v>https://nematode.unl.edu/parhar2.jpg</v>
      </c>
      <c r="D8189" t="s">
        <v>43</v>
      </c>
      <c r="G8189" t="s">
        <v>87</v>
      </c>
      <c r="I8189" t="s">
        <v>137</v>
      </c>
      <c r="J8189" t="s">
        <v>20</v>
      </c>
      <c r="L8189" t="s">
        <v>64</v>
      </c>
      <c r="M8189" t="s">
        <v>9720</v>
      </c>
      <c r="N8189" t="s">
        <v>9720</v>
      </c>
      <c r="O8189" t="s">
        <v>73</v>
      </c>
      <c r="P8189" t="s">
        <v>81</v>
      </c>
      <c r="Q8189" t="s">
        <v>339</v>
      </c>
      <c r="R8189" t="s">
        <v>9706</v>
      </c>
    </row>
    <row r="8190" spans="1:18" x14ac:dyDescent="0.25">
      <c r="A8190" t="s">
        <v>20827</v>
      </c>
      <c r="B8190" t="s">
        <v>9732</v>
      </c>
      <c r="C8190" t="str">
        <f>HYPERLINK("https://nematode.unl.edu/parhar20.jpg")</f>
        <v>https://nematode.unl.edu/parhar20.jpg</v>
      </c>
      <c r="D8190" t="s">
        <v>43</v>
      </c>
      <c r="G8190" t="s">
        <v>87</v>
      </c>
      <c r="I8190" t="s">
        <v>41</v>
      </c>
      <c r="M8190" t="s">
        <v>9720</v>
      </c>
      <c r="N8190" t="s">
        <v>9720</v>
      </c>
      <c r="O8190" t="s">
        <v>73</v>
      </c>
      <c r="P8190" t="s">
        <v>81</v>
      </c>
      <c r="Q8190" t="s">
        <v>339</v>
      </c>
      <c r="R8190" t="s">
        <v>9706</v>
      </c>
    </row>
    <row r="8191" spans="1:18" x14ac:dyDescent="0.25">
      <c r="A8191" t="s">
        <v>20844</v>
      </c>
      <c r="B8191" t="s">
        <v>9733</v>
      </c>
      <c r="C8191" t="str">
        <f>HYPERLINK("https://nematode.unl.edu/parhar21.jpg")</f>
        <v>https://nematode.unl.edu/parhar21.jpg</v>
      </c>
      <c r="D8191" t="s">
        <v>43</v>
      </c>
      <c r="G8191" t="s">
        <v>51</v>
      </c>
      <c r="I8191" t="s">
        <v>41</v>
      </c>
      <c r="L8191" t="s">
        <v>141</v>
      </c>
      <c r="M8191" t="s">
        <v>9720</v>
      </c>
      <c r="N8191" t="s">
        <v>9720</v>
      </c>
      <c r="O8191" t="s">
        <v>73</v>
      </c>
      <c r="P8191" t="s">
        <v>81</v>
      </c>
      <c r="Q8191" t="s">
        <v>339</v>
      </c>
      <c r="R8191" t="s">
        <v>9706</v>
      </c>
    </row>
    <row r="8192" spans="1:18" x14ac:dyDescent="0.25">
      <c r="A8192" t="s">
        <v>20819</v>
      </c>
      <c r="B8192" t="s">
        <v>9734</v>
      </c>
      <c r="C8192" t="str">
        <f>HYPERLINK("https://nematode.unl.edu/parhar22.jpg")</f>
        <v>https://nematode.unl.edu/parhar22.jpg</v>
      </c>
      <c r="D8192" t="s">
        <v>43</v>
      </c>
      <c r="G8192" t="s">
        <v>34</v>
      </c>
      <c r="H8192" t="s">
        <v>18</v>
      </c>
      <c r="J8192" t="s">
        <v>20</v>
      </c>
      <c r="L8192" t="s">
        <v>141</v>
      </c>
      <c r="M8192" t="s">
        <v>9720</v>
      </c>
      <c r="N8192" t="s">
        <v>9720</v>
      </c>
      <c r="O8192" t="s">
        <v>73</v>
      </c>
      <c r="P8192" t="s">
        <v>81</v>
      </c>
      <c r="Q8192" t="s">
        <v>339</v>
      </c>
      <c r="R8192" t="s">
        <v>9706</v>
      </c>
    </row>
    <row r="8193" spans="1:18" x14ac:dyDescent="0.25">
      <c r="A8193" t="s">
        <v>20828</v>
      </c>
      <c r="B8193" t="s">
        <v>9735</v>
      </c>
      <c r="C8193" t="str">
        <f>HYPERLINK("https://nematode.unl.edu/parhar23.jpg")</f>
        <v>https://nematode.unl.edu/parhar23.jpg</v>
      </c>
      <c r="D8193" t="s">
        <v>43</v>
      </c>
      <c r="G8193" t="s">
        <v>87</v>
      </c>
      <c r="I8193" t="s">
        <v>19</v>
      </c>
      <c r="J8193" t="s">
        <v>20</v>
      </c>
      <c r="L8193" t="s">
        <v>141</v>
      </c>
      <c r="M8193" t="s">
        <v>9720</v>
      </c>
      <c r="N8193" t="s">
        <v>9720</v>
      </c>
      <c r="O8193" t="s">
        <v>73</v>
      </c>
      <c r="P8193" t="s">
        <v>81</v>
      </c>
      <c r="Q8193" t="s">
        <v>339</v>
      </c>
      <c r="R8193" t="s">
        <v>9706</v>
      </c>
    </row>
    <row r="8194" spans="1:18" x14ac:dyDescent="0.25">
      <c r="A8194" t="s">
        <v>20845</v>
      </c>
      <c r="B8194" t="s">
        <v>9736</v>
      </c>
      <c r="C8194" t="str">
        <f>HYPERLINK("https://nematode.unl.edu/parhar24.jpg")</f>
        <v>https://nematode.unl.edu/parhar24.jpg</v>
      </c>
      <c r="D8194" t="s">
        <v>43</v>
      </c>
      <c r="G8194" t="s">
        <v>51</v>
      </c>
      <c r="I8194" t="s">
        <v>41</v>
      </c>
      <c r="J8194" t="s">
        <v>20</v>
      </c>
      <c r="L8194" t="s">
        <v>141</v>
      </c>
      <c r="M8194" t="s">
        <v>9720</v>
      </c>
      <c r="N8194" t="s">
        <v>9720</v>
      </c>
      <c r="O8194" t="s">
        <v>73</v>
      </c>
      <c r="P8194" t="s">
        <v>81</v>
      </c>
      <c r="Q8194" t="s">
        <v>339</v>
      </c>
      <c r="R8194" t="s">
        <v>9706</v>
      </c>
    </row>
    <row r="8195" spans="1:18" x14ac:dyDescent="0.25">
      <c r="A8195" t="s">
        <v>20829</v>
      </c>
      <c r="B8195" t="s">
        <v>9737</v>
      </c>
      <c r="C8195" t="str">
        <f>HYPERLINK("https://nematode.unl.edu/parhar25.jpg")</f>
        <v>https://nematode.unl.edu/parhar25.jpg</v>
      </c>
      <c r="D8195" t="s">
        <v>43</v>
      </c>
      <c r="G8195" t="s">
        <v>87</v>
      </c>
      <c r="I8195" t="s">
        <v>529</v>
      </c>
      <c r="J8195" t="s">
        <v>20</v>
      </c>
      <c r="L8195" t="s">
        <v>141</v>
      </c>
      <c r="M8195" t="s">
        <v>9720</v>
      </c>
      <c r="N8195" t="s">
        <v>9720</v>
      </c>
      <c r="O8195" t="s">
        <v>73</v>
      </c>
      <c r="P8195" t="s">
        <v>81</v>
      </c>
      <c r="Q8195" t="s">
        <v>339</v>
      </c>
      <c r="R8195" t="s">
        <v>9706</v>
      </c>
    </row>
    <row r="8196" spans="1:18" x14ac:dyDescent="0.25">
      <c r="A8196" t="s">
        <v>20820</v>
      </c>
      <c r="B8196" t="s">
        <v>9738</v>
      </c>
      <c r="C8196" t="str">
        <f>HYPERLINK("https://nematode.unl.edu/parhar26.jpg")</f>
        <v>https://nematode.unl.edu/parhar26.jpg</v>
      </c>
      <c r="D8196" t="s">
        <v>43</v>
      </c>
      <c r="G8196" t="s">
        <v>34</v>
      </c>
      <c r="H8196" t="s">
        <v>18</v>
      </c>
      <c r="J8196" t="s">
        <v>20</v>
      </c>
      <c r="L8196" t="s">
        <v>407</v>
      </c>
      <c r="M8196" t="s">
        <v>9720</v>
      </c>
      <c r="N8196" t="s">
        <v>9720</v>
      </c>
      <c r="O8196" t="s">
        <v>73</v>
      </c>
      <c r="P8196" t="s">
        <v>81</v>
      </c>
      <c r="Q8196" t="s">
        <v>339</v>
      </c>
      <c r="R8196" t="s">
        <v>9706</v>
      </c>
    </row>
    <row r="8197" spans="1:18" x14ac:dyDescent="0.25">
      <c r="A8197" t="s">
        <v>20821</v>
      </c>
      <c r="B8197" t="s">
        <v>9739</v>
      </c>
      <c r="C8197" t="str">
        <f>HYPERLINK("https://nematode.unl.edu/parhar27.jpg")</f>
        <v>https://nematode.unl.edu/parhar27.jpg</v>
      </c>
      <c r="D8197" t="s">
        <v>43</v>
      </c>
      <c r="G8197" t="s">
        <v>34</v>
      </c>
      <c r="H8197" t="s">
        <v>18</v>
      </c>
      <c r="M8197" t="s">
        <v>9720</v>
      </c>
      <c r="N8197" t="s">
        <v>9720</v>
      </c>
      <c r="O8197" t="s">
        <v>73</v>
      </c>
      <c r="P8197" t="s">
        <v>81</v>
      </c>
      <c r="Q8197" t="s">
        <v>339</v>
      </c>
      <c r="R8197" t="s">
        <v>9706</v>
      </c>
    </row>
    <row r="8198" spans="1:18" x14ac:dyDescent="0.25">
      <c r="A8198" t="s">
        <v>20830</v>
      </c>
      <c r="B8198" t="s">
        <v>9740</v>
      </c>
      <c r="C8198" t="str">
        <f>HYPERLINK("https://nematode.unl.edu/parhar28.jpg")</f>
        <v>https://nematode.unl.edu/parhar28.jpg</v>
      </c>
      <c r="D8198" t="s">
        <v>43</v>
      </c>
      <c r="G8198" t="s">
        <v>87</v>
      </c>
      <c r="L8198" t="s">
        <v>206</v>
      </c>
      <c r="M8198" t="s">
        <v>9720</v>
      </c>
      <c r="N8198" t="s">
        <v>9720</v>
      </c>
      <c r="O8198" t="s">
        <v>73</v>
      </c>
      <c r="P8198" t="s">
        <v>81</v>
      </c>
      <c r="Q8198" t="s">
        <v>339</v>
      </c>
      <c r="R8198" t="s">
        <v>9706</v>
      </c>
    </row>
    <row r="8199" spans="1:18" x14ac:dyDescent="0.25">
      <c r="A8199" t="s">
        <v>20846</v>
      </c>
      <c r="B8199" t="s">
        <v>9741</v>
      </c>
      <c r="C8199" t="str">
        <f>HYPERLINK("https://nematode.unl.edu/parhar29.jpg")</f>
        <v>https://nematode.unl.edu/parhar29.jpg</v>
      </c>
      <c r="D8199" t="s">
        <v>43</v>
      </c>
      <c r="G8199" t="s">
        <v>51</v>
      </c>
      <c r="I8199" t="s">
        <v>19</v>
      </c>
      <c r="J8199" t="s">
        <v>20</v>
      </c>
      <c r="M8199" t="s">
        <v>9720</v>
      </c>
      <c r="N8199" t="s">
        <v>9720</v>
      </c>
      <c r="O8199" t="s">
        <v>73</v>
      </c>
      <c r="P8199" t="s">
        <v>81</v>
      </c>
      <c r="Q8199" t="s">
        <v>339</v>
      </c>
      <c r="R8199" t="s">
        <v>9706</v>
      </c>
    </row>
    <row r="8200" spans="1:18" x14ac:dyDescent="0.25">
      <c r="A8200" t="s">
        <v>20847</v>
      </c>
      <c r="B8200" t="s">
        <v>9742</v>
      </c>
      <c r="C8200" t="str">
        <f>HYPERLINK("https://nematode.unl.edu/parhar3.jpg")</f>
        <v>https://nematode.unl.edu/parhar3.jpg</v>
      </c>
      <c r="D8200" t="s">
        <v>43</v>
      </c>
      <c r="G8200" t="s">
        <v>51</v>
      </c>
      <c r="I8200" t="s">
        <v>137</v>
      </c>
      <c r="J8200" t="s">
        <v>20</v>
      </c>
      <c r="L8200" t="s">
        <v>217</v>
      </c>
      <c r="M8200" t="s">
        <v>9720</v>
      </c>
      <c r="N8200" t="s">
        <v>9720</v>
      </c>
      <c r="O8200" t="s">
        <v>73</v>
      </c>
      <c r="P8200" t="s">
        <v>81</v>
      </c>
      <c r="Q8200" t="s">
        <v>339</v>
      </c>
      <c r="R8200" t="s">
        <v>9706</v>
      </c>
    </row>
    <row r="8201" spans="1:18" x14ac:dyDescent="0.25">
      <c r="A8201" t="s">
        <v>20840</v>
      </c>
      <c r="B8201" t="s">
        <v>9743</v>
      </c>
      <c r="C8201" t="str">
        <f>HYPERLINK("https://nematode.unl.edu/parhar30.jpg")</f>
        <v>https://nematode.unl.edu/parhar30.jpg</v>
      </c>
      <c r="D8201" t="s">
        <v>43</v>
      </c>
      <c r="G8201" t="s">
        <v>28</v>
      </c>
      <c r="M8201" t="s">
        <v>9720</v>
      </c>
      <c r="N8201" t="s">
        <v>9720</v>
      </c>
      <c r="O8201" t="s">
        <v>73</v>
      </c>
      <c r="P8201" t="s">
        <v>81</v>
      </c>
      <c r="Q8201" t="s">
        <v>339</v>
      </c>
      <c r="R8201" t="s">
        <v>9706</v>
      </c>
    </row>
    <row r="8202" spans="1:18" x14ac:dyDescent="0.25">
      <c r="A8202" t="s">
        <v>20822</v>
      </c>
      <c r="B8202" t="s">
        <v>9744</v>
      </c>
      <c r="C8202" t="str">
        <f>HYPERLINK("https://nematode.unl.edu/parhar4.jpg")</f>
        <v>https://nematode.unl.edu/parhar4.jpg</v>
      </c>
      <c r="D8202" t="s">
        <v>43</v>
      </c>
      <c r="G8202" t="s">
        <v>34</v>
      </c>
      <c r="H8202" t="s">
        <v>18</v>
      </c>
      <c r="I8202" t="s">
        <v>137</v>
      </c>
      <c r="J8202" t="s">
        <v>20</v>
      </c>
      <c r="L8202" t="s">
        <v>193</v>
      </c>
      <c r="M8202" t="s">
        <v>9720</v>
      </c>
      <c r="N8202" t="s">
        <v>9720</v>
      </c>
      <c r="O8202" t="s">
        <v>73</v>
      </c>
      <c r="P8202" t="s">
        <v>81</v>
      </c>
      <c r="Q8202" t="s">
        <v>339</v>
      </c>
      <c r="R8202" t="s">
        <v>9706</v>
      </c>
    </row>
    <row r="8203" spans="1:18" x14ac:dyDescent="0.25">
      <c r="A8203" t="s">
        <v>20841</v>
      </c>
      <c r="B8203" t="s">
        <v>9745</v>
      </c>
      <c r="C8203" t="str">
        <f>HYPERLINK("https://nematode.unl.edu/parhar5.jpg")</f>
        <v>https://nematode.unl.edu/parhar5.jpg</v>
      </c>
      <c r="D8203" t="s">
        <v>43</v>
      </c>
      <c r="G8203" t="s">
        <v>28</v>
      </c>
      <c r="I8203" t="s">
        <v>137</v>
      </c>
      <c r="J8203" t="s">
        <v>20</v>
      </c>
      <c r="L8203" t="s">
        <v>64</v>
      </c>
      <c r="M8203" t="s">
        <v>9720</v>
      </c>
      <c r="N8203" t="s">
        <v>9720</v>
      </c>
      <c r="O8203" t="s">
        <v>73</v>
      </c>
      <c r="P8203" t="s">
        <v>81</v>
      </c>
      <c r="Q8203" t="s">
        <v>339</v>
      </c>
      <c r="R8203" t="s">
        <v>9706</v>
      </c>
    </row>
    <row r="8204" spans="1:18" x14ac:dyDescent="0.25">
      <c r="A8204" t="s">
        <v>20848</v>
      </c>
      <c r="B8204" t="s">
        <v>9746</v>
      </c>
      <c r="C8204" t="str">
        <f>HYPERLINK("https://nematode.unl.edu/parhar6.jpg")</f>
        <v>https://nematode.unl.edu/parhar6.jpg</v>
      </c>
      <c r="D8204" t="s">
        <v>43</v>
      </c>
      <c r="G8204" t="s">
        <v>51</v>
      </c>
      <c r="I8204" t="s">
        <v>19</v>
      </c>
      <c r="J8204" t="s">
        <v>20</v>
      </c>
      <c r="M8204" t="s">
        <v>9720</v>
      </c>
      <c r="N8204" t="s">
        <v>9720</v>
      </c>
      <c r="O8204" t="s">
        <v>73</v>
      </c>
      <c r="P8204" t="s">
        <v>81</v>
      </c>
      <c r="Q8204" t="s">
        <v>339</v>
      </c>
      <c r="R8204" t="s">
        <v>9706</v>
      </c>
    </row>
    <row r="8205" spans="1:18" x14ac:dyDescent="0.25">
      <c r="A8205" t="s">
        <v>20831</v>
      </c>
      <c r="B8205" t="s">
        <v>9747</v>
      </c>
      <c r="C8205" t="str">
        <f>HYPERLINK("https://nematode.unl.edu/parhar7.jpg")</f>
        <v>https://nematode.unl.edu/parhar7.jpg</v>
      </c>
      <c r="D8205" t="s">
        <v>43</v>
      </c>
      <c r="G8205" t="s">
        <v>87</v>
      </c>
      <c r="J8205" t="s">
        <v>20</v>
      </c>
      <c r="L8205" t="s">
        <v>193</v>
      </c>
      <c r="M8205" t="s">
        <v>9720</v>
      </c>
      <c r="N8205" t="s">
        <v>9720</v>
      </c>
      <c r="O8205" t="s">
        <v>73</v>
      </c>
      <c r="P8205" t="s">
        <v>81</v>
      </c>
      <c r="Q8205" t="s">
        <v>339</v>
      </c>
      <c r="R8205" t="s">
        <v>9706</v>
      </c>
    </row>
    <row r="8206" spans="1:18" x14ac:dyDescent="0.25">
      <c r="A8206" t="s">
        <v>20823</v>
      </c>
      <c r="B8206" t="s">
        <v>9748</v>
      </c>
      <c r="C8206" t="str">
        <f>HYPERLINK("https://nematode.unl.edu/parhar8.jpg")</f>
        <v>https://nematode.unl.edu/parhar8.jpg</v>
      </c>
      <c r="D8206" t="s">
        <v>43</v>
      </c>
      <c r="G8206" t="s">
        <v>34</v>
      </c>
      <c r="H8206" t="s">
        <v>18</v>
      </c>
      <c r="J8206" t="s">
        <v>20</v>
      </c>
      <c r="L8206" t="s">
        <v>193</v>
      </c>
      <c r="M8206" t="s">
        <v>9720</v>
      </c>
      <c r="N8206" t="s">
        <v>9720</v>
      </c>
      <c r="O8206" t="s">
        <v>73</v>
      </c>
      <c r="P8206" t="s">
        <v>81</v>
      </c>
      <c r="Q8206" t="s">
        <v>339</v>
      </c>
      <c r="R8206" t="s">
        <v>9706</v>
      </c>
    </row>
    <row r="8207" spans="1:18" x14ac:dyDescent="0.25">
      <c r="A8207" t="s">
        <v>20849</v>
      </c>
      <c r="B8207" t="s">
        <v>9749</v>
      </c>
      <c r="C8207" t="str">
        <f>HYPERLINK("https://nematode.unl.edu/parhar9.jpg")</f>
        <v>https://nematode.unl.edu/parhar9.jpg</v>
      </c>
      <c r="D8207" t="s">
        <v>43</v>
      </c>
      <c r="G8207" t="s">
        <v>51</v>
      </c>
      <c r="I8207" t="s">
        <v>41</v>
      </c>
      <c r="M8207" t="s">
        <v>9720</v>
      </c>
      <c r="N8207" t="s">
        <v>9720</v>
      </c>
      <c r="O8207" t="s">
        <v>73</v>
      </c>
      <c r="P8207" t="s">
        <v>81</v>
      </c>
      <c r="Q8207" t="s">
        <v>339</v>
      </c>
      <c r="R8207" t="s">
        <v>9706</v>
      </c>
    </row>
    <row r="8208" spans="1:18" x14ac:dyDescent="0.25">
      <c r="A8208" t="s">
        <v>18685</v>
      </c>
      <c r="B8208" t="s">
        <v>9682</v>
      </c>
      <c r="C8208" t="str">
        <f>HYPERLINK("https://nematode.unl.edu/pariat1.jpg")</f>
        <v>https://nematode.unl.edu/pariat1.jpg</v>
      </c>
      <c r="D8208" t="s">
        <v>43</v>
      </c>
      <c r="G8208" t="s">
        <v>44</v>
      </c>
      <c r="I8208" t="s">
        <v>4020</v>
      </c>
      <c r="J8208" t="s">
        <v>116</v>
      </c>
      <c r="L8208" t="s">
        <v>85</v>
      </c>
      <c r="M8208" t="s">
        <v>9683</v>
      </c>
      <c r="N8208" t="s">
        <v>9683</v>
      </c>
      <c r="O8208" t="s">
        <v>23</v>
      </c>
      <c r="P8208" t="s">
        <v>24</v>
      </c>
      <c r="Q8208" t="s">
        <v>1592</v>
      </c>
      <c r="R8208" t="s">
        <v>1591</v>
      </c>
    </row>
    <row r="8209" spans="1:18" x14ac:dyDescent="0.25">
      <c r="A8209" t="s">
        <v>18679</v>
      </c>
      <c r="B8209" t="s">
        <v>9684</v>
      </c>
      <c r="C8209" t="str">
        <f>HYPERLINK("https://nematode.unl.edu/pariat2.jpg")</f>
        <v>https://nematode.unl.edu/pariat2.jpg</v>
      </c>
      <c r="D8209" t="s">
        <v>43</v>
      </c>
      <c r="G8209" t="s">
        <v>34</v>
      </c>
      <c r="H8209" t="s">
        <v>18</v>
      </c>
      <c r="I8209" t="s">
        <v>19</v>
      </c>
      <c r="J8209" t="s">
        <v>116</v>
      </c>
      <c r="L8209" t="s">
        <v>85</v>
      </c>
      <c r="M8209" t="s">
        <v>9683</v>
      </c>
      <c r="N8209" t="s">
        <v>9683</v>
      </c>
      <c r="O8209" t="s">
        <v>23</v>
      </c>
      <c r="P8209" t="s">
        <v>24</v>
      </c>
      <c r="Q8209" t="s">
        <v>1592</v>
      </c>
      <c r="R8209" t="s">
        <v>1591</v>
      </c>
    </row>
    <row r="8210" spans="1:18" x14ac:dyDescent="0.25">
      <c r="A8210" t="s">
        <v>18691</v>
      </c>
      <c r="B8210" t="s">
        <v>9685</v>
      </c>
      <c r="C8210" t="str">
        <f>HYPERLINK("https://nematode.unl.edu/pariat3.jpg")</f>
        <v>https://nematode.unl.edu/pariat3.jpg</v>
      </c>
      <c r="D8210" t="s">
        <v>43</v>
      </c>
      <c r="G8210" t="s">
        <v>28</v>
      </c>
      <c r="I8210" t="s">
        <v>19</v>
      </c>
      <c r="J8210" t="s">
        <v>116</v>
      </c>
      <c r="L8210" t="s">
        <v>85</v>
      </c>
      <c r="M8210" t="s">
        <v>9683</v>
      </c>
      <c r="N8210" t="s">
        <v>9683</v>
      </c>
      <c r="O8210" t="s">
        <v>23</v>
      </c>
      <c r="P8210" t="s">
        <v>24</v>
      </c>
      <c r="Q8210" t="s">
        <v>1592</v>
      </c>
      <c r="R8210" t="s">
        <v>1591</v>
      </c>
    </row>
    <row r="8211" spans="1:18" x14ac:dyDescent="0.25">
      <c r="A8211" t="s">
        <v>12457</v>
      </c>
      <c r="B8211" t="s">
        <v>9871</v>
      </c>
      <c r="C8211" t="str">
        <f>HYPERLINK("https://nematode.unl.edu/parma1.jpg")</f>
        <v>https://nematode.unl.edu/parma1.jpg</v>
      </c>
      <c r="G8211" t="s">
        <v>34</v>
      </c>
      <c r="H8211" t="s">
        <v>18</v>
      </c>
      <c r="I8211" t="s">
        <v>19</v>
      </c>
      <c r="J8211" t="s">
        <v>20</v>
      </c>
      <c r="L8211" t="s">
        <v>64</v>
      </c>
      <c r="M8211" t="s">
        <v>9872</v>
      </c>
      <c r="N8211" t="s">
        <v>9872</v>
      </c>
      <c r="O8211" t="s">
        <v>23</v>
      </c>
      <c r="P8211" t="s">
        <v>1649</v>
      </c>
      <c r="Q8211" t="s">
        <v>1650</v>
      </c>
      <c r="R8211" t="s">
        <v>1651</v>
      </c>
    </row>
    <row r="8212" spans="1:18" x14ac:dyDescent="0.25">
      <c r="A8212" t="s">
        <v>12454</v>
      </c>
      <c r="B8212" t="s">
        <v>9873</v>
      </c>
      <c r="C8212" t="str">
        <f>HYPERLINK("https://nematode.unl.edu/parma2.jpg")</f>
        <v>https://nematode.unl.edu/parma2.jpg</v>
      </c>
      <c r="D8212" t="s">
        <v>16</v>
      </c>
      <c r="G8212" t="s">
        <v>386</v>
      </c>
      <c r="H8212" t="s">
        <v>18</v>
      </c>
      <c r="I8212" t="s">
        <v>19</v>
      </c>
      <c r="J8212" t="s">
        <v>20</v>
      </c>
      <c r="L8212" t="s">
        <v>64</v>
      </c>
      <c r="M8212" t="s">
        <v>9872</v>
      </c>
      <c r="N8212" t="s">
        <v>9872</v>
      </c>
      <c r="O8212" t="s">
        <v>23</v>
      </c>
      <c r="P8212" t="s">
        <v>1649</v>
      </c>
      <c r="Q8212" t="s">
        <v>1650</v>
      </c>
      <c r="R8212" t="s">
        <v>1651</v>
      </c>
    </row>
    <row r="8213" spans="1:18" x14ac:dyDescent="0.25">
      <c r="A8213" t="s">
        <v>12463</v>
      </c>
      <c r="B8213" t="s">
        <v>9874</v>
      </c>
      <c r="C8213" t="str">
        <f>HYPERLINK("https://nematode.unl.edu/parma3.jpg")</f>
        <v>https://nematode.unl.edu/parma3.jpg</v>
      </c>
      <c r="D8213" t="s">
        <v>16</v>
      </c>
      <c r="G8213" t="s">
        <v>28</v>
      </c>
      <c r="I8213" t="s">
        <v>19</v>
      </c>
      <c r="J8213" t="s">
        <v>20</v>
      </c>
      <c r="M8213" t="s">
        <v>9872</v>
      </c>
      <c r="N8213" t="s">
        <v>9872</v>
      </c>
      <c r="O8213" t="s">
        <v>23</v>
      </c>
      <c r="P8213" t="s">
        <v>1649</v>
      </c>
      <c r="Q8213" t="s">
        <v>1650</v>
      </c>
      <c r="R8213" t="s">
        <v>1651</v>
      </c>
    </row>
    <row r="8214" spans="1:18" x14ac:dyDescent="0.25">
      <c r="A8214" t="s">
        <v>12458</v>
      </c>
      <c r="B8214" t="s">
        <v>9875</v>
      </c>
      <c r="C8214" t="str">
        <f>HYPERLINK("https://nematode.unl.edu/parma4.jpg")</f>
        <v>https://nematode.unl.edu/parma4.jpg</v>
      </c>
      <c r="D8214" t="s">
        <v>16</v>
      </c>
      <c r="G8214" t="s">
        <v>34</v>
      </c>
      <c r="H8214" t="s">
        <v>18</v>
      </c>
      <c r="I8214" t="s">
        <v>41</v>
      </c>
      <c r="J8214" t="s">
        <v>20</v>
      </c>
      <c r="L8214" t="s">
        <v>64</v>
      </c>
      <c r="M8214" t="s">
        <v>9872</v>
      </c>
      <c r="N8214" t="s">
        <v>9872</v>
      </c>
      <c r="O8214" t="s">
        <v>23</v>
      </c>
      <c r="P8214" t="s">
        <v>1649</v>
      </c>
      <c r="Q8214" t="s">
        <v>1650</v>
      </c>
      <c r="R8214" t="s">
        <v>1651</v>
      </c>
    </row>
    <row r="8215" spans="1:18" x14ac:dyDescent="0.25">
      <c r="A8215" t="s">
        <v>12455</v>
      </c>
      <c r="B8215" t="s">
        <v>9876</v>
      </c>
      <c r="C8215" t="str">
        <f>HYPERLINK("https://nematode.unl.edu/parma5.jpg")</f>
        <v>https://nematode.unl.edu/parma5.jpg</v>
      </c>
      <c r="D8215" t="s">
        <v>16</v>
      </c>
      <c r="G8215" t="s">
        <v>386</v>
      </c>
      <c r="H8215" t="s">
        <v>18</v>
      </c>
      <c r="I8215" t="s">
        <v>41</v>
      </c>
      <c r="J8215" t="s">
        <v>20</v>
      </c>
      <c r="M8215" t="s">
        <v>9872</v>
      </c>
      <c r="N8215" t="s">
        <v>9872</v>
      </c>
      <c r="O8215" t="s">
        <v>23</v>
      </c>
      <c r="P8215" t="s">
        <v>1649</v>
      </c>
      <c r="Q8215" t="s">
        <v>1650</v>
      </c>
      <c r="R8215" t="s">
        <v>1651</v>
      </c>
    </row>
    <row r="8216" spans="1:18" x14ac:dyDescent="0.25">
      <c r="A8216" t="s">
        <v>12459</v>
      </c>
      <c r="B8216" t="s">
        <v>9877</v>
      </c>
      <c r="C8216" t="str">
        <f>HYPERLINK("https://nematode.unl.edu/parma6.jpg")</f>
        <v>https://nematode.unl.edu/parma6.jpg</v>
      </c>
      <c r="G8216" t="s">
        <v>34</v>
      </c>
      <c r="H8216" t="s">
        <v>18</v>
      </c>
      <c r="I8216" t="s">
        <v>19</v>
      </c>
      <c r="J8216" t="s">
        <v>20</v>
      </c>
      <c r="L8216" t="s">
        <v>64</v>
      </c>
      <c r="M8216" t="s">
        <v>9872</v>
      </c>
      <c r="N8216" t="s">
        <v>9872</v>
      </c>
      <c r="O8216" t="s">
        <v>23</v>
      </c>
      <c r="P8216" t="s">
        <v>1649</v>
      </c>
      <c r="Q8216" t="s">
        <v>1650</v>
      </c>
      <c r="R8216" t="s">
        <v>1651</v>
      </c>
    </row>
    <row r="8217" spans="1:18" x14ac:dyDescent="0.25">
      <c r="A8217" t="s">
        <v>12464</v>
      </c>
      <c r="B8217" t="s">
        <v>9878</v>
      </c>
      <c r="C8217" t="str">
        <f>HYPERLINK("https://nematode.unl.edu/parma7.jpg")</f>
        <v>https://nematode.unl.edu/parma7.jpg</v>
      </c>
      <c r="D8217" t="s">
        <v>16</v>
      </c>
      <c r="G8217" t="s">
        <v>28</v>
      </c>
      <c r="I8217" t="s">
        <v>19</v>
      </c>
      <c r="J8217" t="s">
        <v>20</v>
      </c>
      <c r="L8217" t="s">
        <v>64</v>
      </c>
      <c r="M8217" t="s">
        <v>9872</v>
      </c>
      <c r="N8217" t="s">
        <v>9872</v>
      </c>
      <c r="O8217" t="s">
        <v>23</v>
      </c>
      <c r="P8217" t="s">
        <v>1649</v>
      </c>
      <c r="Q8217" t="s">
        <v>1650</v>
      </c>
      <c r="R8217" t="s">
        <v>1651</v>
      </c>
    </row>
    <row r="8218" spans="1:18" x14ac:dyDescent="0.25">
      <c r="A8218" t="s">
        <v>12314</v>
      </c>
      <c r="B8218" t="s">
        <v>9586</v>
      </c>
      <c r="C8218" t="str">
        <f>HYPERLINK("https://nematode.unl.edu/parpl1.jpg")</f>
        <v>https://nematode.unl.edu/parpl1.jpg</v>
      </c>
      <c r="D8218" t="s">
        <v>16</v>
      </c>
      <c r="G8218" t="s">
        <v>34</v>
      </c>
      <c r="H8218" t="s">
        <v>18</v>
      </c>
      <c r="I8218" t="s">
        <v>41</v>
      </c>
      <c r="L8218" t="s">
        <v>85</v>
      </c>
      <c r="M8218" t="s">
        <v>9584</v>
      </c>
      <c r="N8218" t="s">
        <v>9584</v>
      </c>
      <c r="O8218" t="s">
        <v>23</v>
      </c>
      <c r="P8218" t="s">
        <v>1649</v>
      </c>
      <c r="Q8218" t="s">
        <v>6870</v>
      </c>
      <c r="R8218" t="s">
        <v>9584</v>
      </c>
    </row>
    <row r="8219" spans="1:18" x14ac:dyDescent="0.25">
      <c r="A8219" t="s">
        <v>12315</v>
      </c>
      <c r="B8219" t="s">
        <v>9587</v>
      </c>
      <c r="C8219" t="str">
        <f>HYPERLINK("https://nematode.unl.edu/parpl2.jpg")</f>
        <v>https://nematode.unl.edu/parpl2.jpg</v>
      </c>
      <c r="D8219" t="s">
        <v>16</v>
      </c>
      <c r="G8219" t="s">
        <v>87</v>
      </c>
      <c r="L8219" t="s">
        <v>85</v>
      </c>
      <c r="M8219" t="s">
        <v>9584</v>
      </c>
      <c r="N8219" t="s">
        <v>9584</v>
      </c>
      <c r="O8219" t="s">
        <v>23</v>
      </c>
      <c r="P8219" t="s">
        <v>1649</v>
      </c>
      <c r="Q8219" t="s">
        <v>6870</v>
      </c>
      <c r="R8219" t="s">
        <v>9584</v>
      </c>
    </row>
    <row r="8220" spans="1:18" x14ac:dyDescent="0.25">
      <c r="A8220" t="s">
        <v>12316</v>
      </c>
      <c r="B8220" t="s">
        <v>9588</v>
      </c>
      <c r="C8220" t="str">
        <f>HYPERLINK("https://nematode.unl.edu/parpl3.jpg")</f>
        <v>https://nematode.unl.edu/parpl3.jpg</v>
      </c>
      <c r="D8220" t="s">
        <v>16</v>
      </c>
      <c r="G8220" t="s">
        <v>53</v>
      </c>
      <c r="I8220" t="s">
        <v>41</v>
      </c>
      <c r="L8220" t="s">
        <v>85</v>
      </c>
      <c r="M8220" t="s">
        <v>9584</v>
      </c>
      <c r="N8220" t="s">
        <v>9584</v>
      </c>
      <c r="O8220" t="s">
        <v>23</v>
      </c>
      <c r="P8220" t="s">
        <v>1649</v>
      </c>
      <c r="Q8220" t="s">
        <v>6870</v>
      </c>
      <c r="R8220" t="s">
        <v>9584</v>
      </c>
    </row>
    <row r="8221" spans="1:18" x14ac:dyDescent="0.25">
      <c r="A8221" t="s">
        <v>12318</v>
      </c>
      <c r="B8221" t="s">
        <v>9589</v>
      </c>
      <c r="C8221" t="str">
        <f>HYPERLINK("https://nematode.unl.edu/parpl4.jpg")</f>
        <v>https://nematode.unl.edu/parpl4.jpg</v>
      </c>
      <c r="D8221" t="s">
        <v>16</v>
      </c>
      <c r="G8221" t="s">
        <v>28</v>
      </c>
      <c r="I8221" t="s">
        <v>41</v>
      </c>
      <c r="L8221" t="s">
        <v>85</v>
      </c>
      <c r="M8221" t="s">
        <v>9584</v>
      </c>
      <c r="N8221" t="s">
        <v>9584</v>
      </c>
      <c r="O8221" t="s">
        <v>23</v>
      </c>
      <c r="P8221" t="s">
        <v>1649</v>
      </c>
      <c r="Q8221" t="s">
        <v>6870</v>
      </c>
      <c r="R8221" t="s">
        <v>9584</v>
      </c>
    </row>
    <row r="8222" spans="1:18" x14ac:dyDescent="0.25">
      <c r="A8222" t="s">
        <v>18676</v>
      </c>
      <c r="B8222" t="s">
        <v>9676</v>
      </c>
      <c r="C8222" t="str">
        <f>HYPERLINK("https://nematode.unl.edu/parva1.jpg")</f>
        <v>https://nematode.unl.edu/parva1.jpg</v>
      </c>
      <c r="D8222" t="s">
        <v>43</v>
      </c>
      <c r="G8222" t="s">
        <v>44</v>
      </c>
      <c r="I8222" t="s">
        <v>45</v>
      </c>
      <c r="J8222" t="s">
        <v>20</v>
      </c>
      <c r="L8222" t="s">
        <v>206</v>
      </c>
      <c r="M8222" t="s">
        <v>9677</v>
      </c>
      <c r="N8222" t="s">
        <v>9677</v>
      </c>
      <c r="O8222" t="s">
        <v>23</v>
      </c>
      <c r="P8222" t="s">
        <v>24</v>
      </c>
      <c r="Q8222" t="s">
        <v>1592</v>
      </c>
      <c r="R8222" t="s">
        <v>1591</v>
      </c>
    </row>
    <row r="8223" spans="1:18" x14ac:dyDescent="0.25">
      <c r="A8223" t="s">
        <v>18674</v>
      </c>
      <c r="B8223" t="s">
        <v>9678</v>
      </c>
      <c r="C8223" t="str">
        <f>HYPERLINK("https://nematode.unl.edu/parva2.jpg")</f>
        <v>https://nematode.unl.edu/parva2.jpg</v>
      </c>
      <c r="D8223" t="s">
        <v>43</v>
      </c>
      <c r="G8223" t="s">
        <v>34</v>
      </c>
      <c r="H8223" t="s">
        <v>18</v>
      </c>
      <c r="I8223" t="s">
        <v>19</v>
      </c>
      <c r="J8223" t="s">
        <v>20</v>
      </c>
      <c r="L8223" t="s">
        <v>206</v>
      </c>
      <c r="M8223" t="s">
        <v>9677</v>
      </c>
      <c r="N8223" t="s">
        <v>9677</v>
      </c>
      <c r="O8223" t="s">
        <v>23</v>
      </c>
      <c r="P8223" t="s">
        <v>24</v>
      </c>
      <c r="Q8223" t="s">
        <v>1592</v>
      </c>
      <c r="R8223" t="s">
        <v>1591</v>
      </c>
    </row>
    <row r="8224" spans="1:18" x14ac:dyDescent="0.25">
      <c r="A8224" t="s">
        <v>18678</v>
      </c>
      <c r="B8224" t="s">
        <v>9679</v>
      </c>
      <c r="C8224" t="str">
        <f>HYPERLINK("https://nematode.unl.edu/parva3.jpg")</f>
        <v>https://nematode.unl.edu/parva3.jpg</v>
      </c>
      <c r="D8224" t="s">
        <v>43</v>
      </c>
      <c r="G8224" t="s">
        <v>51</v>
      </c>
      <c r="I8224" t="s">
        <v>19</v>
      </c>
      <c r="J8224" t="s">
        <v>20</v>
      </c>
      <c r="L8224" t="s">
        <v>206</v>
      </c>
      <c r="M8224" t="s">
        <v>9677</v>
      </c>
      <c r="N8224" t="s">
        <v>9677</v>
      </c>
      <c r="O8224" t="s">
        <v>23</v>
      </c>
      <c r="P8224" t="s">
        <v>24</v>
      </c>
      <c r="Q8224" t="s">
        <v>1592</v>
      </c>
      <c r="R8224" t="s">
        <v>1591</v>
      </c>
    </row>
    <row r="8225" spans="1:18" x14ac:dyDescent="0.25">
      <c r="A8225" t="s">
        <v>18675</v>
      </c>
      <c r="B8225" t="s">
        <v>9680</v>
      </c>
      <c r="C8225" t="str">
        <f>HYPERLINK("https://nematode.unl.edu/parva4.jpg")</f>
        <v>https://nematode.unl.edu/parva4.jpg</v>
      </c>
      <c r="D8225" t="s">
        <v>43</v>
      </c>
      <c r="G8225" t="s">
        <v>34</v>
      </c>
      <c r="H8225" t="s">
        <v>18</v>
      </c>
      <c r="I8225" t="s">
        <v>41</v>
      </c>
      <c r="J8225" t="s">
        <v>20</v>
      </c>
      <c r="M8225" t="s">
        <v>9677</v>
      </c>
      <c r="N8225" t="s">
        <v>9677</v>
      </c>
      <c r="O8225" t="s">
        <v>23</v>
      </c>
      <c r="P8225" t="s">
        <v>24</v>
      </c>
      <c r="Q8225" t="s">
        <v>1592</v>
      </c>
      <c r="R8225" t="s">
        <v>1591</v>
      </c>
    </row>
    <row r="8226" spans="1:18" x14ac:dyDescent="0.25">
      <c r="A8226" t="s">
        <v>18677</v>
      </c>
      <c r="B8226" t="s">
        <v>9681</v>
      </c>
      <c r="C8226" t="str">
        <f>HYPERLINK("https://nematode.unl.edu/parva5.jpg")</f>
        <v>https://nematode.unl.edu/parva5.jpg</v>
      </c>
      <c r="D8226" t="s">
        <v>43</v>
      </c>
      <c r="G8226" t="s">
        <v>28</v>
      </c>
      <c r="I8226" t="s">
        <v>41</v>
      </c>
      <c r="J8226" t="s">
        <v>20</v>
      </c>
      <c r="M8226" t="s">
        <v>9677</v>
      </c>
      <c r="N8226" t="s">
        <v>9677</v>
      </c>
      <c r="O8226" t="s">
        <v>23</v>
      </c>
      <c r="P8226" t="s">
        <v>24</v>
      </c>
      <c r="Q8226" t="s">
        <v>1592</v>
      </c>
      <c r="R8226" t="s">
        <v>1591</v>
      </c>
    </row>
    <row r="8227" spans="1:18" x14ac:dyDescent="0.25">
      <c r="A8227" t="s">
        <v>12467</v>
      </c>
      <c r="B8227" t="s">
        <v>9885</v>
      </c>
      <c r="C8227" t="str">
        <f>HYPERLINK("https://nematode.unl.edu/passim1.jpg")</f>
        <v>https://nematode.unl.edu/passim1.jpg</v>
      </c>
      <c r="D8227" t="s">
        <v>16</v>
      </c>
      <c r="G8227" t="s">
        <v>34</v>
      </c>
      <c r="H8227" t="s">
        <v>18</v>
      </c>
      <c r="I8227" t="s">
        <v>41</v>
      </c>
      <c r="J8227" t="s">
        <v>20</v>
      </c>
      <c r="L8227" t="s">
        <v>29</v>
      </c>
      <c r="M8227" t="s">
        <v>9886</v>
      </c>
      <c r="N8227" t="s">
        <v>9886</v>
      </c>
      <c r="O8227" t="s">
        <v>23</v>
      </c>
      <c r="P8227" t="s">
        <v>1649</v>
      </c>
      <c r="Q8227" t="s">
        <v>1650</v>
      </c>
      <c r="R8227" t="s">
        <v>1651</v>
      </c>
    </row>
    <row r="8228" spans="1:18" x14ac:dyDescent="0.25">
      <c r="A8228" t="s">
        <v>12473</v>
      </c>
      <c r="B8228" t="s">
        <v>9887</v>
      </c>
      <c r="C8228" t="str">
        <f>HYPERLINK("https://nematode.unl.edu/passim2.jpg")</f>
        <v>https://nematode.unl.edu/passim2.jpg</v>
      </c>
      <c r="D8228" t="s">
        <v>16</v>
      </c>
      <c r="G8228" t="s">
        <v>384</v>
      </c>
      <c r="I8228" t="s">
        <v>41</v>
      </c>
      <c r="J8228" t="s">
        <v>20</v>
      </c>
      <c r="L8228" t="s">
        <v>64</v>
      </c>
      <c r="M8228" t="s">
        <v>9886</v>
      </c>
      <c r="N8228" t="s">
        <v>9886</v>
      </c>
      <c r="O8228" t="s">
        <v>23</v>
      </c>
      <c r="P8228" t="s">
        <v>1649</v>
      </c>
      <c r="Q8228" t="s">
        <v>1650</v>
      </c>
      <c r="R8228" t="s">
        <v>1651</v>
      </c>
    </row>
    <row r="8229" spans="1:18" x14ac:dyDescent="0.25">
      <c r="A8229" t="s">
        <v>12475</v>
      </c>
      <c r="B8229" t="s">
        <v>9888</v>
      </c>
      <c r="C8229" t="str">
        <f>HYPERLINK("https://nematode.unl.edu/passim3.jpg")</f>
        <v>https://nematode.unl.edu/passim3.jpg</v>
      </c>
      <c r="D8229" t="s">
        <v>16</v>
      </c>
      <c r="G8229" t="s">
        <v>28</v>
      </c>
      <c r="I8229" t="s">
        <v>41</v>
      </c>
      <c r="M8229" t="s">
        <v>9886</v>
      </c>
      <c r="N8229" t="s">
        <v>9886</v>
      </c>
      <c r="O8229" t="s">
        <v>23</v>
      </c>
      <c r="P8229" t="s">
        <v>1649</v>
      </c>
      <c r="Q8229" t="s">
        <v>1650</v>
      </c>
      <c r="R8229" t="s">
        <v>1651</v>
      </c>
    </row>
    <row r="8230" spans="1:18" x14ac:dyDescent="0.25">
      <c r="A8230" t="s">
        <v>12468</v>
      </c>
      <c r="B8230" t="s">
        <v>9889</v>
      </c>
      <c r="C8230" t="str">
        <f>HYPERLINK("https://nematode.unl.edu/passim4.jpg")</f>
        <v>https://nematode.unl.edu/passim4.jpg</v>
      </c>
      <c r="D8230" t="s">
        <v>16</v>
      </c>
      <c r="G8230" t="s">
        <v>34</v>
      </c>
      <c r="H8230" t="s">
        <v>18</v>
      </c>
      <c r="I8230" t="s">
        <v>19</v>
      </c>
      <c r="J8230" t="s">
        <v>20</v>
      </c>
      <c r="L8230" t="s">
        <v>141</v>
      </c>
      <c r="M8230" t="s">
        <v>9886</v>
      </c>
      <c r="N8230" t="s">
        <v>9886</v>
      </c>
      <c r="O8230" t="s">
        <v>23</v>
      </c>
      <c r="P8230" t="s">
        <v>1649</v>
      </c>
      <c r="Q8230" t="s">
        <v>1650</v>
      </c>
      <c r="R8230" t="s">
        <v>1651</v>
      </c>
    </row>
    <row r="8231" spans="1:18" x14ac:dyDescent="0.25">
      <c r="A8231" t="s">
        <v>12469</v>
      </c>
      <c r="B8231" t="s">
        <v>9890</v>
      </c>
      <c r="C8231" t="str">
        <f>HYPERLINK("https://nematode.unl.edu/passim5.jpg")</f>
        <v>https://nematode.unl.edu/passim5.jpg</v>
      </c>
      <c r="D8231" t="s">
        <v>16</v>
      </c>
      <c r="G8231" t="s">
        <v>34</v>
      </c>
      <c r="H8231" t="s">
        <v>18</v>
      </c>
      <c r="J8231" t="s">
        <v>20</v>
      </c>
      <c r="M8231" t="s">
        <v>9886</v>
      </c>
      <c r="N8231" t="s">
        <v>9886</v>
      </c>
      <c r="O8231" t="s">
        <v>23</v>
      </c>
      <c r="P8231" t="s">
        <v>1649</v>
      </c>
      <c r="Q8231" t="s">
        <v>1650</v>
      </c>
      <c r="R8231" t="s">
        <v>1651</v>
      </c>
    </row>
    <row r="8232" spans="1:18" x14ac:dyDescent="0.25">
      <c r="A8232" t="s">
        <v>12476</v>
      </c>
      <c r="B8232" t="s">
        <v>9891</v>
      </c>
      <c r="C8232" t="str">
        <f>HYPERLINK("https://nematode.unl.edu/passim6.jpg")</f>
        <v>https://nematode.unl.edu/passim6.jpg</v>
      </c>
      <c r="D8232" t="s">
        <v>16</v>
      </c>
      <c r="G8232" t="s">
        <v>28</v>
      </c>
      <c r="I8232" t="s">
        <v>19</v>
      </c>
      <c r="J8232" t="s">
        <v>20</v>
      </c>
      <c r="L8232" t="s">
        <v>64</v>
      </c>
      <c r="M8232" t="s">
        <v>9886</v>
      </c>
      <c r="N8232" t="s">
        <v>9886</v>
      </c>
      <c r="O8232" t="s">
        <v>23</v>
      </c>
      <c r="P8232" t="s">
        <v>1649</v>
      </c>
      <c r="Q8232" t="s">
        <v>1650</v>
      </c>
      <c r="R8232" t="s">
        <v>1651</v>
      </c>
    </row>
    <row r="8233" spans="1:18" x14ac:dyDescent="0.25">
      <c r="A8233" t="s">
        <v>15935</v>
      </c>
      <c r="B8233" t="s">
        <v>9620</v>
      </c>
      <c r="C8233" t="str">
        <f>HYPERLINK("https://nematode.unl.edu/patrop1.jpg")</f>
        <v>https://nematode.unl.edu/patrop1.jpg</v>
      </c>
      <c r="D8233" t="s">
        <v>77</v>
      </c>
      <c r="G8233" t="s">
        <v>112</v>
      </c>
      <c r="J8233" t="s">
        <v>20</v>
      </c>
      <c r="M8233" t="s">
        <v>9621</v>
      </c>
      <c r="N8233" t="s">
        <v>9621</v>
      </c>
      <c r="O8233" t="s">
        <v>23</v>
      </c>
      <c r="P8233" t="s">
        <v>24</v>
      </c>
      <c r="Q8233" t="s">
        <v>1071</v>
      </c>
      <c r="R8233" t="s">
        <v>9621</v>
      </c>
    </row>
    <row r="8234" spans="1:18" x14ac:dyDescent="0.25">
      <c r="A8234" t="s">
        <v>15937</v>
      </c>
      <c r="B8234" t="s">
        <v>9622</v>
      </c>
      <c r="C8234" t="str">
        <f>HYPERLINK("https://nematode.unl.edu/patrop10.jpg")</f>
        <v>https://nematode.unl.edu/patrop10.jpg</v>
      </c>
      <c r="D8234" t="s">
        <v>43</v>
      </c>
      <c r="G8234" t="s">
        <v>28</v>
      </c>
      <c r="J8234" t="s">
        <v>20</v>
      </c>
      <c r="L8234" t="s">
        <v>38</v>
      </c>
      <c r="M8234" t="s">
        <v>9621</v>
      </c>
      <c r="N8234" t="s">
        <v>9621</v>
      </c>
      <c r="O8234" t="s">
        <v>23</v>
      </c>
      <c r="P8234" t="s">
        <v>24</v>
      </c>
      <c r="Q8234" t="s">
        <v>1071</v>
      </c>
      <c r="R8234" t="s">
        <v>9621</v>
      </c>
    </row>
    <row r="8235" spans="1:18" x14ac:dyDescent="0.25">
      <c r="A8235" t="s">
        <v>15916</v>
      </c>
      <c r="B8235" t="s">
        <v>9623</v>
      </c>
      <c r="C8235" t="str">
        <f>HYPERLINK("https://nematode.unl.edu/patrop11.jpg")</f>
        <v>https://nematode.unl.edu/patrop11.jpg</v>
      </c>
      <c r="D8235" t="s">
        <v>43</v>
      </c>
      <c r="G8235" t="s">
        <v>34</v>
      </c>
      <c r="H8235" t="s">
        <v>18</v>
      </c>
      <c r="J8235" t="s">
        <v>20</v>
      </c>
      <c r="L8235" t="s">
        <v>38</v>
      </c>
      <c r="M8235" t="s">
        <v>9621</v>
      </c>
      <c r="N8235" t="s">
        <v>9621</v>
      </c>
      <c r="O8235" t="s">
        <v>23</v>
      </c>
      <c r="P8235" t="s">
        <v>24</v>
      </c>
      <c r="Q8235" t="s">
        <v>1071</v>
      </c>
      <c r="R8235" t="s">
        <v>9621</v>
      </c>
    </row>
    <row r="8236" spans="1:18" x14ac:dyDescent="0.25">
      <c r="A8236" t="s">
        <v>15925</v>
      </c>
      <c r="B8236" t="s">
        <v>9624</v>
      </c>
      <c r="C8236" t="str">
        <f>HYPERLINK("https://nematode.unl.edu/patrop12.jpg")</f>
        <v>https://nematode.unl.edu/patrop12.jpg</v>
      </c>
      <c r="D8236" t="s">
        <v>43</v>
      </c>
      <c r="G8236" t="s">
        <v>44</v>
      </c>
      <c r="I8236" t="s">
        <v>1008</v>
      </c>
      <c r="J8236" t="s">
        <v>20</v>
      </c>
      <c r="L8236" t="s">
        <v>38</v>
      </c>
      <c r="M8236" t="s">
        <v>9621</v>
      </c>
      <c r="N8236" t="s">
        <v>9621</v>
      </c>
      <c r="O8236" t="s">
        <v>23</v>
      </c>
      <c r="P8236" t="s">
        <v>24</v>
      </c>
      <c r="Q8236" t="s">
        <v>1071</v>
      </c>
      <c r="R8236" t="s">
        <v>9621</v>
      </c>
    </row>
    <row r="8237" spans="1:18" x14ac:dyDescent="0.25">
      <c r="A8237" t="s">
        <v>15938</v>
      </c>
      <c r="B8237" t="s">
        <v>9625</v>
      </c>
      <c r="C8237" t="str">
        <f>HYPERLINK("https://nematode.unl.edu/patrop13.jpg")</f>
        <v>https://nematode.unl.edu/patrop13.jpg</v>
      </c>
      <c r="D8237" t="s">
        <v>43</v>
      </c>
      <c r="G8237" t="s">
        <v>28</v>
      </c>
      <c r="J8237" t="s">
        <v>20</v>
      </c>
      <c r="L8237" t="s">
        <v>38</v>
      </c>
      <c r="M8237" t="s">
        <v>9621</v>
      </c>
      <c r="N8237" t="s">
        <v>9621</v>
      </c>
      <c r="O8237" t="s">
        <v>23</v>
      </c>
      <c r="P8237" t="s">
        <v>24</v>
      </c>
      <c r="Q8237" t="s">
        <v>1071</v>
      </c>
      <c r="R8237" t="s">
        <v>9621</v>
      </c>
    </row>
    <row r="8238" spans="1:18" x14ac:dyDescent="0.25">
      <c r="A8238" t="s">
        <v>15942</v>
      </c>
      <c r="B8238" t="s">
        <v>9626</v>
      </c>
      <c r="C8238" t="str">
        <f>HYPERLINK("https://nematode.unl.edu/patrop14.jpg")</f>
        <v>https://nematode.unl.edu/patrop14.jpg</v>
      </c>
      <c r="D8238" t="s">
        <v>43</v>
      </c>
      <c r="G8238" t="s">
        <v>51</v>
      </c>
      <c r="I8238" t="s">
        <v>529</v>
      </c>
      <c r="J8238" t="s">
        <v>20</v>
      </c>
      <c r="L8238" t="s">
        <v>38</v>
      </c>
      <c r="M8238" t="s">
        <v>9621</v>
      </c>
      <c r="N8238" t="s">
        <v>9621</v>
      </c>
      <c r="O8238" t="s">
        <v>23</v>
      </c>
      <c r="P8238" t="s">
        <v>24</v>
      </c>
      <c r="Q8238" t="s">
        <v>1071</v>
      </c>
      <c r="R8238" t="s">
        <v>9621</v>
      </c>
    </row>
    <row r="8239" spans="1:18" x14ac:dyDescent="0.25">
      <c r="A8239" t="s">
        <v>15929</v>
      </c>
      <c r="B8239" t="s">
        <v>9627</v>
      </c>
      <c r="C8239" t="str">
        <f>HYPERLINK("https://nematode.unl.edu/patrop15.jpg")</f>
        <v>https://nematode.unl.edu/patrop15.jpg</v>
      </c>
      <c r="D8239" t="s">
        <v>43</v>
      </c>
      <c r="G8239" t="s">
        <v>53</v>
      </c>
      <c r="I8239" t="s">
        <v>41</v>
      </c>
      <c r="J8239" t="s">
        <v>20</v>
      </c>
      <c r="L8239" t="s">
        <v>38</v>
      </c>
      <c r="M8239" t="s">
        <v>9621</v>
      </c>
      <c r="N8239" t="s">
        <v>9621</v>
      </c>
      <c r="O8239" t="s">
        <v>23</v>
      </c>
      <c r="P8239" t="s">
        <v>24</v>
      </c>
      <c r="Q8239" t="s">
        <v>1071</v>
      </c>
      <c r="R8239" t="s">
        <v>9621</v>
      </c>
    </row>
    <row r="8240" spans="1:18" x14ac:dyDescent="0.25">
      <c r="A8240" t="s">
        <v>15917</v>
      </c>
      <c r="B8240" t="s">
        <v>9628</v>
      </c>
      <c r="C8240" t="str">
        <f>HYPERLINK("https://nematode.unl.edu/patrop16.jpg")</f>
        <v>https://nematode.unl.edu/patrop16.jpg</v>
      </c>
      <c r="D8240" t="s">
        <v>43</v>
      </c>
      <c r="G8240" t="s">
        <v>34</v>
      </c>
      <c r="H8240" t="s">
        <v>18</v>
      </c>
      <c r="J8240" t="s">
        <v>20</v>
      </c>
      <c r="L8240" t="s">
        <v>38</v>
      </c>
      <c r="M8240" t="s">
        <v>9621</v>
      </c>
      <c r="N8240" t="s">
        <v>9621</v>
      </c>
      <c r="O8240" t="s">
        <v>23</v>
      </c>
      <c r="P8240" t="s">
        <v>24</v>
      </c>
      <c r="Q8240" t="s">
        <v>1071</v>
      </c>
      <c r="R8240" t="s">
        <v>9621</v>
      </c>
    </row>
    <row r="8241" spans="1:18" x14ac:dyDescent="0.25">
      <c r="A8241" t="s">
        <v>15924</v>
      </c>
      <c r="B8241" t="s">
        <v>9629</v>
      </c>
      <c r="C8241" t="str">
        <f>HYPERLINK("https://nematode.unl.edu/patrop17.jpg")</f>
        <v>https://nematode.unl.edu/patrop17.jpg</v>
      </c>
      <c r="D8241" t="s">
        <v>43</v>
      </c>
      <c r="G8241" t="s">
        <v>87</v>
      </c>
      <c r="I8241" t="s">
        <v>41</v>
      </c>
      <c r="J8241" t="s">
        <v>20</v>
      </c>
      <c r="L8241" t="s">
        <v>38</v>
      </c>
      <c r="M8241" t="s">
        <v>9621</v>
      </c>
      <c r="N8241" t="s">
        <v>9621</v>
      </c>
      <c r="O8241" t="s">
        <v>23</v>
      </c>
      <c r="P8241" t="s">
        <v>24</v>
      </c>
      <c r="Q8241" t="s">
        <v>1071</v>
      </c>
      <c r="R8241" t="s">
        <v>9621</v>
      </c>
    </row>
    <row r="8242" spans="1:18" x14ac:dyDescent="0.25">
      <c r="A8242" t="s">
        <v>15918</v>
      </c>
      <c r="B8242" t="s">
        <v>9630</v>
      </c>
      <c r="C8242" t="str">
        <f>HYPERLINK("https://nematode.unl.edu/patrop18.jpg")</f>
        <v>https://nematode.unl.edu/patrop18.jpg</v>
      </c>
      <c r="D8242" t="s">
        <v>43</v>
      </c>
      <c r="G8242" t="s">
        <v>34</v>
      </c>
      <c r="H8242" t="s">
        <v>18</v>
      </c>
      <c r="J8242" t="s">
        <v>20</v>
      </c>
      <c r="L8242" t="s">
        <v>38</v>
      </c>
      <c r="M8242" t="s">
        <v>9621</v>
      </c>
      <c r="N8242" t="s">
        <v>9621</v>
      </c>
      <c r="O8242" t="s">
        <v>23</v>
      </c>
      <c r="P8242" t="s">
        <v>24</v>
      </c>
      <c r="Q8242" t="s">
        <v>1071</v>
      </c>
      <c r="R8242" t="s">
        <v>9621</v>
      </c>
    </row>
    <row r="8243" spans="1:18" x14ac:dyDescent="0.25">
      <c r="A8243" t="s">
        <v>15919</v>
      </c>
      <c r="B8243" t="s">
        <v>9631</v>
      </c>
      <c r="C8243" t="str">
        <f>HYPERLINK("https://nematode.unl.edu/patrop19.jpg")</f>
        <v>https://nematode.unl.edu/patrop19.jpg</v>
      </c>
      <c r="D8243" t="s">
        <v>43</v>
      </c>
      <c r="G8243" t="s">
        <v>34</v>
      </c>
      <c r="H8243" t="s">
        <v>18</v>
      </c>
      <c r="I8243" t="s">
        <v>19</v>
      </c>
      <c r="J8243" t="s">
        <v>20</v>
      </c>
      <c r="L8243" t="s">
        <v>38</v>
      </c>
      <c r="M8243" t="s">
        <v>9621</v>
      </c>
      <c r="N8243" t="s">
        <v>9621</v>
      </c>
      <c r="O8243" t="s">
        <v>23</v>
      </c>
      <c r="P8243" t="s">
        <v>24</v>
      </c>
      <c r="Q8243" t="s">
        <v>1071</v>
      </c>
      <c r="R8243" t="s">
        <v>9621</v>
      </c>
    </row>
    <row r="8244" spans="1:18" x14ac:dyDescent="0.25">
      <c r="A8244" t="s">
        <v>15928</v>
      </c>
      <c r="B8244" t="s">
        <v>9632</v>
      </c>
      <c r="C8244" t="str">
        <f>HYPERLINK("https://nematode.unl.edu/patrop2.jpg")</f>
        <v>https://nematode.unl.edu/patrop2.jpg</v>
      </c>
      <c r="D8244" t="s">
        <v>77</v>
      </c>
      <c r="G8244" t="s">
        <v>1906</v>
      </c>
      <c r="I8244" t="s">
        <v>516</v>
      </c>
      <c r="J8244" t="s">
        <v>20</v>
      </c>
      <c r="L8244" t="s">
        <v>38</v>
      </c>
      <c r="M8244" t="s">
        <v>9621</v>
      </c>
      <c r="N8244" t="s">
        <v>9621</v>
      </c>
      <c r="O8244" t="s">
        <v>23</v>
      </c>
      <c r="P8244" t="s">
        <v>24</v>
      </c>
      <c r="Q8244" t="s">
        <v>1071</v>
      </c>
      <c r="R8244" t="s">
        <v>9621</v>
      </c>
    </row>
    <row r="8245" spans="1:18" x14ac:dyDescent="0.25">
      <c r="A8245" t="s">
        <v>15943</v>
      </c>
      <c r="B8245" t="s">
        <v>9633</v>
      </c>
      <c r="C8245" t="str">
        <f>HYPERLINK("https://nematode.unl.edu/patrop20.jpg")</f>
        <v>https://nematode.unl.edu/patrop20.jpg</v>
      </c>
      <c r="D8245" t="s">
        <v>43</v>
      </c>
      <c r="G8245" t="s">
        <v>51</v>
      </c>
      <c r="I8245" t="s">
        <v>45</v>
      </c>
      <c r="J8245" t="s">
        <v>20</v>
      </c>
      <c r="L8245" t="s">
        <v>38</v>
      </c>
      <c r="M8245" t="s">
        <v>9621</v>
      </c>
      <c r="N8245" t="s">
        <v>9621</v>
      </c>
      <c r="O8245" t="s">
        <v>23</v>
      </c>
      <c r="P8245" t="s">
        <v>24</v>
      </c>
      <c r="Q8245" t="s">
        <v>1071</v>
      </c>
      <c r="R8245" t="s">
        <v>9621</v>
      </c>
    </row>
    <row r="8246" spans="1:18" x14ac:dyDescent="0.25">
      <c r="A8246" t="s">
        <v>15926</v>
      </c>
      <c r="B8246" t="s">
        <v>9634</v>
      </c>
      <c r="C8246" t="str">
        <f>HYPERLINK("https://nematode.unl.edu/patrop21.jpg")</f>
        <v>https://nematode.unl.edu/patrop21.jpg</v>
      </c>
      <c r="D8246" t="s">
        <v>16</v>
      </c>
      <c r="G8246" t="s">
        <v>44</v>
      </c>
      <c r="I8246" t="s">
        <v>45</v>
      </c>
      <c r="J8246" t="s">
        <v>20</v>
      </c>
      <c r="L8246" t="s">
        <v>38</v>
      </c>
      <c r="M8246" t="s">
        <v>9621</v>
      </c>
      <c r="N8246" t="s">
        <v>9621</v>
      </c>
      <c r="O8246" t="s">
        <v>23</v>
      </c>
      <c r="P8246" t="s">
        <v>24</v>
      </c>
      <c r="Q8246" t="s">
        <v>1071</v>
      </c>
      <c r="R8246" t="s">
        <v>9621</v>
      </c>
    </row>
    <row r="8247" spans="1:18" x14ac:dyDescent="0.25">
      <c r="A8247" t="s">
        <v>15920</v>
      </c>
      <c r="B8247" t="s">
        <v>9635</v>
      </c>
      <c r="C8247" t="str">
        <f>HYPERLINK("https://nematode.unl.edu/patrop22.jpg")</f>
        <v>https://nematode.unl.edu/patrop22.jpg</v>
      </c>
      <c r="D8247" t="s">
        <v>16</v>
      </c>
      <c r="G8247" t="s">
        <v>34</v>
      </c>
      <c r="H8247" t="s">
        <v>18</v>
      </c>
      <c r="J8247" t="s">
        <v>20</v>
      </c>
      <c r="L8247" t="s">
        <v>38</v>
      </c>
      <c r="M8247" t="s">
        <v>9621</v>
      </c>
      <c r="N8247" t="s">
        <v>9621</v>
      </c>
      <c r="O8247" t="s">
        <v>23</v>
      </c>
      <c r="P8247" t="s">
        <v>24</v>
      </c>
      <c r="Q8247" t="s">
        <v>1071</v>
      </c>
      <c r="R8247" t="s">
        <v>9621</v>
      </c>
    </row>
    <row r="8248" spans="1:18" x14ac:dyDescent="0.25">
      <c r="A8248" t="s">
        <v>15939</v>
      </c>
      <c r="B8248" t="s">
        <v>9636</v>
      </c>
      <c r="C8248" t="str">
        <f>HYPERLINK("https://nematode.unl.edu/patrop23.jpg")</f>
        <v>https://nematode.unl.edu/patrop23.jpg</v>
      </c>
      <c r="D8248" t="s">
        <v>16</v>
      </c>
      <c r="G8248" t="s">
        <v>28</v>
      </c>
      <c r="J8248" t="s">
        <v>20</v>
      </c>
      <c r="L8248" t="s">
        <v>38</v>
      </c>
      <c r="M8248" t="s">
        <v>9621</v>
      </c>
      <c r="N8248" t="s">
        <v>9621</v>
      </c>
      <c r="O8248" t="s">
        <v>23</v>
      </c>
      <c r="P8248" t="s">
        <v>24</v>
      </c>
      <c r="Q8248" t="s">
        <v>1071</v>
      </c>
      <c r="R8248" t="s">
        <v>9621</v>
      </c>
    </row>
    <row r="8249" spans="1:18" x14ac:dyDescent="0.25">
      <c r="A8249" t="s">
        <v>15921</v>
      </c>
      <c r="B8249" t="s">
        <v>9637</v>
      </c>
      <c r="C8249" t="str">
        <f>HYPERLINK("https://nematode.unl.edu/patrop24.jpg")</f>
        <v>https://nematode.unl.edu/patrop24.jpg</v>
      </c>
      <c r="D8249" t="s">
        <v>43</v>
      </c>
      <c r="G8249" t="s">
        <v>34</v>
      </c>
      <c r="H8249" t="s">
        <v>18</v>
      </c>
      <c r="J8249" t="s">
        <v>20</v>
      </c>
      <c r="L8249" t="s">
        <v>38</v>
      </c>
      <c r="M8249" t="s">
        <v>9621</v>
      </c>
      <c r="N8249" t="s">
        <v>9621</v>
      </c>
      <c r="O8249" t="s">
        <v>23</v>
      </c>
      <c r="P8249" t="s">
        <v>24</v>
      </c>
      <c r="Q8249" t="s">
        <v>1071</v>
      </c>
      <c r="R8249" t="s">
        <v>9621</v>
      </c>
    </row>
    <row r="8250" spans="1:18" x14ac:dyDescent="0.25">
      <c r="A8250" t="s">
        <v>15944</v>
      </c>
      <c r="B8250" t="s">
        <v>9638</v>
      </c>
      <c r="C8250" t="str">
        <f>HYPERLINK("https://nematode.unl.edu/patrop25.jpg")</f>
        <v>https://nematode.unl.edu/patrop25.jpg</v>
      </c>
      <c r="D8250" t="s">
        <v>43</v>
      </c>
      <c r="G8250" t="s">
        <v>51</v>
      </c>
      <c r="I8250" t="s">
        <v>19</v>
      </c>
      <c r="J8250" t="s">
        <v>20</v>
      </c>
      <c r="L8250" t="s">
        <v>38</v>
      </c>
      <c r="M8250" t="s">
        <v>9621</v>
      </c>
      <c r="N8250" t="s">
        <v>9621</v>
      </c>
      <c r="O8250" t="s">
        <v>23</v>
      </c>
      <c r="P8250" t="s">
        <v>24</v>
      </c>
      <c r="Q8250" t="s">
        <v>1071</v>
      </c>
      <c r="R8250" t="s">
        <v>9621</v>
      </c>
    </row>
    <row r="8251" spans="1:18" x14ac:dyDescent="0.25">
      <c r="A8251" t="s">
        <v>15930</v>
      </c>
      <c r="B8251" t="s">
        <v>9639</v>
      </c>
      <c r="C8251" t="str">
        <f>HYPERLINK("https://nematode.unl.edu/patrop26.jpg")</f>
        <v>https://nematode.unl.edu/patrop26.jpg</v>
      </c>
      <c r="D8251" t="s">
        <v>43</v>
      </c>
      <c r="G8251" t="s">
        <v>53</v>
      </c>
      <c r="I8251" t="s">
        <v>19</v>
      </c>
      <c r="J8251" t="s">
        <v>20</v>
      </c>
      <c r="L8251" t="s">
        <v>38</v>
      </c>
      <c r="M8251" t="s">
        <v>9621</v>
      </c>
      <c r="N8251" t="s">
        <v>9621</v>
      </c>
      <c r="O8251" t="s">
        <v>23</v>
      </c>
      <c r="P8251" t="s">
        <v>24</v>
      </c>
      <c r="Q8251" t="s">
        <v>1071</v>
      </c>
      <c r="R8251" t="s">
        <v>9621</v>
      </c>
    </row>
    <row r="8252" spans="1:18" x14ac:dyDescent="0.25">
      <c r="A8252" t="s">
        <v>15940</v>
      </c>
      <c r="B8252" t="s">
        <v>9640</v>
      </c>
      <c r="C8252" t="str">
        <f>HYPERLINK("https://nematode.unl.edu/patrop27.jpg")</f>
        <v>https://nematode.unl.edu/patrop27.jpg</v>
      </c>
      <c r="D8252" t="s">
        <v>43</v>
      </c>
      <c r="G8252" t="s">
        <v>28</v>
      </c>
      <c r="J8252" t="s">
        <v>20</v>
      </c>
      <c r="L8252" t="s">
        <v>38</v>
      </c>
      <c r="M8252" t="s">
        <v>9621</v>
      </c>
      <c r="N8252" t="s">
        <v>9621</v>
      </c>
      <c r="O8252" t="s">
        <v>23</v>
      </c>
      <c r="P8252" t="s">
        <v>24</v>
      </c>
      <c r="Q8252" t="s">
        <v>1071</v>
      </c>
      <c r="R8252" t="s">
        <v>9621</v>
      </c>
    </row>
    <row r="8253" spans="1:18" x14ac:dyDescent="0.25">
      <c r="A8253" t="s">
        <v>15922</v>
      </c>
      <c r="B8253" t="s">
        <v>9641</v>
      </c>
      <c r="C8253" t="str">
        <f>HYPERLINK("https://nematode.unl.edu/patrop28.jpg")</f>
        <v>https://nematode.unl.edu/patrop28.jpg</v>
      </c>
      <c r="D8253" t="s">
        <v>77</v>
      </c>
      <c r="G8253" t="s">
        <v>34</v>
      </c>
      <c r="H8253" t="s">
        <v>18</v>
      </c>
      <c r="J8253" t="s">
        <v>20</v>
      </c>
      <c r="L8253" t="s">
        <v>38</v>
      </c>
      <c r="M8253" t="s">
        <v>9621</v>
      </c>
      <c r="N8253" t="s">
        <v>9621</v>
      </c>
      <c r="O8253" t="s">
        <v>23</v>
      </c>
      <c r="P8253" t="s">
        <v>24</v>
      </c>
      <c r="Q8253" t="s">
        <v>1071</v>
      </c>
      <c r="R8253" t="s">
        <v>9621</v>
      </c>
    </row>
    <row r="8254" spans="1:18" x14ac:dyDescent="0.25">
      <c r="A8254" t="s">
        <v>15931</v>
      </c>
      <c r="B8254" t="s">
        <v>9642</v>
      </c>
      <c r="C8254" t="str">
        <f>HYPERLINK("https://nematode.unl.edu/patrop29.jpg")</f>
        <v>https://nematode.unl.edu/patrop29.jpg</v>
      </c>
      <c r="D8254" t="s">
        <v>77</v>
      </c>
      <c r="G8254" t="s">
        <v>53</v>
      </c>
      <c r="J8254" t="s">
        <v>20</v>
      </c>
      <c r="L8254" t="s">
        <v>38</v>
      </c>
      <c r="M8254" t="s">
        <v>9621</v>
      </c>
      <c r="N8254" t="s">
        <v>9621</v>
      </c>
      <c r="O8254" t="s">
        <v>23</v>
      </c>
      <c r="P8254" t="s">
        <v>24</v>
      </c>
      <c r="Q8254" t="s">
        <v>1071</v>
      </c>
      <c r="R8254" t="s">
        <v>9621</v>
      </c>
    </row>
    <row r="8255" spans="1:18" x14ac:dyDescent="0.25">
      <c r="A8255" t="s">
        <v>15936</v>
      </c>
      <c r="B8255" t="s">
        <v>9643</v>
      </c>
      <c r="C8255" t="str">
        <f>HYPERLINK("https://nematode.unl.edu/patrop3.jpg")</f>
        <v>https://nematode.unl.edu/patrop3.jpg</v>
      </c>
      <c r="D8255" t="s">
        <v>77</v>
      </c>
      <c r="G8255" t="s">
        <v>112</v>
      </c>
      <c r="I8255" t="s">
        <v>41</v>
      </c>
      <c r="J8255" t="s">
        <v>20</v>
      </c>
      <c r="L8255" t="s">
        <v>38</v>
      </c>
      <c r="M8255" t="s">
        <v>9621</v>
      </c>
      <c r="N8255" t="s">
        <v>9621</v>
      </c>
      <c r="O8255" t="s">
        <v>23</v>
      </c>
      <c r="P8255" t="s">
        <v>24</v>
      </c>
      <c r="Q8255" t="s">
        <v>1071</v>
      </c>
      <c r="R8255" t="s">
        <v>9621</v>
      </c>
    </row>
    <row r="8256" spans="1:18" x14ac:dyDescent="0.25">
      <c r="A8256" t="s">
        <v>15941</v>
      </c>
      <c r="B8256" t="s">
        <v>9644</v>
      </c>
      <c r="C8256" t="str">
        <f>HYPERLINK("https://nematode.unl.edu/patrop30.jpg")</f>
        <v>https://nematode.unl.edu/patrop30.jpg</v>
      </c>
      <c r="G8256" t="s">
        <v>28</v>
      </c>
      <c r="J8256" t="s">
        <v>20</v>
      </c>
      <c r="L8256" t="s">
        <v>38</v>
      </c>
      <c r="M8256" t="s">
        <v>9621</v>
      </c>
      <c r="N8256" t="s">
        <v>9621</v>
      </c>
      <c r="O8256" t="s">
        <v>23</v>
      </c>
      <c r="P8256" t="s">
        <v>24</v>
      </c>
      <c r="Q8256" t="s">
        <v>1071</v>
      </c>
      <c r="R8256" t="s">
        <v>9621</v>
      </c>
    </row>
    <row r="8257" spans="1:18" x14ac:dyDescent="0.25">
      <c r="A8257" t="s">
        <v>15945</v>
      </c>
      <c r="B8257" t="s">
        <v>9645</v>
      </c>
      <c r="C8257" t="str">
        <f>HYPERLINK("https://nematode.unl.edu/patrop31.jpg")</f>
        <v>https://nematode.unl.edu/patrop31.jpg</v>
      </c>
      <c r="D8257" t="s">
        <v>43</v>
      </c>
      <c r="G8257" t="s">
        <v>51</v>
      </c>
      <c r="I8257" t="s">
        <v>41</v>
      </c>
      <c r="J8257" t="s">
        <v>20</v>
      </c>
      <c r="L8257" t="s">
        <v>38</v>
      </c>
      <c r="M8257" t="s">
        <v>9621</v>
      </c>
      <c r="N8257" t="s">
        <v>9621</v>
      </c>
      <c r="O8257" t="s">
        <v>23</v>
      </c>
      <c r="P8257" t="s">
        <v>24</v>
      </c>
      <c r="Q8257" t="s">
        <v>1071</v>
      </c>
      <c r="R8257" t="s">
        <v>9621</v>
      </c>
    </row>
    <row r="8258" spans="1:18" x14ac:dyDescent="0.25">
      <c r="A8258" t="s">
        <v>15923</v>
      </c>
      <c r="B8258" t="s">
        <v>9646</v>
      </c>
      <c r="C8258" t="str">
        <f>HYPERLINK("https://nematode.unl.edu/patrop4.jpg")</f>
        <v>https://nematode.unl.edu/patrop4.jpg</v>
      </c>
      <c r="D8258" t="s">
        <v>77</v>
      </c>
      <c r="G8258" t="s">
        <v>259</v>
      </c>
      <c r="H8258" t="s">
        <v>18</v>
      </c>
      <c r="I8258" t="s">
        <v>41</v>
      </c>
      <c r="J8258" t="s">
        <v>20</v>
      </c>
      <c r="L8258" t="s">
        <v>38</v>
      </c>
      <c r="M8258" t="s">
        <v>9621</v>
      </c>
      <c r="N8258" t="s">
        <v>9621</v>
      </c>
      <c r="O8258" t="s">
        <v>23</v>
      </c>
      <c r="P8258" t="s">
        <v>24</v>
      </c>
      <c r="Q8258" t="s">
        <v>1071</v>
      </c>
      <c r="R8258" t="s">
        <v>9621</v>
      </c>
    </row>
    <row r="8259" spans="1:18" x14ac:dyDescent="0.25">
      <c r="A8259" t="s">
        <v>15915</v>
      </c>
      <c r="B8259" t="s">
        <v>9647</v>
      </c>
      <c r="C8259" t="str">
        <f>HYPERLINK("https://nematode.unl.edu/patrop5.jpg")</f>
        <v>https://nematode.unl.edu/patrop5.jpg</v>
      </c>
      <c r="D8259" t="s">
        <v>77</v>
      </c>
      <c r="G8259" t="s">
        <v>96</v>
      </c>
      <c r="H8259" t="s">
        <v>18</v>
      </c>
      <c r="J8259" t="s">
        <v>20</v>
      </c>
      <c r="L8259" t="s">
        <v>38</v>
      </c>
      <c r="M8259" t="s">
        <v>9621</v>
      </c>
      <c r="N8259" t="s">
        <v>9621</v>
      </c>
      <c r="O8259" t="s">
        <v>23</v>
      </c>
      <c r="P8259" t="s">
        <v>24</v>
      </c>
      <c r="Q8259" t="s">
        <v>1071</v>
      </c>
      <c r="R8259" t="s">
        <v>9621</v>
      </c>
    </row>
    <row r="8260" spans="1:18" x14ac:dyDescent="0.25">
      <c r="A8260" t="s">
        <v>15932</v>
      </c>
      <c r="B8260" t="s">
        <v>9648</v>
      </c>
      <c r="C8260" t="str">
        <f>HYPERLINK("https://nematode.unl.edu/patrop6.jpg")</f>
        <v>https://nematode.unl.edu/patrop6.jpg</v>
      </c>
      <c r="D8260" t="s">
        <v>43</v>
      </c>
      <c r="G8260" t="s">
        <v>53</v>
      </c>
      <c r="I8260" t="s">
        <v>41</v>
      </c>
      <c r="J8260" t="s">
        <v>20</v>
      </c>
      <c r="L8260" t="s">
        <v>38</v>
      </c>
      <c r="M8260" t="s">
        <v>9621</v>
      </c>
      <c r="N8260" t="s">
        <v>9621</v>
      </c>
      <c r="O8260" t="s">
        <v>23</v>
      </c>
      <c r="P8260" t="s">
        <v>24</v>
      </c>
      <c r="Q8260" t="s">
        <v>1071</v>
      </c>
      <c r="R8260" t="s">
        <v>9621</v>
      </c>
    </row>
    <row r="8261" spans="1:18" x14ac:dyDescent="0.25">
      <c r="A8261" t="s">
        <v>15933</v>
      </c>
      <c r="B8261" t="s">
        <v>9649</v>
      </c>
      <c r="C8261" t="str">
        <f>HYPERLINK("https://nematode.unl.edu/patrop7.jpg")</f>
        <v>https://nematode.unl.edu/patrop7.jpg</v>
      </c>
      <c r="D8261" t="s">
        <v>43</v>
      </c>
      <c r="G8261" t="s">
        <v>53</v>
      </c>
      <c r="I8261" t="s">
        <v>41</v>
      </c>
      <c r="J8261" t="s">
        <v>20</v>
      </c>
      <c r="L8261" t="s">
        <v>38</v>
      </c>
      <c r="M8261" t="s">
        <v>9621</v>
      </c>
      <c r="N8261" t="s">
        <v>9621</v>
      </c>
      <c r="O8261" t="s">
        <v>23</v>
      </c>
      <c r="P8261" t="s">
        <v>24</v>
      </c>
      <c r="Q8261" t="s">
        <v>1071</v>
      </c>
      <c r="R8261" t="s">
        <v>9621</v>
      </c>
    </row>
    <row r="8262" spans="1:18" x14ac:dyDescent="0.25">
      <c r="A8262" t="s">
        <v>15927</v>
      </c>
      <c r="B8262" t="s">
        <v>9650</v>
      </c>
      <c r="C8262" t="str">
        <f>HYPERLINK("https://nematode.unl.edu/patrop8.jpg")</f>
        <v>https://nematode.unl.edu/patrop8.jpg</v>
      </c>
      <c r="G8262" t="s">
        <v>44</v>
      </c>
      <c r="I8262" t="s">
        <v>41</v>
      </c>
      <c r="J8262" t="s">
        <v>20</v>
      </c>
      <c r="L8262" t="s">
        <v>38</v>
      </c>
      <c r="M8262" t="s">
        <v>9621</v>
      </c>
      <c r="N8262" t="s">
        <v>9621</v>
      </c>
      <c r="O8262" t="s">
        <v>23</v>
      </c>
      <c r="P8262" t="s">
        <v>24</v>
      </c>
      <c r="Q8262" t="s">
        <v>1071</v>
      </c>
      <c r="R8262" t="s">
        <v>9621</v>
      </c>
    </row>
    <row r="8263" spans="1:18" x14ac:dyDescent="0.25">
      <c r="A8263" t="s">
        <v>15934</v>
      </c>
      <c r="B8263" t="s">
        <v>9651</v>
      </c>
      <c r="C8263" t="str">
        <f>HYPERLINK("https://nematode.unl.edu/patrop9.jpg")</f>
        <v>https://nematode.unl.edu/patrop9.jpg</v>
      </c>
      <c r="D8263" t="s">
        <v>43</v>
      </c>
      <c r="G8263" t="s">
        <v>2029</v>
      </c>
      <c r="I8263" t="s">
        <v>41</v>
      </c>
      <c r="J8263" t="s">
        <v>20</v>
      </c>
      <c r="L8263" t="s">
        <v>38</v>
      </c>
      <c r="M8263" t="s">
        <v>9621</v>
      </c>
      <c r="N8263" t="s">
        <v>9621</v>
      </c>
      <c r="O8263" t="s">
        <v>23</v>
      </c>
      <c r="P8263" t="s">
        <v>24</v>
      </c>
      <c r="Q8263" t="s">
        <v>1071</v>
      </c>
      <c r="R8263" t="s">
        <v>9621</v>
      </c>
    </row>
    <row r="8264" spans="1:18" x14ac:dyDescent="0.25">
      <c r="A8264" t="s">
        <v>18680</v>
      </c>
      <c r="B8264" t="s">
        <v>9686</v>
      </c>
      <c r="C8264" t="str">
        <f>HYPERLINK("https://nematode.unl.edu/pavar1.jpg")</f>
        <v>https://nematode.unl.edu/pavar1.jpg</v>
      </c>
      <c r="D8264" t="s">
        <v>43</v>
      </c>
      <c r="G8264" t="s">
        <v>34</v>
      </c>
      <c r="H8264" t="s">
        <v>18</v>
      </c>
      <c r="J8264" t="s">
        <v>20</v>
      </c>
      <c r="L8264" t="s">
        <v>193</v>
      </c>
      <c r="M8264" t="s">
        <v>9683</v>
      </c>
      <c r="N8264" t="s">
        <v>9683</v>
      </c>
      <c r="O8264" t="s">
        <v>23</v>
      </c>
      <c r="P8264" t="s">
        <v>24</v>
      </c>
      <c r="Q8264" t="s">
        <v>1592</v>
      </c>
      <c r="R8264" t="s">
        <v>1591</v>
      </c>
    </row>
    <row r="8265" spans="1:18" x14ac:dyDescent="0.25">
      <c r="A8265" t="s">
        <v>18686</v>
      </c>
      <c r="B8265" t="s">
        <v>9687</v>
      </c>
      <c r="C8265" t="str">
        <f>HYPERLINK("https://nematode.unl.edu/pavar10.jpg")</f>
        <v>https://nematode.unl.edu/pavar10.jpg</v>
      </c>
      <c r="D8265" t="s">
        <v>43</v>
      </c>
      <c r="G8265" t="s">
        <v>44</v>
      </c>
      <c r="I8265" t="s">
        <v>45</v>
      </c>
      <c r="J8265" t="s">
        <v>20</v>
      </c>
      <c r="L8265" t="s">
        <v>206</v>
      </c>
      <c r="M8265" t="s">
        <v>9683</v>
      </c>
      <c r="N8265" t="s">
        <v>9683</v>
      </c>
      <c r="O8265" t="s">
        <v>23</v>
      </c>
      <c r="P8265" t="s">
        <v>24</v>
      </c>
      <c r="Q8265" t="s">
        <v>1592</v>
      </c>
      <c r="R8265" t="s">
        <v>1591</v>
      </c>
    </row>
    <row r="8266" spans="1:18" x14ac:dyDescent="0.25">
      <c r="A8266" t="s">
        <v>18697</v>
      </c>
      <c r="B8266" t="s">
        <v>9688</v>
      </c>
      <c r="C8266" t="str">
        <f>HYPERLINK("https://nematode.unl.edu/pavar11.jpg")</f>
        <v>https://nematode.unl.edu/pavar11.jpg</v>
      </c>
      <c r="D8266" t="s">
        <v>43</v>
      </c>
      <c r="G8266" t="s">
        <v>51</v>
      </c>
      <c r="I8266" t="s">
        <v>41</v>
      </c>
      <c r="J8266" t="s">
        <v>20</v>
      </c>
      <c r="M8266" t="s">
        <v>9683</v>
      </c>
      <c r="N8266" t="s">
        <v>9683</v>
      </c>
      <c r="O8266" t="s">
        <v>23</v>
      </c>
      <c r="P8266" t="s">
        <v>24</v>
      </c>
      <c r="Q8266" t="s">
        <v>1592</v>
      </c>
      <c r="R8266" t="s">
        <v>1591</v>
      </c>
    </row>
    <row r="8267" spans="1:18" x14ac:dyDescent="0.25">
      <c r="A8267" t="s">
        <v>18688</v>
      </c>
      <c r="B8267" t="s">
        <v>9689</v>
      </c>
      <c r="C8267" t="str">
        <f>HYPERLINK("https://nematode.unl.edu/pavar12.jpg")</f>
        <v>https://nematode.unl.edu/pavar12.jpg</v>
      </c>
      <c r="D8267" t="s">
        <v>43</v>
      </c>
      <c r="G8267" t="s">
        <v>53</v>
      </c>
      <c r="I8267" t="s">
        <v>41</v>
      </c>
      <c r="J8267" t="s">
        <v>20</v>
      </c>
      <c r="L8267" t="s">
        <v>206</v>
      </c>
      <c r="M8267" t="s">
        <v>9683</v>
      </c>
      <c r="N8267" t="s">
        <v>9683</v>
      </c>
      <c r="O8267" t="s">
        <v>23</v>
      </c>
      <c r="P8267" t="s">
        <v>24</v>
      </c>
      <c r="Q8267" t="s">
        <v>1592</v>
      </c>
      <c r="R8267" t="s">
        <v>1591</v>
      </c>
    </row>
    <row r="8268" spans="1:18" x14ac:dyDescent="0.25">
      <c r="A8268" t="s">
        <v>18681</v>
      </c>
      <c r="B8268" t="s">
        <v>9690</v>
      </c>
      <c r="C8268" t="str">
        <f>HYPERLINK("https://nematode.unl.edu/pavar13.jpg")</f>
        <v>https://nematode.unl.edu/pavar13.jpg</v>
      </c>
      <c r="D8268" t="s">
        <v>43</v>
      </c>
      <c r="G8268" t="s">
        <v>34</v>
      </c>
      <c r="H8268" t="s">
        <v>18</v>
      </c>
      <c r="I8268" t="s">
        <v>41</v>
      </c>
      <c r="M8268" t="s">
        <v>9683</v>
      </c>
      <c r="N8268" t="s">
        <v>9683</v>
      </c>
      <c r="O8268" t="s">
        <v>23</v>
      </c>
      <c r="P8268" t="s">
        <v>24</v>
      </c>
      <c r="Q8268" t="s">
        <v>1592</v>
      </c>
      <c r="R8268" t="s">
        <v>1591</v>
      </c>
    </row>
    <row r="8269" spans="1:18" x14ac:dyDescent="0.25">
      <c r="A8269" t="s">
        <v>18692</v>
      </c>
      <c r="B8269" t="s">
        <v>9691</v>
      </c>
      <c r="C8269" t="str">
        <f>HYPERLINK("https://nematode.unl.edu/pavar14.jpg")</f>
        <v>https://nematode.unl.edu/pavar14.jpg</v>
      </c>
      <c r="D8269" t="s">
        <v>43</v>
      </c>
      <c r="G8269" t="s">
        <v>28</v>
      </c>
      <c r="I8269" t="s">
        <v>41</v>
      </c>
      <c r="J8269" t="s">
        <v>20</v>
      </c>
      <c r="M8269" t="s">
        <v>9683</v>
      </c>
      <c r="N8269" t="s">
        <v>9683</v>
      </c>
      <c r="O8269" t="s">
        <v>23</v>
      </c>
      <c r="P8269" t="s">
        <v>24</v>
      </c>
      <c r="Q8269" t="s">
        <v>1592</v>
      </c>
      <c r="R8269" t="s">
        <v>1591</v>
      </c>
    </row>
    <row r="8270" spans="1:18" x14ac:dyDescent="0.25">
      <c r="A8270" t="s">
        <v>18689</v>
      </c>
      <c r="B8270" t="s">
        <v>9692</v>
      </c>
      <c r="C8270" t="str">
        <f>HYPERLINK("https://nematode.unl.edu/pavar15.jpg")</f>
        <v>https://nematode.unl.edu/pavar15.jpg</v>
      </c>
      <c r="D8270" t="s">
        <v>43</v>
      </c>
      <c r="G8270" t="s">
        <v>53</v>
      </c>
      <c r="I8270" t="s">
        <v>41</v>
      </c>
      <c r="J8270" t="s">
        <v>20</v>
      </c>
      <c r="M8270" t="s">
        <v>9683</v>
      </c>
      <c r="N8270" t="s">
        <v>9683</v>
      </c>
      <c r="O8270" t="s">
        <v>23</v>
      </c>
      <c r="P8270" t="s">
        <v>24</v>
      </c>
      <c r="Q8270" t="s">
        <v>1592</v>
      </c>
      <c r="R8270" t="s">
        <v>1591</v>
      </c>
    </row>
    <row r="8271" spans="1:18" x14ac:dyDescent="0.25">
      <c r="A8271" t="s">
        <v>18693</v>
      </c>
      <c r="B8271" t="s">
        <v>9693</v>
      </c>
      <c r="C8271" t="str">
        <f>HYPERLINK("https://nematode.unl.edu/pavar16.jpg")</f>
        <v>https://nematode.unl.edu/pavar16.jpg</v>
      </c>
      <c r="D8271" t="s">
        <v>43</v>
      </c>
      <c r="G8271" t="s">
        <v>28</v>
      </c>
      <c r="I8271" t="s">
        <v>41</v>
      </c>
      <c r="M8271" t="s">
        <v>9683</v>
      </c>
      <c r="N8271" t="s">
        <v>9683</v>
      </c>
      <c r="O8271" t="s">
        <v>23</v>
      </c>
      <c r="P8271" t="s">
        <v>24</v>
      </c>
      <c r="Q8271" t="s">
        <v>1592</v>
      </c>
      <c r="R8271" t="s">
        <v>1591</v>
      </c>
    </row>
    <row r="8272" spans="1:18" x14ac:dyDescent="0.25">
      <c r="A8272" t="s">
        <v>18682</v>
      </c>
      <c r="B8272" t="s">
        <v>9694</v>
      </c>
      <c r="C8272" t="str">
        <f>HYPERLINK("https://nematode.unl.edu/pavar17.jpg")</f>
        <v>https://nematode.unl.edu/pavar17.jpg</v>
      </c>
      <c r="D8272" t="s">
        <v>43</v>
      </c>
      <c r="G8272" t="s">
        <v>34</v>
      </c>
      <c r="H8272" t="s">
        <v>18</v>
      </c>
      <c r="I8272" t="s">
        <v>41</v>
      </c>
      <c r="J8272" t="s">
        <v>20</v>
      </c>
      <c r="M8272" t="s">
        <v>9683</v>
      </c>
      <c r="N8272" t="s">
        <v>9683</v>
      </c>
      <c r="O8272" t="s">
        <v>23</v>
      </c>
      <c r="P8272" t="s">
        <v>24</v>
      </c>
      <c r="Q8272" t="s">
        <v>1592</v>
      </c>
      <c r="R8272" t="s">
        <v>1591</v>
      </c>
    </row>
    <row r="8273" spans="1:18" x14ac:dyDescent="0.25">
      <c r="A8273" t="s">
        <v>18698</v>
      </c>
      <c r="B8273" t="s">
        <v>9695</v>
      </c>
      <c r="C8273" t="str">
        <f>HYPERLINK("https://nematode.unl.edu/pavar18.jpg")</f>
        <v>https://nematode.unl.edu/pavar18.jpg</v>
      </c>
      <c r="D8273" t="s">
        <v>43</v>
      </c>
      <c r="G8273" t="s">
        <v>51</v>
      </c>
      <c r="I8273" t="s">
        <v>41</v>
      </c>
      <c r="J8273" t="s">
        <v>20</v>
      </c>
      <c r="M8273" t="s">
        <v>9683</v>
      </c>
      <c r="N8273" t="s">
        <v>9683</v>
      </c>
      <c r="O8273" t="s">
        <v>23</v>
      </c>
      <c r="P8273" t="s">
        <v>24</v>
      </c>
      <c r="Q8273" t="s">
        <v>1592</v>
      </c>
      <c r="R8273" t="s">
        <v>1591</v>
      </c>
    </row>
    <row r="8274" spans="1:18" x14ac:dyDescent="0.25">
      <c r="A8274" t="s">
        <v>18694</v>
      </c>
      <c r="B8274" t="s">
        <v>9696</v>
      </c>
      <c r="C8274" t="str">
        <f>HYPERLINK("https://nematode.unl.edu/pavar19.jpg")</f>
        <v>https://nematode.unl.edu/pavar19.jpg</v>
      </c>
      <c r="D8274" t="s">
        <v>43</v>
      </c>
      <c r="G8274" t="s">
        <v>28</v>
      </c>
      <c r="I8274" t="s">
        <v>41</v>
      </c>
      <c r="J8274" t="s">
        <v>20</v>
      </c>
      <c r="L8274" t="s">
        <v>85</v>
      </c>
      <c r="M8274" t="s">
        <v>9683</v>
      </c>
      <c r="N8274" t="s">
        <v>9683</v>
      </c>
      <c r="O8274" t="s">
        <v>23</v>
      </c>
      <c r="P8274" t="s">
        <v>24</v>
      </c>
      <c r="Q8274" t="s">
        <v>1592</v>
      </c>
      <c r="R8274" t="s">
        <v>1591</v>
      </c>
    </row>
    <row r="8275" spans="1:18" x14ac:dyDescent="0.25">
      <c r="A8275" t="s">
        <v>18695</v>
      </c>
      <c r="B8275" t="s">
        <v>9697</v>
      </c>
      <c r="C8275" t="str">
        <f>HYPERLINK("https://nematode.unl.edu/pavar2.jpg")</f>
        <v>https://nematode.unl.edu/pavar2.jpg</v>
      </c>
      <c r="D8275" t="s">
        <v>43</v>
      </c>
      <c r="G8275" t="s">
        <v>28</v>
      </c>
      <c r="I8275" t="s">
        <v>19</v>
      </c>
      <c r="J8275" t="s">
        <v>20</v>
      </c>
      <c r="L8275" t="s">
        <v>64</v>
      </c>
      <c r="M8275" t="s">
        <v>9683</v>
      </c>
      <c r="N8275" t="s">
        <v>9683</v>
      </c>
      <c r="O8275" t="s">
        <v>23</v>
      </c>
      <c r="P8275" t="s">
        <v>24</v>
      </c>
      <c r="Q8275" t="s">
        <v>1592</v>
      </c>
      <c r="R8275" t="s">
        <v>1591</v>
      </c>
    </row>
    <row r="8276" spans="1:18" x14ac:dyDescent="0.25">
      <c r="A8276" t="s">
        <v>18683</v>
      </c>
      <c r="B8276" t="s">
        <v>9698</v>
      </c>
      <c r="C8276" t="str">
        <f>HYPERLINK("https://nematode.unl.edu/pavar3.jpg")</f>
        <v>https://nematode.unl.edu/pavar3.jpg</v>
      </c>
      <c r="D8276" t="s">
        <v>43</v>
      </c>
      <c r="G8276" t="s">
        <v>34</v>
      </c>
      <c r="H8276" t="s">
        <v>18</v>
      </c>
      <c r="I8276" t="s">
        <v>19</v>
      </c>
      <c r="M8276" t="s">
        <v>9683</v>
      </c>
      <c r="N8276" t="s">
        <v>9683</v>
      </c>
      <c r="O8276" t="s">
        <v>23</v>
      </c>
      <c r="P8276" t="s">
        <v>24</v>
      </c>
      <c r="Q8276" t="s">
        <v>1592</v>
      </c>
      <c r="R8276" t="s">
        <v>1591</v>
      </c>
    </row>
    <row r="8277" spans="1:18" x14ac:dyDescent="0.25">
      <c r="A8277" t="s">
        <v>18699</v>
      </c>
      <c r="B8277" t="s">
        <v>9699</v>
      </c>
      <c r="C8277" t="str">
        <f>HYPERLINK("https://nematode.unl.edu/pavar4.jpg")</f>
        <v>https://nematode.unl.edu/pavar4.jpg</v>
      </c>
      <c r="D8277" t="s">
        <v>43</v>
      </c>
      <c r="G8277" t="s">
        <v>51</v>
      </c>
      <c r="M8277" t="s">
        <v>9683</v>
      </c>
      <c r="N8277" t="s">
        <v>9683</v>
      </c>
      <c r="O8277" t="s">
        <v>23</v>
      </c>
      <c r="P8277" t="s">
        <v>24</v>
      </c>
      <c r="Q8277" t="s">
        <v>1592</v>
      </c>
      <c r="R8277" t="s">
        <v>1591</v>
      </c>
    </row>
    <row r="8278" spans="1:18" x14ac:dyDescent="0.25">
      <c r="A8278" t="s">
        <v>18696</v>
      </c>
      <c r="B8278" t="s">
        <v>9700</v>
      </c>
      <c r="C8278" t="str">
        <f>HYPERLINK("https://nematode.unl.edu/pavar5.jpg")</f>
        <v>https://nematode.unl.edu/pavar5.jpg</v>
      </c>
      <c r="D8278" t="s">
        <v>43</v>
      </c>
      <c r="G8278" t="s">
        <v>28</v>
      </c>
      <c r="J8278" t="s">
        <v>20</v>
      </c>
      <c r="M8278" t="s">
        <v>9683</v>
      </c>
      <c r="N8278" t="s">
        <v>9683</v>
      </c>
      <c r="O8278" t="s">
        <v>23</v>
      </c>
      <c r="P8278" t="s">
        <v>24</v>
      </c>
      <c r="Q8278" t="s">
        <v>1592</v>
      </c>
      <c r="R8278" t="s">
        <v>1591</v>
      </c>
    </row>
    <row r="8279" spans="1:18" x14ac:dyDescent="0.25">
      <c r="A8279" t="s">
        <v>18687</v>
      </c>
      <c r="B8279" t="s">
        <v>9701</v>
      </c>
      <c r="C8279" t="str">
        <f>HYPERLINK("https://nematode.unl.edu/pavar6.jpg")</f>
        <v>https://nematode.unl.edu/pavar6.jpg</v>
      </c>
      <c r="D8279" t="s">
        <v>77</v>
      </c>
      <c r="G8279" t="s">
        <v>44</v>
      </c>
      <c r="I8279" t="s">
        <v>19</v>
      </c>
      <c r="J8279" t="s">
        <v>20</v>
      </c>
      <c r="L8279" t="s">
        <v>38</v>
      </c>
      <c r="M8279" t="s">
        <v>9683</v>
      </c>
      <c r="N8279" t="s">
        <v>9683</v>
      </c>
      <c r="O8279" t="s">
        <v>23</v>
      </c>
      <c r="P8279" t="s">
        <v>24</v>
      </c>
      <c r="Q8279" t="s">
        <v>1592</v>
      </c>
      <c r="R8279" t="s">
        <v>1591</v>
      </c>
    </row>
    <row r="8280" spans="1:18" x14ac:dyDescent="0.25">
      <c r="A8280" t="s">
        <v>18684</v>
      </c>
      <c r="B8280" t="s">
        <v>9702</v>
      </c>
      <c r="C8280" t="str">
        <f>HYPERLINK("https://nematode.unl.edu/pavar7.jpg")</f>
        <v>https://nematode.unl.edu/pavar7.jpg</v>
      </c>
      <c r="D8280" t="s">
        <v>43</v>
      </c>
      <c r="G8280" t="s">
        <v>34</v>
      </c>
      <c r="H8280" t="s">
        <v>18</v>
      </c>
      <c r="I8280" t="s">
        <v>41</v>
      </c>
      <c r="L8280" t="s">
        <v>38</v>
      </c>
      <c r="M8280" t="s">
        <v>9683</v>
      </c>
      <c r="N8280" t="s">
        <v>9683</v>
      </c>
      <c r="O8280" t="s">
        <v>23</v>
      </c>
      <c r="P8280" t="s">
        <v>24</v>
      </c>
      <c r="Q8280" t="s">
        <v>1592</v>
      </c>
      <c r="R8280" t="s">
        <v>1591</v>
      </c>
    </row>
    <row r="8281" spans="1:18" x14ac:dyDescent="0.25">
      <c r="A8281" t="s">
        <v>18700</v>
      </c>
      <c r="B8281" t="s">
        <v>9703</v>
      </c>
      <c r="C8281" t="str">
        <f>HYPERLINK("https://nematode.unl.edu/pavar8.jpg")</f>
        <v>https://nematode.unl.edu/pavar8.jpg</v>
      </c>
      <c r="D8281" t="s">
        <v>43</v>
      </c>
      <c r="G8281" t="s">
        <v>51</v>
      </c>
      <c r="I8281" t="s">
        <v>41</v>
      </c>
      <c r="L8281" t="s">
        <v>38</v>
      </c>
      <c r="M8281" t="s">
        <v>9683</v>
      </c>
      <c r="N8281" t="s">
        <v>9683</v>
      </c>
      <c r="O8281" t="s">
        <v>23</v>
      </c>
      <c r="P8281" t="s">
        <v>24</v>
      </c>
      <c r="Q8281" t="s">
        <v>1592</v>
      </c>
      <c r="R8281" t="s">
        <v>1591</v>
      </c>
    </row>
    <row r="8282" spans="1:18" x14ac:dyDescent="0.25">
      <c r="A8282" t="s">
        <v>18690</v>
      </c>
      <c r="B8282" t="s">
        <v>9704</v>
      </c>
      <c r="C8282" t="str">
        <f>HYPERLINK("https://nematode.unl.edu/pavar9.jpg")</f>
        <v>https://nematode.unl.edu/pavar9.jpg</v>
      </c>
      <c r="D8282" t="s">
        <v>43</v>
      </c>
      <c r="G8282" t="s">
        <v>53</v>
      </c>
      <c r="I8282" t="s">
        <v>41</v>
      </c>
      <c r="J8282" t="s">
        <v>20</v>
      </c>
      <c r="L8282" t="s">
        <v>38</v>
      </c>
      <c r="M8282" t="s">
        <v>9683</v>
      </c>
      <c r="N8282" t="s">
        <v>9683</v>
      </c>
      <c r="O8282" t="s">
        <v>23</v>
      </c>
      <c r="P8282" t="s">
        <v>24</v>
      </c>
      <c r="Q8282" t="s">
        <v>1592</v>
      </c>
      <c r="R8282" t="s">
        <v>1591</v>
      </c>
    </row>
    <row r="8283" spans="1:18" x14ac:dyDescent="0.25">
      <c r="A8283" t="s">
        <v>19246</v>
      </c>
      <c r="B8283" t="s">
        <v>9779</v>
      </c>
      <c r="C8283" t="str">
        <f>HYPERLINK("https://nematode.unl.edu/paxiden1.jpg")</f>
        <v>https://nematode.unl.edu/paxiden1.jpg</v>
      </c>
      <c r="D8283" t="s">
        <v>43</v>
      </c>
      <c r="G8283" t="s">
        <v>96</v>
      </c>
      <c r="H8283" t="s">
        <v>18</v>
      </c>
      <c r="I8283" t="s">
        <v>137</v>
      </c>
      <c r="J8283" t="s">
        <v>46</v>
      </c>
      <c r="M8283" t="s">
        <v>9761</v>
      </c>
      <c r="N8283" t="s">
        <v>9761</v>
      </c>
      <c r="O8283" t="s">
        <v>73</v>
      </c>
      <c r="P8283" t="s">
        <v>81</v>
      </c>
      <c r="Q8283" t="s">
        <v>119</v>
      </c>
      <c r="R8283" t="s">
        <v>9762</v>
      </c>
    </row>
    <row r="8284" spans="1:18" x14ac:dyDescent="0.25">
      <c r="A8284" t="s">
        <v>19259</v>
      </c>
      <c r="B8284" t="s">
        <v>9780</v>
      </c>
      <c r="C8284" t="str">
        <f>HYPERLINK("https://nematode.unl.edu/paxiden2.jpg")</f>
        <v>https://nematode.unl.edu/paxiden2.jpg</v>
      </c>
      <c r="D8284" t="s">
        <v>43</v>
      </c>
      <c r="G8284" t="s">
        <v>28</v>
      </c>
      <c r="I8284" t="s">
        <v>137</v>
      </c>
      <c r="J8284" t="s">
        <v>46</v>
      </c>
      <c r="M8284" t="s">
        <v>9761</v>
      </c>
      <c r="N8284" t="s">
        <v>9761</v>
      </c>
      <c r="O8284" t="s">
        <v>73</v>
      </c>
      <c r="P8284" t="s">
        <v>81</v>
      </c>
      <c r="Q8284" t="s">
        <v>119</v>
      </c>
      <c r="R8284" t="s">
        <v>9762</v>
      </c>
    </row>
    <row r="8285" spans="1:18" x14ac:dyDescent="0.25">
      <c r="A8285" t="s">
        <v>19248</v>
      </c>
      <c r="B8285" t="s">
        <v>9781</v>
      </c>
      <c r="C8285" t="str">
        <f>HYPERLINK("https://nematode.unl.edu/paxiden3.jpg")</f>
        <v>https://nematode.unl.edu/paxiden3.jpg</v>
      </c>
      <c r="D8285" t="s">
        <v>43</v>
      </c>
      <c r="G8285" t="s">
        <v>34</v>
      </c>
      <c r="H8285" t="s">
        <v>18</v>
      </c>
      <c r="J8285" t="s">
        <v>46</v>
      </c>
      <c r="M8285" t="s">
        <v>9761</v>
      </c>
      <c r="N8285" t="s">
        <v>9761</v>
      </c>
      <c r="O8285" t="s">
        <v>73</v>
      </c>
      <c r="P8285" t="s">
        <v>81</v>
      </c>
      <c r="Q8285" t="s">
        <v>119</v>
      </c>
      <c r="R8285" t="s">
        <v>9762</v>
      </c>
    </row>
    <row r="8286" spans="1:18" x14ac:dyDescent="0.25">
      <c r="A8286" t="s">
        <v>19249</v>
      </c>
      <c r="B8286" t="s">
        <v>9782</v>
      </c>
      <c r="C8286" t="str">
        <f>HYPERLINK("https://nematode.unl.edu/paxiden4.jpg")</f>
        <v>https://nematode.unl.edu/paxiden4.jpg</v>
      </c>
      <c r="D8286" t="s">
        <v>43</v>
      </c>
      <c r="G8286" t="s">
        <v>87</v>
      </c>
      <c r="I8286" t="s">
        <v>19</v>
      </c>
      <c r="J8286" t="s">
        <v>46</v>
      </c>
      <c r="M8286" t="s">
        <v>9761</v>
      </c>
      <c r="N8286" t="s">
        <v>9761</v>
      </c>
      <c r="O8286" t="s">
        <v>73</v>
      </c>
      <c r="P8286" t="s">
        <v>81</v>
      </c>
      <c r="Q8286" t="s">
        <v>119</v>
      </c>
      <c r="R8286" t="s">
        <v>9762</v>
      </c>
    </row>
    <row r="8287" spans="1:18" x14ac:dyDescent="0.25">
      <c r="A8287" t="s">
        <v>19263</v>
      </c>
      <c r="B8287" t="s">
        <v>9783</v>
      </c>
      <c r="C8287" t="str">
        <f>HYPERLINK("https://nematode.unl.edu/paxiden5.jpg")</f>
        <v>https://nematode.unl.edu/paxiden5.jpg</v>
      </c>
      <c r="D8287" t="s">
        <v>43</v>
      </c>
      <c r="G8287" t="s">
        <v>51</v>
      </c>
      <c r="J8287" t="s">
        <v>46</v>
      </c>
      <c r="M8287" t="s">
        <v>9761</v>
      </c>
      <c r="N8287" t="s">
        <v>9761</v>
      </c>
      <c r="O8287" t="s">
        <v>73</v>
      </c>
      <c r="P8287" t="s">
        <v>81</v>
      </c>
      <c r="Q8287" t="s">
        <v>119</v>
      </c>
      <c r="R8287" t="s">
        <v>9762</v>
      </c>
    </row>
    <row r="8288" spans="1:18" x14ac:dyDescent="0.25">
      <c r="A8288" t="s">
        <v>19260</v>
      </c>
      <c r="B8288" t="s">
        <v>9784</v>
      </c>
      <c r="C8288" t="str">
        <f>HYPERLINK("https://nematode.unl.edu/paxiden6.jpg")</f>
        <v>https://nematode.unl.edu/paxiden6.jpg</v>
      </c>
      <c r="D8288" t="s">
        <v>43</v>
      </c>
      <c r="G8288" t="s">
        <v>28</v>
      </c>
      <c r="I8288" t="s">
        <v>19</v>
      </c>
      <c r="J8288" t="s">
        <v>46</v>
      </c>
      <c r="M8288" t="s">
        <v>9761</v>
      </c>
      <c r="N8288" t="s">
        <v>9761</v>
      </c>
      <c r="O8288" t="s">
        <v>73</v>
      </c>
      <c r="P8288" t="s">
        <v>81</v>
      </c>
      <c r="Q8288" t="s">
        <v>119</v>
      </c>
      <c r="R8288" t="s">
        <v>9762</v>
      </c>
    </row>
    <row r="8289" spans="1:18" x14ac:dyDescent="0.25">
      <c r="A8289" t="s">
        <v>19252</v>
      </c>
      <c r="B8289" t="s">
        <v>9785</v>
      </c>
      <c r="C8289" t="str">
        <f>HYPERLINK("https://nematode.unl.edu/paxomadrw.jpg")</f>
        <v>https://nematode.unl.edu/paxomadrw.jpg</v>
      </c>
      <c r="D8289" t="s">
        <v>43</v>
      </c>
      <c r="G8289" t="s">
        <v>108</v>
      </c>
      <c r="M8289" t="s">
        <v>9761</v>
      </c>
      <c r="N8289" t="s">
        <v>9761</v>
      </c>
      <c r="O8289" t="s">
        <v>73</v>
      </c>
      <c r="P8289" t="s">
        <v>81</v>
      </c>
      <c r="Q8289" t="s">
        <v>119</v>
      </c>
      <c r="R8289" t="s">
        <v>9762</v>
      </c>
    </row>
    <row r="8290" spans="1:18" x14ac:dyDescent="0.25">
      <c r="A8290" t="s">
        <v>17537</v>
      </c>
      <c r="B8290" t="s">
        <v>9786</v>
      </c>
      <c r="C8290" t="str">
        <f>HYPERLINK("https://nematode.unl.edu/pellios1.jpg")</f>
        <v>https://nematode.unl.edu/pellios1.jpg</v>
      </c>
      <c r="D8290" t="s">
        <v>77</v>
      </c>
      <c r="G8290" t="s">
        <v>34</v>
      </c>
      <c r="H8290" t="s">
        <v>18</v>
      </c>
      <c r="J8290" t="s">
        <v>20</v>
      </c>
      <c r="L8290" t="s">
        <v>141</v>
      </c>
      <c r="M8290" t="s">
        <v>9787</v>
      </c>
      <c r="N8290" t="s">
        <v>9787</v>
      </c>
      <c r="O8290" t="s">
        <v>23</v>
      </c>
      <c r="P8290" t="s">
        <v>24</v>
      </c>
      <c r="Q8290" t="s">
        <v>1637</v>
      </c>
      <c r="R8290" t="s">
        <v>9787</v>
      </c>
    </row>
    <row r="8291" spans="1:18" x14ac:dyDescent="0.25">
      <c r="A8291" t="s">
        <v>17546</v>
      </c>
      <c r="B8291" t="s">
        <v>9788</v>
      </c>
      <c r="C8291" t="str">
        <f>HYPERLINK("https://nematode.unl.edu/pellios10.jpg")</f>
        <v>https://nematode.unl.edu/pellios10.jpg</v>
      </c>
      <c r="D8291" t="s">
        <v>77</v>
      </c>
      <c r="G8291" t="s">
        <v>28</v>
      </c>
      <c r="J8291" t="s">
        <v>20</v>
      </c>
      <c r="L8291" t="s">
        <v>141</v>
      </c>
      <c r="M8291" t="s">
        <v>9787</v>
      </c>
      <c r="N8291" t="s">
        <v>9787</v>
      </c>
      <c r="O8291" t="s">
        <v>23</v>
      </c>
      <c r="P8291" t="s">
        <v>24</v>
      </c>
      <c r="Q8291" t="s">
        <v>1637</v>
      </c>
      <c r="R8291" t="s">
        <v>9787</v>
      </c>
    </row>
    <row r="8292" spans="1:18" x14ac:dyDescent="0.25">
      <c r="A8292" t="s">
        <v>17544</v>
      </c>
      <c r="B8292" t="s">
        <v>9789</v>
      </c>
      <c r="C8292" t="str">
        <f>HYPERLINK("https://nematode.unl.edu/pellios11.jpg")</f>
        <v>https://nematode.unl.edu/pellios11.jpg</v>
      </c>
      <c r="D8292" t="s">
        <v>77</v>
      </c>
      <c r="G8292" t="s">
        <v>1906</v>
      </c>
      <c r="I8292" t="s">
        <v>529</v>
      </c>
      <c r="J8292" t="s">
        <v>20</v>
      </c>
      <c r="L8292" t="s">
        <v>1768</v>
      </c>
      <c r="M8292" t="s">
        <v>9787</v>
      </c>
      <c r="N8292" t="s">
        <v>9787</v>
      </c>
      <c r="O8292" t="s">
        <v>23</v>
      </c>
      <c r="P8292" t="s">
        <v>24</v>
      </c>
      <c r="Q8292" t="s">
        <v>1637</v>
      </c>
      <c r="R8292" t="s">
        <v>9787</v>
      </c>
    </row>
    <row r="8293" spans="1:18" x14ac:dyDescent="0.25">
      <c r="A8293" t="s">
        <v>17545</v>
      </c>
      <c r="B8293" t="s">
        <v>9790</v>
      </c>
      <c r="C8293" t="str">
        <f>HYPERLINK("https://nematode.unl.edu/pellios12.jpg")</f>
        <v>https://nematode.unl.edu/pellios12.jpg</v>
      </c>
      <c r="D8293" t="s">
        <v>77</v>
      </c>
      <c r="G8293" t="s">
        <v>1906</v>
      </c>
      <c r="I8293" t="s">
        <v>529</v>
      </c>
      <c r="J8293" t="s">
        <v>20</v>
      </c>
      <c r="L8293" t="s">
        <v>1768</v>
      </c>
      <c r="M8293" t="s">
        <v>9787</v>
      </c>
      <c r="N8293" t="s">
        <v>9787</v>
      </c>
      <c r="O8293" t="s">
        <v>23</v>
      </c>
      <c r="P8293" t="s">
        <v>24</v>
      </c>
      <c r="Q8293" t="s">
        <v>1637</v>
      </c>
      <c r="R8293" t="s">
        <v>9787</v>
      </c>
    </row>
    <row r="8294" spans="1:18" x14ac:dyDescent="0.25">
      <c r="A8294" t="s">
        <v>17538</v>
      </c>
      <c r="B8294" t="s">
        <v>9791</v>
      </c>
      <c r="C8294" t="str">
        <f>HYPERLINK("https://nematode.unl.edu/pellios13.jpg")</f>
        <v>https://nematode.unl.edu/pellios13.jpg</v>
      </c>
      <c r="D8294" t="s">
        <v>16</v>
      </c>
      <c r="G8294" t="s">
        <v>34</v>
      </c>
      <c r="H8294" t="s">
        <v>18</v>
      </c>
      <c r="I8294" t="s">
        <v>19</v>
      </c>
      <c r="J8294" t="s">
        <v>20</v>
      </c>
      <c r="M8294" t="s">
        <v>9787</v>
      </c>
      <c r="N8294" t="s">
        <v>9787</v>
      </c>
      <c r="O8294" t="s">
        <v>23</v>
      </c>
      <c r="P8294" t="s">
        <v>24</v>
      </c>
      <c r="Q8294" t="s">
        <v>1637</v>
      </c>
      <c r="R8294" t="s">
        <v>9787</v>
      </c>
    </row>
    <row r="8295" spans="1:18" x14ac:dyDescent="0.25">
      <c r="A8295" t="s">
        <v>17547</v>
      </c>
      <c r="B8295" t="s">
        <v>9792</v>
      </c>
      <c r="C8295" t="str">
        <f>HYPERLINK("https://nematode.unl.edu/pellios14.jpg")</f>
        <v>https://nematode.unl.edu/pellios14.jpg</v>
      </c>
      <c r="G8295" t="s">
        <v>28</v>
      </c>
      <c r="I8295" t="s">
        <v>19</v>
      </c>
      <c r="J8295" t="s">
        <v>20</v>
      </c>
      <c r="L8295" t="s">
        <v>141</v>
      </c>
      <c r="M8295" t="s">
        <v>9787</v>
      </c>
      <c r="N8295" t="s">
        <v>9787</v>
      </c>
      <c r="O8295" t="s">
        <v>23</v>
      </c>
      <c r="P8295" t="s">
        <v>24</v>
      </c>
      <c r="Q8295" t="s">
        <v>1637</v>
      </c>
      <c r="R8295" t="s">
        <v>9787</v>
      </c>
    </row>
    <row r="8296" spans="1:18" x14ac:dyDescent="0.25">
      <c r="A8296" t="s">
        <v>17539</v>
      </c>
      <c r="B8296" t="s">
        <v>9793</v>
      </c>
      <c r="C8296" t="str">
        <f>HYPERLINK("https://nematode.unl.edu/pellios15.jpg")</f>
        <v>https://nematode.unl.edu/pellios15.jpg</v>
      </c>
      <c r="D8296" t="s">
        <v>16</v>
      </c>
      <c r="G8296" t="s">
        <v>34</v>
      </c>
      <c r="H8296" t="s">
        <v>18</v>
      </c>
      <c r="I8296" t="s">
        <v>41</v>
      </c>
      <c r="J8296" t="s">
        <v>20</v>
      </c>
      <c r="M8296" t="s">
        <v>9787</v>
      </c>
      <c r="N8296" t="s">
        <v>9787</v>
      </c>
      <c r="O8296" t="s">
        <v>23</v>
      </c>
      <c r="P8296" t="s">
        <v>24</v>
      </c>
      <c r="Q8296" t="s">
        <v>1637</v>
      </c>
      <c r="R8296" t="s">
        <v>9787</v>
      </c>
    </row>
    <row r="8297" spans="1:18" x14ac:dyDescent="0.25">
      <c r="A8297" t="s">
        <v>17548</v>
      </c>
      <c r="B8297" t="s">
        <v>9794</v>
      </c>
      <c r="C8297" t="str">
        <f>HYPERLINK("https://nematode.unl.edu/pellios2.jpg")</f>
        <v>https://nematode.unl.edu/pellios2.jpg</v>
      </c>
      <c r="D8297" t="s">
        <v>77</v>
      </c>
      <c r="G8297" t="s">
        <v>28</v>
      </c>
      <c r="J8297" t="s">
        <v>20</v>
      </c>
      <c r="L8297" t="s">
        <v>352</v>
      </c>
      <c r="M8297" t="s">
        <v>9787</v>
      </c>
      <c r="N8297" t="s">
        <v>9787</v>
      </c>
      <c r="O8297" t="s">
        <v>23</v>
      </c>
      <c r="P8297" t="s">
        <v>24</v>
      </c>
      <c r="Q8297" t="s">
        <v>1637</v>
      </c>
      <c r="R8297" t="s">
        <v>9787</v>
      </c>
    </row>
    <row r="8298" spans="1:18" x14ac:dyDescent="0.25">
      <c r="A8298" t="s">
        <v>17540</v>
      </c>
      <c r="B8298" t="s">
        <v>9795</v>
      </c>
      <c r="C8298" t="str">
        <f>HYPERLINK("https://nematode.unl.edu/pellios3.jpg")</f>
        <v>https://nematode.unl.edu/pellios3.jpg</v>
      </c>
      <c r="D8298" t="s">
        <v>77</v>
      </c>
      <c r="G8298" t="s">
        <v>34</v>
      </c>
      <c r="H8298" t="s">
        <v>18</v>
      </c>
      <c r="I8298" t="s">
        <v>41</v>
      </c>
      <c r="J8298" t="s">
        <v>20</v>
      </c>
      <c r="L8298" t="s">
        <v>141</v>
      </c>
      <c r="M8298" t="s">
        <v>9787</v>
      </c>
      <c r="N8298" t="s">
        <v>9787</v>
      </c>
      <c r="O8298" t="s">
        <v>23</v>
      </c>
      <c r="P8298" t="s">
        <v>24</v>
      </c>
      <c r="Q8298" t="s">
        <v>1637</v>
      </c>
      <c r="R8298" t="s">
        <v>9787</v>
      </c>
    </row>
    <row r="8299" spans="1:18" x14ac:dyDescent="0.25">
      <c r="A8299" t="s">
        <v>17541</v>
      </c>
      <c r="B8299" t="s">
        <v>9796</v>
      </c>
      <c r="C8299" t="str">
        <f>HYPERLINK("https://nematode.unl.edu/pellios4.jpg")</f>
        <v>https://nematode.unl.edu/pellios4.jpg</v>
      </c>
      <c r="D8299" t="s">
        <v>43</v>
      </c>
      <c r="G8299" t="s">
        <v>34</v>
      </c>
      <c r="H8299" t="s">
        <v>18</v>
      </c>
      <c r="J8299" t="s">
        <v>20</v>
      </c>
      <c r="L8299" t="s">
        <v>141</v>
      </c>
      <c r="M8299" t="s">
        <v>9787</v>
      </c>
      <c r="N8299" t="s">
        <v>9787</v>
      </c>
      <c r="O8299" t="s">
        <v>23</v>
      </c>
      <c r="P8299" t="s">
        <v>24</v>
      </c>
      <c r="Q8299" t="s">
        <v>1637</v>
      </c>
      <c r="R8299" t="s">
        <v>9787</v>
      </c>
    </row>
    <row r="8300" spans="1:18" x14ac:dyDescent="0.25">
      <c r="A8300" t="s">
        <v>17551</v>
      </c>
      <c r="B8300" t="s">
        <v>9797</v>
      </c>
      <c r="C8300" t="str">
        <f>HYPERLINK("https://nematode.unl.edu/pellios5.jpg")</f>
        <v>https://nematode.unl.edu/pellios5.jpg</v>
      </c>
      <c r="D8300" t="s">
        <v>43</v>
      </c>
      <c r="G8300" t="s">
        <v>51</v>
      </c>
      <c r="L8300" t="s">
        <v>352</v>
      </c>
      <c r="M8300" t="s">
        <v>9787</v>
      </c>
      <c r="N8300" t="s">
        <v>9787</v>
      </c>
      <c r="O8300" t="s">
        <v>23</v>
      </c>
      <c r="P8300" t="s">
        <v>24</v>
      </c>
      <c r="Q8300" t="s">
        <v>1637</v>
      </c>
      <c r="R8300" t="s">
        <v>9787</v>
      </c>
    </row>
    <row r="8301" spans="1:18" x14ac:dyDescent="0.25">
      <c r="A8301" t="s">
        <v>17549</v>
      </c>
      <c r="B8301" t="s">
        <v>9798</v>
      </c>
      <c r="C8301" t="str">
        <f>HYPERLINK("https://nematode.unl.edu/pellios6.jpg")</f>
        <v>https://nematode.unl.edu/pellios6.jpg</v>
      </c>
      <c r="D8301" t="s">
        <v>43</v>
      </c>
      <c r="G8301" t="s">
        <v>28</v>
      </c>
      <c r="J8301" t="s">
        <v>20</v>
      </c>
      <c r="L8301" t="s">
        <v>352</v>
      </c>
      <c r="M8301" t="s">
        <v>9787</v>
      </c>
      <c r="N8301" t="s">
        <v>9787</v>
      </c>
      <c r="O8301" t="s">
        <v>23</v>
      </c>
      <c r="P8301" t="s">
        <v>24</v>
      </c>
      <c r="Q8301" t="s">
        <v>1637</v>
      </c>
      <c r="R8301" t="s">
        <v>9787</v>
      </c>
    </row>
    <row r="8302" spans="1:18" x14ac:dyDescent="0.25">
      <c r="A8302" t="s">
        <v>17542</v>
      </c>
      <c r="B8302" t="s">
        <v>9799</v>
      </c>
      <c r="C8302" t="str">
        <f>HYPERLINK("https://nematode.unl.edu/pellios7.jpg")</f>
        <v>https://nematode.unl.edu/pellios7.jpg</v>
      </c>
      <c r="D8302" t="s">
        <v>77</v>
      </c>
      <c r="G8302" t="s">
        <v>34</v>
      </c>
      <c r="H8302" t="s">
        <v>18</v>
      </c>
      <c r="J8302" t="s">
        <v>20</v>
      </c>
      <c r="M8302" t="s">
        <v>9787</v>
      </c>
      <c r="N8302" t="s">
        <v>9787</v>
      </c>
      <c r="O8302" t="s">
        <v>23</v>
      </c>
      <c r="P8302" t="s">
        <v>24</v>
      </c>
      <c r="Q8302" t="s">
        <v>1637</v>
      </c>
      <c r="R8302" t="s">
        <v>9787</v>
      </c>
    </row>
    <row r="8303" spans="1:18" x14ac:dyDescent="0.25">
      <c r="A8303" t="s">
        <v>17550</v>
      </c>
      <c r="B8303" t="s">
        <v>9800</v>
      </c>
      <c r="C8303" t="str">
        <f>HYPERLINK("https://nematode.unl.edu/pellios8.jpg")</f>
        <v>https://nematode.unl.edu/pellios8.jpg</v>
      </c>
      <c r="D8303" t="s">
        <v>77</v>
      </c>
      <c r="G8303" t="s">
        <v>28</v>
      </c>
      <c r="J8303" t="s">
        <v>20</v>
      </c>
      <c r="L8303" t="s">
        <v>141</v>
      </c>
      <c r="M8303" t="s">
        <v>9787</v>
      </c>
      <c r="N8303" t="s">
        <v>9787</v>
      </c>
      <c r="O8303" t="s">
        <v>23</v>
      </c>
      <c r="P8303" t="s">
        <v>24</v>
      </c>
      <c r="Q8303" t="s">
        <v>1637</v>
      </c>
      <c r="R8303" t="s">
        <v>9787</v>
      </c>
    </row>
    <row r="8304" spans="1:18" x14ac:dyDescent="0.25">
      <c r="A8304" t="s">
        <v>17543</v>
      </c>
      <c r="B8304" t="s">
        <v>9801</v>
      </c>
      <c r="C8304" t="str">
        <f>HYPERLINK("https://nematode.unl.edu/pellios9.jpg")</f>
        <v>https://nematode.unl.edu/pellios9.jpg</v>
      </c>
      <c r="D8304" t="s">
        <v>77</v>
      </c>
      <c r="G8304" t="s">
        <v>34</v>
      </c>
      <c r="H8304" t="s">
        <v>18</v>
      </c>
      <c r="J8304" t="s">
        <v>20</v>
      </c>
      <c r="L8304" t="s">
        <v>5685</v>
      </c>
      <c r="M8304" t="s">
        <v>9787</v>
      </c>
      <c r="N8304" t="s">
        <v>9787</v>
      </c>
      <c r="O8304" t="s">
        <v>23</v>
      </c>
      <c r="P8304" t="s">
        <v>24</v>
      </c>
      <c r="Q8304" t="s">
        <v>1637</v>
      </c>
      <c r="R8304" t="s">
        <v>9787</v>
      </c>
    </row>
    <row r="8305" spans="1:18" x14ac:dyDescent="0.25">
      <c r="A8305" t="s">
        <v>20469</v>
      </c>
      <c r="B8305" t="s">
        <v>10939</v>
      </c>
      <c r="C8305" t="str">
        <f>HYPERLINK("https://nematode.unl.edu/pentus1.jpg")</f>
        <v>https://nematode.unl.edu/pentus1.jpg</v>
      </c>
      <c r="D8305" t="s">
        <v>43</v>
      </c>
      <c r="G8305" t="s">
        <v>44</v>
      </c>
      <c r="I8305" t="s">
        <v>499</v>
      </c>
      <c r="J8305" t="s">
        <v>20</v>
      </c>
      <c r="L8305" t="s">
        <v>141</v>
      </c>
      <c r="M8305" t="s">
        <v>10940</v>
      </c>
      <c r="N8305" t="s">
        <v>10940</v>
      </c>
      <c r="O8305" t="s">
        <v>73</v>
      </c>
      <c r="P8305" t="s">
        <v>81</v>
      </c>
      <c r="Q8305" t="s">
        <v>1101</v>
      </c>
      <c r="R8305" t="s">
        <v>10940</v>
      </c>
    </row>
    <row r="8306" spans="1:18" x14ac:dyDescent="0.25">
      <c r="A8306" t="s">
        <v>20458</v>
      </c>
      <c r="B8306" t="s">
        <v>10941</v>
      </c>
      <c r="C8306" t="str">
        <f>HYPERLINK("https://nematode.unl.edu/pentus2.jpg")</f>
        <v>https://nematode.unl.edu/pentus2.jpg</v>
      </c>
      <c r="D8306" t="s">
        <v>43</v>
      </c>
      <c r="G8306" t="s">
        <v>34</v>
      </c>
      <c r="H8306" t="s">
        <v>18</v>
      </c>
      <c r="I8306" t="s">
        <v>516</v>
      </c>
      <c r="J8306" t="s">
        <v>20</v>
      </c>
      <c r="L8306" t="s">
        <v>141</v>
      </c>
      <c r="M8306" t="s">
        <v>10940</v>
      </c>
      <c r="N8306" t="s">
        <v>10940</v>
      </c>
      <c r="O8306" t="s">
        <v>73</v>
      </c>
      <c r="P8306" t="s">
        <v>81</v>
      </c>
      <c r="Q8306" t="s">
        <v>1101</v>
      </c>
      <c r="R8306" t="s">
        <v>10940</v>
      </c>
    </row>
    <row r="8307" spans="1:18" x14ac:dyDescent="0.25">
      <c r="A8307" t="s">
        <v>20457</v>
      </c>
      <c r="B8307" t="s">
        <v>10942</v>
      </c>
      <c r="C8307" t="str">
        <f>HYPERLINK("https://nematode.unl.edu/pentus3.jpg")</f>
        <v>https://nematode.unl.edu/pentus3.jpg</v>
      </c>
      <c r="D8307" t="s">
        <v>43</v>
      </c>
      <c r="G8307" t="s">
        <v>17</v>
      </c>
      <c r="H8307" t="s">
        <v>18</v>
      </c>
      <c r="J8307" t="s">
        <v>20</v>
      </c>
      <c r="L8307" t="s">
        <v>141</v>
      </c>
      <c r="M8307" t="s">
        <v>10940</v>
      </c>
      <c r="N8307" t="s">
        <v>10940</v>
      </c>
      <c r="O8307" t="s">
        <v>73</v>
      </c>
      <c r="P8307" t="s">
        <v>81</v>
      </c>
      <c r="Q8307" t="s">
        <v>1101</v>
      </c>
      <c r="R8307" t="s">
        <v>10940</v>
      </c>
    </row>
    <row r="8308" spans="1:18" x14ac:dyDescent="0.25">
      <c r="A8308" t="s">
        <v>20483</v>
      </c>
      <c r="B8308" t="s">
        <v>10943</v>
      </c>
      <c r="C8308" t="str">
        <f>HYPERLINK("https://nematode.unl.edu/pentus4.jpg")</f>
        <v>https://nematode.unl.edu/pentus4.jpg</v>
      </c>
      <c r="D8308" t="s">
        <v>43</v>
      </c>
      <c r="G8308" t="s">
        <v>51</v>
      </c>
      <c r="I8308" t="s">
        <v>19</v>
      </c>
      <c r="J8308" t="s">
        <v>20</v>
      </c>
      <c r="M8308" t="s">
        <v>10940</v>
      </c>
      <c r="N8308" t="s">
        <v>10940</v>
      </c>
      <c r="O8308" t="s">
        <v>73</v>
      </c>
      <c r="P8308" t="s">
        <v>81</v>
      </c>
      <c r="Q8308" t="s">
        <v>1101</v>
      </c>
      <c r="R8308" t="s">
        <v>10940</v>
      </c>
    </row>
    <row r="8309" spans="1:18" x14ac:dyDescent="0.25">
      <c r="A8309" t="s">
        <v>20476</v>
      </c>
      <c r="B8309" t="s">
        <v>10944</v>
      </c>
      <c r="C8309" t="str">
        <f>HYPERLINK("https://nematode.unl.edu/pentus5.jpg")</f>
        <v>https://nematode.unl.edu/pentus5.jpg</v>
      </c>
      <c r="D8309" t="s">
        <v>43</v>
      </c>
      <c r="G8309" t="s">
        <v>28</v>
      </c>
      <c r="I8309" t="s">
        <v>19</v>
      </c>
      <c r="J8309" t="s">
        <v>20</v>
      </c>
      <c r="L8309" t="s">
        <v>141</v>
      </c>
      <c r="M8309" t="s">
        <v>10940</v>
      </c>
      <c r="N8309" t="s">
        <v>10940</v>
      </c>
      <c r="O8309" t="s">
        <v>73</v>
      </c>
      <c r="P8309" t="s">
        <v>81</v>
      </c>
      <c r="Q8309" t="s">
        <v>1101</v>
      </c>
      <c r="R8309" t="s">
        <v>10940</v>
      </c>
    </row>
    <row r="8310" spans="1:18" x14ac:dyDescent="0.25">
      <c r="A8310" t="s">
        <v>17144</v>
      </c>
      <c r="B8310" t="s">
        <v>10300</v>
      </c>
      <c r="C8310" t="str">
        <f>HYPERLINK("https://nematode.unl.edu/pflak1.jpg")</f>
        <v>https://nematode.unl.edu/pflak1.jpg</v>
      </c>
      <c r="D8310" t="s">
        <v>43</v>
      </c>
      <c r="G8310" t="s">
        <v>44</v>
      </c>
      <c r="I8310" t="s">
        <v>45</v>
      </c>
      <c r="J8310" t="s">
        <v>20</v>
      </c>
      <c r="L8310" t="s">
        <v>206</v>
      </c>
      <c r="M8310" t="s">
        <v>10289</v>
      </c>
      <c r="N8310" t="s">
        <v>10289</v>
      </c>
      <c r="O8310" t="s">
        <v>23</v>
      </c>
      <c r="P8310" t="s">
        <v>24</v>
      </c>
      <c r="Q8310" t="s">
        <v>6484</v>
      </c>
      <c r="R8310" t="s">
        <v>10109</v>
      </c>
    </row>
    <row r="8311" spans="1:18" x14ac:dyDescent="0.25">
      <c r="A8311" t="s">
        <v>17170</v>
      </c>
      <c r="B8311" t="s">
        <v>10301</v>
      </c>
      <c r="C8311" t="str">
        <f>HYPERLINK("https://nematode.unl.edu/pflak10.jpg")</f>
        <v>https://nematode.unl.edu/pflak10.jpg</v>
      </c>
      <c r="D8311" t="s">
        <v>77</v>
      </c>
      <c r="G8311" t="s">
        <v>28</v>
      </c>
      <c r="I8311" t="s">
        <v>41</v>
      </c>
      <c r="J8311" t="s">
        <v>20</v>
      </c>
      <c r="L8311" t="s">
        <v>29</v>
      </c>
      <c r="M8311" t="s">
        <v>10289</v>
      </c>
      <c r="N8311" t="s">
        <v>10289</v>
      </c>
      <c r="O8311" t="s">
        <v>23</v>
      </c>
      <c r="P8311" t="s">
        <v>24</v>
      </c>
      <c r="Q8311" t="s">
        <v>6484</v>
      </c>
      <c r="R8311" t="s">
        <v>10109</v>
      </c>
    </row>
    <row r="8312" spans="1:18" x14ac:dyDescent="0.25">
      <c r="A8312" t="s">
        <v>17157</v>
      </c>
      <c r="B8312" t="s">
        <v>10302</v>
      </c>
      <c r="C8312" t="str">
        <f>HYPERLINK("https://nematode.unl.edu/pflak11.jpg")</f>
        <v>https://nematode.unl.edu/pflak11.jpg</v>
      </c>
      <c r="D8312" t="s">
        <v>43</v>
      </c>
      <c r="G8312" t="s">
        <v>1404</v>
      </c>
      <c r="I8312" t="s">
        <v>41</v>
      </c>
      <c r="J8312" t="s">
        <v>20</v>
      </c>
      <c r="L8312" t="s">
        <v>29</v>
      </c>
      <c r="M8312" t="s">
        <v>10289</v>
      </c>
      <c r="N8312" t="s">
        <v>10289</v>
      </c>
      <c r="O8312" t="s">
        <v>23</v>
      </c>
      <c r="P8312" t="s">
        <v>24</v>
      </c>
      <c r="Q8312" t="s">
        <v>6484</v>
      </c>
      <c r="R8312" t="s">
        <v>10109</v>
      </c>
    </row>
    <row r="8313" spans="1:18" x14ac:dyDescent="0.25">
      <c r="A8313" t="s">
        <v>17145</v>
      </c>
      <c r="B8313" t="s">
        <v>10303</v>
      </c>
      <c r="C8313" t="str">
        <f>HYPERLINK("https://nematode.unl.edu/pflak12.jpg")</f>
        <v>https://nematode.unl.edu/pflak12.jpg</v>
      </c>
      <c r="D8313" t="s">
        <v>77</v>
      </c>
      <c r="G8313" t="s">
        <v>44</v>
      </c>
      <c r="I8313" t="s">
        <v>45</v>
      </c>
      <c r="J8313" t="s">
        <v>20</v>
      </c>
      <c r="L8313" t="s">
        <v>29</v>
      </c>
      <c r="M8313" t="s">
        <v>10289</v>
      </c>
      <c r="N8313" t="s">
        <v>10289</v>
      </c>
      <c r="O8313" t="s">
        <v>23</v>
      </c>
      <c r="P8313" t="s">
        <v>24</v>
      </c>
      <c r="Q8313" t="s">
        <v>6484</v>
      </c>
      <c r="R8313" t="s">
        <v>10109</v>
      </c>
    </row>
    <row r="8314" spans="1:18" x14ac:dyDescent="0.25">
      <c r="A8314" t="s">
        <v>17164</v>
      </c>
      <c r="B8314" t="s">
        <v>10304</v>
      </c>
      <c r="C8314" t="str">
        <f>HYPERLINK("https://nematode.unl.edu/pflak13.jpg")</f>
        <v>https://nematode.unl.edu/pflak13.jpg</v>
      </c>
      <c r="D8314" t="s">
        <v>77</v>
      </c>
      <c r="G8314" t="s">
        <v>112</v>
      </c>
      <c r="J8314" t="s">
        <v>20</v>
      </c>
      <c r="L8314" t="s">
        <v>29</v>
      </c>
      <c r="M8314" t="s">
        <v>10289</v>
      </c>
      <c r="N8314" t="s">
        <v>10289</v>
      </c>
      <c r="O8314" t="s">
        <v>23</v>
      </c>
      <c r="P8314" t="s">
        <v>24</v>
      </c>
      <c r="Q8314" t="s">
        <v>6484</v>
      </c>
      <c r="R8314" t="s">
        <v>10109</v>
      </c>
    </row>
    <row r="8315" spans="1:18" x14ac:dyDescent="0.25">
      <c r="A8315" t="s">
        <v>17126</v>
      </c>
      <c r="B8315" t="s">
        <v>10305</v>
      </c>
      <c r="C8315" t="str">
        <f>HYPERLINK("https://nematode.unl.edu/pflak14.jpg")</f>
        <v>https://nematode.unl.edu/pflak14.jpg</v>
      </c>
      <c r="D8315" t="s">
        <v>77</v>
      </c>
      <c r="G8315" t="s">
        <v>34</v>
      </c>
      <c r="H8315" t="s">
        <v>18</v>
      </c>
      <c r="J8315" t="s">
        <v>20</v>
      </c>
      <c r="L8315" t="s">
        <v>29</v>
      </c>
      <c r="M8315" t="s">
        <v>10289</v>
      </c>
      <c r="N8315" t="s">
        <v>10289</v>
      </c>
      <c r="O8315" t="s">
        <v>23</v>
      </c>
      <c r="P8315" t="s">
        <v>24</v>
      </c>
      <c r="Q8315" t="s">
        <v>6484</v>
      </c>
      <c r="R8315" t="s">
        <v>10109</v>
      </c>
    </row>
    <row r="8316" spans="1:18" x14ac:dyDescent="0.25">
      <c r="A8316" t="s">
        <v>17127</v>
      </c>
      <c r="B8316" t="s">
        <v>10306</v>
      </c>
      <c r="C8316" t="str">
        <f>HYPERLINK("https://nematode.unl.edu/pflak15.jpg")</f>
        <v>https://nematode.unl.edu/pflak15.jpg</v>
      </c>
      <c r="D8316" t="s">
        <v>77</v>
      </c>
      <c r="G8316" t="s">
        <v>34</v>
      </c>
      <c r="H8316" t="s">
        <v>18</v>
      </c>
      <c r="J8316" t="s">
        <v>20</v>
      </c>
      <c r="L8316" t="s">
        <v>29</v>
      </c>
      <c r="M8316" t="s">
        <v>10289</v>
      </c>
      <c r="N8316" t="s">
        <v>10289</v>
      </c>
      <c r="O8316" t="s">
        <v>23</v>
      </c>
      <c r="P8316" t="s">
        <v>24</v>
      </c>
      <c r="Q8316" t="s">
        <v>6484</v>
      </c>
      <c r="R8316" t="s">
        <v>10109</v>
      </c>
    </row>
    <row r="8317" spans="1:18" x14ac:dyDescent="0.25">
      <c r="A8317" t="s">
        <v>17165</v>
      </c>
      <c r="B8317" t="s">
        <v>10307</v>
      </c>
      <c r="C8317" t="str">
        <f>HYPERLINK("https://nematode.unl.edu/pflak16.jpg")</f>
        <v>https://nematode.unl.edu/pflak16.jpg</v>
      </c>
      <c r="D8317" t="s">
        <v>77</v>
      </c>
      <c r="G8317" t="s">
        <v>112</v>
      </c>
      <c r="I8317" t="s">
        <v>41</v>
      </c>
      <c r="M8317" t="s">
        <v>10289</v>
      </c>
      <c r="N8317" t="s">
        <v>10289</v>
      </c>
      <c r="O8317" t="s">
        <v>23</v>
      </c>
      <c r="P8317" t="s">
        <v>24</v>
      </c>
      <c r="Q8317" t="s">
        <v>6484</v>
      </c>
      <c r="R8317" t="s">
        <v>10109</v>
      </c>
    </row>
    <row r="8318" spans="1:18" x14ac:dyDescent="0.25">
      <c r="A8318" t="s">
        <v>17150</v>
      </c>
      <c r="B8318" t="s">
        <v>10308</v>
      </c>
      <c r="C8318" t="str">
        <f>HYPERLINK("https://nematode.unl.edu/pflak17.jpg")</f>
        <v>https://nematode.unl.edu/pflak17.jpg</v>
      </c>
      <c r="D8318" t="s">
        <v>77</v>
      </c>
      <c r="G8318" t="s">
        <v>1906</v>
      </c>
      <c r="I8318" t="s">
        <v>41</v>
      </c>
      <c r="J8318" t="s">
        <v>20</v>
      </c>
      <c r="L8318" t="s">
        <v>29</v>
      </c>
      <c r="M8318" t="s">
        <v>10289</v>
      </c>
      <c r="N8318" t="s">
        <v>10289</v>
      </c>
      <c r="O8318" t="s">
        <v>23</v>
      </c>
      <c r="P8318" t="s">
        <v>24</v>
      </c>
      <c r="Q8318" t="s">
        <v>6484</v>
      </c>
      <c r="R8318" t="s">
        <v>10109</v>
      </c>
    </row>
    <row r="8319" spans="1:18" x14ac:dyDescent="0.25">
      <c r="A8319" t="s">
        <v>17141</v>
      </c>
      <c r="B8319" t="s">
        <v>10309</v>
      </c>
      <c r="C8319" t="str">
        <f>HYPERLINK("https://nematode.unl.edu/pflak18.jpg")</f>
        <v>https://nematode.unl.edu/pflak18.jpg</v>
      </c>
      <c r="D8319" t="s">
        <v>77</v>
      </c>
      <c r="G8319" t="s">
        <v>257</v>
      </c>
      <c r="H8319" t="s">
        <v>18</v>
      </c>
      <c r="I8319" t="s">
        <v>41</v>
      </c>
      <c r="J8319" t="s">
        <v>20</v>
      </c>
      <c r="M8319" t="s">
        <v>10289</v>
      </c>
      <c r="N8319" t="s">
        <v>10289</v>
      </c>
      <c r="O8319" t="s">
        <v>23</v>
      </c>
      <c r="P8319" t="s">
        <v>24</v>
      </c>
      <c r="Q8319" t="s">
        <v>6484</v>
      </c>
      <c r="R8319" t="s">
        <v>10109</v>
      </c>
    </row>
    <row r="8320" spans="1:18" x14ac:dyDescent="0.25">
      <c r="A8320" t="s">
        <v>17151</v>
      </c>
      <c r="B8320" t="s">
        <v>10310</v>
      </c>
      <c r="C8320" t="str">
        <f>HYPERLINK("https://nematode.unl.edu/pflak19.jpg")</f>
        <v>https://nematode.unl.edu/pflak19.jpg</v>
      </c>
      <c r="D8320" t="s">
        <v>77</v>
      </c>
      <c r="G8320" t="s">
        <v>53</v>
      </c>
      <c r="I8320" t="s">
        <v>41</v>
      </c>
      <c r="J8320" t="s">
        <v>20</v>
      </c>
      <c r="L8320" t="s">
        <v>29</v>
      </c>
      <c r="M8320" t="s">
        <v>10289</v>
      </c>
      <c r="N8320" t="s">
        <v>10289</v>
      </c>
      <c r="O8320" t="s">
        <v>23</v>
      </c>
      <c r="P8320" t="s">
        <v>24</v>
      </c>
      <c r="Q8320" t="s">
        <v>6484</v>
      </c>
      <c r="R8320" t="s">
        <v>10109</v>
      </c>
    </row>
    <row r="8321" spans="1:18" x14ac:dyDescent="0.25">
      <c r="A8321" t="s">
        <v>17171</v>
      </c>
      <c r="B8321" t="s">
        <v>10311</v>
      </c>
      <c r="C8321" t="str">
        <f>HYPERLINK("https://nematode.unl.edu/pflak2.jpg")</f>
        <v>https://nematode.unl.edu/pflak2.jpg</v>
      </c>
      <c r="D8321" t="s">
        <v>77</v>
      </c>
      <c r="G8321" t="s">
        <v>28</v>
      </c>
      <c r="I8321" t="s">
        <v>19</v>
      </c>
      <c r="J8321" t="s">
        <v>20</v>
      </c>
      <c r="M8321" t="s">
        <v>10289</v>
      </c>
      <c r="N8321" t="s">
        <v>10289</v>
      </c>
      <c r="O8321" t="s">
        <v>23</v>
      </c>
      <c r="P8321" t="s">
        <v>24</v>
      </c>
      <c r="Q8321" t="s">
        <v>6484</v>
      </c>
      <c r="R8321" t="s">
        <v>10109</v>
      </c>
    </row>
    <row r="8322" spans="1:18" x14ac:dyDescent="0.25">
      <c r="A8322" t="s">
        <v>17146</v>
      </c>
      <c r="B8322" t="s">
        <v>10312</v>
      </c>
      <c r="C8322" t="str">
        <f>HYPERLINK("https://nematode.unl.edu/pflak20.jpg")</f>
        <v>https://nematode.unl.edu/pflak20.jpg</v>
      </c>
      <c r="D8322" t="s">
        <v>43</v>
      </c>
      <c r="G8322" t="s">
        <v>44</v>
      </c>
      <c r="I8322" t="s">
        <v>45</v>
      </c>
      <c r="J8322" t="s">
        <v>20</v>
      </c>
      <c r="L8322" t="s">
        <v>29</v>
      </c>
      <c r="M8322" t="s">
        <v>10289</v>
      </c>
      <c r="N8322" t="s">
        <v>10289</v>
      </c>
      <c r="O8322" t="s">
        <v>23</v>
      </c>
      <c r="P8322" t="s">
        <v>24</v>
      </c>
      <c r="Q8322" t="s">
        <v>6484</v>
      </c>
      <c r="R8322" t="s">
        <v>10109</v>
      </c>
    </row>
    <row r="8323" spans="1:18" x14ac:dyDescent="0.25">
      <c r="A8323" t="s">
        <v>17152</v>
      </c>
      <c r="B8323" t="s">
        <v>10313</v>
      </c>
      <c r="C8323" t="str">
        <f>HYPERLINK("https://nematode.unl.edu/pflak21.jpg")</f>
        <v>https://nematode.unl.edu/pflak21.jpg</v>
      </c>
      <c r="D8323" t="s">
        <v>43</v>
      </c>
      <c r="G8323" t="s">
        <v>53</v>
      </c>
      <c r="J8323" t="s">
        <v>20</v>
      </c>
      <c r="L8323" t="s">
        <v>29</v>
      </c>
      <c r="M8323" t="s">
        <v>10289</v>
      </c>
      <c r="N8323" t="s">
        <v>10289</v>
      </c>
      <c r="O8323" t="s">
        <v>23</v>
      </c>
      <c r="P8323" t="s">
        <v>24</v>
      </c>
      <c r="Q8323" t="s">
        <v>6484</v>
      </c>
      <c r="R8323" t="s">
        <v>10109</v>
      </c>
    </row>
    <row r="8324" spans="1:18" x14ac:dyDescent="0.25">
      <c r="A8324" t="s">
        <v>17172</v>
      </c>
      <c r="B8324" t="s">
        <v>10314</v>
      </c>
      <c r="C8324" t="str">
        <f>HYPERLINK("https://nematode.unl.edu/pflak22.jpg")</f>
        <v>https://nematode.unl.edu/pflak22.jpg</v>
      </c>
      <c r="D8324" t="s">
        <v>77</v>
      </c>
      <c r="G8324" t="s">
        <v>28</v>
      </c>
      <c r="I8324" t="s">
        <v>19</v>
      </c>
      <c r="M8324" t="s">
        <v>10289</v>
      </c>
      <c r="N8324" t="s">
        <v>10289</v>
      </c>
      <c r="O8324" t="s">
        <v>23</v>
      </c>
      <c r="P8324" t="s">
        <v>24</v>
      </c>
      <c r="Q8324" t="s">
        <v>6484</v>
      </c>
      <c r="R8324" t="s">
        <v>10109</v>
      </c>
    </row>
    <row r="8325" spans="1:18" x14ac:dyDescent="0.25">
      <c r="A8325" t="s">
        <v>17128</v>
      </c>
      <c r="B8325" t="s">
        <v>10315</v>
      </c>
      <c r="C8325" t="str">
        <f>HYPERLINK("https://nematode.unl.edu/pflak23.jpg")</f>
        <v>https://nematode.unl.edu/pflak23.jpg</v>
      </c>
      <c r="D8325" t="s">
        <v>43</v>
      </c>
      <c r="G8325" t="s">
        <v>34</v>
      </c>
      <c r="H8325" t="s">
        <v>18</v>
      </c>
      <c r="I8325" t="s">
        <v>19</v>
      </c>
      <c r="J8325" t="s">
        <v>20</v>
      </c>
      <c r="L8325" t="s">
        <v>29</v>
      </c>
      <c r="M8325" t="s">
        <v>10289</v>
      </c>
      <c r="N8325" t="s">
        <v>10289</v>
      </c>
      <c r="O8325" t="s">
        <v>23</v>
      </c>
      <c r="P8325" t="s">
        <v>24</v>
      </c>
      <c r="Q8325" t="s">
        <v>6484</v>
      </c>
      <c r="R8325" t="s">
        <v>10109</v>
      </c>
    </row>
    <row r="8326" spans="1:18" x14ac:dyDescent="0.25">
      <c r="A8326" t="s">
        <v>17153</v>
      </c>
      <c r="B8326" t="s">
        <v>10316</v>
      </c>
      <c r="C8326" t="str">
        <f>HYPERLINK("https://nematode.unl.edu/pflak24.jpg")</f>
        <v>https://nematode.unl.edu/pflak24.jpg</v>
      </c>
      <c r="D8326" t="s">
        <v>43</v>
      </c>
      <c r="G8326" t="s">
        <v>53</v>
      </c>
      <c r="I8326" t="s">
        <v>41</v>
      </c>
      <c r="J8326" t="s">
        <v>20</v>
      </c>
      <c r="L8326" t="s">
        <v>29</v>
      </c>
      <c r="M8326" t="s">
        <v>10289</v>
      </c>
      <c r="N8326" t="s">
        <v>10289</v>
      </c>
      <c r="O8326" t="s">
        <v>23</v>
      </c>
      <c r="P8326" t="s">
        <v>24</v>
      </c>
      <c r="Q8326" t="s">
        <v>6484</v>
      </c>
      <c r="R8326" t="s">
        <v>10109</v>
      </c>
    </row>
    <row r="8327" spans="1:18" x14ac:dyDescent="0.25">
      <c r="A8327" t="s">
        <v>17129</v>
      </c>
      <c r="B8327" t="s">
        <v>10317</v>
      </c>
      <c r="C8327" t="str">
        <f>HYPERLINK("https://nematode.unl.edu/pflak25.jpg")</f>
        <v>https://nematode.unl.edu/pflak25.jpg</v>
      </c>
      <c r="D8327" t="s">
        <v>43</v>
      </c>
      <c r="G8327" t="s">
        <v>34</v>
      </c>
      <c r="H8327" t="s">
        <v>18</v>
      </c>
      <c r="I8327" t="s">
        <v>41</v>
      </c>
      <c r="J8327" t="s">
        <v>20</v>
      </c>
      <c r="L8327" t="s">
        <v>29</v>
      </c>
      <c r="M8327" t="s">
        <v>10289</v>
      </c>
      <c r="N8327" t="s">
        <v>10289</v>
      </c>
      <c r="O8327" t="s">
        <v>23</v>
      </c>
      <c r="P8327" t="s">
        <v>24</v>
      </c>
      <c r="Q8327" t="s">
        <v>6484</v>
      </c>
      <c r="R8327" t="s">
        <v>10109</v>
      </c>
    </row>
    <row r="8328" spans="1:18" x14ac:dyDescent="0.25">
      <c r="A8328" t="s">
        <v>17158</v>
      </c>
      <c r="B8328" t="s">
        <v>10318</v>
      </c>
      <c r="C8328" t="str">
        <f>HYPERLINK("https://nematode.unl.edu/pflak26.jpg")</f>
        <v>https://nematode.unl.edu/pflak26.jpg</v>
      </c>
      <c r="G8328" t="s">
        <v>1404</v>
      </c>
      <c r="I8328" t="s">
        <v>41</v>
      </c>
      <c r="J8328" t="s">
        <v>20</v>
      </c>
      <c r="L8328" t="s">
        <v>206</v>
      </c>
      <c r="M8328" t="s">
        <v>10289</v>
      </c>
      <c r="N8328" t="s">
        <v>10289</v>
      </c>
      <c r="O8328" t="s">
        <v>23</v>
      </c>
      <c r="P8328" t="s">
        <v>24</v>
      </c>
      <c r="Q8328" t="s">
        <v>6484</v>
      </c>
      <c r="R8328" t="s">
        <v>10109</v>
      </c>
    </row>
    <row r="8329" spans="1:18" x14ac:dyDescent="0.25">
      <c r="A8329" t="s">
        <v>17173</v>
      </c>
      <c r="B8329" t="s">
        <v>10319</v>
      </c>
      <c r="C8329" t="str">
        <f>HYPERLINK("https://nematode.unl.edu/pflak27.jpg")</f>
        <v>https://nematode.unl.edu/pflak27.jpg</v>
      </c>
      <c r="G8329" t="s">
        <v>28</v>
      </c>
      <c r="I8329" t="s">
        <v>41</v>
      </c>
      <c r="J8329" t="s">
        <v>20</v>
      </c>
      <c r="L8329" t="s">
        <v>29</v>
      </c>
      <c r="M8329" t="s">
        <v>10289</v>
      </c>
      <c r="N8329" t="s">
        <v>10289</v>
      </c>
      <c r="O8329" t="s">
        <v>23</v>
      </c>
      <c r="P8329" t="s">
        <v>24</v>
      </c>
      <c r="Q8329" t="s">
        <v>6484</v>
      </c>
      <c r="R8329" t="s">
        <v>10109</v>
      </c>
    </row>
    <row r="8330" spans="1:18" x14ac:dyDescent="0.25">
      <c r="A8330" t="s">
        <v>17159</v>
      </c>
      <c r="B8330" t="s">
        <v>10320</v>
      </c>
      <c r="C8330" t="str">
        <f>HYPERLINK("https://nematode.unl.edu/pflak28.jpg")</f>
        <v>https://nematode.unl.edu/pflak28.jpg</v>
      </c>
      <c r="G8330" t="s">
        <v>1404</v>
      </c>
      <c r="I8330" t="s">
        <v>19</v>
      </c>
      <c r="J8330" t="s">
        <v>20</v>
      </c>
      <c r="L8330" t="s">
        <v>85</v>
      </c>
      <c r="M8330" t="s">
        <v>10289</v>
      </c>
      <c r="N8330" t="s">
        <v>10289</v>
      </c>
      <c r="O8330" t="s">
        <v>23</v>
      </c>
      <c r="P8330" t="s">
        <v>24</v>
      </c>
      <c r="Q8330" t="s">
        <v>6484</v>
      </c>
      <c r="R8330" t="s">
        <v>10109</v>
      </c>
    </row>
    <row r="8331" spans="1:18" x14ac:dyDescent="0.25">
      <c r="A8331" t="s">
        <v>17154</v>
      </c>
      <c r="B8331" t="s">
        <v>10321</v>
      </c>
      <c r="C8331" t="str">
        <f>HYPERLINK("https://nematode.unl.edu/pflak29.jpg")</f>
        <v>https://nematode.unl.edu/pflak29.jpg</v>
      </c>
      <c r="D8331" t="s">
        <v>43</v>
      </c>
      <c r="G8331" t="s">
        <v>53</v>
      </c>
      <c r="J8331" t="s">
        <v>20</v>
      </c>
      <c r="L8331" t="s">
        <v>85</v>
      </c>
      <c r="M8331" t="s">
        <v>10289</v>
      </c>
      <c r="N8331" t="s">
        <v>10289</v>
      </c>
      <c r="O8331" t="s">
        <v>23</v>
      </c>
      <c r="P8331" t="s">
        <v>24</v>
      </c>
      <c r="Q8331" t="s">
        <v>6484</v>
      </c>
      <c r="R8331" t="s">
        <v>10109</v>
      </c>
    </row>
    <row r="8332" spans="1:18" x14ac:dyDescent="0.25">
      <c r="A8332" t="s">
        <v>17155</v>
      </c>
      <c r="B8332" t="s">
        <v>10322</v>
      </c>
      <c r="C8332" t="str">
        <f>HYPERLINK("https://nematode.unl.edu/pflak3.jpg")</f>
        <v>https://nematode.unl.edu/pflak3.jpg</v>
      </c>
      <c r="D8332" t="s">
        <v>77</v>
      </c>
      <c r="G8332" t="s">
        <v>53</v>
      </c>
      <c r="I8332" t="s">
        <v>41</v>
      </c>
      <c r="J8332" t="s">
        <v>20</v>
      </c>
      <c r="L8332" t="s">
        <v>85</v>
      </c>
      <c r="M8332" t="s">
        <v>10289</v>
      </c>
      <c r="N8332" t="s">
        <v>10289</v>
      </c>
      <c r="O8332" t="s">
        <v>23</v>
      </c>
      <c r="P8332" t="s">
        <v>24</v>
      </c>
      <c r="Q8332" t="s">
        <v>6484</v>
      </c>
      <c r="R8332" t="s">
        <v>10109</v>
      </c>
    </row>
    <row r="8333" spans="1:18" x14ac:dyDescent="0.25">
      <c r="A8333" t="s">
        <v>17130</v>
      </c>
      <c r="B8333" t="s">
        <v>10323</v>
      </c>
      <c r="C8333" t="str">
        <f>HYPERLINK("https://nematode.unl.edu/pflak30.jpg")</f>
        <v>https://nematode.unl.edu/pflak30.jpg</v>
      </c>
      <c r="D8333" t="s">
        <v>43</v>
      </c>
      <c r="G8333" t="s">
        <v>34</v>
      </c>
      <c r="H8333" t="s">
        <v>18</v>
      </c>
      <c r="I8333" t="s">
        <v>41</v>
      </c>
      <c r="J8333" t="s">
        <v>20</v>
      </c>
      <c r="L8333" t="s">
        <v>85</v>
      </c>
      <c r="M8333" t="s">
        <v>10289</v>
      </c>
      <c r="N8333" t="s">
        <v>10289</v>
      </c>
      <c r="O8333" t="s">
        <v>23</v>
      </c>
      <c r="P8333" t="s">
        <v>24</v>
      </c>
      <c r="Q8333" t="s">
        <v>6484</v>
      </c>
      <c r="R8333" t="s">
        <v>10109</v>
      </c>
    </row>
    <row r="8334" spans="1:18" x14ac:dyDescent="0.25">
      <c r="A8334" t="s">
        <v>17147</v>
      </c>
      <c r="B8334" t="s">
        <v>10324</v>
      </c>
      <c r="C8334" t="str">
        <f>HYPERLINK("https://nematode.unl.edu/pflak31.jpg")</f>
        <v>https://nematode.unl.edu/pflak31.jpg</v>
      </c>
      <c r="D8334" t="s">
        <v>43</v>
      </c>
      <c r="G8334" t="s">
        <v>44</v>
      </c>
      <c r="I8334" t="s">
        <v>45</v>
      </c>
      <c r="J8334" t="s">
        <v>20</v>
      </c>
      <c r="L8334" t="s">
        <v>85</v>
      </c>
      <c r="M8334" t="s">
        <v>10289</v>
      </c>
      <c r="N8334" t="s">
        <v>10289</v>
      </c>
      <c r="O8334" t="s">
        <v>23</v>
      </c>
      <c r="P8334" t="s">
        <v>24</v>
      </c>
      <c r="Q8334" t="s">
        <v>6484</v>
      </c>
      <c r="R8334" t="s">
        <v>10109</v>
      </c>
    </row>
    <row r="8335" spans="1:18" x14ac:dyDescent="0.25">
      <c r="A8335" t="s">
        <v>17131</v>
      </c>
      <c r="B8335" t="s">
        <v>10325</v>
      </c>
      <c r="C8335" t="str">
        <f>HYPERLINK("https://nematode.unl.edu/pflak32.jpg")</f>
        <v>https://nematode.unl.edu/pflak32.jpg</v>
      </c>
      <c r="D8335" t="s">
        <v>43</v>
      </c>
      <c r="G8335" t="s">
        <v>34</v>
      </c>
      <c r="H8335" t="s">
        <v>18</v>
      </c>
      <c r="J8335" t="s">
        <v>20</v>
      </c>
      <c r="M8335" t="s">
        <v>10289</v>
      </c>
      <c r="N8335" t="s">
        <v>10289</v>
      </c>
      <c r="O8335" t="s">
        <v>23</v>
      </c>
      <c r="P8335" t="s">
        <v>24</v>
      </c>
      <c r="Q8335" t="s">
        <v>6484</v>
      </c>
      <c r="R8335" t="s">
        <v>10109</v>
      </c>
    </row>
    <row r="8336" spans="1:18" x14ac:dyDescent="0.25">
      <c r="A8336" t="s">
        <v>17174</v>
      </c>
      <c r="B8336" t="s">
        <v>10326</v>
      </c>
      <c r="C8336" t="str">
        <f>HYPERLINK("https://nematode.unl.edu/pflak33.jpg")</f>
        <v>https://nematode.unl.edu/pflak33.jpg</v>
      </c>
      <c r="D8336" t="s">
        <v>77</v>
      </c>
      <c r="G8336" t="s">
        <v>28</v>
      </c>
      <c r="M8336" t="s">
        <v>10289</v>
      </c>
      <c r="N8336" t="s">
        <v>10289</v>
      </c>
      <c r="O8336" t="s">
        <v>23</v>
      </c>
      <c r="P8336" t="s">
        <v>24</v>
      </c>
      <c r="Q8336" t="s">
        <v>6484</v>
      </c>
      <c r="R8336" t="s">
        <v>10109</v>
      </c>
    </row>
    <row r="8337" spans="1:18" x14ac:dyDescent="0.25">
      <c r="A8337" t="s">
        <v>17132</v>
      </c>
      <c r="B8337" t="s">
        <v>10327</v>
      </c>
      <c r="C8337" t="str">
        <f>HYPERLINK("https://nematode.unl.edu/pflak34.jpg")</f>
        <v>https://nematode.unl.edu/pflak34.jpg</v>
      </c>
      <c r="D8337" t="s">
        <v>43</v>
      </c>
      <c r="G8337" t="s">
        <v>34</v>
      </c>
      <c r="H8337" t="s">
        <v>18</v>
      </c>
      <c r="I8337" t="s">
        <v>41</v>
      </c>
      <c r="J8337" t="s">
        <v>20</v>
      </c>
      <c r="M8337" t="s">
        <v>10289</v>
      </c>
      <c r="N8337" t="s">
        <v>10289</v>
      </c>
      <c r="O8337" t="s">
        <v>23</v>
      </c>
      <c r="P8337" t="s">
        <v>24</v>
      </c>
      <c r="Q8337" t="s">
        <v>6484</v>
      </c>
      <c r="R8337" t="s">
        <v>10109</v>
      </c>
    </row>
    <row r="8338" spans="1:18" x14ac:dyDescent="0.25">
      <c r="A8338" t="s">
        <v>17133</v>
      </c>
      <c r="B8338" t="s">
        <v>10328</v>
      </c>
      <c r="C8338" t="str">
        <f>HYPERLINK("https://nematode.unl.edu/pflak35.jpg")</f>
        <v>https://nematode.unl.edu/pflak35.jpg</v>
      </c>
      <c r="D8338" t="s">
        <v>43</v>
      </c>
      <c r="G8338" t="s">
        <v>34</v>
      </c>
      <c r="H8338" t="s">
        <v>18</v>
      </c>
      <c r="I8338" t="s">
        <v>41</v>
      </c>
      <c r="J8338" t="s">
        <v>20</v>
      </c>
      <c r="M8338" t="s">
        <v>10289</v>
      </c>
      <c r="N8338" t="s">
        <v>10289</v>
      </c>
      <c r="O8338" t="s">
        <v>23</v>
      </c>
      <c r="P8338" t="s">
        <v>24</v>
      </c>
      <c r="Q8338" t="s">
        <v>6484</v>
      </c>
      <c r="R8338" t="s">
        <v>10109</v>
      </c>
    </row>
    <row r="8339" spans="1:18" x14ac:dyDescent="0.25">
      <c r="A8339" t="s">
        <v>17160</v>
      </c>
      <c r="B8339" t="s">
        <v>10329</v>
      </c>
      <c r="C8339" t="str">
        <f>HYPERLINK("https://nematode.unl.edu/pflak36.jpg")</f>
        <v>https://nematode.unl.edu/pflak36.jpg</v>
      </c>
      <c r="D8339" t="s">
        <v>43</v>
      </c>
      <c r="G8339" t="s">
        <v>1404</v>
      </c>
      <c r="I8339" t="s">
        <v>41</v>
      </c>
      <c r="J8339" t="s">
        <v>20</v>
      </c>
      <c r="L8339" t="s">
        <v>85</v>
      </c>
      <c r="M8339" t="s">
        <v>10289</v>
      </c>
      <c r="N8339" t="s">
        <v>10289</v>
      </c>
      <c r="O8339" t="s">
        <v>23</v>
      </c>
      <c r="P8339" t="s">
        <v>24</v>
      </c>
      <c r="Q8339" t="s">
        <v>6484</v>
      </c>
      <c r="R8339" t="s">
        <v>10109</v>
      </c>
    </row>
    <row r="8340" spans="1:18" x14ac:dyDescent="0.25">
      <c r="A8340" t="s">
        <v>17156</v>
      </c>
      <c r="B8340" t="s">
        <v>10330</v>
      </c>
      <c r="C8340" t="str">
        <f>HYPERLINK("https://nematode.unl.edu/pflak37.jpg")</f>
        <v>https://nematode.unl.edu/pflak37.jpg</v>
      </c>
      <c r="G8340" t="s">
        <v>53</v>
      </c>
      <c r="I8340" t="s">
        <v>41</v>
      </c>
      <c r="J8340" t="s">
        <v>20</v>
      </c>
      <c r="L8340" t="s">
        <v>85</v>
      </c>
      <c r="M8340" t="s">
        <v>10289</v>
      </c>
      <c r="N8340" t="s">
        <v>10289</v>
      </c>
      <c r="O8340" t="s">
        <v>23</v>
      </c>
      <c r="P8340" t="s">
        <v>24</v>
      </c>
      <c r="Q8340" t="s">
        <v>6484</v>
      </c>
      <c r="R8340" t="s">
        <v>10109</v>
      </c>
    </row>
    <row r="8341" spans="1:18" x14ac:dyDescent="0.25">
      <c r="A8341" t="s">
        <v>17175</v>
      </c>
      <c r="B8341" t="s">
        <v>10331</v>
      </c>
      <c r="C8341" t="str">
        <f>HYPERLINK("https://nematode.unl.edu/pflak38.jpg")</f>
        <v>https://nematode.unl.edu/pflak38.jpg</v>
      </c>
      <c r="D8341" t="s">
        <v>77</v>
      </c>
      <c r="G8341" t="s">
        <v>28</v>
      </c>
      <c r="I8341" t="s">
        <v>41</v>
      </c>
      <c r="J8341" t="s">
        <v>20</v>
      </c>
      <c r="L8341" t="s">
        <v>85</v>
      </c>
      <c r="M8341" t="s">
        <v>10289</v>
      </c>
      <c r="N8341" t="s">
        <v>10289</v>
      </c>
      <c r="O8341" t="s">
        <v>23</v>
      </c>
      <c r="P8341" t="s">
        <v>24</v>
      </c>
      <c r="Q8341" t="s">
        <v>6484</v>
      </c>
      <c r="R8341" t="s">
        <v>10109</v>
      </c>
    </row>
    <row r="8342" spans="1:18" x14ac:dyDescent="0.25">
      <c r="A8342" t="s">
        <v>17148</v>
      </c>
      <c r="B8342" t="s">
        <v>10332</v>
      </c>
      <c r="C8342" t="str">
        <f>HYPERLINK("https://nematode.unl.edu/pflak39.jpg")</f>
        <v>https://nematode.unl.edu/pflak39.jpg</v>
      </c>
      <c r="D8342" t="s">
        <v>43</v>
      </c>
      <c r="G8342" t="s">
        <v>44</v>
      </c>
      <c r="I8342" t="s">
        <v>45</v>
      </c>
      <c r="J8342" t="s">
        <v>20</v>
      </c>
      <c r="L8342" t="s">
        <v>85</v>
      </c>
      <c r="M8342" t="s">
        <v>10289</v>
      </c>
      <c r="N8342" t="s">
        <v>10289</v>
      </c>
      <c r="O8342" t="s">
        <v>23</v>
      </c>
      <c r="P8342" t="s">
        <v>24</v>
      </c>
      <c r="Q8342" t="s">
        <v>6484</v>
      </c>
      <c r="R8342" t="s">
        <v>10109</v>
      </c>
    </row>
    <row r="8343" spans="1:18" x14ac:dyDescent="0.25">
      <c r="A8343" t="s">
        <v>17176</v>
      </c>
      <c r="B8343" t="s">
        <v>10333</v>
      </c>
      <c r="C8343" t="str">
        <f>HYPERLINK("https://nematode.unl.edu/pflak4.jpg")</f>
        <v>https://nematode.unl.edu/pflak4.jpg</v>
      </c>
      <c r="D8343" t="s">
        <v>77</v>
      </c>
      <c r="G8343" t="s">
        <v>28</v>
      </c>
      <c r="I8343" t="s">
        <v>41</v>
      </c>
      <c r="J8343" t="s">
        <v>20</v>
      </c>
      <c r="L8343" t="s">
        <v>85</v>
      </c>
      <c r="M8343" t="s">
        <v>10289</v>
      </c>
      <c r="N8343" t="s">
        <v>10289</v>
      </c>
      <c r="O8343" t="s">
        <v>23</v>
      </c>
      <c r="P8343" t="s">
        <v>24</v>
      </c>
      <c r="Q8343" t="s">
        <v>6484</v>
      </c>
      <c r="R8343" t="s">
        <v>10109</v>
      </c>
    </row>
    <row r="8344" spans="1:18" x14ac:dyDescent="0.25">
      <c r="A8344" t="s">
        <v>17134</v>
      </c>
      <c r="B8344" t="s">
        <v>10334</v>
      </c>
      <c r="C8344" t="str">
        <f>HYPERLINK("https://nematode.unl.edu/pflak40.jpg")</f>
        <v>https://nematode.unl.edu/pflak40.jpg</v>
      </c>
      <c r="D8344" t="s">
        <v>43</v>
      </c>
      <c r="G8344" t="s">
        <v>34</v>
      </c>
      <c r="H8344" t="s">
        <v>18</v>
      </c>
      <c r="I8344" t="s">
        <v>19</v>
      </c>
      <c r="J8344" t="s">
        <v>20</v>
      </c>
      <c r="L8344" t="s">
        <v>85</v>
      </c>
      <c r="M8344" t="s">
        <v>10289</v>
      </c>
      <c r="N8344" t="s">
        <v>10289</v>
      </c>
      <c r="O8344" t="s">
        <v>23</v>
      </c>
      <c r="P8344" t="s">
        <v>24</v>
      </c>
      <c r="Q8344" t="s">
        <v>6484</v>
      </c>
      <c r="R8344" t="s">
        <v>10109</v>
      </c>
    </row>
    <row r="8345" spans="1:18" x14ac:dyDescent="0.25">
      <c r="A8345" t="s">
        <v>17177</v>
      </c>
      <c r="B8345" t="s">
        <v>10335</v>
      </c>
      <c r="C8345" t="str">
        <f>HYPERLINK("https://nematode.unl.edu/pflak41.jpg")</f>
        <v>https://nematode.unl.edu/pflak41.jpg</v>
      </c>
      <c r="D8345" t="s">
        <v>77</v>
      </c>
      <c r="G8345" t="s">
        <v>28</v>
      </c>
      <c r="J8345" t="s">
        <v>20</v>
      </c>
      <c r="L8345" t="s">
        <v>85</v>
      </c>
      <c r="M8345" t="s">
        <v>10289</v>
      </c>
      <c r="N8345" t="s">
        <v>10289</v>
      </c>
      <c r="O8345" t="s">
        <v>23</v>
      </c>
      <c r="P8345" t="s">
        <v>24</v>
      </c>
      <c r="Q8345" t="s">
        <v>6484</v>
      </c>
      <c r="R8345" t="s">
        <v>10109</v>
      </c>
    </row>
    <row r="8346" spans="1:18" x14ac:dyDescent="0.25">
      <c r="A8346" t="s">
        <v>17135</v>
      </c>
      <c r="B8346" t="s">
        <v>10336</v>
      </c>
      <c r="C8346" t="str">
        <f>HYPERLINK("https://nematode.unl.edu/pflak42.jpg")</f>
        <v>https://nematode.unl.edu/pflak42.jpg</v>
      </c>
      <c r="D8346" t="s">
        <v>43</v>
      </c>
      <c r="G8346" t="s">
        <v>34</v>
      </c>
      <c r="H8346" t="s">
        <v>18</v>
      </c>
      <c r="I8346" t="s">
        <v>41</v>
      </c>
      <c r="J8346" t="s">
        <v>20</v>
      </c>
      <c r="L8346" t="s">
        <v>85</v>
      </c>
      <c r="M8346" t="s">
        <v>10289</v>
      </c>
      <c r="N8346" t="s">
        <v>10289</v>
      </c>
      <c r="O8346" t="s">
        <v>23</v>
      </c>
      <c r="P8346" t="s">
        <v>24</v>
      </c>
      <c r="Q8346" t="s">
        <v>6484</v>
      </c>
      <c r="R8346" t="s">
        <v>10109</v>
      </c>
    </row>
    <row r="8347" spans="1:18" x14ac:dyDescent="0.25">
      <c r="A8347" t="s">
        <v>17161</v>
      </c>
      <c r="B8347" t="s">
        <v>10337</v>
      </c>
      <c r="C8347" t="str">
        <f>HYPERLINK("https://nematode.unl.edu/pflak43.jpg")</f>
        <v>https://nematode.unl.edu/pflak43.jpg</v>
      </c>
      <c r="G8347" t="s">
        <v>1404</v>
      </c>
      <c r="I8347" t="s">
        <v>41</v>
      </c>
      <c r="J8347" t="s">
        <v>20</v>
      </c>
      <c r="L8347" t="s">
        <v>85</v>
      </c>
      <c r="M8347" t="s">
        <v>10289</v>
      </c>
      <c r="N8347" t="s">
        <v>10289</v>
      </c>
      <c r="O8347" t="s">
        <v>23</v>
      </c>
      <c r="P8347" t="s">
        <v>24</v>
      </c>
      <c r="Q8347" t="s">
        <v>6484</v>
      </c>
      <c r="R8347" t="s">
        <v>10109</v>
      </c>
    </row>
    <row r="8348" spans="1:18" x14ac:dyDescent="0.25">
      <c r="A8348" t="s">
        <v>17178</v>
      </c>
      <c r="B8348" t="s">
        <v>10338</v>
      </c>
      <c r="C8348" t="str">
        <f>HYPERLINK("https://nematode.unl.edu/pflak44.jpg")</f>
        <v>https://nematode.unl.edu/pflak44.jpg</v>
      </c>
      <c r="D8348" t="s">
        <v>77</v>
      </c>
      <c r="G8348" t="s">
        <v>28</v>
      </c>
      <c r="I8348" t="s">
        <v>41</v>
      </c>
      <c r="J8348" t="s">
        <v>20</v>
      </c>
      <c r="L8348" t="s">
        <v>85</v>
      </c>
      <c r="M8348" t="s">
        <v>10289</v>
      </c>
      <c r="N8348" t="s">
        <v>10289</v>
      </c>
      <c r="O8348" t="s">
        <v>23</v>
      </c>
      <c r="P8348" t="s">
        <v>24</v>
      </c>
      <c r="Q8348" t="s">
        <v>6484</v>
      </c>
      <c r="R8348" t="s">
        <v>10109</v>
      </c>
    </row>
    <row r="8349" spans="1:18" x14ac:dyDescent="0.25">
      <c r="A8349" t="s">
        <v>17149</v>
      </c>
      <c r="B8349" t="s">
        <v>10339</v>
      </c>
      <c r="C8349" t="str">
        <f>HYPERLINK("https://nematode.unl.edu/pflak45.jpg")</f>
        <v>https://nematode.unl.edu/pflak45.jpg</v>
      </c>
      <c r="D8349" t="s">
        <v>43</v>
      </c>
      <c r="G8349" t="s">
        <v>44</v>
      </c>
      <c r="I8349" t="s">
        <v>45</v>
      </c>
      <c r="J8349" t="s">
        <v>20</v>
      </c>
      <c r="L8349" t="s">
        <v>85</v>
      </c>
      <c r="M8349" t="s">
        <v>10289</v>
      </c>
      <c r="N8349" t="s">
        <v>10289</v>
      </c>
      <c r="O8349" t="s">
        <v>23</v>
      </c>
      <c r="P8349" t="s">
        <v>24</v>
      </c>
      <c r="Q8349" t="s">
        <v>6484</v>
      </c>
      <c r="R8349" t="s">
        <v>10109</v>
      </c>
    </row>
    <row r="8350" spans="1:18" x14ac:dyDescent="0.25">
      <c r="A8350" t="s">
        <v>17136</v>
      </c>
      <c r="B8350" t="s">
        <v>10340</v>
      </c>
      <c r="C8350" t="str">
        <f>HYPERLINK("https://nematode.unl.edu/pflak46.jpg")</f>
        <v>https://nematode.unl.edu/pflak46.jpg</v>
      </c>
      <c r="D8350" t="s">
        <v>43</v>
      </c>
      <c r="G8350" t="s">
        <v>34</v>
      </c>
      <c r="H8350" t="s">
        <v>18</v>
      </c>
      <c r="I8350" t="s">
        <v>19</v>
      </c>
      <c r="J8350" t="s">
        <v>20</v>
      </c>
      <c r="L8350" t="s">
        <v>85</v>
      </c>
      <c r="M8350" t="s">
        <v>10289</v>
      </c>
      <c r="N8350" t="s">
        <v>10289</v>
      </c>
      <c r="O8350" t="s">
        <v>23</v>
      </c>
      <c r="P8350" t="s">
        <v>24</v>
      </c>
      <c r="Q8350" t="s">
        <v>6484</v>
      </c>
      <c r="R8350" t="s">
        <v>10109</v>
      </c>
    </row>
    <row r="8351" spans="1:18" x14ac:dyDescent="0.25">
      <c r="A8351" t="s">
        <v>17179</v>
      </c>
      <c r="B8351" t="s">
        <v>10341</v>
      </c>
      <c r="C8351" t="str">
        <f>HYPERLINK("https://nematode.unl.edu/pflak47.jpg")</f>
        <v>https://nematode.unl.edu/pflak47.jpg</v>
      </c>
      <c r="D8351" t="s">
        <v>77</v>
      </c>
      <c r="G8351" t="s">
        <v>28</v>
      </c>
      <c r="I8351" t="s">
        <v>19</v>
      </c>
      <c r="J8351" t="s">
        <v>20</v>
      </c>
      <c r="L8351" t="s">
        <v>85</v>
      </c>
      <c r="M8351" t="s">
        <v>10289</v>
      </c>
      <c r="N8351" t="s">
        <v>10289</v>
      </c>
      <c r="O8351" t="s">
        <v>23</v>
      </c>
      <c r="P8351" t="s">
        <v>24</v>
      </c>
      <c r="Q8351" t="s">
        <v>6484</v>
      </c>
      <c r="R8351" t="s">
        <v>10109</v>
      </c>
    </row>
    <row r="8352" spans="1:18" x14ac:dyDescent="0.25">
      <c r="A8352" t="s">
        <v>17137</v>
      </c>
      <c r="B8352" t="s">
        <v>10342</v>
      </c>
      <c r="C8352" t="str">
        <f>HYPERLINK("https://nematode.unl.edu/pflak48.jpg")</f>
        <v>https://nematode.unl.edu/pflak48.jpg</v>
      </c>
      <c r="D8352" t="s">
        <v>43</v>
      </c>
      <c r="G8352" t="s">
        <v>34</v>
      </c>
      <c r="H8352" t="s">
        <v>18</v>
      </c>
      <c r="I8352" t="s">
        <v>41</v>
      </c>
      <c r="J8352" t="s">
        <v>20</v>
      </c>
      <c r="L8352" t="s">
        <v>85</v>
      </c>
      <c r="M8352" t="s">
        <v>10289</v>
      </c>
      <c r="N8352" t="s">
        <v>10289</v>
      </c>
      <c r="O8352" t="s">
        <v>23</v>
      </c>
      <c r="P8352" t="s">
        <v>24</v>
      </c>
      <c r="Q8352" t="s">
        <v>6484</v>
      </c>
      <c r="R8352" t="s">
        <v>10109</v>
      </c>
    </row>
    <row r="8353" spans="1:18" x14ac:dyDescent="0.25">
      <c r="A8353" t="s">
        <v>17162</v>
      </c>
      <c r="B8353" t="s">
        <v>10343</v>
      </c>
      <c r="C8353" t="str">
        <f>HYPERLINK("https://nematode.unl.edu/pflak49.jpg")</f>
        <v>https://nematode.unl.edu/pflak49.jpg</v>
      </c>
      <c r="G8353" t="s">
        <v>1404</v>
      </c>
      <c r="I8353" t="s">
        <v>41</v>
      </c>
      <c r="J8353" t="s">
        <v>20</v>
      </c>
      <c r="L8353" t="s">
        <v>85</v>
      </c>
      <c r="M8353" t="s">
        <v>10289</v>
      </c>
      <c r="N8353" t="s">
        <v>10289</v>
      </c>
      <c r="O8353" t="s">
        <v>23</v>
      </c>
      <c r="P8353" t="s">
        <v>24</v>
      </c>
      <c r="Q8353" t="s">
        <v>6484</v>
      </c>
      <c r="R8353" t="s">
        <v>10109</v>
      </c>
    </row>
    <row r="8354" spans="1:18" x14ac:dyDescent="0.25">
      <c r="A8354" t="s">
        <v>17163</v>
      </c>
      <c r="B8354" t="s">
        <v>10344</v>
      </c>
      <c r="C8354" t="str">
        <f>HYPERLINK("https://nematode.unl.edu/pflak5.jpg")</f>
        <v>https://nematode.unl.edu/pflak5.jpg</v>
      </c>
      <c r="G8354" t="s">
        <v>1404</v>
      </c>
      <c r="I8354" t="s">
        <v>41</v>
      </c>
      <c r="J8354" t="s">
        <v>20</v>
      </c>
      <c r="L8354" t="s">
        <v>85</v>
      </c>
      <c r="M8354" t="s">
        <v>10289</v>
      </c>
      <c r="N8354" t="s">
        <v>10289</v>
      </c>
      <c r="O8354" t="s">
        <v>23</v>
      </c>
      <c r="P8354" t="s">
        <v>24</v>
      </c>
      <c r="Q8354" t="s">
        <v>6484</v>
      </c>
      <c r="R8354" t="s">
        <v>10109</v>
      </c>
    </row>
    <row r="8355" spans="1:18" x14ac:dyDescent="0.25">
      <c r="A8355" t="s">
        <v>17180</v>
      </c>
      <c r="B8355" t="s">
        <v>10345</v>
      </c>
      <c r="C8355" t="str">
        <f>HYPERLINK("https://nematode.unl.edu/pflak50.jpg")</f>
        <v>https://nematode.unl.edu/pflak50.jpg</v>
      </c>
      <c r="D8355" t="s">
        <v>43</v>
      </c>
      <c r="G8355" t="s">
        <v>28</v>
      </c>
      <c r="I8355" t="s">
        <v>41</v>
      </c>
      <c r="J8355" t="s">
        <v>20</v>
      </c>
      <c r="L8355" t="s">
        <v>85</v>
      </c>
      <c r="M8355" t="s">
        <v>10289</v>
      </c>
      <c r="N8355" t="s">
        <v>10289</v>
      </c>
      <c r="O8355" t="s">
        <v>23</v>
      </c>
      <c r="P8355" t="s">
        <v>24</v>
      </c>
      <c r="Q8355" t="s">
        <v>6484</v>
      </c>
      <c r="R8355" t="s">
        <v>10109</v>
      </c>
    </row>
    <row r="8356" spans="1:18" x14ac:dyDescent="0.25">
      <c r="A8356" t="s">
        <v>17138</v>
      </c>
      <c r="B8356" t="s">
        <v>10346</v>
      </c>
      <c r="C8356" t="str">
        <f>HYPERLINK("https://nematode.unl.edu/pflak6.jpg")</f>
        <v>https://nematode.unl.edu/pflak6.jpg</v>
      </c>
      <c r="D8356" t="s">
        <v>43</v>
      </c>
      <c r="G8356" t="s">
        <v>34</v>
      </c>
      <c r="H8356" t="s">
        <v>18</v>
      </c>
      <c r="I8356" t="s">
        <v>41</v>
      </c>
      <c r="J8356" t="s">
        <v>20</v>
      </c>
      <c r="L8356" t="s">
        <v>85</v>
      </c>
      <c r="M8356" t="s">
        <v>10289</v>
      </c>
      <c r="N8356" t="s">
        <v>10289</v>
      </c>
      <c r="O8356" t="s">
        <v>23</v>
      </c>
      <c r="P8356" t="s">
        <v>24</v>
      </c>
      <c r="Q8356" t="s">
        <v>6484</v>
      </c>
      <c r="R8356" t="s">
        <v>10109</v>
      </c>
    </row>
    <row r="8357" spans="1:18" x14ac:dyDescent="0.25">
      <c r="A8357" t="s">
        <v>17181</v>
      </c>
      <c r="B8357" t="s">
        <v>10347</v>
      </c>
      <c r="C8357" t="str">
        <f>HYPERLINK("https://nematode.unl.edu/pflak7.jpg")</f>
        <v>https://nematode.unl.edu/pflak7.jpg</v>
      </c>
      <c r="D8357" t="s">
        <v>43</v>
      </c>
      <c r="G8357" t="s">
        <v>51</v>
      </c>
      <c r="I8357" t="s">
        <v>19</v>
      </c>
      <c r="J8357" t="s">
        <v>20</v>
      </c>
      <c r="L8357" t="s">
        <v>85</v>
      </c>
      <c r="M8357" t="s">
        <v>10289</v>
      </c>
      <c r="N8357" t="s">
        <v>10289</v>
      </c>
      <c r="O8357" t="s">
        <v>23</v>
      </c>
      <c r="P8357" t="s">
        <v>24</v>
      </c>
      <c r="Q8357" t="s">
        <v>6484</v>
      </c>
      <c r="R8357" t="s">
        <v>10109</v>
      </c>
    </row>
    <row r="8358" spans="1:18" x14ac:dyDescent="0.25">
      <c r="A8358" t="s">
        <v>17139</v>
      </c>
      <c r="B8358" t="s">
        <v>10348</v>
      </c>
      <c r="C8358" t="str">
        <f>HYPERLINK("https://nematode.unl.edu/pflak8.jpg")</f>
        <v>https://nematode.unl.edu/pflak8.jpg</v>
      </c>
      <c r="D8358" t="s">
        <v>77</v>
      </c>
      <c r="G8358" t="s">
        <v>34</v>
      </c>
      <c r="H8358" t="s">
        <v>18</v>
      </c>
      <c r="I8358" t="s">
        <v>19</v>
      </c>
      <c r="J8358" t="s">
        <v>20</v>
      </c>
      <c r="L8358" t="s">
        <v>85</v>
      </c>
      <c r="M8358" t="s">
        <v>10289</v>
      </c>
      <c r="N8358" t="s">
        <v>10289</v>
      </c>
      <c r="O8358" t="s">
        <v>23</v>
      </c>
      <c r="P8358" t="s">
        <v>24</v>
      </c>
      <c r="Q8358" t="s">
        <v>6484</v>
      </c>
      <c r="R8358" t="s">
        <v>10109</v>
      </c>
    </row>
    <row r="8359" spans="1:18" x14ac:dyDescent="0.25">
      <c r="A8359" t="s">
        <v>17140</v>
      </c>
      <c r="B8359" t="s">
        <v>10349</v>
      </c>
      <c r="C8359" t="str">
        <f>HYPERLINK("https://nematode.unl.edu/pflak9.jpg")</f>
        <v>https://nematode.unl.edu/pflak9.jpg</v>
      </c>
      <c r="D8359" t="s">
        <v>43</v>
      </c>
      <c r="G8359" t="s">
        <v>34</v>
      </c>
      <c r="H8359" t="s">
        <v>18</v>
      </c>
      <c r="I8359" t="s">
        <v>41</v>
      </c>
      <c r="J8359" t="s">
        <v>20</v>
      </c>
      <c r="L8359" t="s">
        <v>85</v>
      </c>
      <c r="M8359" t="s">
        <v>10289</v>
      </c>
      <c r="N8359" t="s">
        <v>10289</v>
      </c>
      <c r="O8359" t="s">
        <v>23</v>
      </c>
      <c r="P8359" t="s">
        <v>24</v>
      </c>
      <c r="Q8359" t="s">
        <v>6484</v>
      </c>
      <c r="R8359" t="s">
        <v>10109</v>
      </c>
    </row>
    <row r="8360" spans="1:18" x14ac:dyDescent="0.25">
      <c r="A8360" t="s">
        <v>20837</v>
      </c>
      <c r="B8360" t="s">
        <v>9750</v>
      </c>
      <c r="C8360" t="str">
        <f>HYPERLINK("https://nematode.unl.edu/phart.jpg")</f>
        <v>https://nematode.unl.edu/phart.jpg</v>
      </c>
      <c r="G8360" t="s">
        <v>108</v>
      </c>
      <c r="J8360" t="s">
        <v>482</v>
      </c>
      <c r="M8360" t="s">
        <v>9720</v>
      </c>
      <c r="N8360" t="s">
        <v>9720</v>
      </c>
      <c r="O8360" t="s">
        <v>73</v>
      </c>
      <c r="P8360" t="s">
        <v>81</v>
      </c>
      <c r="Q8360" t="s">
        <v>339</v>
      </c>
      <c r="R8360" t="s">
        <v>9706</v>
      </c>
    </row>
    <row r="8361" spans="1:18" x14ac:dyDescent="0.25">
      <c r="A8361" t="s">
        <v>20834</v>
      </c>
      <c r="B8361" t="s">
        <v>9751</v>
      </c>
      <c r="C8361" t="str">
        <f>HYPERLINK("https://nematode.unl.edu/pharti1.jpg")</f>
        <v>https://nematode.unl.edu/pharti1.jpg</v>
      </c>
      <c r="D8361" t="s">
        <v>43</v>
      </c>
      <c r="G8361" t="s">
        <v>44</v>
      </c>
      <c r="I8361" t="s">
        <v>19</v>
      </c>
      <c r="J8361" t="s">
        <v>9752</v>
      </c>
      <c r="L8361" t="s">
        <v>9753</v>
      </c>
      <c r="M8361" t="s">
        <v>9720</v>
      </c>
      <c r="N8361" t="s">
        <v>9720</v>
      </c>
      <c r="O8361" t="s">
        <v>73</v>
      </c>
      <c r="P8361" t="s">
        <v>81</v>
      </c>
      <c r="Q8361" t="s">
        <v>339</v>
      </c>
      <c r="R8361" t="s">
        <v>9706</v>
      </c>
    </row>
    <row r="8362" spans="1:18" x14ac:dyDescent="0.25">
      <c r="A8362" t="s">
        <v>20824</v>
      </c>
      <c r="B8362" t="s">
        <v>9754</v>
      </c>
      <c r="C8362" t="str">
        <f>HYPERLINK("https://nematode.unl.edu/pharti2.jpg")</f>
        <v>https://nematode.unl.edu/pharti2.jpg</v>
      </c>
      <c r="D8362" t="s">
        <v>43</v>
      </c>
      <c r="G8362" t="s">
        <v>34</v>
      </c>
      <c r="H8362" t="s">
        <v>18</v>
      </c>
      <c r="J8362" t="s">
        <v>9752</v>
      </c>
      <c r="L8362" t="s">
        <v>9753</v>
      </c>
      <c r="M8362" t="s">
        <v>9720</v>
      </c>
      <c r="N8362" t="s">
        <v>9720</v>
      </c>
      <c r="O8362" t="s">
        <v>73</v>
      </c>
      <c r="P8362" t="s">
        <v>81</v>
      </c>
      <c r="Q8362" t="s">
        <v>339</v>
      </c>
      <c r="R8362" t="s">
        <v>9706</v>
      </c>
    </row>
    <row r="8363" spans="1:18" x14ac:dyDescent="0.25">
      <c r="A8363" t="s">
        <v>20814</v>
      </c>
      <c r="B8363" t="s">
        <v>9755</v>
      </c>
      <c r="C8363" t="str">
        <f>HYPERLINK("https://nematode.unl.edu/pharti3.jpg")</f>
        <v>https://nematode.unl.edu/pharti3.jpg</v>
      </c>
      <c r="D8363" t="s">
        <v>43</v>
      </c>
      <c r="G8363" t="s">
        <v>386</v>
      </c>
      <c r="H8363" t="s">
        <v>18</v>
      </c>
      <c r="I8363" t="s">
        <v>41</v>
      </c>
      <c r="J8363" t="s">
        <v>9752</v>
      </c>
      <c r="L8363" t="s">
        <v>9753</v>
      </c>
      <c r="M8363" t="s">
        <v>9720</v>
      </c>
      <c r="N8363" t="s">
        <v>9720</v>
      </c>
      <c r="O8363" t="s">
        <v>73</v>
      </c>
      <c r="P8363" t="s">
        <v>81</v>
      </c>
      <c r="Q8363" t="s">
        <v>339</v>
      </c>
      <c r="R8363" t="s">
        <v>9706</v>
      </c>
    </row>
    <row r="8364" spans="1:18" x14ac:dyDescent="0.25">
      <c r="A8364" t="s">
        <v>20838</v>
      </c>
      <c r="B8364" t="s">
        <v>9756</v>
      </c>
      <c r="C8364" t="str">
        <f>HYPERLINK("https://nematode.unl.edu/pharti4.jpg")</f>
        <v>https://nematode.unl.edu/pharti4.jpg</v>
      </c>
      <c r="D8364" t="s">
        <v>43</v>
      </c>
      <c r="G8364" t="s">
        <v>2150</v>
      </c>
      <c r="I8364" t="s">
        <v>41</v>
      </c>
      <c r="J8364" t="s">
        <v>9752</v>
      </c>
      <c r="L8364" t="s">
        <v>9753</v>
      </c>
      <c r="M8364" t="s">
        <v>9720</v>
      </c>
      <c r="N8364" t="s">
        <v>9720</v>
      </c>
      <c r="O8364" t="s">
        <v>73</v>
      </c>
      <c r="P8364" t="s">
        <v>81</v>
      </c>
      <c r="Q8364" t="s">
        <v>339</v>
      </c>
      <c r="R8364" t="s">
        <v>9706</v>
      </c>
    </row>
    <row r="8365" spans="1:18" x14ac:dyDescent="0.25">
      <c r="A8365" t="s">
        <v>20836</v>
      </c>
      <c r="B8365" t="s">
        <v>9757</v>
      </c>
      <c r="C8365" t="str">
        <f>HYPERLINK("https://nematode.unl.edu/pharti5.jpg")</f>
        <v>https://nematode.unl.edu/pharti5.jpg</v>
      </c>
      <c r="D8365" t="s">
        <v>43</v>
      </c>
      <c r="G8365" t="s">
        <v>243</v>
      </c>
      <c r="J8365" t="s">
        <v>9752</v>
      </c>
      <c r="L8365" t="s">
        <v>9753</v>
      </c>
      <c r="M8365" t="s">
        <v>9720</v>
      </c>
      <c r="N8365" t="s">
        <v>9720</v>
      </c>
      <c r="O8365" t="s">
        <v>73</v>
      </c>
      <c r="P8365" t="s">
        <v>81</v>
      </c>
      <c r="Q8365" t="s">
        <v>339</v>
      </c>
      <c r="R8365" t="s">
        <v>9706</v>
      </c>
    </row>
    <row r="8366" spans="1:18" x14ac:dyDescent="0.25">
      <c r="A8366" t="s">
        <v>20850</v>
      </c>
      <c r="B8366" t="s">
        <v>9758</v>
      </c>
      <c r="C8366" t="str">
        <f>HYPERLINK("https://nematode.unl.edu/pharti6.jpg")</f>
        <v>https://nematode.unl.edu/pharti6.jpg</v>
      </c>
      <c r="D8366" t="s">
        <v>43</v>
      </c>
      <c r="G8366" t="s">
        <v>51</v>
      </c>
      <c r="I8366" t="s">
        <v>41</v>
      </c>
      <c r="J8366" t="s">
        <v>9752</v>
      </c>
      <c r="L8366" t="s">
        <v>9753</v>
      </c>
      <c r="M8366" t="s">
        <v>9720</v>
      </c>
      <c r="N8366" t="s">
        <v>9720</v>
      </c>
      <c r="O8366" t="s">
        <v>73</v>
      </c>
      <c r="P8366" t="s">
        <v>81</v>
      </c>
      <c r="Q8366" t="s">
        <v>339</v>
      </c>
      <c r="R8366" t="s">
        <v>9706</v>
      </c>
    </row>
    <row r="8367" spans="1:18" x14ac:dyDescent="0.25">
      <c r="A8367" t="s">
        <v>17221</v>
      </c>
      <c r="B8367" t="s">
        <v>10355</v>
      </c>
      <c r="C8367" t="str">
        <f>HYPERLINK("https://nematode.unl.edu/phex1.jpg")</f>
        <v>https://nematode.unl.edu/phex1.jpg</v>
      </c>
      <c r="D8367" t="s">
        <v>43</v>
      </c>
      <c r="G8367" t="s">
        <v>53</v>
      </c>
      <c r="I8367" t="s">
        <v>41</v>
      </c>
      <c r="J8367" t="s">
        <v>9752</v>
      </c>
      <c r="L8367" t="s">
        <v>9753</v>
      </c>
      <c r="M8367" t="s">
        <v>10351</v>
      </c>
      <c r="N8367" t="s">
        <v>10351</v>
      </c>
      <c r="O8367" t="s">
        <v>23</v>
      </c>
      <c r="P8367" t="s">
        <v>24</v>
      </c>
      <c r="Q8367" t="s">
        <v>6484</v>
      </c>
      <c r="R8367" t="s">
        <v>10109</v>
      </c>
    </row>
    <row r="8368" spans="1:18" x14ac:dyDescent="0.25">
      <c r="A8368" t="s">
        <v>17222</v>
      </c>
      <c r="B8368" t="s">
        <v>10356</v>
      </c>
      <c r="C8368" t="str">
        <f>HYPERLINK("https://nematode.unl.edu/phex10.jpg")</f>
        <v>https://nematode.unl.edu/phex10.jpg</v>
      </c>
      <c r="D8368" t="s">
        <v>43</v>
      </c>
      <c r="G8368" t="s">
        <v>53</v>
      </c>
      <c r="I8368" t="s">
        <v>41</v>
      </c>
      <c r="J8368" t="s">
        <v>10357</v>
      </c>
      <c r="L8368" t="s">
        <v>10358</v>
      </c>
      <c r="M8368" t="s">
        <v>10351</v>
      </c>
      <c r="N8368" t="s">
        <v>10351</v>
      </c>
      <c r="O8368" t="s">
        <v>23</v>
      </c>
      <c r="P8368" t="s">
        <v>24</v>
      </c>
      <c r="Q8368" t="s">
        <v>6484</v>
      </c>
      <c r="R8368" t="s">
        <v>10109</v>
      </c>
    </row>
    <row r="8369" spans="1:18" x14ac:dyDescent="0.25">
      <c r="A8369" t="s">
        <v>17244</v>
      </c>
      <c r="B8369" t="s">
        <v>10359</v>
      </c>
      <c r="C8369" t="str">
        <f>HYPERLINK("https://nematode.unl.edu/phex11.jpg")</f>
        <v>https://nematode.unl.edu/phex11.jpg</v>
      </c>
      <c r="D8369" t="s">
        <v>43</v>
      </c>
      <c r="G8369" t="s">
        <v>28</v>
      </c>
      <c r="I8369" t="s">
        <v>41</v>
      </c>
      <c r="J8369" t="s">
        <v>10357</v>
      </c>
      <c r="L8369" t="s">
        <v>10358</v>
      </c>
      <c r="M8369" t="s">
        <v>10351</v>
      </c>
      <c r="N8369" t="s">
        <v>10351</v>
      </c>
      <c r="O8369" t="s">
        <v>23</v>
      </c>
      <c r="P8369" t="s">
        <v>24</v>
      </c>
      <c r="Q8369" t="s">
        <v>6484</v>
      </c>
      <c r="R8369" t="s">
        <v>10109</v>
      </c>
    </row>
    <row r="8370" spans="1:18" x14ac:dyDescent="0.25">
      <c r="A8370" t="s">
        <v>17242</v>
      </c>
      <c r="B8370" t="s">
        <v>10360</v>
      </c>
      <c r="C8370" t="str">
        <f>HYPERLINK("https://nematode.unl.edu/phex12.jpg")</f>
        <v>https://nematode.unl.edu/phex12.jpg</v>
      </c>
      <c r="D8370" t="s">
        <v>77</v>
      </c>
      <c r="G8370" t="s">
        <v>112</v>
      </c>
      <c r="J8370" t="s">
        <v>10357</v>
      </c>
      <c r="L8370" t="s">
        <v>10358</v>
      </c>
      <c r="M8370" t="s">
        <v>10351</v>
      </c>
      <c r="N8370" t="s">
        <v>10351</v>
      </c>
      <c r="O8370" t="s">
        <v>23</v>
      </c>
      <c r="P8370" t="s">
        <v>24</v>
      </c>
      <c r="Q8370" t="s">
        <v>6484</v>
      </c>
      <c r="R8370" t="s">
        <v>10109</v>
      </c>
    </row>
    <row r="8371" spans="1:18" x14ac:dyDescent="0.25">
      <c r="A8371" t="s">
        <v>17185</v>
      </c>
      <c r="B8371" t="s">
        <v>10361</v>
      </c>
      <c r="C8371" t="str">
        <f>HYPERLINK("https://nematode.unl.edu/phex13.jpg")</f>
        <v>https://nematode.unl.edu/phex13.jpg</v>
      </c>
      <c r="D8371" t="s">
        <v>77</v>
      </c>
      <c r="G8371" t="s">
        <v>34</v>
      </c>
      <c r="H8371" t="s">
        <v>18</v>
      </c>
      <c r="I8371" t="s">
        <v>41</v>
      </c>
      <c r="J8371" t="s">
        <v>10357</v>
      </c>
      <c r="L8371" t="s">
        <v>10358</v>
      </c>
      <c r="M8371" t="s">
        <v>10351</v>
      </c>
      <c r="N8371" t="s">
        <v>10351</v>
      </c>
      <c r="O8371" t="s">
        <v>23</v>
      </c>
      <c r="P8371" t="s">
        <v>24</v>
      </c>
      <c r="Q8371" t="s">
        <v>6484</v>
      </c>
      <c r="R8371" t="s">
        <v>10109</v>
      </c>
    </row>
    <row r="8372" spans="1:18" x14ac:dyDescent="0.25">
      <c r="A8372" t="s">
        <v>17223</v>
      </c>
      <c r="B8372" t="s">
        <v>10362</v>
      </c>
      <c r="C8372" t="str">
        <f>HYPERLINK("https://nematode.unl.edu/phex2.jpg")</f>
        <v>https://nematode.unl.edu/phex2.jpg</v>
      </c>
      <c r="D8372" t="s">
        <v>77</v>
      </c>
      <c r="G8372" t="s">
        <v>53</v>
      </c>
      <c r="I8372" t="s">
        <v>137</v>
      </c>
      <c r="J8372" t="s">
        <v>10357</v>
      </c>
      <c r="L8372" t="s">
        <v>10358</v>
      </c>
      <c r="M8372" t="s">
        <v>10351</v>
      </c>
      <c r="N8372" t="s">
        <v>10351</v>
      </c>
      <c r="O8372" t="s">
        <v>23</v>
      </c>
      <c r="P8372" t="s">
        <v>24</v>
      </c>
      <c r="Q8372" t="s">
        <v>6484</v>
      </c>
      <c r="R8372" t="s">
        <v>10109</v>
      </c>
    </row>
    <row r="8373" spans="1:18" x14ac:dyDescent="0.25">
      <c r="A8373" t="s">
        <v>17245</v>
      </c>
      <c r="B8373" t="s">
        <v>10363</v>
      </c>
      <c r="C8373" t="str">
        <f>HYPERLINK("https://nematode.unl.edu/phex3.jpg")</f>
        <v>https://nematode.unl.edu/phex3.jpg</v>
      </c>
      <c r="G8373" t="s">
        <v>28</v>
      </c>
      <c r="I8373" t="s">
        <v>19</v>
      </c>
      <c r="J8373" t="s">
        <v>10357</v>
      </c>
      <c r="L8373" t="s">
        <v>10358</v>
      </c>
      <c r="M8373" t="s">
        <v>10351</v>
      </c>
      <c r="N8373" t="s">
        <v>10351</v>
      </c>
      <c r="O8373" t="s">
        <v>23</v>
      </c>
      <c r="P8373" t="s">
        <v>24</v>
      </c>
      <c r="Q8373" t="s">
        <v>6484</v>
      </c>
      <c r="R8373" t="s">
        <v>10109</v>
      </c>
    </row>
    <row r="8374" spans="1:18" x14ac:dyDescent="0.25">
      <c r="A8374" t="s">
        <v>17186</v>
      </c>
      <c r="B8374" t="s">
        <v>10364</v>
      </c>
      <c r="C8374" t="str">
        <f>HYPERLINK("https://nematode.unl.edu/phex4.jpg")</f>
        <v>https://nematode.unl.edu/phex4.jpg</v>
      </c>
      <c r="D8374" t="s">
        <v>77</v>
      </c>
      <c r="G8374" t="s">
        <v>34</v>
      </c>
      <c r="H8374" t="s">
        <v>18</v>
      </c>
      <c r="J8374" t="s">
        <v>10357</v>
      </c>
      <c r="L8374" t="s">
        <v>10358</v>
      </c>
      <c r="M8374" t="s">
        <v>10351</v>
      </c>
      <c r="N8374" t="s">
        <v>10351</v>
      </c>
      <c r="O8374" t="s">
        <v>23</v>
      </c>
      <c r="P8374" t="s">
        <v>24</v>
      </c>
      <c r="Q8374" t="s">
        <v>6484</v>
      </c>
      <c r="R8374" t="s">
        <v>10109</v>
      </c>
    </row>
    <row r="8375" spans="1:18" x14ac:dyDescent="0.25">
      <c r="A8375" t="s">
        <v>17187</v>
      </c>
      <c r="B8375" t="s">
        <v>10365</v>
      </c>
      <c r="C8375" t="str">
        <f>HYPERLINK("https://nematode.unl.edu/phex5.jpg")</f>
        <v>https://nematode.unl.edu/phex5.jpg</v>
      </c>
      <c r="G8375" t="s">
        <v>34</v>
      </c>
      <c r="H8375" t="s">
        <v>18</v>
      </c>
      <c r="J8375" t="s">
        <v>10357</v>
      </c>
      <c r="L8375" t="s">
        <v>10358</v>
      </c>
      <c r="M8375" t="s">
        <v>10351</v>
      </c>
      <c r="N8375" t="s">
        <v>10351</v>
      </c>
      <c r="O8375" t="s">
        <v>23</v>
      </c>
      <c r="P8375" t="s">
        <v>24</v>
      </c>
      <c r="Q8375" t="s">
        <v>6484</v>
      </c>
      <c r="R8375" t="s">
        <v>10109</v>
      </c>
    </row>
    <row r="8376" spans="1:18" x14ac:dyDescent="0.25">
      <c r="A8376" t="s">
        <v>17218</v>
      </c>
      <c r="B8376" t="s">
        <v>10366</v>
      </c>
      <c r="C8376" t="str">
        <f>HYPERLINK("https://nematode.unl.edu/phex6.jpg")</f>
        <v>https://nematode.unl.edu/phex6.jpg</v>
      </c>
      <c r="D8376" t="s">
        <v>77</v>
      </c>
      <c r="G8376" t="s">
        <v>1906</v>
      </c>
      <c r="I8376" t="s">
        <v>41</v>
      </c>
      <c r="J8376" t="s">
        <v>10357</v>
      </c>
      <c r="L8376" t="s">
        <v>10358</v>
      </c>
      <c r="M8376" t="s">
        <v>10351</v>
      </c>
      <c r="N8376" t="s">
        <v>10351</v>
      </c>
      <c r="O8376" t="s">
        <v>23</v>
      </c>
      <c r="P8376" t="s">
        <v>24</v>
      </c>
      <c r="Q8376" t="s">
        <v>6484</v>
      </c>
      <c r="R8376" t="s">
        <v>10109</v>
      </c>
    </row>
    <row r="8377" spans="1:18" x14ac:dyDescent="0.25">
      <c r="A8377" t="s">
        <v>17219</v>
      </c>
      <c r="B8377" t="s">
        <v>10367</v>
      </c>
      <c r="C8377" t="str">
        <f>HYPERLINK("https://nematode.unl.edu/phex7.jpg")</f>
        <v>https://nematode.unl.edu/phex7.jpg</v>
      </c>
      <c r="D8377" t="s">
        <v>77</v>
      </c>
      <c r="G8377" t="s">
        <v>10368</v>
      </c>
      <c r="I8377" t="s">
        <v>41</v>
      </c>
      <c r="J8377" t="s">
        <v>10357</v>
      </c>
      <c r="L8377" t="s">
        <v>10358</v>
      </c>
      <c r="M8377" t="s">
        <v>10351</v>
      </c>
      <c r="N8377" t="s">
        <v>10351</v>
      </c>
      <c r="O8377" t="s">
        <v>23</v>
      </c>
      <c r="P8377" t="s">
        <v>24</v>
      </c>
      <c r="Q8377" t="s">
        <v>6484</v>
      </c>
      <c r="R8377" t="s">
        <v>10109</v>
      </c>
    </row>
    <row r="8378" spans="1:18" x14ac:dyDescent="0.25">
      <c r="A8378" t="s">
        <v>17240</v>
      </c>
      <c r="B8378" t="s">
        <v>10369</v>
      </c>
      <c r="C8378" t="str">
        <f>HYPERLINK("https://nematode.unl.edu/phex8.jpg")</f>
        <v>https://nematode.unl.edu/phex8.jpg</v>
      </c>
      <c r="G8378" t="s">
        <v>2029</v>
      </c>
      <c r="I8378" t="s">
        <v>41</v>
      </c>
      <c r="J8378" t="s">
        <v>10357</v>
      </c>
      <c r="L8378" t="s">
        <v>10358</v>
      </c>
      <c r="M8378" t="s">
        <v>10351</v>
      </c>
      <c r="N8378" t="s">
        <v>10351</v>
      </c>
      <c r="O8378" t="s">
        <v>23</v>
      </c>
      <c r="P8378" t="s">
        <v>24</v>
      </c>
      <c r="Q8378" t="s">
        <v>6484</v>
      </c>
      <c r="R8378" t="s">
        <v>10109</v>
      </c>
    </row>
    <row r="8379" spans="1:18" x14ac:dyDescent="0.25">
      <c r="A8379" t="s">
        <v>17224</v>
      </c>
      <c r="B8379" t="s">
        <v>10370</v>
      </c>
      <c r="C8379" t="str">
        <f>HYPERLINK("https://nematode.unl.edu/phex9.jpg")</f>
        <v>https://nematode.unl.edu/phex9.jpg</v>
      </c>
      <c r="D8379" t="s">
        <v>77</v>
      </c>
      <c r="G8379" t="s">
        <v>53</v>
      </c>
      <c r="I8379" t="s">
        <v>41</v>
      </c>
      <c r="J8379" t="s">
        <v>10357</v>
      </c>
      <c r="L8379" t="s">
        <v>10358</v>
      </c>
      <c r="M8379" t="s">
        <v>10351</v>
      </c>
      <c r="N8379" t="s">
        <v>10351</v>
      </c>
      <c r="O8379" t="s">
        <v>23</v>
      </c>
      <c r="P8379" t="s">
        <v>24</v>
      </c>
      <c r="Q8379" t="s">
        <v>6484</v>
      </c>
      <c r="R8379" t="s">
        <v>10109</v>
      </c>
    </row>
    <row r="8380" spans="1:18" x14ac:dyDescent="0.25">
      <c r="A8380" t="s">
        <v>17246</v>
      </c>
      <c r="B8380" t="s">
        <v>10371</v>
      </c>
      <c r="C8380" t="str">
        <f>HYPERLINK("https://nematode.unl.edu/phexho1.jpg")</f>
        <v>https://nematode.unl.edu/phexho1.jpg</v>
      </c>
      <c r="D8380" t="s">
        <v>43</v>
      </c>
      <c r="G8380" t="s">
        <v>28</v>
      </c>
      <c r="I8380" t="s">
        <v>19</v>
      </c>
      <c r="J8380" t="s">
        <v>116</v>
      </c>
      <c r="L8380" t="s">
        <v>10372</v>
      </c>
      <c r="M8380" t="s">
        <v>10351</v>
      </c>
      <c r="N8380" t="s">
        <v>10351</v>
      </c>
      <c r="O8380" t="s">
        <v>23</v>
      </c>
      <c r="P8380" t="s">
        <v>24</v>
      </c>
      <c r="Q8380" t="s">
        <v>6484</v>
      </c>
      <c r="R8380" t="s">
        <v>10109</v>
      </c>
    </row>
    <row r="8381" spans="1:18" x14ac:dyDescent="0.25">
      <c r="A8381" t="s">
        <v>17211</v>
      </c>
      <c r="B8381" t="s">
        <v>10373</v>
      </c>
      <c r="C8381" t="str">
        <f>HYPERLINK("https://nematode.unl.edu/phexho10.jpg")</f>
        <v>https://nematode.unl.edu/phexho10.jpg</v>
      </c>
      <c r="D8381" t="s">
        <v>43</v>
      </c>
      <c r="G8381" t="s">
        <v>44</v>
      </c>
      <c r="I8381" t="s">
        <v>45</v>
      </c>
      <c r="J8381" t="s">
        <v>116</v>
      </c>
      <c r="L8381" t="s">
        <v>10372</v>
      </c>
      <c r="M8381" t="s">
        <v>10351</v>
      </c>
      <c r="N8381" t="s">
        <v>10351</v>
      </c>
      <c r="O8381" t="s">
        <v>23</v>
      </c>
      <c r="P8381" t="s">
        <v>24</v>
      </c>
      <c r="Q8381" t="s">
        <v>6484</v>
      </c>
      <c r="R8381" t="s">
        <v>10109</v>
      </c>
    </row>
    <row r="8382" spans="1:18" x14ac:dyDescent="0.25">
      <c r="A8382" t="s">
        <v>17188</v>
      </c>
      <c r="B8382" t="s">
        <v>10374</v>
      </c>
      <c r="C8382" t="str">
        <f>HYPERLINK("https://nematode.unl.edu/phexho11.jpg")</f>
        <v>https://nematode.unl.edu/phexho11.jpg</v>
      </c>
      <c r="D8382" t="s">
        <v>43</v>
      </c>
      <c r="G8382" t="s">
        <v>34</v>
      </c>
      <c r="H8382" t="s">
        <v>18</v>
      </c>
      <c r="I8382" t="s">
        <v>41</v>
      </c>
      <c r="J8382" t="s">
        <v>116</v>
      </c>
      <c r="L8382" t="s">
        <v>85</v>
      </c>
      <c r="M8382" t="s">
        <v>10351</v>
      </c>
      <c r="N8382" t="s">
        <v>10351</v>
      </c>
      <c r="O8382" t="s">
        <v>23</v>
      </c>
      <c r="P8382" t="s">
        <v>24</v>
      </c>
      <c r="Q8382" t="s">
        <v>6484</v>
      </c>
      <c r="R8382" t="s">
        <v>10109</v>
      </c>
    </row>
    <row r="8383" spans="1:18" x14ac:dyDescent="0.25">
      <c r="A8383" t="s">
        <v>17247</v>
      </c>
      <c r="B8383" t="s">
        <v>10375</v>
      </c>
      <c r="C8383" t="str">
        <f>HYPERLINK("https://nematode.unl.edu/phexho12.jpg")</f>
        <v>https://nematode.unl.edu/phexho12.jpg</v>
      </c>
      <c r="D8383" t="s">
        <v>43</v>
      </c>
      <c r="G8383" t="s">
        <v>28</v>
      </c>
      <c r="I8383" t="s">
        <v>41</v>
      </c>
      <c r="J8383" t="s">
        <v>116</v>
      </c>
      <c r="L8383" t="s">
        <v>85</v>
      </c>
      <c r="M8383" t="s">
        <v>10351</v>
      </c>
      <c r="N8383" t="s">
        <v>10351</v>
      </c>
      <c r="O8383" t="s">
        <v>23</v>
      </c>
      <c r="P8383" t="s">
        <v>24</v>
      </c>
      <c r="Q8383" t="s">
        <v>6484</v>
      </c>
      <c r="R8383" t="s">
        <v>10109</v>
      </c>
    </row>
    <row r="8384" spans="1:18" x14ac:dyDescent="0.25">
      <c r="A8384" t="s">
        <v>17189</v>
      </c>
      <c r="B8384" t="s">
        <v>10376</v>
      </c>
      <c r="C8384" t="str">
        <f>HYPERLINK("https://nematode.unl.edu/phexho13.jpg")</f>
        <v>https://nematode.unl.edu/phexho13.jpg</v>
      </c>
      <c r="D8384" t="s">
        <v>43</v>
      </c>
      <c r="G8384" t="s">
        <v>34</v>
      </c>
      <c r="H8384" t="s">
        <v>18</v>
      </c>
      <c r="I8384" t="s">
        <v>19</v>
      </c>
      <c r="J8384" t="s">
        <v>116</v>
      </c>
      <c r="L8384" t="s">
        <v>85</v>
      </c>
      <c r="M8384" t="s">
        <v>10351</v>
      </c>
      <c r="N8384" t="s">
        <v>10351</v>
      </c>
      <c r="O8384" t="s">
        <v>23</v>
      </c>
      <c r="P8384" t="s">
        <v>24</v>
      </c>
      <c r="Q8384" t="s">
        <v>6484</v>
      </c>
      <c r="R8384" t="s">
        <v>10109</v>
      </c>
    </row>
    <row r="8385" spans="1:18" x14ac:dyDescent="0.25">
      <c r="A8385" t="s">
        <v>17248</v>
      </c>
      <c r="B8385" t="s">
        <v>10377</v>
      </c>
      <c r="C8385" t="str">
        <f>HYPERLINK("https://nematode.unl.edu/phexho14.jpg")</f>
        <v>https://nematode.unl.edu/phexho14.jpg</v>
      </c>
      <c r="D8385" t="s">
        <v>43</v>
      </c>
      <c r="G8385" t="s">
        <v>28</v>
      </c>
      <c r="I8385" t="s">
        <v>19</v>
      </c>
      <c r="J8385" t="s">
        <v>116</v>
      </c>
      <c r="L8385" t="s">
        <v>85</v>
      </c>
      <c r="M8385" t="s">
        <v>10351</v>
      </c>
      <c r="N8385" t="s">
        <v>10351</v>
      </c>
      <c r="O8385" t="s">
        <v>23</v>
      </c>
      <c r="P8385" t="s">
        <v>24</v>
      </c>
      <c r="Q8385" t="s">
        <v>6484</v>
      </c>
      <c r="R8385" t="s">
        <v>10109</v>
      </c>
    </row>
    <row r="8386" spans="1:18" x14ac:dyDescent="0.25">
      <c r="A8386" t="s">
        <v>17190</v>
      </c>
      <c r="B8386" t="s">
        <v>10378</v>
      </c>
      <c r="C8386" t="str">
        <f>HYPERLINK("https://nematode.unl.edu/phexho15.jpg")</f>
        <v>https://nematode.unl.edu/phexho15.jpg</v>
      </c>
      <c r="D8386" t="s">
        <v>43</v>
      </c>
      <c r="G8386" t="s">
        <v>34</v>
      </c>
      <c r="H8386" t="s">
        <v>18</v>
      </c>
      <c r="I8386" t="s">
        <v>41</v>
      </c>
      <c r="J8386" t="s">
        <v>116</v>
      </c>
      <c r="L8386" t="s">
        <v>85</v>
      </c>
      <c r="M8386" t="s">
        <v>10351</v>
      </c>
      <c r="N8386" t="s">
        <v>10351</v>
      </c>
      <c r="O8386" t="s">
        <v>23</v>
      </c>
      <c r="P8386" t="s">
        <v>24</v>
      </c>
      <c r="Q8386" t="s">
        <v>6484</v>
      </c>
      <c r="R8386" t="s">
        <v>10109</v>
      </c>
    </row>
    <row r="8387" spans="1:18" x14ac:dyDescent="0.25">
      <c r="A8387" t="s">
        <v>17225</v>
      </c>
      <c r="B8387" t="s">
        <v>10379</v>
      </c>
      <c r="C8387" t="str">
        <f>HYPERLINK("https://nematode.unl.edu/phexho16.jpg")</f>
        <v>https://nematode.unl.edu/phexho16.jpg</v>
      </c>
      <c r="G8387" t="s">
        <v>53</v>
      </c>
      <c r="I8387" t="s">
        <v>41</v>
      </c>
      <c r="J8387" t="s">
        <v>116</v>
      </c>
      <c r="L8387" t="s">
        <v>85</v>
      </c>
      <c r="M8387" t="s">
        <v>10351</v>
      </c>
      <c r="N8387" t="s">
        <v>10351</v>
      </c>
      <c r="O8387" t="s">
        <v>23</v>
      </c>
      <c r="P8387" t="s">
        <v>24</v>
      </c>
      <c r="Q8387" t="s">
        <v>6484</v>
      </c>
      <c r="R8387" t="s">
        <v>10109</v>
      </c>
    </row>
    <row r="8388" spans="1:18" x14ac:dyDescent="0.25">
      <c r="A8388" t="s">
        <v>17249</v>
      </c>
      <c r="B8388" t="s">
        <v>10380</v>
      </c>
      <c r="C8388" t="str">
        <f>HYPERLINK("https://nematode.unl.edu/phexho17.jpg")</f>
        <v>https://nematode.unl.edu/phexho17.jpg</v>
      </c>
      <c r="D8388" t="s">
        <v>77</v>
      </c>
      <c r="G8388" t="s">
        <v>28</v>
      </c>
      <c r="I8388" t="s">
        <v>41</v>
      </c>
      <c r="J8388" t="s">
        <v>116</v>
      </c>
      <c r="L8388" t="s">
        <v>85</v>
      </c>
      <c r="M8388" t="s">
        <v>10351</v>
      </c>
      <c r="N8388" t="s">
        <v>10351</v>
      </c>
      <c r="O8388" t="s">
        <v>23</v>
      </c>
      <c r="P8388" t="s">
        <v>24</v>
      </c>
      <c r="Q8388" t="s">
        <v>6484</v>
      </c>
      <c r="R8388" t="s">
        <v>10109</v>
      </c>
    </row>
    <row r="8389" spans="1:18" x14ac:dyDescent="0.25">
      <c r="A8389" t="s">
        <v>17191</v>
      </c>
      <c r="B8389" t="s">
        <v>10381</v>
      </c>
      <c r="C8389" t="str">
        <f>HYPERLINK("https://nematode.unl.edu/phexho2.jpg")</f>
        <v>https://nematode.unl.edu/phexho2.jpg</v>
      </c>
      <c r="D8389" t="s">
        <v>77</v>
      </c>
      <c r="G8389" t="s">
        <v>34</v>
      </c>
      <c r="H8389" t="s">
        <v>18</v>
      </c>
      <c r="I8389" t="s">
        <v>19</v>
      </c>
      <c r="J8389" t="s">
        <v>116</v>
      </c>
      <c r="L8389" t="s">
        <v>85</v>
      </c>
      <c r="M8389" t="s">
        <v>10351</v>
      </c>
      <c r="N8389" t="s">
        <v>10351</v>
      </c>
      <c r="O8389" t="s">
        <v>23</v>
      </c>
      <c r="P8389" t="s">
        <v>24</v>
      </c>
      <c r="Q8389" t="s">
        <v>6484</v>
      </c>
      <c r="R8389" t="s">
        <v>10109</v>
      </c>
    </row>
    <row r="8390" spans="1:18" x14ac:dyDescent="0.25">
      <c r="A8390" t="s">
        <v>17250</v>
      </c>
      <c r="B8390" t="s">
        <v>10382</v>
      </c>
      <c r="C8390" t="str">
        <f>HYPERLINK("https://nematode.unl.edu/phexho3.jpg")</f>
        <v>https://nematode.unl.edu/phexho3.jpg</v>
      </c>
      <c r="D8390" t="s">
        <v>77</v>
      </c>
      <c r="G8390" t="s">
        <v>28</v>
      </c>
      <c r="I8390" t="s">
        <v>19</v>
      </c>
      <c r="J8390" t="s">
        <v>116</v>
      </c>
      <c r="L8390" t="s">
        <v>85</v>
      </c>
      <c r="M8390" t="s">
        <v>10351</v>
      </c>
      <c r="N8390" t="s">
        <v>10351</v>
      </c>
      <c r="O8390" t="s">
        <v>23</v>
      </c>
      <c r="P8390" t="s">
        <v>24</v>
      </c>
      <c r="Q8390" t="s">
        <v>6484</v>
      </c>
      <c r="R8390" t="s">
        <v>10109</v>
      </c>
    </row>
    <row r="8391" spans="1:18" x14ac:dyDescent="0.25">
      <c r="A8391" t="s">
        <v>17192</v>
      </c>
      <c r="B8391" t="s">
        <v>10383</v>
      </c>
      <c r="C8391" t="str">
        <f>HYPERLINK("https://nematode.unl.edu/phexho4.jpg")</f>
        <v>https://nematode.unl.edu/phexho4.jpg</v>
      </c>
      <c r="D8391" t="s">
        <v>77</v>
      </c>
      <c r="G8391" t="s">
        <v>34</v>
      </c>
      <c r="H8391" t="s">
        <v>18</v>
      </c>
      <c r="I8391" t="s">
        <v>41</v>
      </c>
      <c r="J8391" t="s">
        <v>116</v>
      </c>
      <c r="L8391" t="s">
        <v>85</v>
      </c>
      <c r="M8391" t="s">
        <v>10351</v>
      </c>
      <c r="N8391" t="s">
        <v>10351</v>
      </c>
      <c r="O8391" t="s">
        <v>23</v>
      </c>
      <c r="P8391" t="s">
        <v>24</v>
      </c>
      <c r="Q8391" t="s">
        <v>6484</v>
      </c>
      <c r="R8391" t="s">
        <v>10109</v>
      </c>
    </row>
    <row r="8392" spans="1:18" x14ac:dyDescent="0.25">
      <c r="A8392" t="s">
        <v>17226</v>
      </c>
      <c r="B8392" t="s">
        <v>10384</v>
      </c>
      <c r="C8392" t="str">
        <f>HYPERLINK("https://nematode.unl.edu/phexho5.jpg")</f>
        <v>https://nematode.unl.edu/phexho5.jpg</v>
      </c>
      <c r="D8392" t="s">
        <v>43</v>
      </c>
      <c r="G8392" t="s">
        <v>53</v>
      </c>
      <c r="I8392" t="s">
        <v>41</v>
      </c>
      <c r="J8392" t="s">
        <v>116</v>
      </c>
      <c r="L8392" t="s">
        <v>85</v>
      </c>
      <c r="M8392" t="s">
        <v>10351</v>
      </c>
      <c r="N8392" t="s">
        <v>10351</v>
      </c>
      <c r="O8392" t="s">
        <v>23</v>
      </c>
      <c r="P8392" t="s">
        <v>24</v>
      </c>
      <c r="Q8392" t="s">
        <v>6484</v>
      </c>
      <c r="R8392" t="s">
        <v>10109</v>
      </c>
    </row>
    <row r="8393" spans="1:18" x14ac:dyDescent="0.25">
      <c r="A8393" t="s">
        <v>17251</v>
      </c>
      <c r="B8393" t="s">
        <v>10385</v>
      </c>
      <c r="C8393" t="str">
        <f>HYPERLINK("https://nematode.unl.edu/phexho6.jpg")</f>
        <v>https://nematode.unl.edu/phexho6.jpg</v>
      </c>
      <c r="D8393" t="s">
        <v>43</v>
      </c>
      <c r="G8393" t="s">
        <v>28</v>
      </c>
      <c r="I8393" t="s">
        <v>41</v>
      </c>
      <c r="J8393" t="s">
        <v>116</v>
      </c>
      <c r="L8393" t="s">
        <v>85</v>
      </c>
      <c r="M8393" t="s">
        <v>10351</v>
      </c>
      <c r="N8393" t="s">
        <v>10351</v>
      </c>
      <c r="O8393" t="s">
        <v>23</v>
      </c>
      <c r="P8393" t="s">
        <v>24</v>
      </c>
      <c r="Q8393" t="s">
        <v>6484</v>
      </c>
      <c r="R8393" t="s">
        <v>10109</v>
      </c>
    </row>
    <row r="8394" spans="1:18" x14ac:dyDescent="0.25">
      <c r="A8394" t="s">
        <v>17212</v>
      </c>
      <c r="B8394" t="s">
        <v>10386</v>
      </c>
      <c r="C8394" t="str">
        <f>HYPERLINK("https://nematode.unl.edu/phexho7.jpg")</f>
        <v>https://nematode.unl.edu/phexho7.jpg</v>
      </c>
      <c r="D8394" t="s">
        <v>43</v>
      </c>
      <c r="G8394" t="s">
        <v>44</v>
      </c>
      <c r="I8394" t="s">
        <v>45</v>
      </c>
      <c r="J8394" t="s">
        <v>116</v>
      </c>
      <c r="L8394" t="s">
        <v>85</v>
      </c>
      <c r="M8394" t="s">
        <v>10351</v>
      </c>
      <c r="N8394" t="s">
        <v>10351</v>
      </c>
      <c r="O8394" t="s">
        <v>23</v>
      </c>
      <c r="P8394" t="s">
        <v>24</v>
      </c>
      <c r="Q8394" t="s">
        <v>6484</v>
      </c>
      <c r="R8394" t="s">
        <v>10109</v>
      </c>
    </row>
    <row r="8395" spans="1:18" x14ac:dyDescent="0.25">
      <c r="A8395" t="s">
        <v>17193</v>
      </c>
      <c r="B8395" t="s">
        <v>10387</v>
      </c>
      <c r="C8395" t="str">
        <f>HYPERLINK("https://nematode.unl.edu/phexho8.jpg")</f>
        <v>https://nematode.unl.edu/phexho8.jpg</v>
      </c>
      <c r="D8395" t="s">
        <v>43</v>
      </c>
      <c r="G8395" t="s">
        <v>34</v>
      </c>
      <c r="H8395" t="s">
        <v>18</v>
      </c>
      <c r="I8395" t="s">
        <v>19</v>
      </c>
      <c r="L8395" t="s">
        <v>85</v>
      </c>
      <c r="M8395" t="s">
        <v>10351</v>
      </c>
      <c r="N8395" t="s">
        <v>10351</v>
      </c>
      <c r="O8395" t="s">
        <v>23</v>
      </c>
      <c r="P8395" t="s">
        <v>24</v>
      </c>
      <c r="Q8395" t="s">
        <v>6484</v>
      </c>
      <c r="R8395" t="s">
        <v>10109</v>
      </c>
    </row>
    <row r="8396" spans="1:18" x14ac:dyDescent="0.25">
      <c r="A8396" t="s">
        <v>17252</v>
      </c>
      <c r="B8396" t="s">
        <v>10388</v>
      </c>
      <c r="C8396" t="str">
        <f>HYPERLINK("https://nematode.unl.edu/phexho9.jpg")</f>
        <v>https://nematode.unl.edu/phexho9.jpg</v>
      </c>
      <c r="D8396" t="s">
        <v>77</v>
      </c>
      <c r="G8396" t="s">
        <v>28</v>
      </c>
      <c r="L8396" t="s">
        <v>85</v>
      </c>
      <c r="M8396" t="s">
        <v>10351</v>
      </c>
      <c r="N8396" t="s">
        <v>10351</v>
      </c>
      <c r="O8396" t="s">
        <v>23</v>
      </c>
      <c r="P8396" t="s">
        <v>24</v>
      </c>
      <c r="Q8396" t="s">
        <v>6484</v>
      </c>
      <c r="R8396" t="s">
        <v>10109</v>
      </c>
    </row>
    <row r="8397" spans="1:18" x14ac:dyDescent="0.25">
      <c r="A8397" t="s">
        <v>17194</v>
      </c>
      <c r="B8397" t="s">
        <v>10389</v>
      </c>
      <c r="C8397" t="str">
        <f>HYPERLINK("https://nematode.unl.edu/phexi1.jpg")</f>
        <v>https://nematode.unl.edu/phexi1.jpg</v>
      </c>
      <c r="D8397" t="s">
        <v>43</v>
      </c>
      <c r="G8397" t="s">
        <v>34</v>
      </c>
      <c r="H8397" t="s">
        <v>18</v>
      </c>
      <c r="J8397" t="s">
        <v>20</v>
      </c>
      <c r="M8397" t="s">
        <v>10351</v>
      </c>
      <c r="N8397" t="s">
        <v>10351</v>
      </c>
      <c r="O8397" t="s">
        <v>23</v>
      </c>
      <c r="P8397" t="s">
        <v>24</v>
      </c>
      <c r="Q8397" t="s">
        <v>6484</v>
      </c>
      <c r="R8397" t="s">
        <v>10109</v>
      </c>
    </row>
    <row r="8398" spans="1:18" x14ac:dyDescent="0.25">
      <c r="A8398" t="s">
        <v>17227</v>
      </c>
      <c r="B8398" t="s">
        <v>10390</v>
      </c>
      <c r="C8398" t="str">
        <f>HYPERLINK("https://nematode.unl.edu/phexi10.jpg")</f>
        <v>https://nematode.unl.edu/phexi10.jpg</v>
      </c>
      <c r="G8398" t="s">
        <v>53</v>
      </c>
      <c r="I8398" t="s">
        <v>41</v>
      </c>
      <c r="J8398" t="s">
        <v>20</v>
      </c>
      <c r="M8398" t="s">
        <v>10351</v>
      </c>
      <c r="N8398" t="s">
        <v>10351</v>
      </c>
      <c r="O8398" t="s">
        <v>23</v>
      </c>
      <c r="P8398" t="s">
        <v>24</v>
      </c>
      <c r="Q8398" t="s">
        <v>6484</v>
      </c>
      <c r="R8398" t="s">
        <v>10109</v>
      </c>
    </row>
    <row r="8399" spans="1:18" x14ac:dyDescent="0.25">
      <c r="A8399" t="s">
        <v>17195</v>
      </c>
      <c r="B8399" t="s">
        <v>10391</v>
      </c>
      <c r="C8399" t="str">
        <f>HYPERLINK("https://nematode.unl.edu/phexi11.jpg")</f>
        <v>https://nematode.unl.edu/phexi11.jpg</v>
      </c>
      <c r="D8399" t="s">
        <v>43</v>
      </c>
      <c r="G8399" t="s">
        <v>34</v>
      </c>
      <c r="H8399" t="s">
        <v>18</v>
      </c>
      <c r="I8399" t="s">
        <v>41</v>
      </c>
      <c r="J8399" t="s">
        <v>116</v>
      </c>
      <c r="L8399" t="s">
        <v>85</v>
      </c>
      <c r="M8399" t="s">
        <v>10351</v>
      </c>
      <c r="N8399" t="s">
        <v>10351</v>
      </c>
      <c r="O8399" t="s">
        <v>23</v>
      </c>
      <c r="P8399" t="s">
        <v>24</v>
      </c>
      <c r="Q8399" t="s">
        <v>6484</v>
      </c>
      <c r="R8399" t="s">
        <v>10109</v>
      </c>
    </row>
    <row r="8400" spans="1:18" x14ac:dyDescent="0.25">
      <c r="A8400" t="s">
        <v>17228</v>
      </c>
      <c r="B8400" t="s">
        <v>10392</v>
      </c>
      <c r="C8400" t="str">
        <f>HYPERLINK("https://nematode.unl.edu/phexi12.jpg")</f>
        <v>https://nematode.unl.edu/phexi12.jpg</v>
      </c>
      <c r="D8400" t="s">
        <v>43</v>
      </c>
      <c r="G8400" t="s">
        <v>53</v>
      </c>
      <c r="I8400" t="s">
        <v>41</v>
      </c>
      <c r="J8400" t="s">
        <v>20</v>
      </c>
      <c r="L8400" t="s">
        <v>29</v>
      </c>
      <c r="M8400" t="s">
        <v>10351</v>
      </c>
      <c r="N8400" t="s">
        <v>10351</v>
      </c>
      <c r="O8400" t="s">
        <v>23</v>
      </c>
      <c r="P8400" t="s">
        <v>24</v>
      </c>
      <c r="Q8400" t="s">
        <v>6484</v>
      </c>
      <c r="R8400" t="s">
        <v>10109</v>
      </c>
    </row>
    <row r="8401" spans="1:18" x14ac:dyDescent="0.25">
      <c r="A8401" t="s">
        <v>17237</v>
      </c>
      <c r="B8401" t="s">
        <v>10393</v>
      </c>
      <c r="C8401" t="str">
        <f>HYPERLINK("https://nematode.unl.edu/phexi13.jpg")</f>
        <v>https://nematode.unl.edu/phexi13.jpg</v>
      </c>
      <c r="D8401" t="s">
        <v>43</v>
      </c>
      <c r="G8401" t="s">
        <v>414</v>
      </c>
      <c r="I8401" t="s">
        <v>41</v>
      </c>
      <c r="J8401" t="s">
        <v>20</v>
      </c>
      <c r="L8401" t="s">
        <v>183</v>
      </c>
      <c r="M8401" t="s">
        <v>10351</v>
      </c>
      <c r="N8401" t="s">
        <v>10351</v>
      </c>
      <c r="O8401" t="s">
        <v>23</v>
      </c>
      <c r="P8401" t="s">
        <v>24</v>
      </c>
      <c r="Q8401" t="s">
        <v>6484</v>
      </c>
      <c r="R8401" t="s">
        <v>10109</v>
      </c>
    </row>
    <row r="8402" spans="1:18" x14ac:dyDescent="0.25">
      <c r="A8402" t="s">
        <v>17229</v>
      </c>
      <c r="B8402" t="s">
        <v>10394</v>
      </c>
      <c r="C8402" t="str">
        <f>HYPERLINK("https://nematode.unl.edu/phexi14.jpg")</f>
        <v>https://nematode.unl.edu/phexi14.jpg</v>
      </c>
      <c r="D8402" t="s">
        <v>43</v>
      </c>
      <c r="G8402" t="s">
        <v>53</v>
      </c>
      <c r="I8402" t="s">
        <v>41</v>
      </c>
      <c r="J8402" t="s">
        <v>20</v>
      </c>
      <c r="L8402" t="s">
        <v>85</v>
      </c>
      <c r="M8402" t="s">
        <v>10351</v>
      </c>
      <c r="N8402" t="s">
        <v>10351</v>
      </c>
      <c r="O8402" t="s">
        <v>23</v>
      </c>
      <c r="P8402" t="s">
        <v>24</v>
      </c>
      <c r="Q8402" t="s">
        <v>6484</v>
      </c>
      <c r="R8402" t="s">
        <v>10109</v>
      </c>
    </row>
    <row r="8403" spans="1:18" x14ac:dyDescent="0.25">
      <c r="A8403" t="s">
        <v>17253</v>
      </c>
      <c r="B8403" t="s">
        <v>10395</v>
      </c>
      <c r="C8403" t="str">
        <f>HYPERLINK("https://nematode.unl.edu/phexi15.jpg")</f>
        <v>https://nematode.unl.edu/phexi15.jpg</v>
      </c>
      <c r="D8403" t="s">
        <v>43</v>
      </c>
      <c r="G8403" t="s">
        <v>28</v>
      </c>
      <c r="I8403" t="s">
        <v>41</v>
      </c>
      <c r="J8403" t="s">
        <v>20</v>
      </c>
      <c r="L8403" t="s">
        <v>85</v>
      </c>
      <c r="M8403" t="s">
        <v>10351</v>
      </c>
      <c r="N8403" t="s">
        <v>10351</v>
      </c>
      <c r="O8403" t="s">
        <v>23</v>
      </c>
      <c r="P8403" t="s">
        <v>24</v>
      </c>
      <c r="Q8403" t="s">
        <v>6484</v>
      </c>
      <c r="R8403" t="s">
        <v>10109</v>
      </c>
    </row>
    <row r="8404" spans="1:18" x14ac:dyDescent="0.25">
      <c r="A8404" t="s">
        <v>17213</v>
      </c>
      <c r="B8404" t="s">
        <v>10396</v>
      </c>
      <c r="C8404" t="str">
        <f>HYPERLINK("https://nematode.unl.edu/phexi16.jpg")</f>
        <v>https://nematode.unl.edu/phexi16.jpg</v>
      </c>
      <c r="D8404" t="s">
        <v>16</v>
      </c>
      <c r="G8404" t="s">
        <v>44</v>
      </c>
      <c r="I8404" t="s">
        <v>45</v>
      </c>
      <c r="J8404" t="s">
        <v>20</v>
      </c>
      <c r="L8404" t="s">
        <v>85</v>
      </c>
      <c r="M8404" t="s">
        <v>10351</v>
      </c>
      <c r="N8404" t="s">
        <v>10351</v>
      </c>
      <c r="O8404" t="s">
        <v>23</v>
      </c>
      <c r="P8404" t="s">
        <v>24</v>
      </c>
      <c r="Q8404" t="s">
        <v>6484</v>
      </c>
      <c r="R8404" t="s">
        <v>10109</v>
      </c>
    </row>
    <row r="8405" spans="1:18" x14ac:dyDescent="0.25">
      <c r="A8405" t="s">
        <v>17196</v>
      </c>
      <c r="B8405" t="s">
        <v>10397</v>
      </c>
      <c r="C8405" t="str">
        <f>HYPERLINK("https://nematode.unl.edu/phexi17.jpg")</f>
        <v>https://nematode.unl.edu/phexi17.jpg</v>
      </c>
      <c r="D8405" t="s">
        <v>16</v>
      </c>
      <c r="G8405" t="s">
        <v>34</v>
      </c>
      <c r="H8405" t="s">
        <v>18</v>
      </c>
      <c r="I8405" t="s">
        <v>19</v>
      </c>
      <c r="J8405" t="s">
        <v>20</v>
      </c>
      <c r="L8405" t="s">
        <v>85</v>
      </c>
      <c r="M8405" t="s">
        <v>10351</v>
      </c>
      <c r="N8405" t="s">
        <v>10351</v>
      </c>
      <c r="O8405" t="s">
        <v>23</v>
      </c>
      <c r="P8405" t="s">
        <v>24</v>
      </c>
      <c r="Q8405" t="s">
        <v>6484</v>
      </c>
      <c r="R8405" t="s">
        <v>10109</v>
      </c>
    </row>
    <row r="8406" spans="1:18" x14ac:dyDescent="0.25">
      <c r="A8406" t="s">
        <v>17254</v>
      </c>
      <c r="B8406" t="s">
        <v>10398</v>
      </c>
      <c r="C8406" t="str">
        <f>HYPERLINK("https://nematode.unl.edu/phexi18.jpg")</f>
        <v>https://nematode.unl.edu/phexi18.jpg</v>
      </c>
      <c r="D8406" t="s">
        <v>16</v>
      </c>
      <c r="G8406" t="s">
        <v>28</v>
      </c>
      <c r="J8406" t="s">
        <v>20</v>
      </c>
      <c r="L8406" t="s">
        <v>85</v>
      </c>
      <c r="M8406" t="s">
        <v>10351</v>
      </c>
      <c r="N8406" t="s">
        <v>10351</v>
      </c>
      <c r="O8406" t="s">
        <v>23</v>
      </c>
      <c r="P8406" t="s">
        <v>24</v>
      </c>
      <c r="Q8406" t="s">
        <v>6484</v>
      </c>
      <c r="R8406" t="s">
        <v>10109</v>
      </c>
    </row>
    <row r="8407" spans="1:18" x14ac:dyDescent="0.25">
      <c r="A8407" t="s">
        <v>17197</v>
      </c>
      <c r="B8407" t="s">
        <v>10399</v>
      </c>
      <c r="C8407" t="str">
        <f>HYPERLINK("https://nematode.unl.edu/phexi19.jpg")</f>
        <v>https://nematode.unl.edu/phexi19.jpg</v>
      </c>
      <c r="D8407" t="s">
        <v>16</v>
      </c>
      <c r="G8407" t="s">
        <v>34</v>
      </c>
      <c r="H8407" t="s">
        <v>18</v>
      </c>
      <c r="I8407" t="s">
        <v>19</v>
      </c>
      <c r="J8407" t="s">
        <v>20</v>
      </c>
      <c r="L8407" t="s">
        <v>85</v>
      </c>
      <c r="M8407" t="s">
        <v>10351</v>
      </c>
      <c r="N8407" t="s">
        <v>10351</v>
      </c>
      <c r="O8407" t="s">
        <v>23</v>
      </c>
      <c r="P8407" t="s">
        <v>24</v>
      </c>
      <c r="Q8407" t="s">
        <v>6484</v>
      </c>
      <c r="R8407" t="s">
        <v>10109</v>
      </c>
    </row>
    <row r="8408" spans="1:18" x14ac:dyDescent="0.25">
      <c r="A8408" t="s">
        <v>17220</v>
      </c>
      <c r="B8408" t="s">
        <v>10400</v>
      </c>
      <c r="C8408" t="str">
        <f>HYPERLINK("https://nematode.unl.edu/phexi2.jpg")</f>
        <v>https://nematode.unl.edu/phexi2.jpg</v>
      </c>
      <c r="G8408" t="s">
        <v>1555</v>
      </c>
      <c r="I8408" t="s">
        <v>19</v>
      </c>
      <c r="J8408" t="s">
        <v>20</v>
      </c>
      <c r="L8408" t="s">
        <v>85</v>
      </c>
      <c r="M8408" t="s">
        <v>10351</v>
      </c>
      <c r="N8408" t="s">
        <v>10351</v>
      </c>
      <c r="O8408" t="s">
        <v>23</v>
      </c>
      <c r="P8408" t="s">
        <v>24</v>
      </c>
      <c r="Q8408" t="s">
        <v>6484</v>
      </c>
      <c r="R8408" t="s">
        <v>10109</v>
      </c>
    </row>
    <row r="8409" spans="1:18" x14ac:dyDescent="0.25">
      <c r="A8409" t="s">
        <v>17255</v>
      </c>
      <c r="B8409" t="s">
        <v>10401</v>
      </c>
      <c r="C8409" t="str">
        <f>HYPERLINK("https://nematode.unl.edu/phexi20.jpg")</f>
        <v>https://nematode.unl.edu/phexi20.jpg</v>
      </c>
      <c r="G8409" t="s">
        <v>28</v>
      </c>
      <c r="I8409" t="s">
        <v>19</v>
      </c>
      <c r="J8409" t="s">
        <v>20</v>
      </c>
      <c r="L8409" t="s">
        <v>220</v>
      </c>
      <c r="M8409" t="s">
        <v>10351</v>
      </c>
      <c r="N8409" t="s">
        <v>10351</v>
      </c>
      <c r="O8409" t="s">
        <v>23</v>
      </c>
      <c r="P8409" t="s">
        <v>24</v>
      </c>
      <c r="Q8409" t="s">
        <v>6484</v>
      </c>
      <c r="R8409" t="s">
        <v>10109</v>
      </c>
    </row>
    <row r="8410" spans="1:18" x14ac:dyDescent="0.25">
      <c r="A8410" t="s">
        <v>17198</v>
      </c>
      <c r="B8410" t="s">
        <v>10402</v>
      </c>
      <c r="C8410" t="str">
        <f>HYPERLINK("https://nematode.unl.edu/phexi21.jpg")</f>
        <v>https://nematode.unl.edu/phexi21.jpg</v>
      </c>
      <c r="G8410" t="s">
        <v>34</v>
      </c>
      <c r="H8410" t="s">
        <v>18</v>
      </c>
      <c r="I8410" t="s">
        <v>41</v>
      </c>
      <c r="J8410" t="s">
        <v>20</v>
      </c>
      <c r="L8410" t="s">
        <v>141</v>
      </c>
      <c r="M8410" t="s">
        <v>10351</v>
      </c>
      <c r="N8410" t="s">
        <v>10351</v>
      </c>
      <c r="O8410" t="s">
        <v>23</v>
      </c>
      <c r="P8410" t="s">
        <v>24</v>
      </c>
      <c r="Q8410" t="s">
        <v>6484</v>
      </c>
      <c r="R8410" t="s">
        <v>10109</v>
      </c>
    </row>
    <row r="8411" spans="1:18" x14ac:dyDescent="0.25">
      <c r="A8411" t="s">
        <v>17230</v>
      </c>
      <c r="B8411" t="s">
        <v>10403</v>
      </c>
      <c r="C8411" t="str">
        <f>HYPERLINK("https://nematode.unl.edu/phexi22.jpg")</f>
        <v>https://nematode.unl.edu/phexi22.jpg</v>
      </c>
      <c r="D8411" t="s">
        <v>16</v>
      </c>
      <c r="G8411" t="s">
        <v>53</v>
      </c>
      <c r="J8411" t="s">
        <v>20</v>
      </c>
      <c r="L8411" t="s">
        <v>352</v>
      </c>
      <c r="M8411" t="s">
        <v>10351</v>
      </c>
      <c r="N8411" t="s">
        <v>10351</v>
      </c>
      <c r="O8411" t="s">
        <v>23</v>
      </c>
      <c r="P8411" t="s">
        <v>24</v>
      </c>
      <c r="Q8411" t="s">
        <v>6484</v>
      </c>
      <c r="R8411" t="s">
        <v>10109</v>
      </c>
    </row>
    <row r="8412" spans="1:18" x14ac:dyDescent="0.25">
      <c r="A8412" t="s">
        <v>17256</v>
      </c>
      <c r="B8412" t="s">
        <v>10404</v>
      </c>
      <c r="C8412" t="str">
        <f>HYPERLINK("https://nematode.unl.edu/phexi23.jpg")</f>
        <v>https://nematode.unl.edu/phexi23.jpg</v>
      </c>
      <c r="D8412" t="s">
        <v>16</v>
      </c>
      <c r="G8412" t="s">
        <v>28</v>
      </c>
      <c r="I8412" t="s">
        <v>41</v>
      </c>
      <c r="L8412" t="s">
        <v>141</v>
      </c>
      <c r="M8412" t="s">
        <v>10351</v>
      </c>
      <c r="N8412" t="s">
        <v>10351</v>
      </c>
      <c r="O8412" t="s">
        <v>23</v>
      </c>
      <c r="P8412" t="s">
        <v>24</v>
      </c>
      <c r="Q8412" t="s">
        <v>6484</v>
      </c>
      <c r="R8412" t="s">
        <v>10109</v>
      </c>
    </row>
    <row r="8413" spans="1:18" x14ac:dyDescent="0.25">
      <c r="A8413" t="s">
        <v>17199</v>
      </c>
      <c r="B8413" t="s">
        <v>10405</v>
      </c>
      <c r="C8413" t="str">
        <f>HYPERLINK("https://nematode.unl.edu/phexi24.jpg")</f>
        <v>https://nematode.unl.edu/phexi24.jpg</v>
      </c>
      <c r="D8413" t="s">
        <v>16</v>
      </c>
      <c r="G8413" t="s">
        <v>34</v>
      </c>
      <c r="H8413" t="s">
        <v>18</v>
      </c>
      <c r="J8413" t="s">
        <v>20</v>
      </c>
      <c r="L8413" t="s">
        <v>141</v>
      </c>
      <c r="M8413" t="s">
        <v>10351</v>
      </c>
      <c r="N8413" t="s">
        <v>10351</v>
      </c>
      <c r="O8413" t="s">
        <v>23</v>
      </c>
      <c r="P8413" t="s">
        <v>24</v>
      </c>
      <c r="Q8413" t="s">
        <v>6484</v>
      </c>
      <c r="R8413" t="s">
        <v>10109</v>
      </c>
    </row>
    <row r="8414" spans="1:18" x14ac:dyDescent="0.25">
      <c r="A8414" t="s">
        <v>17257</v>
      </c>
      <c r="B8414" t="s">
        <v>10406</v>
      </c>
      <c r="C8414" t="str">
        <f>HYPERLINK("https://nematode.unl.edu/phexi25.jpg")</f>
        <v>https://nematode.unl.edu/phexi25.jpg</v>
      </c>
      <c r="D8414" t="s">
        <v>16</v>
      </c>
      <c r="G8414" t="s">
        <v>28</v>
      </c>
      <c r="I8414" t="s">
        <v>19</v>
      </c>
      <c r="J8414" t="s">
        <v>20</v>
      </c>
      <c r="L8414" t="s">
        <v>141</v>
      </c>
      <c r="M8414" t="s">
        <v>10351</v>
      </c>
      <c r="N8414" t="s">
        <v>10351</v>
      </c>
      <c r="O8414" t="s">
        <v>23</v>
      </c>
      <c r="P8414" t="s">
        <v>24</v>
      </c>
      <c r="Q8414" t="s">
        <v>6484</v>
      </c>
      <c r="R8414" t="s">
        <v>10109</v>
      </c>
    </row>
    <row r="8415" spans="1:18" x14ac:dyDescent="0.25">
      <c r="A8415" t="s">
        <v>17258</v>
      </c>
      <c r="B8415" t="s">
        <v>10407</v>
      </c>
      <c r="C8415" t="str">
        <f>HYPERLINK("https://nematode.unl.edu/phexi3.jpg")</f>
        <v>https://nematode.unl.edu/phexi3.jpg</v>
      </c>
      <c r="D8415" t="s">
        <v>43</v>
      </c>
      <c r="G8415" t="s">
        <v>28</v>
      </c>
      <c r="I8415" t="s">
        <v>516</v>
      </c>
      <c r="J8415" t="s">
        <v>20</v>
      </c>
      <c r="L8415" t="s">
        <v>29</v>
      </c>
      <c r="M8415" t="s">
        <v>10351</v>
      </c>
      <c r="N8415" t="s">
        <v>10351</v>
      </c>
      <c r="O8415" t="s">
        <v>23</v>
      </c>
      <c r="P8415" t="s">
        <v>24</v>
      </c>
      <c r="Q8415" t="s">
        <v>6484</v>
      </c>
      <c r="R8415" t="s">
        <v>10109</v>
      </c>
    </row>
    <row r="8416" spans="1:18" x14ac:dyDescent="0.25">
      <c r="A8416" t="s">
        <v>17200</v>
      </c>
      <c r="B8416" t="s">
        <v>10408</v>
      </c>
      <c r="C8416" t="str">
        <f>HYPERLINK("https://nematode.unl.edu/phexi4.jpg")</f>
        <v>https://nematode.unl.edu/phexi4.jpg</v>
      </c>
      <c r="D8416" t="s">
        <v>43</v>
      </c>
      <c r="G8416" t="s">
        <v>34</v>
      </c>
      <c r="H8416" t="s">
        <v>18</v>
      </c>
      <c r="I8416" t="s">
        <v>41</v>
      </c>
      <c r="M8416" t="s">
        <v>10351</v>
      </c>
      <c r="N8416" t="s">
        <v>10351</v>
      </c>
      <c r="O8416" t="s">
        <v>23</v>
      </c>
      <c r="P8416" t="s">
        <v>24</v>
      </c>
      <c r="Q8416" t="s">
        <v>6484</v>
      </c>
      <c r="R8416" t="s">
        <v>10109</v>
      </c>
    </row>
    <row r="8417" spans="1:18" x14ac:dyDescent="0.25">
      <c r="A8417" t="s">
        <v>17259</v>
      </c>
      <c r="B8417" t="s">
        <v>10409</v>
      </c>
      <c r="C8417" t="str">
        <f>HYPERLINK("https://nematode.unl.edu/phexi5.jpg")</f>
        <v>https://nematode.unl.edu/phexi5.jpg</v>
      </c>
      <c r="D8417" t="s">
        <v>43</v>
      </c>
      <c r="G8417" t="s">
        <v>28</v>
      </c>
      <c r="I8417" t="s">
        <v>41</v>
      </c>
      <c r="J8417" t="s">
        <v>20</v>
      </c>
      <c r="M8417" t="s">
        <v>10351</v>
      </c>
      <c r="N8417" t="s">
        <v>10351</v>
      </c>
      <c r="O8417" t="s">
        <v>23</v>
      </c>
      <c r="P8417" t="s">
        <v>24</v>
      </c>
      <c r="Q8417" t="s">
        <v>6484</v>
      </c>
      <c r="R8417" t="s">
        <v>10109</v>
      </c>
    </row>
    <row r="8418" spans="1:18" x14ac:dyDescent="0.25">
      <c r="A8418" t="s">
        <v>17214</v>
      </c>
      <c r="B8418" t="s">
        <v>10410</v>
      </c>
      <c r="C8418" t="str">
        <f>HYPERLINK("https://nematode.unl.edu/phexi6.jpg")</f>
        <v>https://nematode.unl.edu/phexi6.jpg</v>
      </c>
      <c r="D8418" t="s">
        <v>43</v>
      </c>
      <c r="G8418" t="s">
        <v>44</v>
      </c>
      <c r="I8418" t="s">
        <v>45</v>
      </c>
      <c r="J8418" t="s">
        <v>20</v>
      </c>
      <c r="L8418" t="s">
        <v>29</v>
      </c>
      <c r="M8418" t="s">
        <v>10351</v>
      </c>
      <c r="N8418" t="s">
        <v>10351</v>
      </c>
      <c r="O8418" t="s">
        <v>23</v>
      </c>
      <c r="P8418" t="s">
        <v>24</v>
      </c>
      <c r="Q8418" t="s">
        <v>6484</v>
      </c>
      <c r="R8418" t="s">
        <v>10109</v>
      </c>
    </row>
    <row r="8419" spans="1:18" x14ac:dyDescent="0.25">
      <c r="A8419" t="s">
        <v>17231</v>
      </c>
      <c r="B8419" t="s">
        <v>10411</v>
      </c>
      <c r="C8419" t="str">
        <f>HYPERLINK("https://nematode.unl.edu/phexi7.jpg")</f>
        <v>https://nematode.unl.edu/phexi7.jpg</v>
      </c>
      <c r="D8419" t="s">
        <v>43</v>
      </c>
      <c r="G8419" t="s">
        <v>53</v>
      </c>
      <c r="I8419" t="s">
        <v>41</v>
      </c>
      <c r="M8419" t="s">
        <v>10351</v>
      </c>
      <c r="N8419" t="s">
        <v>10351</v>
      </c>
      <c r="O8419" t="s">
        <v>23</v>
      </c>
      <c r="P8419" t="s">
        <v>24</v>
      </c>
      <c r="Q8419" t="s">
        <v>6484</v>
      </c>
      <c r="R8419" t="s">
        <v>10109</v>
      </c>
    </row>
    <row r="8420" spans="1:18" x14ac:dyDescent="0.25">
      <c r="A8420" t="s">
        <v>17260</v>
      </c>
      <c r="B8420" t="s">
        <v>10412</v>
      </c>
      <c r="C8420" t="str">
        <f>HYPERLINK("https://nematode.unl.edu/phexi8.jpg")</f>
        <v>https://nematode.unl.edu/phexi8.jpg</v>
      </c>
      <c r="D8420" t="s">
        <v>43</v>
      </c>
      <c r="G8420" t="s">
        <v>28</v>
      </c>
      <c r="L8420" t="s">
        <v>29</v>
      </c>
      <c r="M8420" t="s">
        <v>10351</v>
      </c>
      <c r="N8420" t="s">
        <v>10351</v>
      </c>
      <c r="O8420" t="s">
        <v>23</v>
      </c>
      <c r="P8420" t="s">
        <v>24</v>
      </c>
      <c r="Q8420" t="s">
        <v>6484</v>
      </c>
      <c r="R8420" t="s">
        <v>10109</v>
      </c>
    </row>
    <row r="8421" spans="1:18" x14ac:dyDescent="0.25">
      <c r="A8421" t="s">
        <v>17201</v>
      </c>
      <c r="B8421" t="s">
        <v>10413</v>
      </c>
      <c r="C8421" t="str">
        <f>HYPERLINK("https://nematode.unl.edu/phexi9.jpg")</f>
        <v>https://nematode.unl.edu/phexi9.jpg</v>
      </c>
      <c r="D8421" t="s">
        <v>43</v>
      </c>
      <c r="G8421" t="s">
        <v>34</v>
      </c>
      <c r="H8421" t="s">
        <v>18</v>
      </c>
      <c r="I8421" t="s">
        <v>41</v>
      </c>
      <c r="J8421" t="s">
        <v>20</v>
      </c>
      <c r="L8421" t="s">
        <v>29</v>
      </c>
      <c r="M8421" t="s">
        <v>10351</v>
      </c>
      <c r="N8421" t="s">
        <v>10351</v>
      </c>
      <c r="O8421" t="s">
        <v>23</v>
      </c>
      <c r="P8421" t="s">
        <v>24</v>
      </c>
      <c r="Q8421" t="s">
        <v>6484</v>
      </c>
      <c r="R8421" t="s">
        <v>10109</v>
      </c>
    </row>
    <row r="8422" spans="1:18" x14ac:dyDescent="0.25">
      <c r="A8422" t="s">
        <v>17215</v>
      </c>
      <c r="B8422" t="s">
        <v>10414</v>
      </c>
      <c r="C8422" t="str">
        <f>HYPERLINK("https://nematode.unl.edu/phexin1.jpg")</f>
        <v>https://nematode.unl.edu/phexin1.jpg</v>
      </c>
      <c r="D8422" t="s">
        <v>43</v>
      </c>
      <c r="G8422" t="s">
        <v>44</v>
      </c>
      <c r="I8422" t="s">
        <v>45</v>
      </c>
      <c r="J8422" t="s">
        <v>10415</v>
      </c>
      <c r="M8422" t="s">
        <v>10351</v>
      </c>
      <c r="N8422" t="s">
        <v>10351</v>
      </c>
      <c r="O8422" t="s">
        <v>23</v>
      </c>
      <c r="P8422" t="s">
        <v>24</v>
      </c>
      <c r="Q8422" t="s">
        <v>6484</v>
      </c>
      <c r="R8422" t="s">
        <v>10109</v>
      </c>
    </row>
    <row r="8423" spans="1:18" x14ac:dyDescent="0.25">
      <c r="A8423" t="s">
        <v>17241</v>
      </c>
      <c r="B8423" t="s">
        <v>10416</v>
      </c>
      <c r="C8423" t="str">
        <f>HYPERLINK("https://nematode.unl.edu/phexin10.jpg")</f>
        <v>https://nematode.unl.edu/phexin10.jpg</v>
      </c>
      <c r="G8423" t="s">
        <v>1404</v>
      </c>
      <c r="I8423" t="s">
        <v>41</v>
      </c>
      <c r="J8423" t="s">
        <v>10415</v>
      </c>
      <c r="M8423" t="s">
        <v>10351</v>
      </c>
      <c r="N8423" t="s">
        <v>10351</v>
      </c>
      <c r="O8423" t="s">
        <v>23</v>
      </c>
      <c r="P8423" t="s">
        <v>24</v>
      </c>
      <c r="Q8423" t="s">
        <v>6484</v>
      </c>
      <c r="R8423" t="s">
        <v>10109</v>
      </c>
    </row>
    <row r="8424" spans="1:18" x14ac:dyDescent="0.25">
      <c r="A8424" t="s">
        <v>17261</v>
      </c>
      <c r="B8424" t="s">
        <v>10417</v>
      </c>
      <c r="C8424" t="str">
        <f>HYPERLINK("https://nematode.unl.edu/phexin11.jpg")</f>
        <v>https://nematode.unl.edu/phexin11.jpg</v>
      </c>
      <c r="D8424" t="s">
        <v>77</v>
      </c>
      <c r="G8424" t="s">
        <v>28</v>
      </c>
      <c r="J8424" t="s">
        <v>10415</v>
      </c>
      <c r="M8424" t="s">
        <v>10351</v>
      </c>
      <c r="N8424" t="s">
        <v>10351</v>
      </c>
      <c r="O8424" t="s">
        <v>23</v>
      </c>
      <c r="P8424" t="s">
        <v>24</v>
      </c>
      <c r="Q8424" t="s">
        <v>6484</v>
      </c>
      <c r="R8424" t="s">
        <v>10109</v>
      </c>
    </row>
    <row r="8425" spans="1:18" x14ac:dyDescent="0.25">
      <c r="A8425" t="s">
        <v>17262</v>
      </c>
      <c r="B8425" t="s">
        <v>10418</v>
      </c>
      <c r="C8425" t="str">
        <f>HYPERLINK("https://nematode.unl.edu/phexin12.jpg")</f>
        <v>https://nematode.unl.edu/phexin12.jpg</v>
      </c>
      <c r="D8425" t="s">
        <v>43</v>
      </c>
      <c r="G8425" t="s">
        <v>28</v>
      </c>
      <c r="I8425" t="s">
        <v>41</v>
      </c>
      <c r="J8425" t="s">
        <v>10415</v>
      </c>
      <c r="M8425" t="s">
        <v>10351</v>
      </c>
      <c r="N8425" t="s">
        <v>10351</v>
      </c>
      <c r="O8425" t="s">
        <v>23</v>
      </c>
      <c r="P8425" t="s">
        <v>24</v>
      </c>
      <c r="Q8425" t="s">
        <v>6484</v>
      </c>
      <c r="R8425" t="s">
        <v>10109</v>
      </c>
    </row>
    <row r="8426" spans="1:18" x14ac:dyDescent="0.25">
      <c r="A8426" t="s">
        <v>17202</v>
      </c>
      <c r="B8426" t="s">
        <v>10419</v>
      </c>
      <c r="C8426" t="str">
        <f>HYPERLINK("https://nematode.unl.edu/phexin13.jpg")</f>
        <v>https://nematode.unl.edu/phexin13.jpg</v>
      </c>
      <c r="D8426" t="s">
        <v>43</v>
      </c>
      <c r="G8426" t="s">
        <v>34</v>
      </c>
      <c r="H8426" t="s">
        <v>18</v>
      </c>
      <c r="I8426" t="s">
        <v>41</v>
      </c>
      <c r="J8426" t="s">
        <v>10415</v>
      </c>
      <c r="M8426" t="s">
        <v>10351</v>
      </c>
      <c r="N8426" t="s">
        <v>10351</v>
      </c>
      <c r="O8426" t="s">
        <v>23</v>
      </c>
      <c r="P8426" t="s">
        <v>24</v>
      </c>
      <c r="Q8426" t="s">
        <v>6484</v>
      </c>
      <c r="R8426" t="s">
        <v>10109</v>
      </c>
    </row>
    <row r="8427" spans="1:18" x14ac:dyDescent="0.25">
      <c r="A8427" t="s">
        <v>17238</v>
      </c>
      <c r="B8427" t="s">
        <v>10420</v>
      </c>
      <c r="C8427" t="str">
        <f>HYPERLINK("https://nematode.unl.edu/phexin14.jpg")</f>
        <v>https://nematode.unl.edu/phexin14.jpg</v>
      </c>
      <c r="G8427" t="s">
        <v>414</v>
      </c>
      <c r="I8427" t="s">
        <v>41</v>
      </c>
      <c r="J8427" t="s">
        <v>10415</v>
      </c>
      <c r="M8427" t="s">
        <v>10351</v>
      </c>
      <c r="N8427" t="s">
        <v>10351</v>
      </c>
      <c r="O8427" t="s">
        <v>23</v>
      </c>
      <c r="P8427" t="s">
        <v>24</v>
      </c>
      <c r="Q8427" t="s">
        <v>6484</v>
      </c>
      <c r="R8427" t="s">
        <v>10109</v>
      </c>
    </row>
    <row r="8428" spans="1:18" x14ac:dyDescent="0.25">
      <c r="A8428" t="s">
        <v>17232</v>
      </c>
      <c r="B8428" t="s">
        <v>10421</v>
      </c>
      <c r="C8428" t="str">
        <f>HYPERLINK("https://nematode.unl.edu/phexin2.jpg")</f>
        <v>https://nematode.unl.edu/phexin2.jpg</v>
      </c>
      <c r="D8428" t="s">
        <v>43</v>
      </c>
      <c r="G8428" t="s">
        <v>53</v>
      </c>
      <c r="J8428" t="s">
        <v>10415</v>
      </c>
      <c r="M8428" t="s">
        <v>10351</v>
      </c>
      <c r="N8428" t="s">
        <v>10351</v>
      </c>
      <c r="O8428" t="s">
        <v>23</v>
      </c>
      <c r="P8428" t="s">
        <v>24</v>
      </c>
      <c r="Q8428" t="s">
        <v>6484</v>
      </c>
      <c r="R8428" t="s">
        <v>10109</v>
      </c>
    </row>
    <row r="8429" spans="1:18" x14ac:dyDescent="0.25">
      <c r="A8429" t="s">
        <v>17263</v>
      </c>
      <c r="B8429" t="s">
        <v>10422</v>
      </c>
      <c r="C8429" t="str">
        <f>HYPERLINK("https://nematode.unl.edu/phexin3.jpg")</f>
        <v>https://nematode.unl.edu/phexin3.jpg</v>
      </c>
      <c r="D8429" t="s">
        <v>77</v>
      </c>
      <c r="G8429" t="s">
        <v>28</v>
      </c>
      <c r="I8429" t="s">
        <v>41</v>
      </c>
      <c r="J8429" t="s">
        <v>10415</v>
      </c>
      <c r="M8429" t="s">
        <v>10351</v>
      </c>
      <c r="N8429" t="s">
        <v>10351</v>
      </c>
      <c r="O8429" t="s">
        <v>23</v>
      </c>
      <c r="P8429" t="s">
        <v>24</v>
      </c>
      <c r="Q8429" t="s">
        <v>6484</v>
      </c>
      <c r="R8429" t="s">
        <v>10109</v>
      </c>
    </row>
    <row r="8430" spans="1:18" x14ac:dyDescent="0.25">
      <c r="A8430" t="s">
        <v>17203</v>
      </c>
      <c r="B8430" t="s">
        <v>10423</v>
      </c>
      <c r="C8430" t="str">
        <f>HYPERLINK("https://nematode.unl.edu/phexin4.jpg")</f>
        <v>https://nematode.unl.edu/phexin4.jpg</v>
      </c>
      <c r="D8430" t="s">
        <v>43</v>
      </c>
      <c r="G8430" t="s">
        <v>34</v>
      </c>
      <c r="H8430" t="s">
        <v>18</v>
      </c>
      <c r="I8430" t="s">
        <v>41</v>
      </c>
      <c r="J8430" t="s">
        <v>10415</v>
      </c>
      <c r="M8430" t="s">
        <v>10351</v>
      </c>
      <c r="N8430" t="s">
        <v>10351</v>
      </c>
      <c r="O8430" t="s">
        <v>23</v>
      </c>
      <c r="P8430" t="s">
        <v>24</v>
      </c>
      <c r="Q8430" t="s">
        <v>6484</v>
      </c>
      <c r="R8430" t="s">
        <v>10109</v>
      </c>
    </row>
    <row r="8431" spans="1:18" x14ac:dyDescent="0.25">
      <c r="A8431" t="s">
        <v>17239</v>
      </c>
      <c r="B8431" t="s">
        <v>10424</v>
      </c>
      <c r="C8431" t="str">
        <f>HYPERLINK("https://nematode.unl.edu/phexin5.jpg")</f>
        <v>https://nematode.unl.edu/phexin5.jpg</v>
      </c>
      <c r="D8431" t="s">
        <v>43</v>
      </c>
      <c r="G8431" t="s">
        <v>414</v>
      </c>
      <c r="I8431" t="s">
        <v>41</v>
      </c>
      <c r="J8431" t="s">
        <v>10415</v>
      </c>
      <c r="M8431" t="s">
        <v>10351</v>
      </c>
      <c r="N8431" t="s">
        <v>10351</v>
      </c>
      <c r="O8431" t="s">
        <v>23</v>
      </c>
      <c r="P8431" t="s">
        <v>24</v>
      </c>
      <c r="Q8431" t="s">
        <v>6484</v>
      </c>
      <c r="R8431" t="s">
        <v>10109</v>
      </c>
    </row>
    <row r="8432" spans="1:18" x14ac:dyDescent="0.25">
      <c r="A8432" t="s">
        <v>17204</v>
      </c>
      <c r="B8432" t="s">
        <v>10425</v>
      </c>
      <c r="C8432" t="str">
        <f>HYPERLINK("https://nematode.unl.edu/phexin6.jpg")</f>
        <v>https://nematode.unl.edu/phexin6.jpg</v>
      </c>
      <c r="D8432" t="s">
        <v>43</v>
      </c>
      <c r="G8432" t="s">
        <v>34</v>
      </c>
      <c r="H8432" t="s">
        <v>18</v>
      </c>
      <c r="I8432" t="s">
        <v>19</v>
      </c>
      <c r="J8432" t="s">
        <v>10415</v>
      </c>
      <c r="M8432" t="s">
        <v>10351</v>
      </c>
      <c r="N8432" t="s">
        <v>10351</v>
      </c>
      <c r="O8432" t="s">
        <v>23</v>
      </c>
      <c r="P8432" t="s">
        <v>24</v>
      </c>
      <c r="Q8432" t="s">
        <v>6484</v>
      </c>
      <c r="R8432" t="s">
        <v>10109</v>
      </c>
    </row>
    <row r="8433" spans="1:18" x14ac:dyDescent="0.25">
      <c r="A8433" t="s">
        <v>17264</v>
      </c>
      <c r="B8433" t="s">
        <v>10426</v>
      </c>
      <c r="C8433" t="str">
        <f>HYPERLINK("https://nematode.unl.edu/phexin7.jpg")</f>
        <v>https://nematode.unl.edu/phexin7.jpg</v>
      </c>
      <c r="D8433" t="s">
        <v>77</v>
      </c>
      <c r="G8433" t="s">
        <v>28</v>
      </c>
      <c r="I8433" t="s">
        <v>19</v>
      </c>
      <c r="J8433" t="s">
        <v>10415</v>
      </c>
      <c r="M8433" t="s">
        <v>10351</v>
      </c>
      <c r="N8433" t="s">
        <v>10351</v>
      </c>
      <c r="O8433" t="s">
        <v>23</v>
      </c>
      <c r="P8433" t="s">
        <v>24</v>
      </c>
      <c r="Q8433" t="s">
        <v>6484</v>
      </c>
      <c r="R8433" t="s">
        <v>10109</v>
      </c>
    </row>
    <row r="8434" spans="1:18" x14ac:dyDescent="0.25">
      <c r="A8434" t="s">
        <v>17233</v>
      </c>
      <c r="B8434" t="s">
        <v>10427</v>
      </c>
      <c r="C8434" t="str">
        <f>HYPERLINK("https://nematode.unl.edu/phexin8.jpg")</f>
        <v>https://nematode.unl.edu/phexin8.jpg</v>
      </c>
      <c r="D8434" t="s">
        <v>43</v>
      </c>
      <c r="G8434" t="s">
        <v>53</v>
      </c>
      <c r="I8434" t="s">
        <v>41</v>
      </c>
      <c r="J8434" t="s">
        <v>10415</v>
      </c>
      <c r="M8434" t="s">
        <v>10351</v>
      </c>
      <c r="N8434" t="s">
        <v>10351</v>
      </c>
      <c r="O8434" t="s">
        <v>23</v>
      </c>
      <c r="P8434" t="s">
        <v>24</v>
      </c>
      <c r="Q8434" t="s">
        <v>6484</v>
      </c>
      <c r="R8434" t="s">
        <v>10109</v>
      </c>
    </row>
    <row r="8435" spans="1:18" x14ac:dyDescent="0.25">
      <c r="A8435" t="s">
        <v>17205</v>
      </c>
      <c r="B8435" t="s">
        <v>10428</v>
      </c>
      <c r="C8435" t="str">
        <f>HYPERLINK("https://nematode.unl.edu/phexin9.jpg")</f>
        <v>https://nematode.unl.edu/phexin9.jpg</v>
      </c>
      <c r="D8435" t="s">
        <v>43</v>
      </c>
      <c r="G8435" t="s">
        <v>34</v>
      </c>
      <c r="H8435" t="s">
        <v>18</v>
      </c>
      <c r="I8435" t="s">
        <v>41</v>
      </c>
      <c r="J8435" t="s">
        <v>10415</v>
      </c>
      <c r="M8435" t="s">
        <v>10351</v>
      </c>
      <c r="N8435" t="s">
        <v>10351</v>
      </c>
      <c r="O8435" t="s">
        <v>23</v>
      </c>
      <c r="P8435" t="s">
        <v>24</v>
      </c>
      <c r="Q8435" t="s">
        <v>6484</v>
      </c>
      <c r="R8435" t="s">
        <v>10109</v>
      </c>
    </row>
    <row r="8436" spans="1:18" x14ac:dyDescent="0.25">
      <c r="A8436" t="s">
        <v>17216</v>
      </c>
      <c r="B8436" t="s">
        <v>10429</v>
      </c>
      <c r="C8436" t="str">
        <f>HYPERLINK("https://nematode.unl.edu/phexinc1.jpg")</f>
        <v>https://nematode.unl.edu/phexinc1.jpg</v>
      </c>
      <c r="D8436" t="s">
        <v>43</v>
      </c>
      <c r="G8436" t="s">
        <v>44</v>
      </c>
      <c r="I8436" t="s">
        <v>45</v>
      </c>
      <c r="J8436" t="s">
        <v>10430</v>
      </c>
      <c r="L8436" t="s">
        <v>4481</v>
      </c>
      <c r="M8436" t="s">
        <v>10351</v>
      </c>
      <c r="N8436" t="s">
        <v>10351</v>
      </c>
      <c r="O8436" t="s">
        <v>23</v>
      </c>
      <c r="P8436" t="s">
        <v>24</v>
      </c>
      <c r="Q8436" t="s">
        <v>6484</v>
      </c>
      <c r="R8436" t="s">
        <v>10109</v>
      </c>
    </row>
    <row r="8437" spans="1:18" x14ac:dyDescent="0.25">
      <c r="A8437" t="s">
        <v>17234</v>
      </c>
      <c r="B8437" t="s">
        <v>10431</v>
      </c>
      <c r="C8437" t="str">
        <f>HYPERLINK("https://nematode.unl.edu/phexinc10.jpg")</f>
        <v>https://nematode.unl.edu/phexinc10.jpg</v>
      </c>
      <c r="D8437" t="s">
        <v>43</v>
      </c>
      <c r="G8437" t="s">
        <v>53</v>
      </c>
      <c r="I8437" t="s">
        <v>41</v>
      </c>
      <c r="J8437" t="s">
        <v>10430</v>
      </c>
      <c r="L8437" t="s">
        <v>4481</v>
      </c>
      <c r="M8437" t="s">
        <v>10351</v>
      </c>
      <c r="N8437" t="s">
        <v>10351</v>
      </c>
      <c r="O8437" t="s">
        <v>23</v>
      </c>
      <c r="P8437" t="s">
        <v>24</v>
      </c>
      <c r="Q8437" t="s">
        <v>6484</v>
      </c>
      <c r="R8437" t="s">
        <v>10109</v>
      </c>
    </row>
    <row r="8438" spans="1:18" x14ac:dyDescent="0.25">
      <c r="A8438" t="s">
        <v>17265</v>
      </c>
      <c r="B8438" t="s">
        <v>10432</v>
      </c>
      <c r="C8438" t="str">
        <f>HYPERLINK("https://nematode.unl.edu/phexinc11.jpg")</f>
        <v>https://nematode.unl.edu/phexinc11.jpg</v>
      </c>
      <c r="D8438" t="s">
        <v>43</v>
      </c>
      <c r="G8438" t="s">
        <v>28</v>
      </c>
      <c r="I8438" t="s">
        <v>19</v>
      </c>
      <c r="J8438" t="s">
        <v>10430</v>
      </c>
      <c r="L8438" t="s">
        <v>4481</v>
      </c>
      <c r="M8438" t="s">
        <v>10351</v>
      </c>
      <c r="N8438" t="s">
        <v>10351</v>
      </c>
      <c r="O8438" t="s">
        <v>23</v>
      </c>
      <c r="P8438" t="s">
        <v>24</v>
      </c>
      <c r="Q8438" t="s">
        <v>6484</v>
      </c>
      <c r="R8438" t="s">
        <v>10109</v>
      </c>
    </row>
    <row r="8439" spans="1:18" x14ac:dyDescent="0.25">
      <c r="A8439" t="s">
        <v>17206</v>
      </c>
      <c r="B8439" t="s">
        <v>10433</v>
      </c>
      <c r="C8439" t="str">
        <f>HYPERLINK("https://nematode.unl.edu/phexinc12.jpg")</f>
        <v>https://nematode.unl.edu/phexinc12.jpg</v>
      </c>
      <c r="D8439" t="s">
        <v>77</v>
      </c>
      <c r="G8439" t="s">
        <v>34</v>
      </c>
      <c r="H8439" t="s">
        <v>18</v>
      </c>
      <c r="J8439" t="s">
        <v>10430</v>
      </c>
      <c r="L8439" t="s">
        <v>4481</v>
      </c>
      <c r="M8439" t="s">
        <v>10351</v>
      </c>
      <c r="N8439" t="s">
        <v>10351</v>
      </c>
      <c r="O8439" t="s">
        <v>23</v>
      </c>
      <c r="P8439" t="s">
        <v>24</v>
      </c>
      <c r="Q8439" t="s">
        <v>6484</v>
      </c>
      <c r="R8439" t="s">
        <v>10109</v>
      </c>
    </row>
    <row r="8440" spans="1:18" x14ac:dyDescent="0.25">
      <c r="A8440" t="s">
        <v>17235</v>
      </c>
      <c r="B8440" t="s">
        <v>10434</v>
      </c>
      <c r="C8440" t="str">
        <f>HYPERLINK("https://nematode.unl.edu/phexinc13.jpg")</f>
        <v>https://nematode.unl.edu/phexinc13.jpg</v>
      </c>
      <c r="D8440" t="s">
        <v>43</v>
      </c>
      <c r="G8440" t="s">
        <v>53</v>
      </c>
      <c r="I8440" t="s">
        <v>41</v>
      </c>
      <c r="J8440" t="s">
        <v>10430</v>
      </c>
      <c r="L8440" t="s">
        <v>4481</v>
      </c>
      <c r="M8440" t="s">
        <v>10351</v>
      </c>
      <c r="N8440" t="s">
        <v>10351</v>
      </c>
      <c r="O8440" t="s">
        <v>23</v>
      </c>
      <c r="P8440" t="s">
        <v>24</v>
      </c>
      <c r="Q8440" t="s">
        <v>6484</v>
      </c>
      <c r="R8440" t="s">
        <v>10109</v>
      </c>
    </row>
    <row r="8441" spans="1:18" x14ac:dyDescent="0.25">
      <c r="A8441" t="s">
        <v>17266</v>
      </c>
      <c r="B8441" t="s">
        <v>10435</v>
      </c>
      <c r="C8441" t="str">
        <f>HYPERLINK("https://nematode.unl.edu/phexinc14.jpg")</f>
        <v>https://nematode.unl.edu/phexinc14.jpg</v>
      </c>
      <c r="D8441" t="s">
        <v>77</v>
      </c>
      <c r="G8441" t="s">
        <v>28</v>
      </c>
      <c r="I8441" t="s">
        <v>41</v>
      </c>
      <c r="J8441" t="s">
        <v>10430</v>
      </c>
      <c r="L8441" t="s">
        <v>4481</v>
      </c>
      <c r="M8441" t="s">
        <v>10351</v>
      </c>
      <c r="N8441" t="s">
        <v>10351</v>
      </c>
      <c r="O8441" t="s">
        <v>23</v>
      </c>
      <c r="P8441" t="s">
        <v>24</v>
      </c>
      <c r="Q8441" t="s">
        <v>6484</v>
      </c>
      <c r="R8441" t="s">
        <v>10109</v>
      </c>
    </row>
    <row r="8442" spans="1:18" x14ac:dyDescent="0.25">
      <c r="A8442" t="s">
        <v>17207</v>
      </c>
      <c r="B8442" t="s">
        <v>10436</v>
      </c>
      <c r="C8442" t="str">
        <f>HYPERLINK("https://nematode.unl.edu/phexinc15.jpg")</f>
        <v>https://nematode.unl.edu/phexinc15.jpg</v>
      </c>
      <c r="D8442" t="s">
        <v>43</v>
      </c>
      <c r="G8442" t="s">
        <v>34</v>
      </c>
      <c r="H8442" t="s">
        <v>18</v>
      </c>
      <c r="I8442" t="s">
        <v>41</v>
      </c>
      <c r="J8442" t="s">
        <v>10430</v>
      </c>
      <c r="L8442" t="s">
        <v>4481</v>
      </c>
      <c r="M8442" t="s">
        <v>10351</v>
      </c>
      <c r="N8442" t="s">
        <v>10351</v>
      </c>
      <c r="O8442" t="s">
        <v>23</v>
      </c>
      <c r="P8442" t="s">
        <v>24</v>
      </c>
      <c r="Q8442" t="s">
        <v>6484</v>
      </c>
      <c r="R8442" t="s">
        <v>10109</v>
      </c>
    </row>
    <row r="8443" spans="1:18" x14ac:dyDescent="0.25">
      <c r="A8443" t="s">
        <v>17217</v>
      </c>
      <c r="B8443" t="s">
        <v>10437</v>
      </c>
      <c r="C8443" t="str">
        <f>HYPERLINK("https://nematode.unl.edu/phexinc2.jpg")</f>
        <v>https://nematode.unl.edu/phexinc2.jpg</v>
      </c>
      <c r="D8443" t="s">
        <v>43</v>
      </c>
      <c r="G8443" t="s">
        <v>44</v>
      </c>
      <c r="I8443" t="s">
        <v>137</v>
      </c>
      <c r="J8443" t="s">
        <v>10430</v>
      </c>
      <c r="L8443" t="s">
        <v>4481</v>
      </c>
      <c r="M8443" t="s">
        <v>10351</v>
      </c>
      <c r="N8443" t="s">
        <v>10351</v>
      </c>
      <c r="O8443" t="s">
        <v>23</v>
      </c>
      <c r="P8443" t="s">
        <v>24</v>
      </c>
      <c r="Q8443" t="s">
        <v>6484</v>
      </c>
      <c r="R8443" t="s">
        <v>10109</v>
      </c>
    </row>
    <row r="8444" spans="1:18" x14ac:dyDescent="0.25">
      <c r="A8444" t="s">
        <v>17267</v>
      </c>
      <c r="B8444" t="s">
        <v>10438</v>
      </c>
      <c r="C8444" t="str">
        <f>HYPERLINK("https://nematode.unl.edu/phexinc3.jpg")</f>
        <v>https://nematode.unl.edu/phexinc3.jpg</v>
      </c>
      <c r="D8444" t="s">
        <v>43</v>
      </c>
      <c r="G8444" t="s">
        <v>28</v>
      </c>
      <c r="J8444" t="s">
        <v>10430</v>
      </c>
      <c r="L8444" t="s">
        <v>4481</v>
      </c>
      <c r="M8444" t="s">
        <v>10351</v>
      </c>
      <c r="N8444" t="s">
        <v>10351</v>
      </c>
      <c r="O8444" t="s">
        <v>23</v>
      </c>
      <c r="P8444" t="s">
        <v>24</v>
      </c>
      <c r="Q8444" t="s">
        <v>6484</v>
      </c>
      <c r="R8444" t="s">
        <v>10109</v>
      </c>
    </row>
    <row r="8445" spans="1:18" x14ac:dyDescent="0.25">
      <c r="A8445" t="s">
        <v>17269</v>
      </c>
      <c r="B8445" t="s">
        <v>10439</v>
      </c>
      <c r="C8445" t="str">
        <f>HYPERLINK("https://nematode.unl.edu/phexinc4.jpg")</f>
        <v>https://nematode.unl.edu/phexinc4.jpg</v>
      </c>
      <c r="D8445" t="s">
        <v>43</v>
      </c>
      <c r="G8445" t="s">
        <v>51</v>
      </c>
      <c r="J8445" t="s">
        <v>10430</v>
      </c>
      <c r="L8445" t="s">
        <v>4481</v>
      </c>
      <c r="M8445" t="s">
        <v>10351</v>
      </c>
      <c r="N8445" t="s">
        <v>10351</v>
      </c>
      <c r="O8445" t="s">
        <v>23</v>
      </c>
      <c r="P8445" t="s">
        <v>24</v>
      </c>
      <c r="Q8445" t="s">
        <v>6484</v>
      </c>
      <c r="R8445" t="s">
        <v>10109</v>
      </c>
    </row>
    <row r="8446" spans="1:18" x14ac:dyDescent="0.25">
      <c r="A8446" t="s">
        <v>17182</v>
      </c>
      <c r="B8446" t="s">
        <v>10440</v>
      </c>
      <c r="C8446" t="str">
        <f>HYPERLINK("https://nematode.unl.edu/phexinc5.jpg")</f>
        <v>https://nematode.unl.edu/phexinc5.jpg</v>
      </c>
      <c r="D8446" t="s">
        <v>43</v>
      </c>
      <c r="G8446" t="s">
        <v>96</v>
      </c>
      <c r="H8446" t="s">
        <v>18</v>
      </c>
      <c r="I8446" t="s">
        <v>19</v>
      </c>
      <c r="J8446" t="s">
        <v>10430</v>
      </c>
      <c r="L8446" t="s">
        <v>4481</v>
      </c>
      <c r="M8446" t="s">
        <v>10351</v>
      </c>
      <c r="N8446" t="s">
        <v>10351</v>
      </c>
      <c r="O8446" t="s">
        <v>23</v>
      </c>
      <c r="P8446" t="s">
        <v>24</v>
      </c>
      <c r="Q8446" t="s">
        <v>6484</v>
      </c>
      <c r="R8446" t="s">
        <v>10109</v>
      </c>
    </row>
    <row r="8447" spans="1:18" x14ac:dyDescent="0.25">
      <c r="A8447" t="s">
        <v>17236</v>
      </c>
      <c r="B8447" t="s">
        <v>10441</v>
      </c>
      <c r="C8447" t="str">
        <f>HYPERLINK("https://nematode.unl.edu/phexinc6.jpg")</f>
        <v>https://nematode.unl.edu/phexinc6.jpg</v>
      </c>
      <c r="D8447" t="s">
        <v>43</v>
      </c>
      <c r="G8447" t="s">
        <v>53</v>
      </c>
      <c r="I8447" t="s">
        <v>41</v>
      </c>
      <c r="J8447" t="s">
        <v>10430</v>
      </c>
      <c r="L8447" t="s">
        <v>4481</v>
      </c>
      <c r="M8447" t="s">
        <v>10351</v>
      </c>
      <c r="N8447" t="s">
        <v>10351</v>
      </c>
      <c r="O8447" t="s">
        <v>23</v>
      </c>
      <c r="P8447" t="s">
        <v>24</v>
      </c>
      <c r="Q8447" t="s">
        <v>6484</v>
      </c>
      <c r="R8447" t="s">
        <v>10109</v>
      </c>
    </row>
    <row r="8448" spans="1:18" x14ac:dyDescent="0.25">
      <c r="A8448" t="s">
        <v>17208</v>
      </c>
      <c r="B8448" t="s">
        <v>10442</v>
      </c>
      <c r="C8448" t="str">
        <f>HYPERLINK("https://nematode.unl.edu/phexinc7.jpg")</f>
        <v>https://nematode.unl.edu/phexinc7.jpg</v>
      </c>
      <c r="D8448" t="s">
        <v>43</v>
      </c>
      <c r="G8448" t="s">
        <v>34</v>
      </c>
      <c r="H8448" t="s">
        <v>18</v>
      </c>
      <c r="I8448" t="s">
        <v>41</v>
      </c>
      <c r="J8448" t="s">
        <v>10430</v>
      </c>
      <c r="L8448" t="s">
        <v>4481</v>
      </c>
      <c r="M8448" t="s">
        <v>10351</v>
      </c>
      <c r="N8448" t="s">
        <v>10351</v>
      </c>
      <c r="O8448" t="s">
        <v>23</v>
      </c>
      <c r="P8448" t="s">
        <v>24</v>
      </c>
      <c r="Q8448" t="s">
        <v>6484</v>
      </c>
      <c r="R8448" t="s">
        <v>10109</v>
      </c>
    </row>
    <row r="8449" spans="1:18" x14ac:dyDescent="0.25">
      <c r="A8449" t="s">
        <v>17268</v>
      </c>
      <c r="B8449" t="s">
        <v>10443</v>
      </c>
      <c r="C8449" t="str">
        <f>HYPERLINK("https://nematode.unl.edu/phexinc8.jpg")</f>
        <v>https://nematode.unl.edu/phexinc8.jpg</v>
      </c>
      <c r="D8449" t="s">
        <v>43</v>
      </c>
      <c r="G8449" t="s">
        <v>28</v>
      </c>
      <c r="J8449" t="s">
        <v>10430</v>
      </c>
      <c r="L8449" t="s">
        <v>4481</v>
      </c>
      <c r="M8449" t="s">
        <v>10351</v>
      </c>
      <c r="N8449" t="s">
        <v>10351</v>
      </c>
      <c r="O8449" t="s">
        <v>23</v>
      </c>
      <c r="P8449" t="s">
        <v>24</v>
      </c>
      <c r="Q8449" t="s">
        <v>6484</v>
      </c>
      <c r="R8449" t="s">
        <v>10109</v>
      </c>
    </row>
    <row r="8450" spans="1:18" x14ac:dyDescent="0.25">
      <c r="A8450" t="s">
        <v>17209</v>
      </c>
      <c r="B8450" t="s">
        <v>10444</v>
      </c>
      <c r="C8450" t="str">
        <f>HYPERLINK("https://nematode.unl.edu/phexinc9.jpg")</f>
        <v>https://nematode.unl.edu/phexinc9.jpg</v>
      </c>
      <c r="D8450" t="s">
        <v>43</v>
      </c>
      <c r="G8450" t="s">
        <v>34</v>
      </c>
      <c r="H8450" t="s">
        <v>18</v>
      </c>
      <c r="J8450" t="s">
        <v>10430</v>
      </c>
      <c r="L8450" t="s">
        <v>4481</v>
      </c>
      <c r="M8450" t="s">
        <v>10351</v>
      </c>
      <c r="N8450" t="s">
        <v>10351</v>
      </c>
      <c r="O8450" t="s">
        <v>23</v>
      </c>
      <c r="P8450" t="s">
        <v>24</v>
      </c>
      <c r="Q8450" t="s">
        <v>6484</v>
      </c>
      <c r="R8450" t="s">
        <v>10109</v>
      </c>
    </row>
    <row r="8451" spans="1:18" x14ac:dyDescent="0.25">
      <c r="A8451" t="s">
        <v>18525</v>
      </c>
      <c r="B8451" t="s">
        <v>10872</v>
      </c>
      <c r="C8451" t="str">
        <f>HYPERLINK("https://nematode.unl.edu/phila1.jpg")</f>
        <v>https://nematode.unl.edu/phila1.jpg</v>
      </c>
      <c r="D8451" t="s">
        <v>77</v>
      </c>
      <c r="G8451" t="s">
        <v>44</v>
      </c>
      <c r="I8451" t="s">
        <v>45</v>
      </c>
      <c r="J8451" t="s">
        <v>20</v>
      </c>
      <c r="L8451" t="s">
        <v>5685</v>
      </c>
      <c r="M8451" t="s">
        <v>10873</v>
      </c>
      <c r="N8451" t="s">
        <v>10873</v>
      </c>
      <c r="O8451" t="s">
        <v>23</v>
      </c>
      <c r="P8451" t="s">
        <v>24</v>
      </c>
      <c r="Q8451" t="s">
        <v>69</v>
      </c>
      <c r="R8451" t="s">
        <v>10874</v>
      </c>
    </row>
    <row r="8452" spans="1:18" x14ac:dyDescent="0.25">
      <c r="A8452" t="s">
        <v>18531</v>
      </c>
      <c r="B8452" t="s">
        <v>10875</v>
      </c>
      <c r="C8452" t="str">
        <f>HYPERLINK("https://nematode.unl.edu/phila10.jpg")</f>
        <v>https://nematode.unl.edu/phila10.jpg</v>
      </c>
      <c r="D8452" t="s">
        <v>77</v>
      </c>
      <c r="G8452" t="s">
        <v>53</v>
      </c>
      <c r="I8452" t="s">
        <v>41</v>
      </c>
      <c r="J8452" t="s">
        <v>20</v>
      </c>
      <c r="L8452" t="s">
        <v>1768</v>
      </c>
      <c r="M8452" t="s">
        <v>10873</v>
      </c>
      <c r="N8452" t="s">
        <v>10873</v>
      </c>
      <c r="O8452" t="s">
        <v>23</v>
      </c>
      <c r="P8452" t="s">
        <v>24</v>
      </c>
      <c r="Q8452" t="s">
        <v>69</v>
      </c>
      <c r="R8452" t="s">
        <v>10874</v>
      </c>
    </row>
    <row r="8453" spans="1:18" x14ac:dyDescent="0.25">
      <c r="A8453" t="s">
        <v>18526</v>
      </c>
      <c r="B8453" t="s">
        <v>10876</v>
      </c>
      <c r="C8453" t="str">
        <f>HYPERLINK("https://nematode.unl.edu/phila11.jpg")</f>
        <v>https://nematode.unl.edu/phila11.jpg</v>
      </c>
      <c r="D8453" t="s">
        <v>43</v>
      </c>
      <c r="G8453" t="s">
        <v>44</v>
      </c>
      <c r="I8453" t="s">
        <v>45</v>
      </c>
      <c r="J8453" t="s">
        <v>20</v>
      </c>
      <c r="L8453" t="s">
        <v>29</v>
      </c>
      <c r="M8453" t="s">
        <v>10873</v>
      </c>
      <c r="N8453" t="s">
        <v>10873</v>
      </c>
      <c r="O8453" t="s">
        <v>23</v>
      </c>
      <c r="P8453" t="s">
        <v>24</v>
      </c>
      <c r="Q8453" t="s">
        <v>69</v>
      </c>
      <c r="R8453" t="s">
        <v>10874</v>
      </c>
    </row>
    <row r="8454" spans="1:18" x14ac:dyDescent="0.25">
      <c r="A8454" t="s">
        <v>18514</v>
      </c>
      <c r="B8454" t="s">
        <v>10877</v>
      </c>
      <c r="C8454" t="str">
        <f>HYPERLINK("https://nematode.unl.edu/phila12.jpg")</f>
        <v>https://nematode.unl.edu/phila12.jpg</v>
      </c>
      <c r="D8454" t="s">
        <v>43</v>
      </c>
      <c r="G8454" t="s">
        <v>96</v>
      </c>
      <c r="H8454" t="s">
        <v>18</v>
      </c>
      <c r="J8454" t="s">
        <v>20</v>
      </c>
      <c r="L8454" t="s">
        <v>85</v>
      </c>
      <c r="M8454" t="s">
        <v>10873</v>
      </c>
      <c r="N8454" t="s">
        <v>10873</v>
      </c>
      <c r="O8454" t="s">
        <v>23</v>
      </c>
      <c r="P8454" t="s">
        <v>24</v>
      </c>
      <c r="Q8454" t="s">
        <v>69</v>
      </c>
      <c r="R8454" t="s">
        <v>10874</v>
      </c>
    </row>
    <row r="8455" spans="1:18" x14ac:dyDescent="0.25">
      <c r="A8455" t="s">
        <v>18519</v>
      </c>
      <c r="B8455" t="s">
        <v>10878</v>
      </c>
      <c r="C8455" t="str">
        <f>HYPERLINK("https://nematode.unl.edu/phila13.jpg")</f>
        <v>https://nematode.unl.edu/phila13.jpg</v>
      </c>
      <c r="D8455" t="s">
        <v>43</v>
      </c>
      <c r="G8455" t="s">
        <v>34</v>
      </c>
      <c r="H8455" t="s">
        <v>18</v>
      </c>
      <c r="J8455" t="s">
        <v>20</v>
      </c>
      <c r="L8455" t="s">
        <v>206</v>
      </c>
      <c r="M8455" t="s">
        <v>10873</v>
      </c>
      <c r="N8455" t="s">
        <v>10873</v>
      </c>
      <c r="O8455" t="s">
        <v>23</v>
      </c>
      <c r="P8455" t="s">
        <v>24</v>
      </c>
      <c r="Q8455" t="s">
        <v>69</v>
      </c>
      <c r="R8455" t="s">
        <v>10874</v>
      </c>
    </row>
    <row r="8456" spans="1:18" x14ac:dyDescent="0.25">
      <c r="A8456" t="s">
        <v>18542</v>
      </c>
      <c r="B8456" t="s">
        <v>10879</v>
      </c>
      <c r="C8456" t="str">
        <f>HYPERLINK("https://nematode.unl.edu/phila14.jpg")</f>
        <v>https://nematode.unl.edu/phila14.jpg</v>
      </c>
      <c r="D8456" t="s">
        <v>43</v>
      </c>
      <c r="G8456" t="s">
        <v>51</v>
      </c>
      <c r="J8456" t="s">
        <v>20</v>
      </c>
      <c r="M8456" t="s">
        <v>10873</v>
      </c>
      <c r="N8456" t="s">
        <v>10873</v>
      </c>
      <c r="O8456" t="s">
        <v>23</v>
      </c>
      <c r="P8456" t="s">
        <v>24</v>
      </c>
      <c r="Q8456" t="s">
        <v>69</v>
      </c>
      <c r="R8456" t="s">
        <v>10874</v>
      </c>
    </row>
    <row r="8457" spans="1:18" x14ac:dyDescent="0.25">
      <c r="A8457" t="s">
        <v>18543</v>
      </c>
      <c r="B8457" t="s">
        <v>10880</v>
      </c>
      <c r="C8457" t="str">
        <f>HYPERLINK("https://nematode.unl.edu/phila15.jpg")</f>
        <v>https://nematode.unl.edu/phila15.jpg</v>
      </c>
      <c r="D8457" t="s">
        <v>43</v>
      </c>
      <c r="G8457" t="s">
        <v>51</v>
      </c>
      <c r="J8457" t="s">
        <v>20</v>
      </c>
      <c r="L8457" t="s">
        <v>85</v>
      </c>
      <c r="M8457" t="s">
        <v>10873</v>
      </c>
      <c r="N8457" t="s">
        <v>10873</v>
      </c>
      <c r="O8457" t="s">
        <v>23</v>
      </c>
      <c r="P8457" t="s">
        <v>24</v>
      </c>
      <c r="Q8457" t="s">
        <v>69</v>
      </c>
      <c r="R8457" t="s">
        <v>10874</v>
      </c>
    </row>
    <row r="8458" spans="1:18" x14ac:dyDescent="0.25">
      <c r="A8458" t="s">
        <v>18534</v>
      </c>
      <c r="B8458" t="s">
        <v>10881</v>
      </c>
      <c r="C8458" t="str">
        <f>HYPERLINK("https://nematode.unl.edu/phila16.jpg")</f>
        <v>https://nematode.unl.edu/phila16.jpg</v>
      </c>
      <c r="D8458" t="s">
        <v>43</v>
      </c>
      <c r="G8458" t="s">
        <v>28</v>
      </c>
      <c r="J8458" t="s">
        <v>20</v>
      </c>
      <c r="L8458" t="s">
        <v>35</v>
      </c>
      <c r="M8458" t="s">
        <v>10873</v>
      </c>
      <c r="N8458" t="s">
        <v>10873</v>
      </c>
      <c r="O8458" t="s">
        <v>23</v>
      </c>
      <c r="P8458" t="s">
        <v>24</v>
      </c>
      <c r="Q8458" t="s">
        <v>69</v>
      </c>
      <c r="R8458" t="s">
        <v>10874</v>
      </c>
    </row>
    <row r="8459" spans="1:18" x14ac:dyDescent="0.25">
      <c r="A8459" t="s">
        <v>18535</v>
      </c>
      <c r="B8459" t="s">
        <v>10882</v>
      </c>
      <c r="C8459" t="str">
        <f>HYPERLINK("https://nematode.unl.edu/phila17.jpg")</f>
        <v>https://nematode.unl.edu/phila17.jpg</v>
      </c>
      <c r="D8459" t="s">
        <v>43</v>
      </c>
      <c r="G8459" t="s">
        <v>28</v>
      </c>
      <c r="I8459" t="s">
        <v>19</v>
      </c>
      <c r="J8459" t="s">
        <v>20</v>
      </c>
      <c r="L8459" t="s">
        <v>206</v>
      </c>
      <c r="M8459" t="s">
        <v>10873</v>
      </c>
      <c r="N8459" t="s">
        <v>10873</v>
      </c>
      <c r="O8459" t="s">
        <v>23</v>
      </c>
      <c r="P8459" t="s">
        <v>24</v>
      </c>
      <c r="Q8459" t="s">
        <v>69</v>
      </c>
      <c r="R8459" t="s">
        <v>10874</v>
      </c>
    </row>
    <row r="8460" spans="1:18" x14ac:dyDescent="0.25">
      <c r="A8460" t="s">
        <v>18520</v>
      </c>
      <c r="B8460" t="s">
        <v>10883</v>
      </c>
      <c r="C8460" t="str">
        <f>HYPERLINK("https://nematode.unl.edu/phila18.jpg")</f>
        <v>https://nematode.unl.edu/phila18.jpg</v>
      </c>
      <c r="D8460" t="s">
        <v>16</v>
      </c>
      <c r="G8460" t="s">
        <v>34</v>
      </c>
      <c r="H8460" t="s">
        <v>18</v>
      </c>
      <c r="I8460" t="s">
        <v>19</v>
      </c>
      <c r="J8460" t="s">
        <v>20</v>
      </c>
      <c r="M8460" t="s">
        <v>10873</v>
      </c>
      <c r="N8460" t="s">
        <v>10873</v>
      </c>
      <c r="O8460" t="s">
        <v>23</v>
      </c>
      <c r="P8460" t="s">
        <v>24</v>
      </c>
      <c r="Q8460" t="s">
        <v>69</v>
      </c>
      <c r="R8460" t="s">
        <v>10874</v>
      </c>
    </row>
    <row r="8461" spans="1:18" x14ac:dyDescent="0.25">
      <c r="A8461" t="s">
        <v>18521</v>
      </c>
      <c r="B8461" t="s">
        <v>10884</v>
      </c>
      <c r="C8461" t="str">
        <f>HYPERLINK("https://nematode.unl.edu/phila19.jpg")</f>
        <v>https://nematode.unl.edu/phila19.jpg</v>
      </c>
      <c r="D8461" t="s">
        <v>16</v>
      </c>
      <c r="G8461" t="s">
        <v>34</v>
      </c>
      <c r="H8461" t="s">
        <v>18</v>
      </c>
      <c r="I8461" t="s">
        <v>19</v>
      </c>
      <c r="J8461" t="s">
        <v>20</v>
      </c>
      <c r="L8461" t="s">
        <v>85</v>
      </c>
      <c r="M8461" t="s">
        <v>10873</v>
      </c>
      <c r="N8461" t="s">
        <v>10873</v>
      </c>
      <c r="O8461" t="s">
        <v>23</v>
      </c>
      <c r="P8461" t="s">
        <v>24</v>
      </c>
      <c r="Q8461" t="s">
        <v>69</v>
      </c>
      <c r="R8461" t="s">
        <v>10874</v>
      </c>
    </row>
    <row r="8462" spans="1:18" x14ac:dyDescent="0.25">
      <c r="A8462" t="s">
        <v>18522</v>
      </c>
      <c r="B8462" t="s">
        <v>10885</v>
      </c>
      <c r="C8462" t="str">
        <f>HYPERLINK("https://nematode.unl.edu/phila2.jpg")</f>
        <v>https://nematode.unl.edu/phila2.jpg</v>
      </c>
      <c r="D8462" t="s">
        <v>77</v>
      </c>
      <c r="G8462" t="s">
        <v>34</v>
      </c>
      <c r="H8462" t="s">
        <v>18</v>
      </c>
      <c r="I8462" t="s">
        <v>41</v>
      </c>
      <c r="J8462" t="s">
        <v>20</v>
      </c>
      <c r="M8462" t="s">
        <v>10873</v>
      </c>
      <c r="N8462" t="s">
        <v>10873</v>
      </c>
      <c r="O8462" t="s">
        <v>23</v>
      </c>
      <c r="P8462" t="s">
        <v>24</v>
      </c>
      <c r="Q8462" t="s">
        <v>69</v>
      </c>
      <c r="R8462" t="s">
        <v>10874</v>
      </c>
    </row>
    <row r="8463" spans="1:18" x14ac:dyDescent="0.25">
      <c r="A8463" t="s">
        <v>18527</v>
      </c>
      <c r="B8463" t="s">
        <v>10886</v>
      </c>
      <c r="C8463" t="str">
        <f>HYPERLINK("https://nematode.unl.edu/phila20.jpg")</f>
        <v>https://nematode.unl.edu/phila20.jpg</v>
      </c>
      <c r="D8463" t="s">
        <v>43</v>
      </c>
      <c r="G8463" t="s">
        <v>44</v>
      </c>
      <c r="I8463" t="s">
        <v>91</v>
      </c>
      <c r="J8463" t="s">
        <v>20</v>
      </c>
      <c r="L8463" t="s">
        <v>752</v>
      </c>
      <c r="M8463" t="s">
        <v>10873</v>
      </c>
      <c r="N8463" t="s">
        <v>10873</v>
      </c>
      <c r="O8463" t="s">
        <v>23</v>
      </c>
      <c r="P8463" t="s">
        <v>24</v>
      </c>
      <c r="Q8463" t="s">
        <v>69</v>
      </c>
      <c r="R8463" t="s">
        <v>10874</v>
      </c>
    </row>
    <row r="8464" spans="1:18" x14ac:dyDescent="0.25">
      <c r="A8464" t="s">
        <v>18515</v>
      </c>
      <c r="B8464" t="s">
        <v>10887</v>
      </c>
      <c r="C8464" t="str">
        <f>HYPERLINK("https://nematode.unl.edu/phila21.jpg")</f>
        <v>https://nematode.unl.edu/phila21.jpg</v>
      </c>
      <c r="D8464" t="s">
        <v>43</v>
      </c>
      <c r="G8464" t="s">
        <v>96</v>
      </c>
      <c r="H8464" t="s">
        <v>18</v>
      </c>
      <c r="I8464" t="s">
        <v>19</v>
      </c>
      <c r="J8464" t="s">
        <v>20</v>
      </c>
      <c r="L8464" t="s">
        <v>752</v>
      </c>
      <c r="M8464" t="s">
        <v>10873</v>
      </c>
      <c r="N8464" t="s">
        <v>10873</v>
      </c>
      <c r="O8464" t="s">
        <v>23</v>
      </c>
      <c r="P8464" t="s">
        <v>24</v>
      </c>
      <c r="Q8464" t="s">
        <v>69</v>
      </c>
      <c r="R8464" t="s">
        <v>10874</v>
      </c>
    </row>
    <row r="8465" spans="1:18" x14ac:dyDescent="0.25">
      <c r="A8465" t="s">
        <v>18544</v>
      </c>
      <c r="B8465" t="s">
        <v>10888</v>
      </c>
      <c r="C8465" t="str">
        <f>HYPERLINK("https://nematode.unl.edu/phila22.jpg")</f>
        <v>https://nematode.unl.edu/phila22.jpg</v>
      </c>
      <c r="D8465" t="s">
        <v>43</v>
      </c>
      <c r="G8465" t="s">
        <v>51</v>
      </c>
      <c r="J8465" t="s">
        <v>20</v>
      </c>
      <c r="L8465" t="s">
        <v>752</v>
      </c>
      <c r="M8465" t="s">
        <v>10873</v>
      </c>
      <c r="N8465" t="s">
        <v>10873</v>
      </c>
      <c r="O8465" t="s">
        <v>23</v>
      </c>
      <c r="P8465" t="s">
        <v>24</v>
      </c>
      <c r="Q8465" t="s">
        <v>69</v>
      </c>
      <c r="R8465" t="s">
        <v>10874</v>
      </c>
    </row>
    <row r="8466" spans="1:18" x14ac:dyDescent="0.25">
      <c r="A8466" t="s">
        <v>18536</v>
      </c>
      <c r="B8466" t="s">
        <v>10889</v>
      </c>
      <c r="C8466" t="str">
        <f>HYPERLINK("https://nematode.unl.edu/phila23.jpg")</f>
        <v>https://nematode.unl.edu/phila23.jpg</v>
      </c>
      <c r="D8466" t="s">
        <v>43</v>
      </c>
      <c r="G8466" t="s">
        <v>28</v>
      </c>
      <c r="J8466" t="s">
        <v>20</v>
      </c>
      <c r="L8466" t="s">
        <v>752</v>
      </c>
      <c r="M8466" t="s">
        <v>10873</v>
      </c>
      <c r="N8466" t="s">
        <v>10873</v>
      </c>
      <c r="O8466" t="s">
        <v>23</v>
      </c>
      <c r="P8466" t="s">
        <v>24</v>
      </c>
      <c r="Q8466" t="s">
        <v>69</v>
      </c>
      <c r="R8466" t="s">
        <v>10874</v>
      </c>
    </row>
    <row r="8467" spans="1:18" x14ac:dyDescent="0.25">
      <c r="A8467" t="s">
        <v>18516</v>
      </c>
      <c r="B8467" t="s">
        <v>10890</v>
      </c>
      <c r="C8467" t="str">
        <f>HYPERLINK("https://nematode.unl.edu/phila3.jpg")</f>
        <v>https://nematode.unl.edu/phila3.jpg</v>
      </c>
      <c r="D8467" t="s">
        <v>77</v>
      </c>
      <c r="G8467" t="s">
        <v>96</v>
      </c>
      <c r="H8467" t="s">
        <v>18</v>
      </c>
      <c r="I8467" t="s">
        <v>19</v>
      </c>
      <c r="J8467" t="s">
        <v>20</v>
      </c>
      <c r="L8467" t="s">
        <v>29</v>
      </c>
      <c r="M8467" t="s">
        <v>10873</v>
      </c>
      <c r="N8467" t="s">
        <v>10873</v>
      </c>
      <c r="O8467" t="s">
        <v>23</v>
      </c>
      <c r="P8467" t="s">
        <v>24</v>
      </c>
      <c r="Q8467" t="s">
        <v>69</v>
      </c>
      <c r="R8467" t="s">
        <v>10874</v>
      </c>
    </row>
    <row r="8468" spans="1:18" x14ac:dyDescent="0.25">
      <c r="A8468" t="s">
        <v>18513</v>
      </c>
      <c r="B8468" t="s">
        <v>10891</v>
      </c>
      <c r="C8468" t="str">
        <f>HYPERLINK("https://nematode.unl.edu/phila4.jpg")</f>
        <v>https://nematode.unl.edu/phila4.jpg</v>
      </c>
      <c r="D8468" t="s">
        <v>77</v>
      </c>
      <c r="G8468" t="s">
        <v>386</v>
      </c>
      <c r="H8468" t="s">
        <v>18</v>
      </c>
      <c r="I8468" t="s">
        <v>41</v>
      </c>
      <c r="J8468" t="s">
        <v>20</v>
      </c>
      <c r="L8468" t="s">
        <v>29</v>
      </c>
      <c r="M8468" t="s">
        <v>10873</v>
      </c>
      <c r="N8468" t="s">
        <v>10873</v>
      </c>
      <c r="O8468" t="s">
        <v>23</v>
      </c>
      <c r="P8468" t="s">
        <v>24</v>
      </c>
      <c r="Q8468" t="s">
        <v>69</v>
      </c>
      <c r="R8468" t="s">
        <v>10874</v>
      </c>
    </row>
    <row r="8469" spans="1:18" x14ac:dyDescent="0.25">
      <c r="A8469" t="s">
        <v>18537</v>
      </c>
      <c r="B8469" t="s">
        <v>10892</v>
      </c>
      <c r="C8469" t="str">
        <f>HYPERLINK("https://nematode.unl.edu/phila5.jpg")</f>
        <v>https://nematode.unl.edu/phila5.jpg</v>
      </c>
      <c r="D8469" t="s">
        <v>77</v>
      </c>
      <c r="G8469" t="s">
        <v>28</v>
      </c>
      <c r="I8469" t="s">
        <v>41</v>
      </c>
      <c r="J8469" t="s">
        <v>20</v>
      </c>
      <c r="L8469" t="s">
        <v>141</v>
      </c>
      <c r="M8469" t="s">
        <v>10873</v>
      </c>
      <c r="N8469" t="s">
        <v>10873</v>
      </c>
      <c r="O8469" t="s">
        <v>23</v>
      </c>
      <c r="P8469" t="s">
        <v>24</v>
      </c>
      <c r="Q8469" t="s">
        <v>69</v>
      </c>
      <c r="R8469" t="s">
        <v>10874</v>
      </c>
    </row>
    <row r="8470" spans="1:18" x14ac:dyDescent="0.25">
      <c r="A8470" t="s">
        <v>18523</v>
      </c>
      <c r="B8470" t="s">
        <v>10893</v>
      </c>
      <c r="C8470" t="str">
        <f>HYPERLINK("https://nematode.unl.edu/phila6.jpg")</f>
        <v>https://nematode.unl.edu/phila6.jpg</v>
      </c>
      <c r="D8470" t="s">
        <v>77</v>
      </c>
      <c r="G8470" t="s">
        <v>34</v>
      </c>
      <c r="H8470" t="s">
        <v>18</v>
      </c>
      <c r="I8470" t="s">
        <v>41</v>
      </c>
      <c r="J8470" t="s">
        <v>20</v>
      </c>
      <c r="L8470" t="s">
        <v>141</v>
      </c>
      <c r="M8470" t="s">
        <v>10873</v>
      </c>
      <c r="N8470" t="s">
        <v>10873</v>
      </c>
      <c r="O8470" t="s">
        <v>23</v>
      </c>
      <c r="P8470" t="s">
        <v>24</v>
      </c>
      <c r="Q8470" t="s">
        <v>69</v>
      </c>
      <c r="R8470" t="s">
        <v>10874</v>
      </c>
    </row>
    <row r="8471" spans="1:18" x14ac:dyDescent="0.25">
      <c r="A8471" t="s">
        <v>18529</v>
      </c>
      <c r="B8471" t="s">
        <v>10894</v>
      </c>
      <c r="C8471" t="str">
        <f>HYPERLINK("https://nematode.unl.edu/phila7.jpg")</f>
        <v>https://nematode.unl.edu/phila7.jpg</v>
      </c>
      <c r="D8471" t="s">
        <v>77</v>
      </c>
      <c r="G8471" t="s">
        <v>1906</v>
      </c>
      <c r="I8471" t="s">
        <v>41</v>
      </c>
      <c r="J8471" t="s">
        <v>20</v>
      </c>
      <c r="L8471" t="s">
        <v>141</v>
      </c>
      <c r="M8471" t="s">
        <v>10873</v>
      </c>
      <c r="N8471" t="s">
        <v>10873</v>
      </c>
      <c r="O8471" t="s">
        <v>23</v>
      </c>
      <c r="P8471" t="s">
        <v>24</v>
      </c>
      <c r="Q8471" t="s">
        <v>69</v>
      </c>
      <c r="R8471" t="s">
        <v>10874</v>
      </c>
    </row>
    <row r="8472" spans="1:18" x14ac:dyDescent="0.25">
      <c r="A8472" t="s">
        <v>18532</v>
      </c>
      <c r="B8472" t="s">
        <v>10895</v>
      </c>
      <c r="C8472" t="str">
        <f>HYPERLINK("https://nematode.unl.edu/phila8.jpg")</f>
        <v>https://nematode.unl.edu/phila8.jpg</v>
      </c>
      <c r="D8472" t="s">
        <v>77</v>
      </c>
      <c r="G8472" t="s">
        <v>112</v>
      </c>
      <c r="I8472" t="s">
        <v>41</v>
      </c>
      <c r="J8472" t="s">
        <v>20</v>
      </c>
      <c r="L8472" t="s">
        <v>141</v>
      </c>
      <c r="M8472" t="s">
        <v>10873</v>
      </c>
      <c r="N8472" t="s">
        <v>10873</v>
      </c>
      <c r="O8472" t="s">
        <v>23</v>
      </c>
      <c r="P8472" t="s">
        <v>24</v>
      </c>
      <c r="Q8472" t="s">
        <v>69</v>
      </c>
      <c r="R8472" t="s">
        <v>10874</v>
      </c>
    </row>
    <row r="8473" spans="1:18" x14ac:dyDescent="0.25">
      <c r="A8473" t="s">
        <v>18533</v>
      </c>
      <c r="B8473" t="s">
        <v>10896</v>
      </c>
      <c r="C8473" t="str">
        <f>HYPERLINK("https://nematode.unl.edu/phila9.jpg")</f>
        <v>https://nematode.unl.edu/phila9.jpg</v>
      </c>
      <c r="D8473" t="s">
        <v>77</v>
      </c>
      <c r="G8473" t="s">
        <v>112</v>
      </c>
      <c r="J8473" t="s">
        <v>20</v>
      </c>
      <c r="M8473" t="s">
        <v>10873</v>
      </c>
      <c r="N8473" t="s">
        <v>10873</v>
      </c>
      <c r="O8473" t="s">
        <v>23</v>
      </c>
      <c r="P8473" t="s">
        <v>24</v>
      </c>
      <c r="Q8473" t="s">
        <v>69</v>
      </c>
      <c r="R8473" t="s">
        <v>10874</v>
      </c>
    </row>
    <row r="8474" spans="1:18" x14ac:dyDescent="0.25">
      <c r="A8474" t="s">
        <v>18530</v>
      </c>
      <c r="B8474" t="s">
        <v>10897</v>
      </c>
      <c r="C8474" t="str">
        <f>HYPERLINK("https://nematode.unl.edu/philacmp.jpg")</f>
        <v>https://nematode.unl.edu/philacmp.jpg</v>
      </c>
      <c r="G8474" t="s">
        <v>108</v>
      </c>
      <c r="M8474" t="s">
        <v>10873</v>
      </c>
      <c r="N8474" t="s">
        <v>10873</v>
      </c>
      <c r="O8474" t="s">
        <v>23</v>
      </c>
      <c r="P8474" t="s">
        <v>24</v>
      </c>
      <c r="Q8474" t="s">
        <v>69</v>
      </c>
      <c r="R8474" t="s">
        <v>10874</v>
      </c>
    </row>
    <row r="8475" spans="1:18" x14ac:dyDescent="0.25">
      <c r="A8475" t="s">
        <v>18538</v>
      </c>
      <c r="B8475" t="s">
        <v>10898</v>
      </c>
      <c r="C8475" t="str">
        <f>HYPERLINK("https://nematode.unl.edu/philar1.jpg")</f>
        <v>https://nematode.unl.edu/philar1.jpg</v>
      </c>
      <c r="G8475" t="s">
        <v>28</v>
      </c>
      <c r="J8475" t="s">
        <v>10899</v>
      </c>
      <c r="K8475" t="s">
        <v>22847</v>
      </c>
      <c r="L8475" t="s">
        <v>10900</v>
      </c>
      <c r="M8475" t="s">
        <v>10873</v>
      </c>
      <c r="N8475" t="s">
        <v>10873</v>
      </c>
      <c r="O8475" t="s">
        <v>23</v>
      </c>
      <c r="P8475" t="s">
        <v>24</v>
      </c>
      <c r="Q8475" t="s">
        <v>69</v>
      </c>
      <c r="R8475" t="s">
        <v>10874</v>
      </c>
    </row>
    <row r="8476" spans="1:18" x14ac:dyDescent="0.25">
      <c r="A8476" t="s">
        <v>18555</v>
      </c>
      <c r="B8476" t="s">
        <v>10910</v>
      </c>
      <c r="C8476" t="str">
        <f>HYPERLINK("https://nematode.unl.edu/pint1.jpg")</f>
        <v>https://nematode.unl.edu/pint1.jpg</v>
      </c>
      <c r="D8476" t="s">
        <v>43</v>
      </c>
      <c r="G8476" t="s">
        <v>44</v>
      </c>
      <c r="I8476" t="s">
        <v>45</v>
      </c>
      <c r="J8476" t="s">
        <v>20</v>
      </c>
      <c r="L8476" t="s">
        <v>752</v>
      </c>
      <c r="M8476" t="s">
        <v>10911</v>
      </c>
      <c r="N8476" t="s">
        <v>10911</v>
      </c>
      <c r="O8476" t="s">
        <v>23</v>
      </c>
      <c r="P8476" t="s">
        <v>24</v>
      </c>
      <c r="Q8476" t="s">
        <v>69</v>
      </c>
      <c r="R8476" t="s">
        <v>10874</v>
      </c>
    </row>
    <row r="8477" spans="1:18" x14ac:dyDescent="0.25">
      <c r="A8477" t="s">
        <v>18547</v>
      </c>
      <c r="B8477" t="s">
        <v>10912</v>
      </c>
      <c r="C8477" t="str">
        <f>HYPERLINK("https://nematode.unl.edu/pint2.jpg")</f>
        <v>https://nematode.unl.edu/pint2.jpg</v>
      </c>
      <c r="D8477" t="s">
        <v>43</v>
      </c>
      <c r="G8477" t="s">
        <v>34</v>
      </c>
      <c r="H8477" t="s">
        <v>18</v>
      </c>
      <c r="L8477" t="s">
        <v>752</v>
      </c>
      <c r="M8477" t="s">
        <v>10911</v>
      </c>
      <c r="N8477" t="s">
        <v>10911</v>
      </c>
      <c r="O8477" t="s">
        <v>23</v>
      </c>
      <c r="P8477" t="s">
        <v>24</v>
      </c>
      <c r="Q8477" t="s">
        <v>69</v>
      </c>
      <c r="R8477" t="s">
        <v>10874</v>
      </c>
    </row>
    <row r="8478" spans="1:18" x14ac:dyDescent="0.25">
      <c r="A8478" t="s">
        <v>18548</v>
      </c>
      <c r="B8478" t="s">
        <v>10913</v>
      </c>
      <c r="C8478" t="str">
        <f>HYPERLINK("https://nematode.unl.edu/pint3.jpg")</f>
        <v>https://nematode.unl.edu/pint3.jpg</v>
      </c>
      <c r="D8478" t="s">
        <v>43</v>
      </c>
      <c r="G8478" t="s">
        <v>34</v>
      </c>
      <c r="H8478" t="s">
        <v>18</v>
      </c>
      <c r="I8478" t="s">
        <v>19</v>
      </c>
      <c r="J8478" t="s">
        <v>20</v>
      </c>
      <c r="L8478" t="s">
        <v>752</v>
      </c>
      <c r="M8478" t="s">
        <v>10911</v>
      </c>
      <c r="N8478" t="s">
        <v>10911</v>
      </c>
      <c r="O8478" t="s">
        <v>23</v>
      </c>
      <c r="P8478" t="s">
        <v>24</v>
      </c>
      <c r="Q8478" t="s">
        <v>69</v>
      </c>
      <c r="R8478" t="s">
        <v>10874</v>
      </c>
    </row>
    <row r="8479" spans="1:18" x14ac:dyDescent="0.25">
      <c r="A8479" t="s">
        <v>18564</v>
      </c>
      <c r="B8479" t="s">
        <v>10914</v>
      </c>
      <c r="C8479" t="str">
        <f>HYPERLINK("https://nematode.unl.edu/pint4.jpg")</f>
        <v>https://nematode.unl.edu/pint4.jpg</v>
      </c>
      <c r="D8479" t="s">
        <v>43</v>
      </c>
      <c r="G8479" t="s">
        <v>51</v>
      </c>
      <c r="I8479" t="s">
        <v>19</v>
      </c>
      <c r="J8479" t="s">
        <v>20</v>
      </c>
      <c r="L8479" t="s">
        <v>752</v>
      </c>
      <c r="M8479" t="s">
        <v>10911</v>
      </c>
      <c r="N8479" t="s">
        <v>10911</v>
      </c>
      <c r="O8479" t="s">
        <v>23</v>
      </c>
      <c r="P8479" t="s">
        <v>24</v>
      </c>
      <c r="Q8479" t="s">
        <v>69</v>
      </c>
      <c r="R8479" t="s">
        <v>10874</v>
      </c>
    </row>
    <row r="8480" spans="1:18" x14ac:dyDescent="0.25">
      <c r="A8480" t="s">
        <v>18559</v>
      </c>
      <c r="B8480" t="s">
        <v>10915</v>
      </c>
      <c r="C8480" t="str">
        <f>HYPERLINK("https://nematode.unl.edu/pint5.jpg")</f>
        <v>https://nematode.unl.edu/pint5.jpg</v>
      </c>
      <c r="D8480" t="s">
        <v>43</v>
      </c>
      <c r="G8480" t="s">
        <v>28</v>
      </c>
      <c r="J8480" t="s">
        <v>20</v>
      </c>
      <c r="L8480" t="s">
        <v>752</v>
      </c>
      <c r="M8480" t="s">
        <v>10911</v>
      </c>
      <c r="N8480" t="s">
        <v>10911</v>
      </c>
      <c r="O8480" t="s">
        <v>23</v>
      </c>
      <c r="P8480" t="s">
        <v>24</v>
      </c>
      <c r="Q8480" t="s">
        <v>69</v>
      </c>
      <c r="R8480" t="s">
        <v>10874</v>
      </c>
    </row>
    <row r="8481" spans="1:18" x14ac:dyDescent="0.25">
      <c r="A8481" t="s">
        <v>18549</v>
      </c>
      <c r="B8481" t="s">
        <v>10916</v>
      </c>
      <c r="C8481" t="str">
        <f>HYPERLINK("https://nematode.unl.edu/pint6.jpg")</f>
        <v>https://nematode.unl.edu/pint6.jpg</v>
      </c>
      <c r="D8481" t="s">
        <v>43</v>
      </c>
      <c r="G8481" t="s">
        <v>34</v>
      </c>
      <c r="H8481" t="s">
        <v>18</v>
      </c>
      <c r="J8481" t="s">
        <v>20</v>
      </c>
      <c r="L8481" t="s">
        <v>752</v>
      </c>
      <c r="M8481" t="s">
        <v>10911</v>
      </c>
      <c r="N8481" t="s">
        <v>10911</v>
      </c>
      <c r="O8481" t="s">
        <v>23</v>
      </c>
      <c r="P8481" t="s">
        <v>24</v>
      </c>
      <c r="Q8481" t="s">
        <v>69</v>
      </c>
      <c r="R8481" t="s">
        <v>10874</v>
      </c>
    </row>
    <row r="8482" spans="1:18" x14ac:dyDescent="0.25">
      <c r="A8482" t="s">
        <v>18550</v>
      </c>
      <c r="B8482" t="s">
        <v>10917</v>
      </c>
      <c r="C8482" t="str">
        <f>HYPERLINK("https://nematode.unl.edu/pint7.jpg")</f>
        <v>https://nematode.unl.edu/pint7.jpg</v>
      </c>
      <c r="G8482" t="s">
        <v>34</v>
      </c>
      <c r="H8482" t="s">
        <v>18</v>
      </c>
      <c r="J8482" t="s">
        <v>20</v>
      </c>
      <c r="L8482" t="s">
        <v>752</v>
      </c>
      <c r="M8482" t="s">
        <v>10911</v>
      </c>
      <c r="N8482" t="s">
        <v>10911</v>
      </c>
      <c r="O8482" t="s">
        <v>23</v>
      </c>
      <c r="P8482" t="s">
        <v>24</v>
      </c>
      <c r="Q8482" t="s">
        <v>69</v>
      </c>
      <c r="R8482" t="s">
        <v>10874</v>
      </c>
    </row>
    <row r="8483" spans="1:18" x14ac:dyDescent="0.25">
      <c r="A8483" t="s">
        <v>18560</v>
      </c>
      <c r="B8483" t="s">
        <v>10918</v>
      </c>
      <c r="C8483" t="str">
        <f>HYPERLINK("https://nematode.unl.edu/pint8.jpg")</f>
        <v>https://nematode.unl.edu/pint8.jpg</v>
      </c>
      <c r="D8483" t="s">
        <v>16</v>
      </c>
      <c r="G8483" t="s">
        <v>28</v>
      </c>
      <c r="I8483" t="s">
        <v>19</v>
      </c>
      <c r="J8483" t="s">
        <v>20</v>
      </c>
      <c r="L8483" t="s">
        <v>752</v>
      </c>
      <c r="M8483" t="s">
        <v>10911</v>
      </c>
      <c r="N8483" t="s">
        <v>10911</v>
      </c>
      <c r="O8483" t="s">
        <v>23</v>
      </c>
      <c r="P8483" t="s">
        <v>24</v>
      </c>
      <c r="Q8483" t="s">
        <v>69</v>
      </c>
      <c r="R8483" t="s">
        <v>10874</v>
      </c>
    </row>
    <row r="8484" spans="1:18" x14ac:dyDescent="0.25">
      <c r="A8484" t="s">
        <v>18551</v>
      </c>
      <c r="B8484" t="s">
        <v>10919</v>
      </c>
      <c r="C8484" t="str">
        <f>HYPERLINK("https://nematode.unl.edu/pint9.jpg")</f>
        <v>https://nematode.unl.edu/pint9.jpg</v>
      </c>
      <c r="D8484" t="s">
        <v>16</v>
      </c>
      <c r="G8484" t="s">
        <v>34</v>
      </c>
      <c r="H8484" t="s">
        <v>18</v>
      </c>
      <c r="I8484" t="s">
        <v>41</v>
      </c>
      <c r="J8484" t="s">
        <v>20</v>
      </c>
      <c r="L8484" t="s">
        <v>752</v>
      </c>
      <c r="M8484" t="s">
        <v>10911</v>
      </c>
      <c r="N8484" t="s">
        <v>10911</v>
      </c>
      <c r="O8484" t="s">
        <v>23</v>
      </c>
      <c r="P8484" t="s">
        <v>24</v>
      </c>
      <c r="Q8484" t="s">
        <v>69</v>
      </c>
      <c r="R8484" t="s">
        <v>10874</v>
      </c>
    </row>
    <row r="8485" spans="1:18" x14ac:dyDescent="0.25">
      <c r="A8485" t="s">
        <v>12393</v>
      </c>
      <c r="B8485" t="s">
        <v>9802</v>
      </c>
      <c r="C8485" t="str">
        <f>HYPERLINK("https://nematode.unl.edu/plac1.jpg")</f>
        <v>https://nematode.unl.edu/plac1.jpg</v>
      </c>
      <c r="D8485" t="s">
        <v>16</v>
      </c>
      <c r="G8485" t="s">
        <v>34</v>
      </c>
      <c r="H8485" t="s">
        <v>18</v>
      </c>
      <c r="J8485" t="s">
        <v>20</v>
      </c>
      <c r="L8485" t="s">
        <v>206</v>
      </c>
      <c r="M8485" t="s">
        <v>9803</v>
      </c>
      <c r="N8485" t="s">
        <v>9803</v>
      </c>
      <c r="O8485" t="s">
        <v>23</v>
      </c>
      <c r="P8485" t="s">
        <v>1649</v>
      </c>
      <c r="Q8485" t="s">
        <v>1650</v>
      </c>
      <c r="R8485" t="s">
        <v>1651</v>
      </c>
    </row>
    <row r="8486" spans="1:18" x14ac:dyDescent="0.25">
      <c r="A8486" t="s">
        <v>12394</v>
      </c>
      <c r="B8486" t="s">
        <v>9804</v>
      </c>
      <c r="C8486" t="str">
        <f>HYPERLINK("https://nematode.unl.edu/plac4.jpg")</f>
        <v>https://nematode.unl.edu/plac4.jpg</v>
      </c>
      <c r="D8486" t="s">
        <v>43</v>
      </c>
      <c r="G8486" t="s">
        <v>34</v>
      </c>
      <c r="H8486" t="s">
        <v>18</v>
      </c>
      <c r="J8486" t="s">
        <v>20</v>
      </c>
      <c r="L8486" t="s">
        <v>206</v>
      </c>
      <c r="M8486" t="s">
        <v>9803</v>
      </c>
      <c r="N8486" t="s">
        <v>9803</v>
      </c>
      <c r="O8486" t="s">
        <v>23</v>
      </c>
      <c r="P8486" t="s">
        <v>1649</v>
      </c>
      <c r="Q8486" t="s">
        <v>1650</v>
      </c>
      <c r="R8486" t="s">
        <v>1651</v>
      </c>
    </row>
    <row r="8487" spans="1:18" x14ac:dyDescent="0.25">
      <c r="A8487" t="s">
        <v>12429</v>
      </c>
      <c r="B8487" t="s">
        <v>9805</v>
      </c>
      <c r="C8487" t="str">
        <f>HYPERLINK("https://nematode.unl.edu/plac5.jpg")</f>
        <v>https://nematode.unl.edu/plac5.jpg</v>
      </c>
      <c r="D8487" t="s">
        <v>43</v>
      </c>
      <c r="G8487" t="s">
        <v>51</v>
      </c>
      <c r="I8487" t="s">
        <v>19</v>
      </c>
      <c r="J8487" t="s">
        <v>20</v>
      </c>
      <c r="M8487" t="s">
        <v>9803</v>
      </c>
      <c r="N8487" t="s">
        <v>9803</v>
      </c>
      <c r="O8487" t="s">
        <v>23</v>
      </c>
      <c r="P8487" t="s">
        <v>1649</v>
      </c>
      <c r="Q8487" t="s">
        <v>1650</v>
      </c>
      <c r="R8487" t="s">
        <v>1651</v>
      </c>
    </row>
    <row r="8488" spans="1:18" x14ac:dyDescent="0.25">
      <c r="A8488" t="s">
        <v>12421</v>
      </c>
      <c r="B8488" t="s">
        <v>9806</v>
      </c>
      <c r="C8488" t="str">
        <f>HYPERLINK("https://nematode.unl.edu/plac6.jpg")</f>
        <v>https://nematode.unl.edu/plac6.jpg</v>
      </c>
      <c r="D8488" t="s">
        <v>43</v>
      </c>
      <c r="G8488" t="s">
        <v>28</v>
      </c>
      <c r="I8488" t="s">
        <v>19</v>
      </c>
      <c r="J8488" t="s">
        <v>20</v>
      </c>
      <c r="L8488" t="s">
        <v>206</v>
      </c>
      <c r="M8488" t="s">
        <v>9803</v>
      </c>
      <c r="N8488" t="s">
        <v>9803</v>
      </c>
      <c r="O8488" t="s">
        <v>23</v>
      </c>
      <c r="P8488" t="s">
        <v>1649</v>
      </c>
      <c r="Q8488" t="s">
        <v>1650</v>
      </c>
      <c r="R8488" t="s">
        <v>1651</v>
      </c>
    </row>
    <row r="8489" spans="1:18" x14ac:dyDescent="0.25">
      <c r="A8489" t="s">
        <v>12417</v>
      </c>
      <c r="B8489" t="s">
        <v>9807</v>
      </c>
      <c r="C8489" t="str">
        <f>HYPERLINK("https://nematode.unl.edu/plac7.jpg")</f>
        <v>https://nematode.unl.edu/plac7.jpg</v>
      </c>
      <c r="D8489" t="s">
        <v>43</v>
      </c>
      <c r="G8489" t="s">
        <v>53</v>
      </c>
      <c r="I8489" t="s">
        <v>41</v>
      </c>
      <c r="M8489" t="s">
        <v>9803</v>
      </c>
      <c r="N8489" t="s">
        <v>9803</v>
      </c>
      <c r="O8489" t="s">
        <v>23</v>
      </c>
      <c r="P8489" t="s">
        <v>1649</v>
      </c>
      <c r="Q8489" t="s">
        <v>1650</v>
      </c>
      <c r="R8489" t="s">
        <v>1651</v>
      </c>
    </row>
    <row r="8490" spans="1:18" x14ac:dyDescent="0.25">
      <c r="A8490" t="s">
        <v>12422</v>
      </c>
      <c r="B8490" t="s">
        <v>9808</v>
      </c>
      <c r="C8490" t="str">
        <f>HYPERLINK("https://nematode.unl.edu/plac8.jpg")</f>
        <v>https://nematode.unl.edu/plac8.jpg</v>
      </c>
      <c r="D8490" t="s">
        <v>43</v>
      </c>
      <c r="G8490" t="s">
        <v>28</v>
      </c>
      <c r="I8490" t="s">
        <v>19</v>
      </c>
      <c r="M8490" t="s">
        <v>9803</v>
      </c>
      <c r="N8490" t="s">
        <v>9803</v>
      </c>
      <c r="O8490" t="s">
        <v>23</v>
      </c>
      <c r="P8490" t="s">
        <v>1649</v>
      </c>
      <c r="Q8490" t="s">
        <v>1650</v>
      </c>
      <c r="R8490" t="s">
        <v>1651</v>
      </c>
    </row>
    <row r="8491" spans="1:18" x14ac:dyDescent="0.25">
      <c r="A8491" t="s">
        <v>12430</v>
      </c>
      <c r="B8491" t="s">
        <v>9809</v>
      </c>
      <c r="C8491" t="str">
        <f>HYPERLINK("https://nematode.unl.edu/plac9.jpg")</f>
        <v>https://nematode.unl.edu/plac9.jpg</v>
      </c>
      <c r="D8491" t="s">
        <v>43</v>
      </c>
      <c r="G8491" t="s">
        <v>51</v>
      </c>
      <c r="I8491" t="s">
        <v>19</v>
      </c>
      <c r="J8491" t="s">
        <v>20</v>
      </c>
      <c r="M8491" t="s">
        <v>9803</v>
      </c>
      <c r="N8491" t="s">
        <v>9803</v>
      </c>
      <c r="O8491" t="s">
        <v>23</v>
      </c>
      <c r="P8491" t="s">
        <v>1649</v>
      </c>
      <c r="Q8491" t="s">
        <v>1650</v>
      </c>
      <c r="R8491" t="s">
        <v>1651</v>
      </c>
    </row>
    <row r="8492" spans="1:18" x14ac:dyDescent="0.25">
      <c r="A8492" t="s">
        <v>12434</v>
      </c>
      <c r="B8492" t="s">
        <v>9851</v>
      </c>
      <c r="C8492" t="str">
        <f>HYPERLINK("https://nematode.unl.edu/pland1.jpg")</f>
        <v>https://nematode.unl.edu/pland1.jpg</v>
      </c>
      <c r="D8492" t="s">
        <v>16</v>
      </c>
      <c r="G8492" t="s">
        <v>34</v>
      </c>
      <c r="H8492" t="s">
        <v>18</v>
      </c>
      <c r="J8492" t="s">
        <v>20</v>
      </c>
      <c r="M8492" t="s">
        <v>9847</v>
      </c>
      <c r="N8492" t="s">
        <v>9847</v>
      </c>
      <c r="O8492" t="s">
        <v>23</v>
      </c>
      <c r="P8492" t="s">
        <v>1649</v>
      </c>
      <c r="Q8492" t="s">
        <v>1650</v>
      </c>
      <c r="R8492" t="s">
        <v>1651</v>
      </c>
    </row>
    <row r="8493" spans="1:18" x14ac:dyDescent="0.25">
      <c r="A8493" t="s">
        <v>12443</v>
      </c>
      <c r="B8493" t="s">
        <v>9852</v>
      </c>
      <c r="C8493" t="str">
        <f>HYPERLINK("https://nematode.unl.edu/pland2.jpg")</f>
        <v>https://nematode.unl.edu/pland2.jpg</v>
      </c>
      <c r="G8493" t="s">
        <v>28</v>
      </c>
      <c r="J8493" t="s">
        <v>20</v>
      </c>
      <c r="L8493" t="s">
        <v>141</v>
      </c>
      <c r="M8493" t="s">
        <v>9847</v>
      </c>
      <c r="N8493" t="s">
        <v>9847</v>
      </c>
      <c r="O8493" t="s">
        <v>23</v>
      </c>
      <c r="P8493" t="s">
        <v>1649</v>
      </c>
      <c r="Q8493" t="s">
        <v>1650</v>
      </c>
      <c r="R8493" t="s">
        <v>1651</v>
      </c>
    </row>
    <row r="8494" spans="1:18" x14ac:dyDescent="0.25">
      <c r="A8494" t="s">
        <v>12440</v>
      </c>
      <c r="B8494" t="s">
        <v>9853</v>
      </c>
      <c r="C8494" t="str">
        <f>HYPERLINK("https://nematode.unl.edu/pland3.jpg")</f>
        <v>https://nematode.unl.edu/pland3.jpg</v>
      </c>
      <c r="D8494" t="s">
        <v>16</v>
      </c>
      <c r="G8494" t="s">
        <v>9854</v>
      </c>
      <c r="I8494" t="s">
        <v>529</v>
      </c>
      <c r="J8494" t="s">
        <v>20</v>
      </c>
      <c r="L8494" t="s">
        <v>5685</v>
      </c>
      <c r="M8494" t="s">
        <v>9847</v>
      </c>
      <c r="N8494" t="s">
        <v>9847</v>
      </c>
      <c r="O8494" t="s">
        <v>23</v>
      </c>
      <c r="P8494" t="s">
        <v>1649</v>
      </c>
      <c r="Q8494" t="s">
        <v>1650</v>
      </c>
      <c r="R8494" t="s">
        <v>1651</v>
      </c>
    </row>
    <row r="8495" spans="1:18" x14ac:dyDescent="0.25">
      <c r="A8495" t="s">
        <v>12435</v>
      </c>
      <c r="B8495" t="s">
        <v>9855</v>
      </c>
      <c r="C8495" t="str">
        <f>HYPERLINK("https://nematode.unl.edu/pland4.jpg")</f>
        <v>https://nematode.unl.edu/pland4.jpg</v>
      </c>
      <c r="D8495" t="s">
        <v>16</v>
      </c>
      <c r="G8495" t="s">
        <v>34</v>
      </c>
      <c r="H8495" t="s">
        <v>18</v>
      </c>
      <c r="J8495" t="s">
        <v>20</v>
      </c>
      <c r="L8495" t="s">
        <v>141</v>
      </c>
      <c r="M8495" t="s">
        <v>9847</v>
      </c>
      <c r="N8495" t="s">
        <v>9847</v>
      </c>
      <c r="O8495" t="s">
        <v>23</v>
      </c>
      <c r="P8495" t="s">
        <v>1649</v>
      </c>
      <c r="Q8495" t="s">
        <v>1650</v>
      </c>
      <c r="R8495" t="s">
        <v>1651</v>
      </c>
    </row>
    <row r="8496" spans="1:18" x14ac:dyDescent="0.25">
      <c r="A8496" t="s">
        <v>12441</v>
      </c>
      <c r="B8496" t="s">
        <v>9856</v>
      </c>
      <c r="C8496" t="str">
        <f>HYPERLINK("https://nematode.unl.edu/pland5.jpg")</f>
        <v>https://nematode.unl.edu/pland5.jpg</v>
      </c>
      <c r="D8496" t="s">
        <v>16</v>
      </c>
      <c r="G8496" t="s">
        <v>53</v>
      </c>
      <c r="J8496" t="s">
        <v>20</v>
      </c>
      <c r="L8496" t="s">
        <v>173</v>
      </c>
      <c r="M8496" t="s">
        <v>9847</v>
      </c>
      <c r="N8496" t="s">
        <v>9847</v>
      </c>
      <c r="O8496" t="s">
        <v>23</v>
      </c>
      <c r="P8496" t="s">
        <v>1649</v>
      </c>
      <c r="Q8496" t="s">
        <v>1650</v>
      </c>
      <c r="R8496" t="s">
        <v>1651</v>
      </c>
    </row>
    <row r="8497" spans="1:18" x14ac:dyDescent="0.25">
      <c r="A8497" t="s">
        <v>12436</v>
      </c>
      <c r="B8497" t="s">
        <v>9857</v>
      </c>
      <c r="C8497" t="str">
        <f>HYPERLINK("https://nematode.unl.edu/pland6.jpg")</f>
        <v>https://nematode.unl.edu/pland6.jpg</v>
      </c>
      <c r="D8497" t="s">
        <v>16</v>
      </c>
      <c r="G8497" t="s">
        <v>34</v>
      </c>
      <c r="H8497" t="s">
        <v>18</v>
      </c>
      <c r="J8497" t="s">
        <v>20</v>
      </c>
      <c r="L8497" t="s">
        <v>141</v>
      </c>
      <c r="M8497" t="s">
        <v>9847</v>
      </c>
      <c r="N8497" t="s">
        <v>9847</v>
      </c>
      <c r="O8497" t="s">
        <v>23</v>
      </c>
      <c r="P8497" t="s">
        <v>1649</v>
      </c>
      <c r="Q8497" t="s">
        <v>1650</v>
      </c>
      <c r="R8497" t="s">
        <v>1651</v>
      </c>
    </row>
    <row r="8498" spans="1:18" x14ac:dyDescent="0.25">
      <c r="A8498" t="s">
        <v>12437</v>
      </c>
      <c r="B8498" t="s">
        <v>9858</v>
      </c>
      <c r="C8498" t="str">
        <f>HYPERLINK("https://nematode.unl.edu/pland7.jpg")</f>
        <v>https://nematode.unl.edu/pland7.jpg</v>
      </c>
      <c r="D8498" t="s">
        <v>16</v>
      </c>
      <c r="G8498" t="s">
        <v>34</v>
      </c>
      <c r="H8498" t="s">
        <v>18</v>
      </c>
      <c r="J8498" t="s">
        <v>20</v>
      </c>
      <c r="L8498" t="s">
        <v>141</v>
      </c>
      <c r="M8498" t="s">
        <v>9847</v>
      </c>
      <c r="N8498" t="s">
        <v>9847</v>
      </c>
      <c r="O8498" t="s">
        <v>23</v>
      </c>
      <c r="P8498" t="s">
        <v>1649</v>
      </c>
      <c r="Q8498" t="s">
        <v>1650</v>
      </c>
      <c r="R8498" t="s">
        <v>1651</v>
      </c>
    </row>
    <row r="8499" spans="1:18" x14ac:dyDescent="0.25">
      <c r="A8499" t="s">
        <v>12444</v>
      </c>
      <c r="B8499" t="s">
        <v>9859</v>
      </c>
      <c r="C8499" t="str">
        <f>HYPERLINK("https://nematode.unl.edu/pland8.jpg")</f>
        <v>https://nematode.unl.edu/pland8.jpg</v>
      </c>
      <c r="D8499" t="s">
        <v>16</v>
      </c>
      <c r="G8499" t="s">
        <v>28</v>
      </c>
      <c r="J8499" t="s">
        <v>20</v>
      </c>
      <c r="L8499" t="s">
        <v>173</v>
      </c>
      <c r="M8499" t="s">
        <v>9847</v>
      </c>
      <c r="N8499" t="s">
        <v>9847</v>
      </c>
      <c r="O8499" t="s">
        <v>23</v>
      </c>
      <c r="P8499" t="s">
        <v>1649</v>
      </c>
      <c r="Q8499" t="s">
        <v>1650</v>
      </c>
      <c r="R8499" t="s">
        <v>1651</v>
      </c>
    </row>
    <row r="8500" spans="1:18" x14ac:dyDescent="0.25">
      <c r="A8500" t="s">
        <v>12438</v>
      </c>
      <c r="B8500" t="s">
        <v>9860</v>
      </c>
      <c r="C8500" t="str">
        <f>HYPERLINK("https://nematode.unl.edu/pland9.jpg")</f>
        <v>https://nematode.unl.edu/pland9.jpg</v>
      </c>
      <c r="D8500" t="s">
        <v>16</v>
      </c>
      <c r="G8500" t="s">
        <v>34</v>
      </c>
      <c r="H8500" t="s">
        <v>18</v>
      </c>
      <c r="J8500" t="s">
        <v>20</v>
      </c>
      <c r="L8500" t="s">
        <v>141</v>
      </c>
      <c r="M8500" t="s">
        <v>9847</v>
      </c>
      <c r="N8500" t="s">
        <v>9847</v>
      </c>
      <c r="O8500" t="s">
        <v>23</v>
      </c>
      <c r="P8500" t="s">
        <v>1649</v>
      </c>
      <c r="Q8500" t="s">
        <v>1650</v>
      </c>
      <c r="R8500" t="s">
        <v>1651</v>
      </c>
    </row>
    <row r="8501" spans="1:18" x14ac:dyDescent="0.25">
      <c r="A8501" t="s">
        <v>12446</v>
      </c>
      <c r="B8501" t="s">
        <v>9861</v>
      </c>
      <c r="C8501" t="str">
        <f>HYPERLINK("https://nematode.unl.edu/plannu1.jpg")</f>
        <v>https://nematode.unl.edu/plannu1.jpg</v>
      </c>
      <c r="D8501" t="s">
        <v>16</v>
      </c>
      <c r="G8501" t="s">
        <v>34</v>
      </c>
      <c r="H8501" t="s">
        <v>18</v>
      </c>
      <c r="I8501" t="s">
        <v>41</v>
      </c>
      <c r="L8501" t="s">
        <v>29</v>
      </c>
      <c r="M8501" t="s">
        <v>9862</v>
      </c>
      <c r="N8501" t="s">
        <v>9862</v>
      </c>
      <c r="O8501" t="s">
        <v>23</v>
      </c>
      <c r="P8501" t="s">
        <v>1649</v>
      </c>
      <c r="Q8501" t="s">
        <v>1650</v>
      </c>
      <c r="R8501" t="s">
        <v>1651</v>
      </c>
    </row>
    <row r="8502" spans="1:18" x14ac:dyDescent="0.25">
      <c r="A8502" t="s">
        <v>12447</v>
      </c>
      <c r="B8502" t="s">
        <v>9863</v>
      </c>
      <c r="C8502" t="str">
        <f>HYPERLINK("https://nematode.unl.edu/plannu2.jpg")</f>
        <v>https://nematode.unl.edu/plannu2.jpg</v>
      </c>
      <c r="D8502" t="s">
        <v>16</v>
      </c>
      <c r="G8502" t="s">
        <v>9854</v>
      </c>
      <c r="I8502" t="s">
        <v>529</v>
      </c>
      <c r="J8502" t="s">
        <v>20</v>
      </c>
      <c r="L8502" t="s">
        <v>183</v>
      </c>
      <c r="M8502" t="s">
        <v>9862</v>
      </c>
      <c r="N8502" t="s">
        <v>9862</v>
      </c>
      <c r="O8502" t="s">
        <v>23</v>
      </c>
      <c r="P8502" t="s">
        <v>1649</v>
      </c>
      <c r="Q8502" t="s">
        <v>1650</v>
      </c>
      <c r="R8502" t="s">
        <v>1651</v>
      </c>
    </row>
    <row r="8503" spans="1:18" x14ac:dyDescent="0.25">
      <c r="A8503" t="s">
        <v>12448</v>
      </c>
      <c r="B8503" t="s">
        <v>9864</v>
      </c>
      <c r="C8503" t="str">
        <f>HYPERLINK("https://nematode.unl.edu/plannu3.jpg")</f>
        <v>https://nematode.unl.edu/plannu3.jpg</v>
      </c>
      <c r="G8503" t="s">
        <v>53</v>
      </c>
      <c r="I8503" t="s">
        <v>41</v>
      </c>
      <c r="J8503" t="s">
        <v>20</v>
      </c>
      <c r="L8503" t="s">
        <v>29</v>
      </c>
      <c r="M8503" t="s">
        <v>9862</v>
      </c>
      <c r="N8503" t="s">
        <v>9862</v>
      </c>
      <c r="O8503" t="s">
        <v>23</v>
      </c>
      <c r="P8503" t="s">
        <v>1649</v>
      </c>
      <c r="Q8503" t="s">
        <v>1650</v>
      </c>
      <c r="R8503" t="s">
        <v>1651</v>
      </c>
    </row>
    <row r="8504" spans="1:18" x14ac:dyDescent="0.25">
      <c r="A8504" t="s">
        <v>12449</v>
      </c>
      <c r="B8504" t="s">
        <v>9865</v>
      </c>
      <c r="C8504" t="str">
        <f>HYPERLINK("https://nematode.unl.edu/plannu4.jpg")</f>
        <v>https://nematode.unl.edu/plannu4.jpg</v>
      </c>
      <c r="D8504" t="s">
        <v>16</v>
      </c>
      <c r="G8504" t="s">
        <v>28</v>
      </c>
      <c r="I8504" t="s">
        <v>41</v>
      </c>
      <c r="J8504" t="s">
        <v>20</v>
      </c>
      <c r="L8504" t="s">
        <v>183</v>
      </c>
      <c r="M8504" t="s">
        <v>9862</v>
      </c>
      <c r="N8504" t="s">
        <v>9862</v>
      </c>
      <c r="O8504" t="s">
        <v>23</v>
      </c>
      <c r="P8504" t="s">
        <v>1649</v>
      </c>
      <c r="Q8504" t="s">
        <v>1650</v>
      </c>
      <c r="R8504" t="s">
        <v>1651</v>
      </c>
    </row>
    <row r="8505" spans="1:18" x14ac:dyDescent="0.25">
      <c r="A8505" t="s">
        <v>12451</v>
      </c>
      <c r="B8505" t="s">
        <v>9866</v>
      </c>
      <c r="C8505" t="str">
        <f>HYPERLINK("https://nematode.unl.edu/plaqua1.jpg")</f>
        <v>https://nematode.unl.edu/plaqua1.jpg</v>
      </c>
      <c r="D8505" t="s">
        <v>43</v>
      </c>
      <c r="G8505" t="s">
        <v>34</v>
      </c>
      <c r="H8505" t="s">
        <v>18</v>
      </c>
      <c r="I8505" t="s">
        <v>19</v>
      </c>
      <c r="J8505" t="s">
        <v>20</v>
      </c>
      <c r="L8505" t="s">
        <v>141</v>
      </c>
      <c r="M8505" t="s">
        <v>9867</v>
      </c>
      <c r="N8505" t="s">
        <v>9867</v>
      </c>
      <c r="O8505" t="s">
        <v>23</v>
      </c>
      <c r="P8505" t="s">
        <v>1649</v>
      </c>
      <c r="Q8505" t="s">
        <v>1650</v>
      </c>
      <c r="R8505" t="s">
        <v>1651</v>
      </c>
    </row>
    <row r="8506" spans="1:18" x14ac:dyDescent="0.25">
      <c r="A8506" t="s">
        <v>12450</v>
      </c>
      <c r="B8506" t="s">
        <v>9868</v>
      </c>
      <c r="C8506" t="str">
        <f>HYPERLINK("https://nematode.unl.edu/plaqua2.jpg")</f>
        <v>https://nematode.unl.edu/plaqua2.jpg</v>
      </c>
      <c r="D8506" t="s">
        <v>43</v>
      </c>
      <c r="G8506" t="s">
        <v>386</v>
      </c>
      <c r="H8506" t="s">
        <v>18</v>
      </c>
      <c r="I8506" t="s">
        <v>516</v>
      </c>
      <c r="J8506" t="s">
        <v>20</v>
      </c>
      <c r="L8506" t="s">
        <v>141</v>
      </c>
      <c r="M8506" t="s">
        <v>9867</v>
      </c>
      <c r="N8506" t="s">
        <v>9867</v>
      </c>
      <c r="O8506" t="s">
        <v>23</v>
      </c>
      <c r="P8506" t="s">
        <v>1649</v>
      </c>
      <c r="Q8506" t="s">
        <v>1650</v>
      </c>
      <c r="R8506" t="s">
        <v>1651</v>
      </c>
    </row>
    <row r="8507" spans="1:18" x14ac:dyDescent="0.25">
      <c r="A8507" t="s">
        <v>12452</v>
      </c>
      <c r="B8507" t="s">
        <v>9869</v>
      </c>
      <c r="C8507" t="str">
        <f>HYPERLINK("https://nematode.unl.edu/plaqua3.jpg")</f>
        <v>https://nematode.unl.edu/plaqua3.jpg</v>
      </c>
      <c r="G8507" t="s">
        <v>34</v>
      </c>
      <c r="H8507" t="s">
        <v>18</v>
      </c>
      <c r="I8507" t="s">
        <v>19</v>
      </c>
      <c r="J8507" t="s">
        <v>20</v>
      </c>
      <c r="L8507" t="s">
        <v>141</v>
      </c>
      <c r="M8507" t="s">
        <v>9867</v>
      </c>
      <c r="N8507" t="s">
        <v>9867</v>
      </c>
      <c r="O8507" t="s">
        <v>23</v>
      </c>
      <c r="P8507" t="s">
        <v>1649</v>
      </c>
      <c r="Q8507" t="s">
        <v>1650</v>
      </c>
      <c r="R8507" t="s">
        <v>1651</v>
      </c>
    </row>
    <row r="8508" spans="1:18" x14ac:dyDescent="0.25">
      <c r="A8508" t="s">
        <v>12453</v>
      </c>
      <c r="B8508" t="s">
        <v>9870</v>
      </c>
      <c r="C8508" t="str">
        <f>HYPERLINK("https://nematode.unl.edu/plaqua4.jpg")</f>
        <v>https://nematode.unl.edu/plaqua4.jpg</v>
      </c>
      <c r="G8508" t="s">
        <v>28</v>
      </c>
      <c r="I8508" t="s">
        <v>19</v>
      </c>
      <c r="J8508" t="s">
        <v>20</v>
      </c>
      <c r="L8508" t="s">
        <v>1768</v>
      </c>
      <c r="M8508" t="s">
        <v>9867</v>
      </c>
      <c r="N8508" t="s">
        <v>9867</v>
      </c>
      <c r="O8508" t="s">
        <v>23</v>
      </c>
      <c r="P8508" t="s">
        <v>1649</v>
      </c>
      <c r="Q8508" t="s">
        <v>1650</v>
      </c>
      <c r="R8508" t="s">
        <v>1651</v>
      </c>
    </row>
    <row r="8509" spans="1:18" x14ac:dyDescent="0.25">
      <c r="A8509" t="s">
        <v>12552</v>
      </c>
      <c r="B8509" t="s">
        <v>9954</v>
      </c>
      <c r="C8509" t="str">
        <f>HYPERLINK("https://nematode.unl.edu/plariet1.jpg")</f>
        <v>https://nematode.unl.edu/plariet1.jpg</v>
      </c>
      <c r="G8509" t="s">
        <v>34</v>
      </c>
      <c r="H8509" t="s">
        <v>18</v>
      </c>
      <c r="I8509" t="s">
        <v>19</v>
      </c>
      <c r="J8509" t="s">
        <v>127</v>
      </c>
      <c r="L8509" t="s">
        <v>162</v>
      </c>
      <c r="M8509" t="s">
        <v>9955</v>
      </c>
      <c r="N8509" t="s">
        <v>9955</v>
      </c>
      <c r="O8509" t="s">
        <v>23</v>
      </c>
      <c r="P8509" t="s">
        <v>1649</v>
      </c>
      <c r="Q8509" t="s">
        <v>1650</v>
      </c>
      <c r="R8509" t="s">
        <v>1651</v>
      </c>
    </row>
    <row r="8510" spans="1:18" x14ac:dyDescent="0.25">
      <c r="A8510" t="s">
        <v>12568</v>
      </c>
      <c r="B8510" t="s">
        <v>9956</v>
      </c>
      <c r="C8510" t="str">
        <f>HYPERLINK("https://nematode.unl.edu/plariet2.jpg")</f>
        <v>https://nematode.unl.edu/plariet2.jpg</v>
      </c>
      <c r="D8510" t="s">
        <v>16</v>
      </c>
      <c r="G8510" t="s">
        <v>28</v>
      </c>
      <c r="I8510" t="s">
        <v>19</v>
      </c>
      <c r="J8510" t="s">
        <v>127</v>
      </c>
      <c r="L8510" t="s">
        <v>162</v>
      </c>
      <c r="M8510" t="s">
        <v>9955</v>
      </c>
      <c r="N8510" t="s">
        <v>9955</v>
      </c>
      <c r="O8510" t="s">
        <v>23</v>
      </c>
      <c r="P8510" t="s">
        <v>1649</v>
      </c>
      <c r="Q8510" t="s">
        <v>1650</v>
      </c>
      <c r="R8510" t="s">
        <v>1651</v>
      </c>
    </row>
    <row r="8511" spans="1:18" x14ac:dyDescent="0.25">
      <c r="A8511" t="s">
        <v>12460</v>
      </c>
      <c r="B8511" t="s">
        <v>9879</v>
      </c>
      <c r="C8511" t="str">
        <f>HYPERLINK("https://nematode.unl.edu/plarm1.jpg")</f>
        <v>https://nematode.unl.edu/plarm1.jpg</v>
      </c>
      <c r="D8511" t="s">
        <v>16</v>
      </c>
      <c r="G8511" t="s">
        <v>34</v>
      </c>
      <c r="H8511" t="s">
        <v>18</v>
      </c>
      <c r="I8511" t="s">
        <v>19</v>
      </c>
      <c r="J8511" t="s">
        <v>482</v>
      </c>
      <c r="M8511" t="s">
        <v>9872</v>
      </c>
      <c r="N8511" t="s">
        <v>9872</v>
      </c>
      <c r="O8511" t="s">
        <v>23</v>
      </c>
      <c r="P8511" t="s">
        <v>1649</v>
      </c>
      <c r="Q8511" t="s">
        <v>1650</v>
      </c>
      <c r="R8511" t="s">
        <v>1651</v>
      </c>
    </row>
    <row r="8512" spans="1:18" x14ac:dyDescent="0.25">
      <c r="A8512" t="s">
        <v>12465</v>
      </c>
      <c r="B8512" t="s">
        <v>9880</v>
      </c>
      <c r="C8512" t="str">
        <f>HYPERLINK("https://nematode.unl.edu/plarm2.jpg")</f>
        <v>https://nematode.unl.edu/plarm2.jpg</v>
      </c>
      <c r="D8512" t="s">
        <v>16</v>
      </c>
      <c r="G8512" t="s">
        <v>28</v>
      </c>
      <c r="I8512" t="s">
        <v>19</v>
      </c>
      <c r="J8512" t="s">
        <v>482</v>
      </c>
      <c r="M8512" t="s">
        <v>9872</v>
      </c>
      <c r="N8512" t="s">
        <v>9872</v>
      </c>
      <c r="O8512" t="s">
        <v>23</v>
      </c>
      <c r="P8512" t="s">
        <v>1649</v>
      </c>
      <c r="Q8512" t="s">
        <v>1650</v>
      </c>
      <c r="R8512" t="s">
        <v>1651</v>
      </c>
    </row>
    <row r="8513" spans="1:18" x14ac:dyDescent="0.25">
      <c r="A8513" t="s">
        <v>12461</v>
      </c>
      <c r="B8513" t="s">
        <v>9881</v>
      </c>
      <c r="C8513" t="str">
        <f>HYPERLINK("https://nematode.unl.edu/plarm3.jpg")</f>
        <v>https://nematode.unl.edu/plarm3.jpg</v>
      </c>
      <c r="D8513" t="s">
        <v>16</v>
      </c>
      <c r="G8513" t="s">
        <v>9882</v>
      </c>
      <c r="I8513" t="s">
        <v>41</v>
      </c>
      <c r="J8513" t="s">
        <v>482</v>
      </c>
      <c r="M8513" t="s">
        <v>9872</v>
      </c>
      <c r="N8513" t="s">
        <v>9872</v>
      </c>
      <c r="O8513" t="s">
        <v>23</v>
      </c>
      <c r="P8513" t="s">
        <v>1649</v>
      </c>
      <c r="Q8513" t="s">
        <v>1650</v>
      </c>
      <c r="R8513" t="s">
        <v>1651</v>
      </c>
    </row>
    <row r="8514" spans="1:18" x14ac:dyDescent="0.25">
      <c r="A8514" t="s">
        <v>12462</v>
      </c>
      <c r="B8514" t="s">
        <v>9883</v>
      </c>
      <c r="C8514" t="str">
        <f>HYPERLINK("https://nematode.unl.edu/plarm4.jpg")</f>
        <v>https://nematode.unl.edu/plarm4.jpg</v>
      </c>
      <c r="D8514" t="s">
        <v>16</v>
      </c>
      <c r="G8514" t="s">
        <v>1667</v>
      </c>
      <c r="I8514" t="s">
        <v>41</v>
      </c>
      <c r="J8514" t="s">
        <v>482</v>
      </c>
      <c r="M8514" t="s">
        <v>9872</v>
      </c>
      <c r="N8514" t="s">
        <v>9872</v>
      </c>
      <c r="O8514" t="s">
        <v>23</v>
      </c>
      <c r="P8514" t="s">
        <v>1649</v>
      </c>
      <c r="Q8514" t="s">
        <v>1650</v>
      </c>
      <c r="R8514" t="s">
        <v>1651</v>
      </c>
    </row>
    <row r="8515" spans="1:18" x14ac:dyDescent="0.25">
      <c r="A8515" t="s">
        <v>12456</v>
      </c>
      <c r="B8515" t="s">
        <v>9884</v>
      </c>
      <c r="C8515" t="str">
        <f>HYPERLINK("https://nematode.unl.edu/plarm5.jpg")</f>
        <v>https://nematode.unl.edu/plarm5.jpg</v>
      </c>
      <c r="D8515" t="s">
        <v>16</v>
      </c>
      <c r="G8515" t="s">
        <v>386</v>
      </c>
      <c r="H8515" t="s">
        <v>18</v>
      </c>
      <c r="I8515" t="s">
        <v>41</v>
      </c>
      <c r="J8515" t="s">
        <v>482</v>
      </c>
      <c r="M8515" t="s">
        <v>9872</v>
      </c>
      <c r="N8515" t="s">
        <v>9872</v>
      </c>
      <c r="O8515" t="s">
        <v>23</v>
      </c>
      <c r="P8515" t="s">
        <v>1649</v>
      </c>
      <c r="Q8515" t="s">
        <v>1650</v>
      </c>
      <c r="R8515" t="s">
        <v>1651</v>
      </c>
    </row>
    <row r="8516" spans="1:18" x14ac:dyDescent="0.25">
      <c r="A8516" t="s">
        <v>12477</v>
      </c>
      <c r="B8516" t="s">
        <v>9892</v>
      </c>
      <c r="C8516" t="str">
        <f>HYPERLINK("https://nematode.unl.edu/plassi1.jpg")</f>
        <v>https://nematode.unl.edu/plassi1.jpg</v>
      </c>
      <c r="D8516" t="s">
        <v>43</v>
      </c>
      <c r="G8516" t="s">
        <v>28</v>
      </c>
      <c r="J8516" t="s">
        <v>482</v>
      </c>
      <c r="M8516" t="s">
        <v>9886</v>
      </c>
      <c r="N8516" t="s">
        <v>9886</v>
      </c>
      <c r="O8516" t="s">
        <v>23</v>
      </c>
      <c r="P8516" t="s">
        <v>1649</v>
      </c>
      <c r="Q8516" t="s">
        <v>1650</v>
      </c>
      <c r="R8516" t="s">
        <v>1651</v>
      </c>
    </row>
    <row r="8517" spans="1:18" x14ac:dyDescent="0.25">
      <c r="A8517" t="s">
        <v>12474</v>
      </c>
      <c r="B8517" t="s">
        <v>9893</v>
      </c>
      <c r="C8517" t="str">
        <f>HYPERLINK("https://nematode.unl.edu/plassi2.jpg")</f>
        <v>https://nematode.unl.edu/plassi2.jpg</v>
      </c>
      <c r="D8517" t="s">
        <v>43</v>
      </c>
      <c r="G8517" t="s">
        <v>53</v>
      </c>
      <c r="I8517" t="s">
        <v>41</v>
      </c>
      <c r="J8517" t="s">
        <v>482</v>
      </c>
      <c r="M8517" t="s">
        <v>9886</v>
      </c>
      <c r="N8517" t="s">
        <v>9886</v>
      </c>
      <c r="O8517" t="s">
        <v>23</v>
      </c>
      <c r="P8517" t="s">
        <v>1649</v>
      </c>
      <c r="Q8517" t="s">
        <v>1650</v>
      </c>
      <c r="R8517" t="s">
        <v>1651</v>
      </c>
    </row>
    <row r="8518" spans="1:18" x14ac:dyDescent="0.25">
      <c r="A8518" t="s">
        <v>12466</v>
      </c>
      <c r="B8518" t="s">
        <v>9894</v>
      </c>
      <c r="C8518" t="str">
        <f>HYPERLINK("https://nematode.unl.edu/plassi3.jpg")</f>
        <v>https://nematode.unl.edu/plassi3.jpg</v>
      </c>
      <c r="D8518" t="s">
        <v>43</v>
      </c>
      <c r="G8518" t="s">
        <v>17</v>
      </c>
      <c r="H8518" t="s">
        <v>18</v>
      </c>
      <c r="I8518" t="s">
        <v>19</v>
      </c>
      <c r="J8518" t="s">
        <v>482</v>
      </c>
      <c r="M8518" t="s">
        <v>9886</v>
      </c>
      <c r="N8518" t="s">
        <v>9886</v>
      </c>
      <c r="O8518" t="s">
        <v>23</v>
      </c>
      <c r="P8518" t="s">
        <v>1649</v>
      </c>
      <c r="Q8518" t="s">
        <v>1650</v>
      </c>
      <c r="R8518" t="s">
        <v>1651</v>
      </c>
    </row>
    <row r="8519" spans="1:18" x14ac:dyDescent="0.25">
      <c r="A8519" t="s">
        <v>12470</v>
      </c>
      <c r="B8519" t="s">
        <v>9895</v>
      </c>
      <c r="C8519" t="str">
        <f>HYPERLINK("https://nematode.unl.edu/plassi4.jpg")</f>
        <v>https://nematode.unl.edu/plassi4.jpg</v>
      </c>
      <c r="D8519" t="s">
        <v>43</v>
      </c>
      <c r="G8519" t="s">
        <v>34</v>
      </c>
      <c r="H8519" t="s">
        <v>18</v>
      </c>
      <c r="J8519" t="s">
        <v>482</v>
      </c>
      <c r="M8519" t="s">
        <v>9886</v>
      </c>
      <c r="N8519" t="s">
        <v>9886</v>
      </c>
      <c r="O8519" t="s">
        <v>23</v>
      </c>
      <c r="P8519" t="s">
        <v>1649</v>
      </c>
      <c r="Q8519" t="s">
        <v>1650</v>
      </c>
      <c r="R8519" t="s">
        <v>1651</v>
      </c>
    </row>
    <row r="8520" spans="1:18" x14ac:dyDescent="0.25">
      <c r="A8520" t="s">
        <v>12471</v>
      </c>
      <c r="B8520" t="s">
        <v>9896</v>
      </c>
      <c r="C8520" t="str">
        <f>HYPERLINK("https://nematode.unl.edu/plassi5.jpg")</f>
        <v>https://nematode.unl.edu/plassi5.jpg</v>
      </c>
      <c r="D8520" t="s">
        <v>43</v>
      </c>
      <c r="G8520" t="s">
        <v>34</v>
      </c>
      <c r="H8520" t="s">
        <v>18</v>
      </c>
      <c r="I8520" t="s">
        <v>41</v>
      </c>
      <c r="J8520" t="s">
        <v>482</v>
      </c>
      <c r="M8520" t="s">
        <v>9886</v>
      </c>
      <c r="N8520" t="s">
        <v>9886</v>
      </c>
      <c r="O8520" t="s">
        <v>23</v>
      </c>
      <c r="P8520" t="s">
        <v>1649</v>
      </c>
      <c r="Q8520" t="s">
        <v>1650</v>
      </c>
      <c r="R8520" t="s">
        <v>1651</v>
      </c>
    </row>
    <row r="8521" spans="1:18" x14ac:dyDescent="0.25">
      <c r="A8521" t="s">
        <v>12472</v>
      </c>
      <c r="B8521" t="s">
        <v>9897</v>
      </c>
      <c r="C8521" t="str">
        <f>HYPERLINK("https://nematode.unl.edu/plassi9.jpg")</f>
        <v>https://nematode.unl.edu/plassi9.jpg</v>
      </c>
      <c r="D8521" t="s">
        <v>43</v>
      </c>
      <c r="G8521" t="s">
        <v>34</v>
      </c>
      <c r="H8521" t="s">
        <v>18</v>
      </c>
      <c r="I8521" t="s">
        <v>41</v>
      </c>
      <c r="J8521" t="s">
        <v>482</v>
      </c>
      <c r="M8521" t="s">
        <v>9886</v>
      </c>
      <c r="N8521" t="s">
        <v>9886</v>
      </c>
      <c r="O8521" t="s">
        <v>23</v>
      </c>
      <c r="P8521" t="s">
        <v>1649</v>
      </c>
      <c r="Q8521" t="s">
        <v>1650</v>
      </c>
      <c r="R8521" t="s">
        <v>1651</v>
      </c>
    </row>
    <row r="8522" spans="1:18" x14ac:dyDescent="0.25">
      <c r="A8522" t="s">
        <v>12494</v>
      </c>
      <c r="B8522" t="s">
        <v>9898</v>
      </c>
      <c r="C8522" t="str">
        <f>HYPERLINK("https://nematode.unl.edu/plecc1.jpg")</f>
        <v>https://nematode.unl.edu/plecc1.jpg</v>
      </c>
      <c r="D8522" t="s">
        <v>43</v>
      </c>
      <c r="G8522" t="s">
        <v>28</v>
      </c>
      <c r="I8522" t="s">
        <v>19</v>
      </c>
      <c r="J8522" t="s">
        <v>482</v>
      </c>
      <c r="M8522" t="s">
        <v>9899</v>
      </c>
      <c r="N8522" t="s">
        <v>9899</v>
      </c>
      <c r="O8522" t="s">
        <v>23</v>
      </c>
      <c r="P8522" t="s">
        <v>1649</v>
      </c>
      <c r="Q8522" t="s">
        <v>1650</v>
      </c>
      <c r="R8522" t="s">
        <v>1651</v>
      </c>
    </row>
    <row r="8523" spans="1:18" x14ac:dyDescent="0.25">
      <c r="A8523" t="s">
        <v>12498</v>
      </c>
      <c r="B8523" t="s">
        <v>9900</v>
      </c>
      <c r="C8523" t="str">
        <f>HYPERLINK("https://nematode.unl.edu/plecc2.jpg")</f>
        <v>https://nematode.unl.edu/plecc2.jpg</v>
      </c>
      <c r="D8523" t="s">
        <v>43</v>
      </c>
      <c r="G8523" t="s">
        <v>51</v>
      </c>
      <c r="I8523" t="s">
        <v>19</v>
      </c>
      <c r="J8523" t="s">
        <v>482</v>
      </c>
      <c r="M8523" t="s">
        <v>9899</v>
      </c>
      <c r="N8523" t="s">
        <v>9899</v>
      </c>
      <c r="O8523" t="s">
        <v>23</v>
      </c>
      <c r="P8523" t="s">
        <v>1649</v>
      </c>
      <c r="Q8523" t="s">
        <v>1650</v>
      </c>
      <c r="R8523" t="s">
        <v>1651</v>
      </c>
    </row>
    <row r="8524" spans="1:18" x14ac:dyDescent="0.25">
      <c r="A8524" t="s">
        <v>12483</v>
      </c>
      <c r="B8524" t="s">
        <v>9901</v>
      </c>
      <c r="C8524" t="str">
        <f>HYPERLINK("https://nematode.unl.edu/plecc3.jpg")</f>
        <v>https://nematode.unl.edu/plecc3.jpg</v>
      </c>
      <c r="D8524" t="s">
        <v>43</v>
      </c>
      <c r="G8524" t="s">
        <v>34</v>
      </c>
      <c r="H8524" t="s">
        <v>18</v>
      </c>
      <c r="J8524" t="s">
        <v>482</v>
      </c>
      <c r="M8524" t="s">
        <v>9899</v>
      </c>
      <c r="N8524" t="s">
        <v>9899</v>
      </c>
      <c r="O8524" t="s">
        <v>23</v>
      </c>
      <c r="P8524" t="s">
        <v>1649</v>
      </c>
      <c r="Q8524" t="s">
        <v>1650</v>
      </c>
      <c r="R8524" t="s">
        <v>1651</v>
      </c>
    </row>
    <row r="8525" spans="1:18" x14ac:dyDescent="0.25">
      <c r="A8525" t="s">
        <v>12491</v>
      </c>
      <c r="B8525" t="s">
        <v>9902</v>
      </c>
      <c r="C8525" t="str">
        <f>HYPERLINK("https://nematode.unl.edu/plecc4.jpg")</f>
        <v>https://nematode.unl.edu/plecc4.jpg</v>
      </c>
      <c r="D8525" t="s">
        <v>43</v>
      </c>
      <c r="G8525" t="s">
        <v>53</v>
      </c>
      <c r="I8525" t="s">
        <v>41</v>
      </c>
      <c r="J8525" t="s">
        <v>482</v>
      </c>
      <c r="M8525" t="s">
        <v>9899</v>
      </c>
      <c r="N8525" t="s">
        <v>9899</v>
      </c>
      <c r="O8525" t="s">
        <v>23</v>
      </c>
      <c r="P8525" t="s">
        <v>1649</v>
      </c>
      <c r="Q8525" t="s">
        <v>1650</v>
      </c>
      <c r="R8525" t="s">
        <v>1651</v>
      </c>
    </row>
    <row r="8526" spans="1:18" x14ac:dyDescent="0.25">
      <c r="A8526" t="s">
        <v>12492</v>
      </c>
      <c r="B8526" t="s">
        <v>9903</v>
      </c>
      <c r="C8526" t="str">
        <f>HYPERLINK("https://nematode.unl.edu/plecc5.jpg")</f>
        <v>https://nematode.unl.edu/plecc5.jpg</v>
      </c>
      <c r="D8526" t="s">
        <v>43</v>
      </c>
      <c r="G8526" t="s">
        <v>53</v>
      </c>
      <c r="I8526" t="s">
        <v>529</v>
      </c>
      <c r="J8526" t="s">
        <v>482</v>
      </c>
      <c r="M8526" t="s">
        <v>9899</v>
      </c>
      <c r="N8526" t="s">
        <v>9899</v>
      </c>
      <c r="O8526" t="s">
        <v>23</v>
      </c>
      <c r="P8526" t="s">
        <v>1649</v>
      </c>
      <c r="Q8526" t="s">
        <v>1650</v>
      </c>
      <c r="R8526" t="s">
        <v>1651</v>
      </c>
    </row>
    <row r="8527" spans="1:18" x14ac:dyDescent="0.25">
      <c r="A8527" t="s">
        <v>12484</v>
      </c>
      <c r="B8527" t="s">
        <v>9904</v>
      </c>
      <c r="C8527" t="str">
        <f>HYPERLINK("https://nematode.unl.edu/plecc6.jpg")</f>
        <v>https://nematode.unl.edu/plecc6.jpg</v>
      </c>
      <c r="D8527" t="s">
        <v>43</v>
      </c>
      <c r="G8527" t="s">
        <v>34</v>
      </c>
      <c r="H8527" t="s">
        <v>18</v>
      </c>
      <c r="I8527" t="s">
        <v>41</v>
      </c>
      <c r="J8527" t="s">
        <v>482</v>
      </c>
      <c r="M8527" t="s">
        <v>9899</v>
      </c>
      <c r="N8527" t="s">
        <v>9899</v>
      </c>
      <c r="O8527" t="s">
        <v>23</v>
      </c>
      <c r="P8527" t="s">
        <v>1649</v>
      </c>
      <c r="Q8527" t="s">
        <v>1650</v>
      </c>
      <c r="R8527" t="s">
        <v>1651</v>
      </c>
    </row>
    <row r="8528" spans="1:18" x14ac:dyDescent="0.25">
      <c r="A8528" t="s">
        <v>12478</v>
      </c>
      <c r="B8528" t="s">
        <v>9905</v>
      </c>
      <c r="C8528" t="str">
        <f>HYPERLINK("https://nematode.unl.edu/plecc7.jpg")</f>
        <v>https://nematode.unl.edu/plecc7.jpg</v>
      </c>
      <c r="D8528" t="s">
        <v>43</v>
      </c>
      <c r="G8528" t="s">
        <v>386</v>
      </c>
      <c r="H8528" t="s">
        <v>18</v>
      </c>
      <c r="I8528" t="s">
        <v>41</v>
      </c>
      <c r="J8528" t="s">
        <v>482</v>
      </c>
      <c r="M8528" t="s">
        <v>9899</v>
      </c>
      <c r="N8528" t="s">
        <v>9899</v>
      </c>
      <c r="O8528" t="s">
        <v>23</v>
      </c>
      <c r="P8528" t="s">
        <v>1649</v>
      </c>
      <c r="Q8528" t="s">
        <v>1650</v>
      </c>
      <c r="R8528" t="s">
        <v>1651</v>
      </c>
    </row>
    <row r="8529" spans="1:18" x14ac:dyDescent="0.25">
      <c r="A8529" t="s">
        <v>12490</v>
      </c>
      <c r="B8529" t="s">
        <v>9906</v>
      </c>
      <c r="C8529" t="str">
        <f>HYPERLINK("https://nematode.unl.edu/plecccmp.jpg")</f>
        <v>https://nematode.unl.edu/plecccmp.jpg</v>
      </c>
      <c r="G8529" t="s">
        <v>108</v>
      </c>
      <c r="J8529" t="s">
        <v>482</v>
      </c>
      <c r="M8529" t="s">
        <v>9899</v>
      </c>
      <c r="N8529" t="s">
        <v>9899</v>
      </c>
      <c r="O8529" t="s">
        <v>23</v>
      </c>
      <c r="P8529" t="s">
        <v>1649</v>
      </c>
      <c r="Q8529" t="s">
        <v>1650</v>
      </c>
      <c r="R8529" t="s">
        <v>1651</v>
      </c>
    </row>
    <row r="8530" spans="1:18" x14ac:dyDescent="0.25">
      <c r="A8530" t="s">
        <v>12485</v>
      </c>
      <c r="B8530" t="s">
        <v>9907</v>
      </c>
      <c r="C8530" t="str">
        <f>HYPERLINK("https://nematode.unl.edu/pleci1.jpg")</f>
        <v>https://nematode.unl.edu/pleci1.jpg</v>
      </c>
      <c r="D8530" t="s">
        <v>43</v>
      </c>
      <c r="G8530" t="s">
        <v>34</v>
      </c>
      <c r="H8530" t="s">
        <v>18</v>
      </c>
      <c r="I8530" t="s">
        <v>19</v>
      </c>
      <c r="J8530" t="s">
        <v>20</v>
      </c>
      <c r="M8530" t="s">
        <v>9899</v>
      </c>
      <c r="N8530" t="s">
        <v>9899</v>
      </c>
      <c r="O8530" t="s">
        <v>23</v>
      </c>
      <c r="P8530" t="s">
        <v>1649</v>
      </c>
      <c r="Q8530" t="s">
        <v>1650</v>
      </c>
      <c r="R8530" t="s">
        <v>1651</v>
      </c>
    </row>
    <row r="8531" spans="1:18" x14ac:dyDescent="0.25">
      <c r="A8531" t="s">
        <v>12479</v>
      </c>
      <c r="B8531" t="s">
        <v>9908</v>
      </c>
      <c r="C8531" t="str">
        <f>HYPERLINK("https://nematode.unl.edu/pleci10.jpg")</f>
        <v>https://nematode.unl.edu/pleci10.jpg</v>
      </c>
      <c r="D8531" t="s">
        <v>43</v>
      </c>
      <c r="G8531" t="s">
        <v>386</v>
      </c>
      <c r="H8531" t="s">
        <v>18</v>
      </c>
      <c r="J8531" t="s">
        <v>20</v>
      </c>
      <c r="L8531" t="s">
        <v>141</v>
      </c>
      <c r="M8531" t="s">
        <v>9899</v>
      </c>
      <c r="N8531" t="s">
        <v>9899</v>
      </c>
      <c r="O8531" t="s">
        <v>23</v>
      </c>
      <c r="P8531" t="s">
        <v>1649</v>
      </c>
      <c r="Q8531" t="s">
        <v>1650</v>
      </c>
      <c r="R8531" t="s">
        <v>1651</v>
      </c>
    </row>
    <row r="8532" spans="1:18" x14ac:dyDescent="0.25">
      <c r="A8532" t="s">
        <v>12495</v>
      </c>
      <c r="B8532" t="s">
        <v>9909</v>
      </c>
      <c r="C8532" t="str">
        <f>HYPERLINK("https://nematode.unl.edu/pleci11.jpg")</f>
        <v>https://nematode.unl.edu/pleci11.jpg</v>
      </c>
      <c r="D8532" t="s">
        <v>16</v>
      </c>
      <c r="G8532" t="s">
        <v>28</v>
      </c>
      <c r="L8532" t="s">
        <v>352</v>
      </c>
      <c r="M8532" t="s">
        <v>9899</v>
      </c>
      <c r="N8532" t="s">
        <v>9899</v>
      </c>
      <c r="O8532" t="s">
        <v>23</v>
      </c>
      <c r="P8532" t="s">
        <v>1649</v>
      </c>
      <c r="Q8532" t="s">
        <v>1650</v>
      </c>
      <c r="R8532" t="s">
        <v>1651</v>
      </c>
    </row>
    <row r="8533" spans="1:18" x14ac:dyDescent="0.25">
      <c r="A8533" t="s">
        <v>12480</v>
      </c>
      <c r="B8533" t="s">
        <v>9910</v>
      </c>
      <c r="C8533" t="str">
        <f>HYPERLINK("https://nematode.unl.edu/pleci12.jpg")</f>
        <v>https://nematode.unl.edu/pleci12.jpg</v>
      </c>
      <c r="D8533" t="s">
        <v>16</v>
      </c>
      <c r="G8533" t="s">
        <v>386</v>
      </c>
      <c r="H8533" t="s">
        <v>18</v>
      </c>
      <c r="I8533" t="s">
        <v>19</v>
      </c>
      <c r="J8533" t="s">
        <v>20</v>
      </c>
      <c r="L8533" t="s">
        <v>141</v>
      </c>
      <c r="M8533" t="s">
        <v>9899</v>
      </c>
      <c r="N8533" t="s">
        <v>9899</v>
      </c>
      <c r="O8533" t="s">
        <v>23</v>
      </c>
      <c r="P8533" t="s">
        <v>1649</v>
      </c>
      <c r="Q8533" t="s">
        <v>1650</v>
      </c>
      <c r="R8533" t="s">
        <v>1651</v>
      </c>
    </row>
    <row r="8534" spans="1:18" x14ac:dyDescent="0.25">
      <c r="A8534" t="s">
        <v>12486</v>
      </c>
      <c r="B8534" t="s">
        <v>9911</v>
      </c>
      <c r="C8534" t="str">
        <f>HYPERLINK("https://nematode.unl.edu/pleci13.jpg")</f>
        <v>https://nematode.unl.edu/pleci13.jpg</v>
      </c>
      <c r="D8534" t="s">
        <v>16</v>
      </c>
      <c r="G8534" t="s">
        <v>34</v>
      </c>
      <c r="H8534" t="s">
        <v>18</v>
      </c>
      <c r="I8534" t="s">
        <v>19</v>
      </c>
      <c r="L8534" t="s">
        <v>29</v>
      </c>
      <c r="M8534" t="s">
        <v>9899</v>
      </c>
      <c r="N8534" t="s">
        <v>9899</v>
      </c>
      <c r="O8534" t="s">
        <v>23</v>
      </c>
      <c r="P8534" t="s">
        <v>1649</v>
      </c>
      <c r="Q8534" t="s">
        <v>1650</v>
      </c>
      <c r="R8534" t="s">
        <v>1651</v>
      </c>
    </row>
    <row r="8535" spans="1:18" x14ac:dyDescent="0.25">
      <c r="A8535" t="s">
        <v>12496</v>
      </c>
      <c r="B8535" t="s">
        <v>9912</v>
      </c>
      <c r="C8535" t="str">
        <f>HYPERLINK("https://nematode.unl.edu/pleci14.jpg")</f>
        <v>https://nematode.unl.edu/pleci14.jpg</v>
      </c>
      <c r="D8535" t="s">
        <v>16</v>
      </c>
      <c r="G8535" t="s">
        <v>28</v>
      </c>
      <c r="J8535" t="s">
        <v>20</v>
      </c>
      <c r="L8535" t="s">
        <v>141</v>
      </c>
      <c r="M8535" t="s">
        <v>9899</v>
      </c>
      <c r="N8535" t="s">
        <v>9899</v>
      </c>
      <c r="O8535" t="s">
        <v>23</v>
      </c>
      <c r="P8535" t="s">
        <v>1649</v>
      </c>
      <c r="Q8535" t="s">
        <v>1650</v>
      </c>
      <c r="R8535" t="s">
        <v>1651</v>
      </c>
    </row>
    <row r="8536" spans="1:18" x14ac:dyDescent="0.25">
      <c r="A8536" t="s">
        <v>12481</v>
      </c>
      <c r="B8536" t="s">
        <v>9913</v>
      </c>
      <c r="C8536" t="str">
        <f>HYPERLINK("https://nematode.unl.edu/pleci2.jpg")</f>
        <v>https://nematode.unl.edu/pleci2.jpg</v>
      </c>
      <c r="D8536" t="s">
        <v>43</v>
      </c>
      <c r="G8536" t="s">
        <v>386</v>
      </c>
      <c r="H8536" t="s">
        <v>18</v>
      </c>
      <c r="I8536" t="s">
        <v>19</v>
      </c>
      <c r="J8536" t="s">
        <v>20</v>
      </c>
      <c r="L8536" t="s">
        <v>29</v>
      </c>
      <c r="M8536" t="s">
        <v>9899</v>
      </c>
      <c r="N8536" t="s">
        <v>9899</v>
      </c>
      <c r="O8536" t="s">
        <v>23</v>
      </c>
      <c r="P8536" t="s">
        <v>1649</v>
      </c>
      <c r="Q8536" t="s">
        <v>1650</v>
      </c>
      <c r="R8536" t="s">
        <v>1651</v>
      </c>
    </row>
    <row r="8537" spans="1:18" x14ac:dyDescent="0.25">
      <c r="A8537" t="s">
        <v>12499</v>
      </c>
      <c r="B8537" t="s">
        <v>9914</v>
      </c>
      <c r="C8537" t="str">
        <f>HYPERLINK("https://nematode.unl.edu/pleci3.jpg")</f>
        <v>https://nematode.unl.edu/pleci3.jpg</v>
      </c>
      <c r="D8537" t="s">
        <v>43</v>
      </c>
      <c r="G8537" t="s">
        <v>51</v>
      </c>
      <c r="J8537" t="s">
        <v>20</v>
      </c>
      <c r="M8537" t="s">
        <v>9899</v>
      </c>
      <c r="N8537" t="s">
        <v>9899</v>
      </c>
      <c r="O8537" t="s">
        <v>23</v>
      </c>
      <c r="P8537" t="s">
        <v>1649</v>
      </c>
      <c r="Q8537" t="s">
        <v>1650</v>
      </c>
      <c r="R8537" t="s">
        <v>1651</v>
      </c>
    </row>
    <row r="8538" spans="1:18" x14ac:dyDescent="0.25">
      <c r="A8538" t="s">
        <v>12497</v>
      </c>
      <c r="B8538" t="s">
        <v>9915</v>
      </c>
      <c r="C8538" t="str">
        <f>HYPERLINK("https://nematode.unl.edu/pleci4.jpg")</f>
        <v>https://nematode.unl.edu/pleci4.jpg</v>
      </c>
      <c r="D8538" t="s">
        <v>43</v>
      </c>
      <c r="G8538" t="s">
        <v>28</v>
      </c>
      <c r="J8538" t="s">
        <v>20</v>
      </c>
      <c r="L8538" t="s">
        <v>29</v>
      </c>
      <c r="M8538" t="s">
        <v>9899</v>
      </c>
      <c r="N8538" t="s">
        <v>9899</v>
      </c>
      <c r="O8538" t="s">
        <v>23</v>
      </c>
      <c r="P8538" t="s">
        <v>1649</v>
      </c>
      <c r="Q8538" t="s">
        <v>1650</v>
      </c>
      <c r="R8538" t="s">
        <v>1651</v>
      </c>
    </row>
    <row r="8539" spans="1:18" x14ac:dyDescent="0.25">
      <c r="A8539" t="s">
        <v>12487</v>
      </c>
      <c r="B8539" t="s">
        <v>9916</v>
      </c>
      <c r="C8539" t="str">
        <f>HYPERLINK("https://nematode.unl.edu/pleci5.jpg")</f>
        <v>https://nematode.unl.edu/pleci5.jpg</v>
      </c>
      <c r="D8539" t="s">
        <v>43</v>
      </c>
      <c r="G8539" t="s">
        <v>34</v>
      </c>
      <c r="H8539" t="s">
        <v>18</v>
      </c>
      <c r="I8539" t="s">
        <v>41</v>
      </c>
      <c r="J8539" t="s">
        <v>20</v>
      </c>
      <c r="L8539" t="s">
        <v>64</v>
      </c>
      <c r="M8539" t="s">
        <v>9899</v>
      </c>
      <c r="N8539" t="s">
        <v>9899</v>
      </c>
      <c r="O8539" t="s">
        <v>23</v>
      </c>
      <c r="P8539" t="s">
        <v>1649</v>
      </c>
      <c r="Q8539" t="s">
        <v>1650</v>
      </c>
      <c r="R8539" t="s">
        <v>1651</v>
      </c>
    </row>
    <row r="8540" spans="1:18" x14ac:dyDescent="0.25">
      <c r="A8540" t="s">
        <v>12482</v>
      </c>
      <c r="B8540" t="s">
        <v>9917</v>
      </c>
      <c r="C8540" t="str">
        <f>HYPERLINK("https://nematode.unl.edu/pleci6.jpg")</f>
        <v>https://nematode.unl.edu/pleci6.jpg</v>
      </c>
      <c r="D8540" t="s">
        <v>43</v>
      </c>
      <c r="G8540" t="s">
        <v>386</v>
      </c>
      <c r="H8540" t="s">
        <v>18</v>
      </c>
      <c r="I8540" t="s">
        <v>41</v>
      </c>
      <c r="J8540" t="s">
        <v>20</v>
      </c>
      <c r="L8540" t="s">
        <v>64</v>
      </c>
      <c r="M8540" t="s">
        <v>9899</v>
      </c>
      <c r="N8540" t="s">
        <v>9899</v>
      </c>
      <c r="O8540" t="s">
        <v>23</v>
      </c>
      <c r="P8540" t="s">
        <v>1649</v>
      </c>
      <c r="Q8540" t="s">
        <v>1650</v>
      </c>
      <c r="R8540" t="s">
        <v>1651</v>
      </c>
    </row>
    <row r="8541" spans="1:18" x14ac:dyDescent="0.25">
      <c r="A8541" t="s">
        <v>12489</v>
      </c>
      <c r="B8541" t="s">
        <v>9918</v>
      </c>
      <c r="C8541" t="str">
        <f>HYPERLINK("https://nematode.unl.edu/pleci7.jpg")</f>
        <v>https://nematode.unl.edu/pleci7.jpg</v>
      </c>
      <c r="D8541" t="s">
        <v>43</v>
      </c>
      <c r="G8541" t="s">
        <v>87</v>
      </c>
      <c r="J8541" t="s">
        <v>20</v>
      </c>
      <c r="M8541" t="s">
        <v>9899</v>
      </c>
      <c r="N8541" t="s">
        <v>9899</v>
      </c>
      <c r="O8541" t="s">
        <v>23</v>
      </c>
      <c r="P8541" t="s">
        <v>1649</v>
      </c>
      <c r="Q8541" t="s">
        <v>1650</v>
      </c>
      <c r="R8541" t="s">
        <v>1651</v>
      </c>
    </row>
    <row r="8542" spans="1:18" x14ac:dyDescent="0.25">
      <c r="A8542" t="s">
        <v>12493</v>
      </c>
      <c r="B8542" t="s">
        <v>9919</v>
      </c>
      <c r="C8542" t="str">
        <f>HYPERLINK("https://nematode.unl.edu/pleci8.jpg")</f>
        <v>https://nematode.unl.edu/pleci8.jpg</v>
      </c>
      <c r="D8542" t="s">
        <v>43</v>
      </c>
      <c r="G8542" t="s">
        <v>53</v>
      </c>
      <c r="I8542" t="s">
        <v>41</v>
      </c>
      <c r="J8542" t="s">
        <v>20</v>
      </c>
      <c r="L8542" t="s">
        <v>64</v>
      </c>
      <c r="M8542" t="s">
        <v>9899</v>
      </c>
      <c r="N8542" t="s">
        <v>9899</v>
      </c>
      <c r="O8542" t="s">
        <v>23</v>
      </c>
      <c r="P8542" t="s">
        <v>1649</v>
      </c>
      <c r="Q8542" t="s">
        <v>1650</v>
      </c>
      <c r="R8542" t="s">
        <v>1651</v>
      </c>
    </row>
    <row r="8543" spans="1:18" x14ac:dyDescent="0.25">
      <c r="A8543" t="s">
        <v>12488</v>
      </c>
      <c r="B8543" t="s">
        <v>9920</v>
      </c>
      <c r="C8543" t="str">
        <f>HYPERLINK("https://nematode.unl.edu/pleci9.jpg")</f>
        <v>https://nematode.unl.edu/pleci9.jpg</v>
      </c>
      <c r="D8543" t="s">
        <v>43</v>
      </c>
      <c r="G8543" t="s">
        <v>34</v>
      </c>
      <c r="H8543" t="s">
        <v>18</v>
      </c>
      <c r="I8543" t="s">
        <v>19</v>
      </c>
      <c r="J8543" t="s">
        <v>20</v>
      </c>
      <c r="L8543" t="s">
        <v>141</v>
      </c>
      <c r="M8543" t="s">
        <v>9899</v>
      </c>
      <c r="N8543" t="s">
        <v>9899</v>
      </c>
      <c r="O8543" t="s">
        <v>23</v>
      </c>
      <c r="P8543" t="s">
        <v>1649</v>
      </c>
      <c r="Q8543" t="s">
        <v>1650</v>
      </c>
      <c r="R8543" t="s">
        <v>1651</v>
      </c>
    </row>
    <row r="8544" spans="1:18" x14ac:dyDescent="0.25">
      <c r="A8544" t="s">
        <v>12567</v>
      </c>
      <c r="B8544" t="s">
        <v>9957</v>
      </c>
      <c r="C8544" t="str">
        <f>HYPERLINK("https://nematode.unl.edu/plecpa1.jpg")</f>
        <v>https://nematode.unl.edu/plecpa1.jpg</v>
      </c>
      <c r="D8544" t="s">
        <v>43</v>
      </c>
      <c r="G8544" t="s">
        <v>181</v>
      </c>
      <c r="I8544" t="s">
        <v>45</v>
      </c>
      <c r="J8544" t="s">
        <v>20</v>
      </c>
      <c r="L8544" t="s">
        <v>64</v>
      </c>
      <c r="M8544" t="s">
        <v>9955</v>
      </c>
      <c r="N8544" t="s">
        <v>9955</v>
      </c>
      <c r="O8544" t="s">
        <v>23</v>
      </c>
      <c r="P8544" t="s">
        <v>1649</v>
      </c>
      <c r="Q8544" t="s">
        <v>1650</v>
      </c>
      <c r="R8544" t="s">
        <v>1651</v>
      </c>
    </row>
    <row r="8545" spans="1:18" x14ac:dyDescent="0.25">
      <c r="A8545" t="s">
        <v>12566</v>
      </c>
      <c r="B8545" t="s">
        <v>9958</v>
      </c>
      <c r="C8545" t="str">
        <f>HYPERLINK("https://nematode.unl.edu/plecpa10.jpg")</f>
        <v>https://nematode.unl.edu/plecpa10.jpg</v>
      </c>
      <c r="D8545" t="s">
        <v>43</v>
      </c>
      <c r="G8545" t="s">
        <v>4041</v>
      </c>
      <c r="I8545" t="s">
        <v>529</v>
      </c>
      <c r="J8545" t="s">
        <v>20</v>
      </c>
      <c r="L8545" t="s">
        <v>85</v>
      </c>
      <c r="M8545" t="s">
        <v>9955</v>
      </c>
      <c r="N8545" t="s">
        <v>9955</v>
      </c>
      <c r="O8545" t="s">
        <v>23</v>
      </c>
      <c r="P8545" t="s">
        <v>1649</v>
      </c>
      <c r="Q8545" t="s">
        <v>1650</v>
      </c>
      <c r="R8545" t="s">
        <v>1651</v>
      </c>
    </row>
    <row r="8546" spans="1:18" x14ac:dyDescent="0.25">
      <c r="A8546" t="s">
        <v>12553</v>
      </c>
      <c r="B8546" t="s">
        <v>9959</v>
      </c>
      <c r="C8546" t="str">
        <f>HYPERLINK("https://nematode.unl.edu/plecpa11.jpg")</f>
        <v>https://nematode.unl.edu/plecpa11.jpg</v>
      </c>
      <c r="D8546" t="s">
        <v>43</v>
      </c>
      <c r="G8546" t="s">
        <v>34</v>
      </c>
      <c r="H8546" t="s">
        <v>18</v>
      </c>
      <c r="I8546" t="s">
        <v>41</v>
      </c>
      <c r="J8546" t="s">
        <v>20</v>
      </c>
      <c r="L8546" t="s">
        <v>85</v>
      </c>
      <c r="M8546" t="s">
        <v>9955</v>
      </c>
      <c r="N8546" t="s">
        <v>9955</v>
      </c>
      <c r="O8546" t="s">
        <v>23</v>
      </c>
      <c r="P8546" t="s">
        <v>1649</v>
      </c>
      <c r="Q8546" t="s">
        <v>1650</v>
      </c>
      <c r="R8546" t="s">
        <v>1651</v>
      </c>
    </row>
    <row r="8547" spans="1:18" x14ac:dyDescent="0.25">
      <c r="A8547" t="s">
        <v>12565</v>
      </c>
      <c r="B8547" t="s">
        <v>9960</v>
      </c>
      <c r="C8547" t="str">
        <f>HYPERLINK("https://nematode.unl.edu/plecpa12.jpg")</f>
        <v>https://nematode.unl.edu/plecpa12.jpg</v>
      </c>
      <c r="D8547" t="s">
        <v>43</v>
      </c>
      <c r="G8547" t="s">
        <v>9854</v>
      </c>
      <c r="I8547" t="s">
        <v>41</v>
      </c>
      <c r="J8547" t="s">
        <v>20</v>
      </c>
      <c r="L8547" t="s">
        <v>85</v>
      </c>
      <c r="M8547" t="s">
        <v>9955</v>
      </c>
      <c r="N8547" t="s">
        <v>9955</v>
      </c>
      <c r="O8547" t="s">
        <v>23</v>
      </c>
      <c r="P8547" t="s">
        <v>1649</v>
      </c>
      <c r="Q8547" t="s">
        <v>1650</v>
      </c>
      <c r="R8547" t="s">
        <v>1651</v>
      </c>
    </row>
    <row r="8548" spans="1:18" x14ac:dyDescent="0.25">
      <c r="A8548" t="s">
        <v>12554</v>
      </c>
      <c r="B8548" t="s">
        <v>9961</v>
      </c>
      <c r="C8548" t="str">
        <f>HYPERLINK("https://nematode.unl.edu/plecpa13.jpg")</f>
        <v>https://nematode.unl.edu/plecpa13.jpg</v>
      </c>
      <c r="D8548" t="s">
        <v>16</v>
      </c>
      <c r="G8548" t="s">
        <v>34</v>
      </c>
      <c r="H8548" t="s">
        <v>18</v>
      </c>
      <c r="I8548" t="s">
        <v>19</v>
      </c>
      <c r="J8548" t="s">
        <v>20</v>
      </c>
      <c r="L8548" t="s">
        <v>85</v>
      </c>
      <c r="M8548" t="s">
        <v>9955</v>
      </c>
      <c r="N8548" t="s">
        <v>9955</v>
      </c>
      <c r="O8548" t="s">
        <v>23</v>
      </c>
      <c r="P8548" t="s">
        <v>1649</v>
      </c>
      <c r="Q8548" t="s">
        <v>1650</v>
      </c>
      <c r="R8548" t="s">
        <v>1651</v>
      </c>
    </row>
    <row r="8549" spans="1:18" x14ac:dyDescent="0.25">
      <c r="A8549" t="s">
        <v>12569</v>
      </c>
      <c r="B8549" t="s">
        <v>9962</v>
      </c>
      <c r="C8549" t="str">
        <f>HYPERLINK("https://nematode.unl.edu/plecpa14.jpg")</f>
        <v>https://nematode.unl.edu/plecpa14.jpg</v>
      </c>
      <c r="D8549" t="s">
        <v>16</v>
      </c>
      <c r="G8549" t="s">
        <v>28</v>
      </c>
      <c r="J8549" t="s">
        <v>20</v>
      </c>
      <c r="L8549" t="s">
        <v>29</v>
      </c>
      <c r="M8549" t="s">
        <v>9955</v>
      </c>
      <c r="N8549" t="s">
        <v>9955</v>
      </c>
      <c r="O8549" t="s">
        <v>23</v>
      </c>
      <c r="P8549" t="s">
        <v>1649</v>
      </c>
      <c r="Q8549" t="s">
        <v>1650</v>
      </c>
      <c r="R8549" t="s">
        <v>1651</v>
      </c>
    </row>
    <row r="8550" spans="1:18" x14ac:dyDescent="0.25">
      <c r="A8550" t="s">
        <v>12555</v>
      </c>
      <c r="B8550" t="s">
        <v>9963</v>
      </c>
      <c r="C8550" t="str">
        <f>HYPERLINK("https://nematode.unl.edu/plecpa15.jpg")</f>
        <v>https://nematode.unl.edu/plecpa15.jpg</v>
      </c>
      <c r="D8550" t="s">
        <v>16</v>
      </c>
      <c r="G8550" t="s">
        <v>34</v>
      </c>
      <c r="H8550" t="s">
        <v>18</v>
      </c>
      <c r="I8550" t="s">
        <v>19</v>
      </c>
      <c r="J8550" t="s">
        <v>20</v>
      </c>
      <c r="L8550" t="s">
        <v>193</v>
      </c>
      <c r="M8550" t="s">
        <v>9955</v>
      </c>
      <c r="N8550" t="s">
        <v>9955</v>
      </c>
      <c r="O8550" t="s">
        <v>23</v>
      </c>
      <c r="P8550" t="s">
        <v>1649</v>
      </c>
      <c r="Q8550" t="s">
        <v>1650</v>
      </c>
      <c r="R8550" t="s">
        <v>1651</v>
      </c>
    </row>
    <row r="8551" spans="1:18" x14ac:dyDescent="0.25">
      <c r="A8551" t="s">
        <v>12577</v>
      </c>
      <c r="B8551" t="s">
        <v>9964</v>
      </c>
      <c r="C8551" t="str">
        <f>HYPERLINK("https://nematode.unl.edu/plecpa16.jpg")</f>
        <v>https://nematode.unl.edu/plecpa16.jpg</v>
      </c>
      <c r="D8551" t="s">
        <v>43</v>
      </c>
      <c r="G8551" t="s">
        <v>51</v>
      </c>
      <c r="I8551" t="s">
        <v>19</v>
      </c>
      <c r="J8551" t="s">
        <v>20</v>
      </c>
      <c r="L8551" t="s">
        <v>220</v>
      </c>
      <c r="M8551" t="s">
        <v>9955</v>
      </c>
      <c r="N8551" t="s">
        <v>9955</v>
      </c>
      <c r="O8551" t="s">
        <v>23</v>
      </c>
      <c r="P8551" t="s">
        <v>1649</v>
      </c>
      <c r="Q8551" t="s">
        <v>1650</v>
      </c>
      <c r="R8551" t="s">
        <v>1651</v>
      </c>
    </row>
    <row r="8552" spans="1:18" x14ac:dyDescent="0.25">
      <c r="A8552" t="s">
        <v>12570</v>
      </c>
      <c r="B8552" t="s">
        <v>9965</v>
      </c>
      <c r="C8552" t="str">
        <f>HYPERLINK("https://nematode.unl.edu/plecpa17.jpg")</f>
        <v>https://nematode.unl.edu/plecpa17.jpg</v>
      </c>
      <c r="D8552" t="s">
        <v>16</v>
      </c>
      <c r="G8552" t="s">
        <v>28</v>
      </c>
      <c r="J8552" t="s">
        <v>20</v>
      </c>
      <c r="L8552" t="s">
        <v>217</v>
      </c>
      <c r="M8552" t="s">
        <v>9955</v>
      </c>
      <c r="N8552" t="s">
        <v>9955</v>
      </c>
      <c r="O8552" t="s">
        <v>23</v>
      </c>
      <c r="P8552" t="s">
        <v>1649</v>
      </c>
      <c r="Q8552" t="s">
        <v>1650</v>
      </c>
      <c r="R8552" t="s">
        <v>1651</v>
      </c>
    </row>
    <row r="8553" spans="1:18" x14ac:dyDescent="0.25">
      <c r="A8553" t="s">
        <v>12556</v>
      </c>
      <c r="B8553" t="s">
        <v>9966</v>
      </c>
      <c r="C8553" t="str">
        <f>HYPERLINK("https://nematode.unl.edu/plecpa18.jpg")</f>
        <v>https://nematode.unl.edu/plecpa18.jpg</v>
      </c>
      <c r="G8553" t="s">
        <v>34</v>
      </c>
      <c r="H8553" t="s">
        <v>18</v>
      </c>
      <c r="I8553" t="s">
        <v>19</v>
      </c>
      <c r="J8553" t="s">
        <v>20</v>
      </c>
      <c r="L8553" t="s">
        <v>85</v>
      </c>
      <c r="M8553" t="s">
        <v>9955</v>
      </c>
      <c r="N8553" t="s">
        <v>9955</v>
      </c>
      <c r="O8553" t="s">
        <v>23</v>
      </c>
      <c r="P8553" t="s">
        <v>1649</v>
      </c>
      <c r="Q8553" t="s">
        <v>1650</v>
      </c>
      <c r="R8553" t="s">
        <v>1651</v>
      </c>
    </row>
    <row r="8554" spans="1:18" x14ac:dyDescent="0.25">
      <c r="A8554" t="s">
        <v>12571</v>
      </c>
      <c r="B8554" t="s">
        <v>9967</v>
      </c>
      <c r="C8554" t="str">
        <f>HYPERLINK("https://nematode.unl.edu/plecpa19.jpg")</f>
        <v>https://nematode.unl.edu/plecpa19.jpg</v>
      </c>
      <c r="G8554" t="s">
        <v>28</v>
      </c>
      <c r="I8554" t="s">
        <v>19</v>
      </c>
      <c r="J8554" t="s">
        <v>20</v>
      </c>
      <c r="M8554" t="s">
        <v>9955</v>
      </c>
      <c r="N8554" t="s">
        <v>9955</v>
      </c>
      <c r="O8554" t="s">
        <v>23</v>
      </c>
      <c r="P8554" t="s">
        <v>1649</v>
      </c>
      <c r="Q8554" t="s">
        <v>1650</v>
      </c>
      <c r="R8554" t="s">
        <v>1651</v>
      </c>
    </row>
    <row r="8555" spans="1:18" x14ac:dyDescent="0.25">
      <c r="A8555" t="s">
        <v>12557</v>
      </c>
      <c r="B8555" t="s">
        <v>9968</v>
      </c>
      <c r="C8555" t="str">
        <f>HYPERLINK("https://nematode.unl.edu/plecpa2.jpg")</f>
        <v>https://nematode.unl.edu/plecpa2.jpg</v>
      </c>
      <c r="D8555" t="s">
        <v>43</v>
      </c>
      <c r="G8555" t="s">
        <v>34</v>
      </c>
      <c r="H8555" t="s">
        <v>18</v>
      </c>
      <c r="I8555" t="s">
        <v>41</v>
      </c>
      <c r="J8555" t="s">
        <v>20</v>
      </c>
      <c r="L8555" t="s">
        <v>64</v>
      </c>
      <c r="M8555" t="s">
        <v>9955</v>
      </c>
      <c r="N8555" t="s">
        <v>9955</v>
      </c>
      <c r="O8555" t="s">
        <v>23</v>
      </c>
      <c r="P8555" t="s">
        <v>1649</v>
      </c>
      <c r="Q8555" t="s">
        <v>1650</v>
      </c>
      <c r="R8555" t="s">
        <v>1651</v>
      </c>
    </row>
    <row r="8556" spans="1:18" x14ac:dyDescent="0.25">
      <c r="A8556" t="s">
        <v>12550</v>
      </c>
      <c r="B8556" t="s">
        <v>9969</v>
      </c>
      <c r="C8556" t="str">
        <f>HYPERLINK("https://nematode.unl.edu/plecpa20.jpg")</f>
        <v>https://nematode.unl.edu/plecpa20.jpg</v>
      </c>
      <c r="D8556" t="s">
        <v>16</v>
      </c>
      <c r="G8556" t="s">
        <v>386</v>
      </c>
      <c r="H8556" t="s">
        <v>18</v>
      </c>
      <c r="I8556" t="s">
        <v>19</v>
      </c>
      <c r="J8556" t="s">
        <v>20</v>
      </c>
      <c r="L8556" t="s">
        <v>85</v>
      </c>
      <c r="M8556" t="s">
        <v>9955</v>
      </c>
      <c r="N8556" t="s">
        <v>9955</v>
      </c>
      <c r="O8556" t="s">
        <v>23</v>
      </c>
      <c r="P8556" t="s">
        <v>1649</v>
      </c>
      <c r="Q8556" t="s">
        <v>1650</v>
      </c>
      <c r="R8556" t="s">
        <v>1651</v>
      </c>
    </row>
    <row r="8557" spans="1:18" x14ac:dyDescent="0.25">
      <c r="A8557" t="s">
        <v>12551</v>
      </c>
      <c r="B8557" t="s">
        <v>9970</v>
      </c>
      <c r="C8557" t="str">
        <f>HYPERLINK("https://nematode.unl.edu/plecpa3.jpg")</f>
        <v>https://nematode.unl.edu/plecpa3.jpg</v>
      </c>
      <c r="D8557" t="s">
        <v>43</v>
      </c>
      <c r="G8557" t="s">
        <v>386</v>
      </c>
      <c r="H8557" t="s">
        <v>18</v>
      </c>
      <c r="I8557" t="s">
        <v>41</v>
      </c>
      <c r="J8557" t="s">
        <v>20</v>
      </c>
      <c r="L8557" t="s">
        <v>141</v>
      </c>
      <c r="M8557" t="s">
        <v>9955</v>
      </c>
      <c r="N8557" t="s">
        <v>9955</v>
      </c>
      <c r="O8557" t="s">
        <v>23</v>
      </c>
      <c r="P8557" t="s">
        <v>1649</v>
      </c>
      <c r="Q8557" t="s">
        <v>1650</v>
      </c>
      <c r="R8557" t="s">
        <v>1651</v>
      </c>
    </row>
    <row r="8558" spans="1:18" x14ac:dyDescent="0.25">
      <c r="A8558" t="s">
        <v>12572</v>
      </c>
      <c r="B8558" t="s">
        <v>9971</v>
      </c>
      <c r="C8558" t="str">
        <f>HYPERLINK("https://nematode.unl.edu/plecpa4.jpg")</f>
        <v>https://nematode.unl.edu/plecpa4.jpg</v>
      </c>
      <c r="D8558" t="s">
        <v>43</v>
      </c>
      <c r="G8558" t="s">
        <v>28</v>
      </c>
      <c r="I8558" t="s">
        <v>41</v>
      </c>
      <c r="J8558" t="s">
        <v>20</v>
      </c>
      <c r="L8558" t="s">
        <v>193</v>
      </c>
      <c r="M8558" t="s">
        <v>9955</v>
      </c>
      <c r="N8558" t="s">
        <v>9955</v>
      </c>
      <c r="O8558" t="s">
        <v>23</v>
      </c>
      <c r="P8558" t="s">
        <v>1649</v>
      </c>
      <c r="Q8558" t="s">
        <v>1650</v>
      </c>
      <c r="R8558" t="s">
        <v>1651</v>
      </c>
    </row>
    <row r="8559" spans="1:18" x14ac:dyDescent="0.25">
      <c r="A8559" t="s">
        <v>12558</v>
      </c>
      <c r="B8559" t="s">
        <v>9972</v>
      </c>
      <c r="C8559" t="str">
        <f>HYPERLINK("https://nematode.unl.edu/plecpa5.jpg")</f>
        <v>https://nematode.unl.edu/plecpa5.jpg</v>
      </c>
      <c r="D8559" t="s">
        <v>43</v>
      </c>
      <c r="G8559" t="s">
        <v>34</v>
      </c>
      <c r="H8559" t="s">
        <v>18</v>
      </c>
      <c r="I8559" t="s">
        <v>19</v>
      </c>
      <c r="J8559" t="s">
        <v>20</v>
      </c>
      <c r="M8559" t="s">
        <v>9955</v>
      </c>
      <c r="N8559" t="s">
        <v>9955</v>
      </c>
      <c r="O8559" t="s">
        <v>23</v>
      </c>
      <c r="P8559" t="s">
        <v>1649</v>
      </c>
      <c r="Q8559" t="s">
        <v>1650</v>
      </c>
      <c r="R8559" t="s">
        <v>1651</v>
      </c>
    </row>
    <row r="8560" spans="1:18" x14ac:dyDescent="0.25">
      <c r="A8560" t="s">
        <v>12562</v>
      </c>
      <c r="B8560" t="s">
        <v>9973</v>
      </c>
      <c r="C8560" t="str">
        <f>HYPERLINK("https://nematode.unl.edu/plecpa6.jpg")</f>
        <v>https://nematode.unl.edu/plecpa6.jpg</v>
      </c>
      <c r="D8560" t="s">
        <v>43</v>
      </c>
      <c r="G8560" t="s">
        <v>384</v>
      </c>
      <c r="I8560" t="s">
        <v>19</v>
      </c>
      <c r="J8560" t="s">
        <v>20</v>
      </c>
      <c r="L8560" t="s">
        <v>85</v>
      </c>
      <c r="M8560" t="s">
        <v>9955</v>
      </c>
      <c r="N8560" t="s">
        <v>9955</v>
      </c>
      <c r="O8560" t="s">
        <v>23</v>
      </c>
      <c r="P8560" t="s">
        <v>1649</v>
      </c>
      <c r="Q8560" t="s">
        <v>1650</v>
      </c>
      <c r="R8560" t="s">
        <v>1651</v>
      </c>
    </row>
    <row r="8561" spans="1:18" x14ac:dyDescent="0.25">
      <c r="A8561" t="s">
        <v>12578</v>
      </c>
      <c r="B8561" t="s">
        <v>9974</v>
      </c>
      <c r="C8561" t="str">
        <f>HYPERLINK("https://nematode.unl.edu/plecpa7.jpg")</f>
        <v>https://nematode.unl.edu/plecpa7.jpg</v>
      </c>
      <c r="D8561" t="s">
        <v>43</v>
      </c>
      <c r="G8561" t="s">
        <v>51</v>
      </c>
      <c r="I8561" t="s">
        <v>19</v>
      </c>
      <c r="J8561" t="s">
        <v>20</v>
      </c>
      <c r="M8561" t="s">
        <v>9955</v>
      </c>
      <c r="N8561" t="s">
        <v>9955</v>
      </c>
      <c r="O8561" t="s">
        <v>23</v>
      </c>
      <c r="P8561" t="s">
        <v>1649</v>
      </c>
      <c r="Q8561" t="s">
        <v>1650</v>
      </c>
      <c r="R8561" t="s">
        <v>1651</v>
      </c>
    </row>
    <row r="8562" spans="1:18" x14ac:dyDescent="0.25">
      <c r="A8562" t="s">
        <v>12573</v>
      </c>
      <c r="B8562" t="s">
        <v>9975</v>
      </c>
      <c r="C8562" t="str">
        <f>HYPERLINK("https://nematode.unl.edu/plecpa8.jpg")</f>
        <v>https://nematode.unl.edu/plecpa8.jpg</v>
      </c>
      <c r="D8562" t="s">
        <v>43</v>
      </c>
      <c r="G8562" t="s">
        <v>28</v>
      </c>
      <c r="J8562" t="s">
        <v>20</v>
      </c>
      <c r="L8562" t="s">
        <v>85</v>
      </c>
      <c r="M8562" t="s">
        <v>9955</v>
      </c>
      <c r="N8562" t="s">
        <v>9955</v>
      </c>
      <c r="O8562" t="s">
        <v>23</v>
      </c>
      <c r="P8562" t="s">
        <v>1649</v>
      </c>
      <c r="Q8562" t="s">
        <v>1650</v>
      </c>
      <c r="R8562" t="s">
        <v>1651</v>
      </c>
    </row>
    <row r="8563" spans="1:18" x14ac:dyDescent="0.25">
      <c r="A8563" t="s">
        <v>12574</v>
      </c>
      <c r="B8563" t="s">
        <v>9976</v>
      </c>
      <c r="C8563" t="str">
        <f>HYPERLINK("https://nematode.unl.edu/plecpa9.jpg")</f>
        <v>https://nematode.unl.edu/plecpa9.jpg</v>
      </c>
      <c r="D8563" t="s">
        <v>43</v>
      </c>
      <c r="G8563" t="s">
        <v>28</v>
      </c>
      <c r="I8563" t="s">
        <v>41</v>
      </c>
      <c r="J8563" t="s">
        <v>482</v>
      </c>
      <c r="M8563" t="s">
        <v>9955</v>
      </c>
      <c r="N8563" t="s">
        <v>9955</v>
      </c>
      <c r="O8563" t="s">
        <v>23</v>
      </c>
      <c r="P8563" t="s">
        <v>1649</v>
      </c>
      <c r="Q8563" t="s">
        <v>1650</v>
      </c>
      <c r="R8563" t="s">
        <v>1651</v>
      </c>
    </row>
    <row r="8564" spans="1:18" x14ac:dyDescent="0.25">
      <c r="A8564" t="s">
        <v>12423</v>
      </c>
      <c r="B8564" t="s">
        <v>9810</v>
      </c>
      <c r="C8564" t="str">
        <f>HYPERLINK("https://nematode.unl.edu/plecu1.jpg")</f>
        <v>https://nematode.unl.edu/plecu1.jpg</v>
      </c>
      <c r="D8564" t="s">
        <v>43</v>
      </c>
      <c r="G8564" t="s">
        <v>28</v>
      </c>
      <c r="J8564" t="s">
        <v>482</v>
      </c>
      <c r="M8564" t="s">
        <v>9803</v>
      </c>
      <c r="N8564" t="s">
        <v>9803</v>
      </c>
      <c r="O8564" t="s">
        <v>23</v>
      </c>
      <c r="P8564" t="s">
        <v>1649</v>
      </c>
      <c r="Q8564" t="s">
        <v>1650</v>
      </c>
      <c r="R8564" t="s">
        <v>1651</v>
      </c>
    </row>
    <row r="8565" spans="1:18" x14ac:dyDescent="0.25">
      <c r="A8565" t="s">
        <v>12395</v>
      </c>
      <c r="B8565" t="s">
        <v>9811</v>
      </c>
      <c r="C8565" t="str">
        <f>HYPERLINK("https://nematode.unl.edu/plecu16.jpg")</f>
        <v>https://nematode.unl.edu/plecu16.jpg</v>
      </c>
      <c r="D8565" t="s">
        <v>16</v>
      </c>
      <c r="G8565" t="s">
        <v>34</v>
      </c>
      <c r="H8565" t="s">
        <v>18</v>
      </c>
      <c r="J8565" t="s">
        <v>482</v>
      </c>
      <c r="M8565" t="s">
        <v>9803</v>
      </c>
      <c r="N8565" t="s">
        <v>9803</v>
      </c>
      <c r="O8565" t="s">
        <v>23</v>
      </c>
      <c r="P8565" t="s">
        <v>1649</v>
      </c>
      <c r="Q8565" t="s">
        <v>1650</v>
      </c>
      <c r="R8565" t="s">
        <v>1651</v>
      </c>
    </row>
    <row r="8566" spans="1:18" x14ac:dyDescent="0.25">
      <c r="A8566" t="s">
        <v>12424</v>
      </c>
      <c r="B8566" t="s">
        <v>9812</v>
      </c>
      <c r="C8566" t="str">
        <f>HYPERLINK("https://nematode.unl.edu/plecu17.jpg")</f>
        <v>https://nematode.unl.edu/plecu17.jpg</v>
      </c>
      <c r="D8566" t="s">
        <v>16</v>
      </c>
      <c r="G8566" t="s">
        <v>28</v>
      </c>
      <c r="I8566" t="s">
        <v>19</v>
      </c>
      <c r="J8566" t="s">
        <v>482</v>
      </c>
      <c r="M8566" t="s">
        <v>9803</v>
      </c>
      <c r="N8566" t="s">
        <v>9803</v>
      </c>
      <c r="O8566" t="s">
        <v>23</v>
      </c>
      <c r="P8566" t="s">
        <v>1649</v>
      </c>
      <c r="Q8566" t="s">
        <v>1650</v>
      </c>
      <c r="R8566" t="s">
        <v>1651</v>
      </c>
    </row>
    <row r="8567" spans="1:18" x14ac:dyDescent="0.25">
      <c r="A8567" t="s">
        <v>12431</v>
      </c>
      <c r="B8567" t="s">
        <v>9813</v>
      </c>
      <c r="C8567" t="str">
        <f>HYPERLINK("https://nematode.unl.edu/plecu18.jpg")</f>
        <v>https://nematode.unl.edu/plecu18.jpg</v>
      </c>
      <c r="D8567" t="s">
        <v>43</v>
      </c>
      <c r="G8567" t="s">
        <v>51</v>
      </c>
      <c r="I8567" t="s">
        <v>19</v>
      </c>
      <c r="J8567" t="s">
        <v>482</v>
      </c>
      <c r="M8567" t="s">
        <v>9803</v>
      </c>
      <c r="N8567" t="s">
        <v>9803</v>
      </c>
      <c r="O8567" t="s">
        <v>23</v>
      </c>
      <c r="P8567" t="s">
        <v>1649</v>
      </c>
      <c r="Q8567" t="s">
        <v>1650</v>
      </c>
      <c r="R8567" t="s">
        <v>1651</v>
      </c>
    </row>
    <row r="8568" spans="1:18" x14ac:dyDescent="0.25">
      <c r="A8568" t="s">
        <v>12396</v>
      </c>
      <c r="B8568" t="s">
        <v>9814</v>
      </c>
      <c r="C8568" t="str">
        <f>HYPERLINK("https://nematode.unl.edu/plecu19.jpg")</f>
        <v>https://nematode.unl.edu/plecu19.jpg</v>
      </c>
      <c r="D8568" t="s">
        <v>43</v>
      </c>
      <c r="G8568" t="s">
        <v>34</v>
      </c>
      <c r="H8568" t="s">
        <v>18</v>
      </c>
      <c r="J8568" t="s">
        <v>482</v>
      </c>
      <c r="M8568" t="s">
        <v>9803</v>
      </c>
      <c r="N8568" t="s">
        <v>9803</v>
      </c>
      <c r="O8568" t="s">
        <v>23</v>
      </c>
      <c r="P8568" t="s">
        <v>1649</v>
      </c>
      <c r="Q8568" t="s">
        <v>1650</v>
      </c>
      <c r="R8568" t="s">
        <v>1651</v>
      </c>
    </row>
    <row r="8569" spans="1:18" x14ac:dyDescent="0.25">
      <c r="A8569" t="s">
        <v>12411</v>
      </c>
      <c r="B8569" t="s">
        <v>9815</v>
      </c>
      <c r="C8569" t="str">
        <f>HYPERLINK("https://nematode.unl.edu/plecu2.jpg")</f>
        <v>https://nematode.unl.edu/plecu2.jpg</v>
      </c>
      <c r="D8569" t="s">
        <v>43</v>
      </c>
      <c r="G8569" t="s">
        <v>44</v>
      </c>
      <c r="I8569" t="s">
        <v>45</v>
      </c>
      <c r="J8569" t="s">
        <v>482</v>
      </c>
      <c r="M8569" t="s">
        <v>9803</v>
      </c>
      <c r="N8569" t="s">
        <v>9803</v>
      </c>
      <c r="O8569" t="s">
        <v>23</v>
      </c>
      <c r="P8569" t="s">
        <v>1649</v>
      </c>
      <c r="Q8569" t="s">
        <v>1650</v>
      </c>
      <c r="R8569" t="s">
        <v>1651</v>
      </c>
    </row>
    <row r="8570" spans="1:18" x14ac:dyDescent="0.25">
      <c r="A8570" t="s">
        <v>12412</v>
      </c>
      <c r="B8570" t="s">
        <v>9816</v>
      </c>
      <c r="C8570" t="str">
        <f>HYPERLINK("https://nematode.unl.edu/plecu20.jpg")</f>
        <v>https://nematode.unl.edu/plecu20.jpg</v>
      </c>
      <c r="D8570" t="s">
        <v>43</v>
      </c>
      <c r="G8570" t="s">
        <v>44</v>
      </c>
      <c r="I8570" t="s">
        <v>137</v>
      </c>
      <c r="J8570" t="s">
        <v>482</v>
      </c>
      <c r="M8570" t="s">
        <v>9803</v>
      </c>
      <c r="N8570" t="s">
        <v>9803</v>
      </c>
      <c r="O8570" t="s">
        <v>23</v>
      </c>
      <c r="P8570" t="s">
        <v>1649</v>
      </c>
      <c r="Q8570" t="s">
        <v>1650</v>
      </c>
      <c r="R8570" t="s">
        <v>1651</v>
      </c>
    </row>
    <row r="8571" spans="1:18" x14ac:dyDescent="0.25">
      <c r="A8571" t="s">
        <v>12425</v>
      </c>
      <c r="B8571" t="s">
        <v>9817</v>
      </c>
      <c r="C8571" t="str">
        <f>HYPERLINK("https://nematode.unl.edu/plecu21.jpg")</f>
        <v>https://nematode.unl.edu/plecu21.jpg</v>
      </c>
      <c r="D8571" t="s">
        <v>43</v>
      </c>
      <c r="G8571" t="s">
        <v>28</v>
      </c>
      <c r="J8571" t="s">
        <v>482</v>
      </c>
      <c r="M8571" t="s">
        <v>9803</v>
      </c>
      <c r="N8571" t="s">
        <v>9803</v>
      </c>
      <c r="O8571" t="s">
        <v>23</v>
      </c>
      <c r="P8571" t="s">
        <v>1649</v>
      </c>
      <c r="Q8571" t="s">
        <v>1650</v>
      </c>
      <c r="R8571" t="s">
        <v>1651</v>
      </c>
    </row>
    <row r="8572" spans="1:18" x14ac:dyDescent="0.25">
      <c r="A8572" t="s">
        <v>12408</v>
      </c>
      <c r="B8572" t="s">
        <v>9818</v>
      </c>
      <c r="C8572" t="str">
        <f>HYPERLINK("https://nematode.unl.edu/plecu22.jpg")</f>
        <v>https://nematode.unl.edu/plecu22.jpg</v>
      </c>
      <c r="D8572" t="s">
        <v>43</v>
      </c>
      <c r="G8572" t="s">
        <v>257</v>
      </c>
      <c r="H8572" t="s">
        <v>18</v>
      </c>
      <c r="I8572" t="s">
        <v>41</v>
      </c>
      <c r="J8572" t="s">
        <v>482</v>
      </c>
      <c r="M8572" t="s">
        <v>9803</v>
      </c>
      <c r="N8572" t="s">
        <v>9803</v>
      </c>
      <c r="O8572" t="s">
        <v>23</v>
      </c>
      <c r="P8572" t="s">
        <v>1649</v>
      </c>
      <c r="Q8572" t="s">
        <v>1650</v>
      </c>
      <c r="R8572" t="s">
        <v>1651</v>
      </c>
    </row>
    <row r="8573" spans="1:18" x14ac:dyDescent="0.25">
      <c r="A8573" t="s">
        <v>12397</v>
      </c>
      <c r="B8573" t="s">
        <v>9819</v>
      </c>
      <c r="C8573" t="str">
        <f>HYPERLINK("https://nematode.unl.edu/plecu23.jpg")</f>
        <v>https://nematode.unl.edu/plecu23.jpg</v>
      </c>
      <c r="D8573" t="s">
        <v>43</v>
      </c>
      <c r="G8573" t="s">
        <v>34</v>
      </c>
      <c r="H8573" t="s">
        <v>18</v>
      </c>
      <c r="I8573" t="s">
        <v>41</v>
      </c>
      <c r="J8573" t="s">
        <v>482</v>
      </c>
      <c r="M8573" t="s">
        <v>9803</v>
      </c>
      <c r="N8573" t="s">
        <v>9803</v>
      </c>
      <c r="O8573" t="s">
        <v>23</v>
      </c>
      <c r="P8573" t="s">
        <v>1649</v>
      </c>
      <c r="Q8573" t="s">
        <v>1650</v>
      </c>
      <c r="R8573" t="s">
        <v>1651</v>
      </c>
    </row>
    <row r="8574" spans="1:18" x14ac:dyDescent="0.25">
      <c r="A8574" t="s">
        <v>12418</v>
      </c>
      <c r="B8574" t="s">
        <v>9820</v>
      </c>
      <c r="C8574" t="str">
        <f>HYPERLINK("https://nematode.unl.edu/plecu24.jpg")</f>
        <v>https://nematode.unl.edu/plecu24.jpg</v>
      </c>
      <c r="D8574" t="s">
        <v>43</v>
      </c>
      <c r="G8574" t="s">
        <v>53</v>
      </c>
      <c r="I8574" t="s">
        <v>41</v>
      </c>
      <c r="J8574" t="s">
        <v>482</v>
      </c>
      <c r="M8574" t="s">
        <v>9803</v>
      </c>
      <c r="N8574" t="s">
        <v>9803</v>
      </c>
      <c r="O8574" t="s">
        <v>23</v>
      </c>
      <c r="P8574" t="s">
        <v>1649</v>
      </c>
      <c r="Q8574" t="s">
        <v>1650</v>
      </c>
      <c r="R8574" t="s">
        <v>1651</v>
      </c>
    </row>
    <row r="8575" spans="1:18" x14ac:dyDescent="0.25">
      <c r="A8575" t="s">
        <v>12413</v>
      </c>
      <c r="B8575" t="s">
        <v>9821</v>
      </c>
      <c r="C8575" t="str">
        <f>HYPERLINK("https://nematode.unl.edu/plecu25.jpg")</f>
        <v>https://nematode.unl.edu/plecu25.jpg</v>
      </c>
      <c r="D8575" t="s">
        <v>43</v>
      </c>
      <c r="G8575" t="s">
        <v>44</v>
      </c>
      <c r="I8575" t="s">
        <v>45</v>
      </c>
      <c r="J8575" t="s">
        <v>482</v>
      </c>
      <c r="M8575" t="s">
        <v>9803</v>
      </c>
      <c r="N8575" t="s">
        <v>9803</v>
      </c>
      <c r="O8575" t="s">
        <v>23</v>
      </c>
      <c r="P8575" t="s">
        <v>1649</v>
      </c>
      <c r="Q8575" t="s">
        <v>1650</v>
      </c>
      <c r="R8575" t="s">
        <v>1651</v>
      </c>
    </row>
    <row r="8576" spans="1:18" x14ac:dyDescent="0.25">
      <c r="A8576" t="s">
        <v>12419</v>
      </c>
      <c r="B8576" t="s">
        <v>9822</v>
      </c>
      <c r="C8576" t="str">
        <f>HYPERLINK("https://nematode.unl.edu/plecu26.jpg")</f>
        <v>https://nematode.unl.edu/plecu26.jpg</v>
      </c>
      <c r="G8576" t="s">
        <v>53</v>
      </c>
      <c r="I8576" t="s">
        <v>41</v>
      </c>
      <c r="J8576" t="s">
        <v>482</v>
      </c>
      <c r="M8576" t="s">
        <v>9803</v>
      </c>
      <c r="N8576" t="s">
        <v>9803</v>
      </c>
      <c r="O8576" t="s">
        <v>23</v>
      </c>
      <c r="P8576" t="s">
        <v>1649</v>
      </c>
      <c r="Q8576" t="s">
        <v>1650</v>
      </c>
      <c r="R8576" t="s">
        <v>1651</v>
      </c>
    </row>
    <row r="8577" spans="1:18" x14ac:dyDescent="0.25">
      <c r="A8577" t="s">
        <v>12416</v>
      </c>
      <c r="B8577" t="s">
        <v>9823</v>
      </c>
      <c r="C8577" t="str">
        <f>HYPERLINK("https://nematode.unl.edu/plecu27.jpg")</f>
        <v>https://nematode.unl.edu/plecu27.jpg</v>
      </c>
      <c r="D8577" t="s">
        <v>43</v>
      </c>
      <c r="G8577" t="s">
        <v>5165</v>
      </c>
      <c r="I8577" t="s">
        <v>529</v>
      </c>
      <c r="J8577" t="s">
        <v>482</v>
      </c>
      <c r="M8577" t="s">
        <v>9803</v>
      </c>
      <c r="N8577" t="s">
        <v>9803</v>
      </c>
      <c r="O8577" t="s">
        <v>23</v>
      </c>
      <c r="P8577" t="s">
        <v>1649</v>
      </c>
      <c r="Q8577" t="s">
        <v>1650</v>
      </c>
      <c r="R8577" t="s">
        <v>1651</v>
      </c>
    </row>
    <row r="8578" spans="1:18" x14ac:dyDescent="0.25">
      <c r="A8578" t="s">
        <v>12409</v>
      </c>
      <c r="B8578" t="s">
        <v>9824</v>
      </c>
      <c r="C8578" t="str">
        <f>HYPERLINK("https://nematode.unl.edu/plecu28.jpg")</f>
        <v>https://nematode.unl.edu/plecu28.jpg</v>
      </c>
      <c r="D8578" t="s">
        <v>43</v>
      </c>
      <c r="G8578" t="s">
        <v>257</v>
      </c>
      <c r="H8578" t="s">
        <v>18</v>
      </c>
      <c r="I8578" t="s">
        <v>41</v>
      </c>
      <c r="J8578" t="s">
        <v>482</v>
      </c>
      <c r="M8578" t="s">
        <v>9803</v>
      </c>
      <c r="N8578" t="s">
        <v>9803</v>
      </c>
      <c r="O8578" t="s">
        <v>23</v>
      </c>
      <c r="P8578" t="s">
        <v>1649</v>
      </c>
      <c r="Q8578" t="s">
        <v>1650</v>
      </c>
      <c r="R8578" t="s">
        <v>1651</v>
      </c>
    </row>
    <row r="8579" spans="1:18" x14ac:dyDescent="0.25">
      <c r="A8579" t="s">
        <v>12432</v>
      </c>
      <c r="B8579" t="s">
        <v>9825</v>
      </c>
      <c r="C8579" t="str">
        <f>HYPERLINK("https://nematode.unl.edu/plecu3.jpg")</f>
        <v>https://nematode.unl.edu/plecu3.jpg</v>
      </c>
      <c r="D8579" t="s">
        <v>43</v>
      </c>
      <c r="G8579" t="s">
        <v>51</v>
      </c>
      <c r="J8579" t="s">
        <v>482</v>
      </c>
      <c r="M8579" t="s">
        <v>9803</v>
      </c>
      <c r="N8579" t="s">
        <v>9803</v>
      </c>
      <c r="O8579" t="s">
        <v>23</v>
      </c>
      <c r="P8579" t="s">
        <v>1649</v>
      </c>
      <c r="Q8579" t="s">
        <v>1650</v>
      </c>
      <c r="R8579" t="s">
        <v>1651</v>
      </c>
    </row>
    <row r="8580" spans="1:18" x14ac:dyDescent="0.25">
      <c r="A8580" t="s">
        <v>12390</v>
      </c>
      <c r="B8580" t="s">
        <v>9826</v>
      </c>
      <c r="C8580" t="str">
        <f>HYPERLINK("https://nematode.unl.edu/plecu4.jpg")</f>
        <v>https://nematode.unl.edu/plecu4.jpg</v>
      </c>
      <c r="D8580" t="s">
        <v>43</v>
      </c>
      <c r="G8580" t="s">
        <v>386</v>
      </c>
      <c r="H8580" t="s">
        <v>18</v>
      </c>
      <c r="I8580" t="s">
        <v>19</v>
      </c>
      <c r="J8580" t="s">
        <v>482</v>
      </c>
      <c r="M8580" t="s">
        <v>9803</v>
      </c>
      <c r="N8580" t="s">
        <v>9803</v>
      </c>
      <c r="O8580" t="s">
        <v>23</v>
      </c>
      <c r="P8580" t="s">
        <v>1649</v>
      </c>
      <c r="Q8580" t="s">
        <v>1650</v>
      </c>
      <c r="R8580" t="s">
        <v>1651</v>
      </c>
    </row>
    <row r="8581" spans="1:18" x14ac:dyDescent="0.25">
      <c r="A8581" t="s">
        <v>12398</v>
      </c>
      <c r="B8581" t="s">
        <v>9827</v>
      </c>
      <c r="C8581" t="str">
        <f>HYPERLINK("https://nematode.unl.edu/plecu5.jpg")</f>
        <v>https://nematode.unl.edu/plecu5.jpg</v>
      </c>
      <c r="D8581" t="s">
        <v>43</v>
      </c>
      <c r="G8581" t="s">
        <v>34</v>
      </c>
      <c r="H8581" t="s">
        <v>18</v>
      </c>
      <c r="J8581" t="s">
        <v>482</v>
      </c>
      <c r="M8581" t="s">
        <v>9803</v>
      </c>
      <c r="N8581" t="s">
        <v>9803</v>
      </c>
      <c r="O8581" t="s">
        <v>23</v>
      </c>
      <c r="P8581" t="s">
        <v>1649</v>
      </c>
      <c r="Q8581" t="s">
        <v>1650</v>
      </c>
      <c r="R8581" t="s">
        <v>1651</v>
      </c>
    </row>
    <row r="8582" spans="1:18" x14ac:dyDescent="0.25">
      <c r="A8582" t="s">
        <v>12399</v>
      </c>
      <c r="B8582" t="s">
        <v>9828</v>
      </c>
      <c r="C8582" t="str">
        <f>HYPERLINK("https://nematode.unl.edu/plecu6.jpg")</f>
        <v>https://nematode.unl.edu/plecu6.jpg</v>
      </c>
      <c r="D8582" t="s">
        <v>43</v>
      </c>
      <c r="G8582" t="s">
        <v>34</v>
      </c>
      <c r="H8582" t="s">
        <v>18</v>
      </c>
      <c r="I8582" t="s">
        <v>41</v>
      </c>
      <c r="J8582" t="s">
        <v>482</v>
      </c>
      <c r="M8582" t="s">
        <v>9803</v>
      </c>
      <c r="N8582" t="s">
        <v>9803</v>
      </c>
      <c r="O8582" t="s">
        <v>23</v>
      </c>
      <c r="P8582" t="s">
        <v>1649</v>
      </c>
      <c r="Q8582" t="s">
        <v>1650</v>
      </c>
      <c r="R8582" t="s">
        <v>1651</v>
      </c>
    </row>
    <row r="8583" spans="1:18" x14ac:dyDescent="0.25">
      <c r="A8583" t="s">
        <v>12400</v>
      </c>
      <c r="B8583" t="s">
        <v>9829</v>
      </c>
      <c r="C8583" t="str">
        <f>HYPERLINK("https://nematode.unl.edu/plecu7.jpg")</f>
        <v>https://nematode.unl.edu/plecu7.jpg</v>
      </c>
      <c r="D8583" t="s">
        <v>43</v>
      </c>
      <c r="G8583" t="s">
        <v>34</v>
      </c>
      <c r="H8583" t="s">
        <v>18</v>
      </c>
      <c r="I8583" t="s">
        <v>41</v>
      </c>
      <c r="J8583" t="s">
        <v>482</v>
      </c>
      <c r="M8583" t="s">
        <v>9803</v>
      </c>
      <c r="N8583" t="s">
        <v>9803</v>
      </c>
      <c r="O8583" t="s">
        <v>23</v>
      </c>
      <c r="P8583" t="s">
        <v>1649</v>
      </c>
      <c r="Q8583" t="s">
        <v>1650</v>
      </c>
      <c r="R8583" t="s">
        <v>1651</v>
      </c>
    </row>
    <row r="8584" spans="1:18" x14ac:dyDescent="0.25">
      <c r="A8584" t="s">
        <v>12410</v>
      </c>
      <c r="B8584" t="s">
        <v>9830</v>
      </c>
      <c r="C8584" t="str">
        <f>HYPERLINK("https://nematode.unl.edu/plecu8.jpg")</f>
        <v>https://nematode.unl.edu/plecu8.jpg</v>
      </c>
      <c r="D8584" t="s">
        <v>43</v>
      </c>
      <c r="G8584" t="s">
        <v>384</v>
      </c>
      <c r="I8584" t="s">
        <v>41</v>
      </c>
      <c r="J8584" t="s">
        <v>482</v>
      </c>
      <c r="M8584" t="s">
        <v>9803</v>
      </c>
      <c r="N8584" t="s">
        <v>9803</v>
      </c>
      <c r="O8584" t="s">
        <v>23</v>
      </c>
      <c r="P8584" t="s">
        <v>1649</v>
      </c>
      <c r="Q8584" t="s">
        <v>1650</v>
      </c>
      <c r="R8584" t="s">
        <v>1651</v>
      </c>
    </row>
    <row r="8585" spans="1:18" x14ac:dyDescent="0.25">
      <c r="A8585" t="s">
        <v>12508</v>
      </c>
      <c r="B8585" t="s">
        <v>9921</v>
      </c>
      <c r="C8585" t="str">
        <f>HYPERLINK("https://nematode.unl.edu/plege1.jpg")</f>
        <v>https://nematode.unl.edu/plege1.jpg</v>
      </c>
      <c r="D8585" t="s">
        <v>43</v>
      </c>
      <c r="G8585" t="s">
        <v>44</v>
      </c>
      <c r="I8585" t="s">
        <v>137</v>
      </c>
      <c r="J8585" t="s">
        <v>20</v>
      </c>
      <c r="L8585" t="s">
        <v>206</v>
      </c>
      <c r="M8585" t="s">
        <v>1654</v>
      </c>
      <c r="N8585" t="s">
        <v>1654</v>
      </c>
      <c r="O8585" t="s">
        <v>23</v>
      </c>
      <c r="P8585" t="s">
        <v>1649</v>
      </c>
      <c r="Q8585" t="s">
        <v>1650</v>
      </c>
      <c r="R8585" t="s">
        <v>1651</v>
      </c>
    </row>
    <row r="8586" spans="1:18" x14ac:dyDescent="0.25">
      <c r="A8586" t="s">
        <v>12500</v>
      </c>
      <c r="B8586" t="s">
        <v>9922</v>
      </c>
      <c r="C8586" t="str">
        <f>HYPERLINK("https://nematode.unl.edu/plege10.jpg")</f>
        <v>https://nematode.unl.edu/plege10.jpg</v>
      </c>
      <c r="D8586" t="s">
        <v>43</v>
      </c>
      <c r="G8586" t="s">
        <v>34</v>
      </c>
      <c r="H8586" t="s">
        <v>18</v>
      </c>
      <c r="I8586" t="s">
        <v>41</v>
      </c>
      <c r="J8586" t="s">
        <v>20</v>
      </c>
      <c r="L8586" t="s">
        <v>206</v>
      </c>
      <c r="M8586" t="s">
        <v>1654</v>
      </c>
      <c r="N8586" t="s">
        <v>1654</v>
      </c>
      <c r="O8586" t="s">
        <v>23</v>
      </c>
      <c r="P8586" t="s">
        <v>1649</v>
      </c>
      <c r="Q8586" t="s">
        <v>1650</v>
      </c>
      <c r="R8586" t="s">
        <v>1651</v>
      </c>
    </row>
    <row r="8587" spans="1:18" x14ac:dyDescent="0.25">
      <c r="A8587" t="s">
        <v>12510</v>
      </c>
      <c r="B8587" t="s">
        <v>9923</v>
      </c>
      <c r="C8587" t="str">
        <f>HYPERLINK("https://nematode.unl.edu/plege11.jpg")</f>
        <v>https://nematode.unl.edu/plege11.jpg</v>
      </c>
      <c r="D8587" t="s">
        <v>43</v>
      </c>
      <c r="G8587" t="s">
        <v>53</v>
      </c>
      <c r="I8587" t="s">
        <v>529</v>
      </c>
      <c r="J8587" t="s">
        <v>20</v>
      </c>
      <c r="L8587" t="s">
        <v>206</v>
      </c>
      <c r="M8587" t="s">
        <v>1654</v>
      </c>
      <c r="N8587" t="s">
        <v>1654</v>
      </c>
      <c r="O8587" t="s">
        <v>23</v>
      </c>
      <c r="P8587" t="s">
        <v>1649</v>
      </c>
      <c r="Q8587" t="s">
        <v>1650</v>
      </c>
      <c r="R8587" t="s">
        <v>1651</v>
      </c>
    </row>
    <row r="8588" spans="1:18" x14ac:dyDescent="0.25">
      <c r="A8588" t="s">
        <v>12506</v>
      </c>
      <c r="B8588" t="s">
        <v>9924</v>
      </c>
      <c r="C8588" t="str">
        <f>HYPERLINK("https://nematode.unl.edu/plege12.jpg")</f>
        <v>https://nematode.unl.edu/plege12.jpg</v>
      </c>
      <c r="D8588" t="s">
        <v>43</v>
      </c>
      <c r="G8588" t="s">
        <v>384</v>
      </c>
      <c r="I8588" t="s">
        <v>529</v>
      </c>
      <c r="J8588" t="s">
        <v>20</v>
      </c>
      <c r="L8588" t="s">
        <v>206</v>
      </c>
      <c r="M8588" t="s">
        <v>1654</v>
      </c>
      <c r="N8588" t="s">
        <v>1654</v>
      </c>
      <c r="O8588" t="s">
        <v>23</v>
      </c>
      <c r="P8588" t="s">
        <v>1649</v>
      </c>
      <c r="Q8588" t="s">
        <v>1650</v>
      </c>
      <c r="R8588" t="s">
        <v>1651</v>
      </c>
    </row>
    <row r="8589" spans="1:18" x14ac:dyDescent="0.25">
      <c r="A8589" t="s">
        <v>12512</v>
      </c>
      <c r="B8589" t="s">
        <v>9925</v>
      </c>
      <c r="C8589" t="str">
        <f>HYPERLINK("https://nematode.unl.edu/plege13.jpg")</f>
        <v>https://nematode.unl.edu/plege13.jpg</v>
      </c>
      <c r="D8589" t="s">
        <v>43</v>
      </c>
      <c r="G8589" t="s">
        <v>28</v>
      </c>
      <c r="J8589" t="s">
        <v>20</v>
      </c>
      <c r="M8589" t="s">
        <v>1654</v>
      </c>
      <c r="N8589" t="s">
        <v>1654</v>
      </c>
      <c r="O8589" t="s">
        <v>23</v>
      </c>
      <c r="P8589" t="s">
        <v>1649</v>
      </c>
      <c r="Q8589" t="s">
        <v>1650</v>
      </c>
      <c r="R8589" t="s">
        <v>1651</v>
      </c>
    </row>
    <row r="8590" spans="1:18" x14ac:dyDescent="0.25">
      <c r="A8590" t="s">
        <v>12513</v>
      </c>
      <c r="B8590" t="s">
        <v>9926</v>
      </c>
      <c r="C8590" t="str">
        <f>HYPERLINK("https://nematode.unl.edu/plege14.jpg")</f>
        <v>https://nematode.unl.edu/plege14.jpg</v>
      </c>
      <c r="D8590" t="s">
        <v>43</v>
      </c>
      <c r="G8590" t="s">
        <v>28</v>
      </c>
      <c r="I8590" t="s">
        <v>41</v>
      </c>
      <c r="J8590" t="s">
        <v>20</v>
      </c>
      <c r="L8590" t="s">
        <v>206</v>
      </c>
      <c r="M8590" t="s">
        <v>1654</v>
      </c>
      <c r="N8590" t="s">
        <v>1654</v>
      </c>
      <c r="O8590" t="s">
        <v>23</v>
      </c>
      <c r="P8590" t="s">
        <v>1649</v>
      </c>
      <c r="Q8590" t="s">
        <v>1650</v>
      </c>
      <c r="R8590" t="s">
        <v>1651</v>
      </c>
    </row>
    <row r="8591" spans="1:18" x14ac:dyDescent="0.25">
      <c r="A8591" t="s">
        <v>12501</v>
      </c>
      <c r="B8591" t="s">
        <v>9927</v>
      </c>
      <c r="C8591" t="str">
        <f>HYPERLINK("https://nematode.unl.edu/plege15.jpg")</f>
        <v>https://nematode.unl.edu/plege15.jpg</v>
      </c>
      <c r="D8591" t="s">
        <v>43</v>
      </c>
      <c r="G8591" t="s">
        <v>34</v>
      </c>
      <c r="H8591" t="s">
        <v>18</v>
      </c>
      <c r="I8591" t="s">
        <v>529</v>
      </c>
      <c r="J8591" t="s">
        <v>20</v>
      </c>
      <c r="L8591" t="s">
        <v>206</v>
      </c>
      <c r="M8591" t="s">
        <v>1654</v>
      </c>
      <c r="N8591" t="s">
        <v>1654</v>
      </c>
      <c r="O8591" t="s">
        <v>23</v>
      </c>
      <c r="P8591" t="s">
        <v>1649</v>
      </c>
      <c r="Q8591" t="s">
        <v>1650</v>
      </c>
      <c r="R8591" t="s">
        <v>1651</v>
      </c>
    </row>
    <row r="8592" spans="1:18" x14ac:dyDescent="0.25">
      <c r="A8592" t="s">
        <v>12518</v>
      </c>
      <c r="B8592" t="s">
        <v>9928</v>
      </c>
      <c r="C8592" t="str">
        <f>HYPERLINK("https://nematode.unl.edu/plege16.jpg")</f>
        <v>https://nematode.unl.edu/plege16.jpg</v>
      </c>
      <c r="D8592" t="s">
        <v>43</v>
      </c>
      <c r="G8592" t="s">
        <v>51</v>
      </c>
      <c r="J8592" t="s">
        <v>20</v>
      </c>
      <c r="L8592" t="s">
        <v>64</v>
      </c>
      <c r="M8592" t="s">
        <v>1654</v>
      </c>
      <c r="N8592" t="s">
        <v>1654</v>
      </c>
      <c r="O8592" t="s">
        <v>23</v>
      </c>
      <c r="P8592" t="s">
        <v>1649</v>
      </c>
      <c r="Q8592" t="s">
        <v>1650</v>
      </c>
      <c r="R8592" t="s">
        <v>1651</v>
      </c>
    </row>
    <row r="8593" spans="1:18" x14ac:dyDescent="0.25">
      <c r="A8593" t="s">
        <v>12507</v>
      </c>
      <c r="B8593" t="s">
        <v>9929</v>
      </c>
      <c r="C8593" t="str">
        <f>HYPERLINK("https://nematode.unl.edu/plege17.jpg")</f>
        <v>https://nematode.unl.edu/plege17.jpg</v>
      </c>
      <c r="D8593" t="s">
        <v>43</v>
      </c>
      <c r="G8593" t="s">
        <v>87</v>
      </c>
      <c r="I8593" t="s">
        <v>41</v>
      </c>
      <c r="J8593" t="s">
        <v>20</v>
      </c>
      <c r="L8593" t="s">
        <v>64</v>
      </c>
      <c r="M8593" t="s">
        <v>1654</v>
      </c>
      <c r="N8593" t="s">
        <v>1654</v>
      </c>
      <c r="O8593" t="s">
        <v>23</v>
      </c>
      <c r="P8593" t="s">
        <v>1649</v>
      </c>
      <c r="Q8593" t="s">
        <v>1650</v>
      </c>
      <c r="R8593" t="s">
        <v>1651</v>
      </c>
    </row>
    <row r="8594" spans="1:18" x14ac:dyDescent="0.25">
      <c r="A8594" t="s">
        <v>12502</v>
      </c>
      <c r="B8594" t="s">
        <v>9930</v>
      </c>
      <c r="C8594" t="str">
        <f>HYPERLINK("https://nematode.unl.edu/plege18.jpg")</f>
        <v>https://nematode.unl.edu/plege18.jpg</v>
      </c>
      <c r="D8594" t="s">
        <v>43</v>
      </c>
      <c r="G8594" t="s">
        <v>34</v>
      </c>
      <c r="H8594" t="s">
        <v>18</v>
      </c>
      <c r="I8594" t="s">
        <v>41</v>
      </c>
      <c r="J8594" t="s">
        <v>20</v>
      </c>
      <c r="L8594" t="s">
        <v>64</v>
      </c>
      <c r="M8594" t="s">
        <v>1654</v>
      </c>
      <c r="N8594" t="s">
        <v>1654</v>
      </c>
      <c r="O8594" t="s">
        <v>23</v>
      </c>
      <c r="P8594" t="s">
        <v>1649</v>
      </c>
      <c r="Q8594" t="s">
        <v>1650</v>
      </c>
      <c r="R8594" t="s">
        <v>1651</v>
      </c>
    </row>
    <row r="8595" spans="1:18" x14ac:dyDescent="0.25">
      <c r="A8595" t="s">
        <v>12503</v>
      </c>
      <c r="B8595" t="s">
        <v>9931</v>
      </c>
      <c r="C8595" t="str">
        <f>HYPERLINK("https://nematode.unl.edu/plege19.jpg")</f>
        <v>https://nematode.unl.edu/plege19.jpg</v>
      </c>
      <c r="D8595" t="s">
        <v>16</v>
      </c>
      <c r="G8595" t="s">
        <v>34</v>
      </c>
      <c r="H8595" t="s">
        <v>18</v>
      </c>
      <c r="I8595" t="s">
        <v>516</v>
      </c>
      <c r="J8595" t="s">
        <v>20</v>
      </c>
      <c r="L8595" t="s">
        <v>206</v>
      </c>
      <c r="M8595" t="s">
        <v>1654</v>
      </c>
      <c r="N8595" t="s">
        <v>1654</v>
      </c>
      <c r="O8595" t="s">
        <v>23</v>
      </c>
      <c r="P8595" t="s">
        <v>1649</v>
      </c>
      <c r="Q8595" t="s">
        <v>1650</v>
      </c>
      <c r="R8595" t="s">
        <v>1651</v>
      </c>
    </row>
    <row r="8596" spans="1:18" x14ac:dyDescent="0.25">
      <c r="A8596" t="s">
        <v>12504</v>
      </c>
      <c r="B8596" t="s">
        <v>9932</v>
      </c>
      <c r="C8596" t="str">
        <f>HYPERLINK("https://nematode.unl.edu/plege2.jpg")</f>
        <v>https://nematode.unl.edu/plege2.jpg</v>
      </c>
      <c r="D8596" t="s">
        <v>43</v>
      </c>
      <c r="G8596" t="s">
        <v>34</v>
      </c>
      <c r="H8596" t="s">
        <v>18</v>
      </c>
      <c r="I8596" t="s">
        <v>19</v>
      </c>
      <c r="J8596" t="s">
        <v>20</v>
      </c>
      <c r="M8596" t="s">
        <v>1654</v>
      </c>
      <c r="N8596" t="s">
        <v>1654</v>
      </c>
      <c r="O8596" t="s">
        <v>23</v>
      </c>
      <c r="P8596" t="s">
        <v>1649</v>
      </c>
      <c r="Q8596" t="s">
        <v>1650</v>
      </c>
      <c r="R8596" t="s">
        <v>1651</v>
      </c>
    </row>
    <row r="8597" spans="1:18" x14ac:dyDescent="0.25">
      <c r="A8597" t="s">
        <v>12514</v>
      </c>
      <c r="B8597" t="s">
        <v>9933</v>
      </c>
      <c r="C8597" t="str">
        <f>HYPERLINK("https://nematode.unl.edu/plege20.jpg")</f>
        <v>https://nematode.unl.edu/plege20.jpg</v>
      </c>
      <c r="G8597" t="s">
        <v>28</v>
      </c>
      <c r="J8597" t="s">
        <v>20</v>
      </c>
      <c r="M8597" t="s">
        <v>1654</v>
      </c>
      <c r="N8597" t="s">
        <v>1654</v>
      </c>
      <c r="O8597" t="s">
        <v>23</v>
      </c>
      <c r="P8597" t="s">
        <v>1649</v>
      </c>
      <c r="Q8597" t="s">
        <v>1650</v>
      </c>
      <c r="R8597" t="s">
        <v>1651</v>
      </c>
    </row>
    <row r="8598" spans="1:18" x14ac:dyDescent="0.25">
      <c r="A8598" t="s">
        <v>12515</v>
      </c>
      <c r="B8598" t="s">
        <v>9934</v>
      </c>
      <c r="C8598" t="str">
        <f>HYPERLINK("https://nematode.unl.edu/plege3.jpg")</f>
        <v>https://nematode.unl.edu/plege3.jpg</v>
      </c>
      <c r="D8598" t="s">
        <v>43</v>
      </c>
      <c r="G8598" t="s">
        <v>28</v>
      </c>
      <c r="I8598" t="s">
        <v>19</v>
      </c>
      <c r="J8598" t="s">
        <v>20</v>
      </c>
      <c r="L8598" t="s">
        <v>206</v>
      </c>
      <c r="M8598" t="s">
        <v>1654</v>
      </c>
      <c r="N8598" t="s">
        <v>1654</v>
      </c>
      <c r="O8598" t="s">
        <v>23</v>
      </c>
      <c r="P8598" t="s">
        <v>1649</v>
      </c>
      <c r="Q8598" t="s">
        <v>1650</v>
      </c>
      <c r="R8598" t="s">
        <v>1651</v>
      </c>
    </row>
    <row r="8599" spans="1:18" x14ac:dyDescent="0.25">
      <c r="A8599" t="s">
        <v>12516</v>
      </c>
      <c r="B8599" t="s">
        <v>9935</v>
      </c>
      <c r="C8599" t="str">
        <f>HYPERLINK("https://nematode.unl.edu/plege4.jpg")</f>
        <v>https://nematode.unl.edu/plege4.jpg</v>
      </c>
      <c r="D8599" t="s">
        <v>43</v>
      </c>
      <c r="G8599" t="s">
        <v>28</v>
      </c>
      <c r="I8599" t="s">
        <v>41</v>
      </c>
      <c r="J8599" t="s">
        <v>20</v>
      </c>
      <c r="L8599" t="s">
        <v>206</v>
      </c>
      <c r="M8599" t="s">
        <v>1654</v>
      </c>
      <c r="N8599" t="s">
        <v>1654</v>
      </c>
      <c r="O8599" t="s">
        <v>23</v>
      </c>
      <c r="P8599" t="s">
        <v>1649</v>
      </c>
      <c r="Q8599" t="s">
        <v>1650</v>
      </c>
      <c r="R8599" t="s">
        <v>1651</v>
      </c>
    </row>
    <row r="8600" spans="1:18" x14ac:dyDescent="0.25">
      <c r="A8600" t="s">
        <v>12511</v>
      </c>
      <c r="B8600" t="s">
        <v>9936</v>
      </c>
      <c r="C8600" t="str">
        <f>HYPERLINK("https://nematode.unl.edu/plege5.jpg")</f>
        <v>https://nematode.unl.edu/plege5.jpg</v>
      </c>
      <c r="D8600" t="s">
        <v>43</v>
      </c>
      <c r="G8600" t="s">
        <v>53</v>
      </c>
      <c r="J8600" t="s">
        <v>20</v>
      </c>
      <c r="L8600" t="s">
        <v>206</v>
      </c>
      <c r="M8600" t="s">
        <v>1654</v>
      </c>
      <c r="N8600" t="s">
        <v>1654</v>
      </c>
      <c r="O8600" t="s">
        <v>23</v>
      </c>
      <c r="P8600" t="s">
        <v>1649</v>
      </c>
      <c r="Q8600" t="s">
        <v>1650</v>
      </c>
      <c r="R8600" t="s">
        <v>1651</v>
      </c>
    </row>
    <row r="8601" spans="1:18" x14ac:dyDescent="0.25">
      <c r="A8601" t="s">
        <v>12509</v>
      </c>
      <c r="B8601" t="s">
        <v>9937</v>
      </c>
      <c r="C8601" t="str">
        <f>HYPERLINK("https://nematode.unl.edu/plege6.jpg")</f>
        <v>https://nematode.unl.edu/plege6.jpg</v>
      </c>
      <c r="D8601" t="s">
        <v>43</v>
      </c>
      <c r="G8601" t="s">
        <v>44</v>
      </c>
      <c r="I8601" t="s">
        <v>499</v>
      </c>
      <c r="J8601" t="s">
        <v>20</v>
      </c>
      <c r="L8601" t="s">
        <v>206</v>
      </c>
      <c r="M8601" t="s">
        <v>1654</v>
      </c>
      <c r="N8601" t="s">
        <v>1654</v>
      </c>
      <c r="O8601" t="s">
        <v>23</v>
      </c>
      <c r="P8601" t="s">
        <v>1649</v>
      </c>
      <c r="Q8601" t="s">
        <v>1650</v>
      </c>
      <c r="R8601" t="s">
        <v>1651</v>
      </c>
    </row>
    <row r="8602" spans="1:18" x14ac:dyDescent="0.25">
      <c r="A8602" t="s">
        <v>12505</v>
      </c>
      <c r="B8602" t="s">
        <v>9938</v>
      </c>
      <c r="C8602" t="str">
        <f>HYPERLINK("https://nematode.unl.edu/plege7.jpg")</f>
        <v>https://nematode.unl.edu/plege7.jpg</v>
      </c>
      <c r="D8602" t="s">
        <v>43</v>
      </c>
      <c r="G8602" t="s">
        <v>34</v>
      </c>
      <c r="H8602" t="s">
        <v>18</v>
      </c>
      <c r="I8602" t="s">
        <v>516</v>
      </c>
      <c r="J8602" t="s">
        <v>20</v>
      </c>
      <c r="L8602" t="s">
        <v>206</v>
      </c>
      <c r="M8602" t="s">
        <v>1654</v>
      </c>
      <c r="N8602" t="s">
        <v>1654</v>
      </c>
      <c r="O8602" t="s">
        <v>23</v>
      </c>
      <c r="P8602" t="s">
        <v>1649</v>
      </c>
      <c r="Q8602" t="s">
        <v>1650</v>
      </c>
      <c r="R8602" t="s">
        <v>1651</v>
      </c>
    </row>
    <row r="8603" spans="1:18" x14ac:dyDescent="0.25">
      <c r="A8603" t="s">
        <v>12519</v>
      </c>
      <c r="B8603" t="s">
        <v>9939</v>
      </c>
      <c r="C8603" t="str">
        <f>HYPERLINK("https://nematode.unl.edu/plege8.jpg")</f>
        <v>https://nematode.unl.edu/plege8.jpg</v>
      </c>
      <c r="D8603" t="s">
        <v>43</v>
      </c>
      <c r="G8603" t="s">
        <v>51</v>
      </c>
      <c r="M8603" t="s">
        <v>1654</v>
      </c>
      <c r="N8603" t="s">
        <v>1654</v>
      </c>
      <c r="O8603" t="s">
        <v>23</v>
      </c>
      <c r="P8603" t="s">
        <v>1649</v>
      </c>
      <c r="Q8603" t="s">
        <v>1650</v>
      </c>
      <c r="R8603" t="s">
        <v>1651</v>
      </c>
    </row>
    <row r="8604" spans="1:18" x14ac:dyDescent="0.25">
      <c r="A8604" t="s">
        <v>12517</v>
      </c>
      <c r="B8604" t="s">
        <v>9940</v>
      </c>
      <c r="C8604" t="str">
        <f>HYPERLINK("https://nematode.unl.edu/plege9.jpg")</f>
        <v>https://nematode.unl.edu/plege9.jpg</v>
      </c>
      <c r="D8604" t="s">
        <v>43</v>
      </c>
      <c r="G8604" t="s">
        <v>28</v>
      </c>
      <c r="M8604" t="s">
        <v>1654</v>
      </c>
      <c r="N8604" t="s">
        <v>1654</v>
      </c>
      <c r="O8604" t="s">
        <v>23</v>
      </c>
      <c r="P8604" t="s">
        <v>1649</v>
      </c>
      <c r="Q8604" t="s">
        <v>1650</v>
      </c>
      <c r="R8604" t="s">
        <v>1651</v>
      </c>
    </row>
    <row r="8605" spans="1:18" x14ac:dyDescent="0.25">
      <c r="A8605" t="s">
        <v>12528</v>
      </c>
      <c r="B8605" t="s">
        <v>1670</v>
      </c>
      <c r="C8605" t="str">
        <f>HYPERLINK("https://nematode.unl.edu/plemak1.jpg")</f>
        <v>https://nematode.unl.edu/plemak1.jpg</v>
      </c>
      <c r="D8605" t="s">
        <v>43</v>
      </c>
      <c r="G8605" t="s">
        <v>34</v>
      </c>
      <c r="H8605" t="s">
        <v>18</v>
      </c>
      <c r="I8605" t="s">
        <v>41</v>
      </c>
      <c r="J8605" t="s">
        <v>20</v>
      </c>
      <c r="M8605" t="s">
        <v>1671</v>
      </c>
      <c r="N8605" t="s">
        <v>1661</v>
      </c>
      <c r="O8605" t="s">
        <v>23</v>
      </c>
      <c r="P8605" t="s">
        <v>1649</v>
      </c>
      <c r="Q8605" t="s">
        <v>1650</v>
      </c>
      <c r="R8605" t="s">
        <v>1651</v>
      </c>
    </row>
    <row r="8606" spans="1:18" x14ac:dyDescent="0.25">
      <c r="A8606" t="s">
        <v>12532</v>
      </c>
      <c r="B8606" t="s">
        <v>1672</v>
      </c>
      <c r="C8606" t="str">
        <f>HYPERLINK("https://nematode.unl.edu/plemak2.jpg")</f>
        <v>https://nematode.unl.edu/plemak2.jpg</v>
      </c>
      <c r="D8606" t="s">
        <v>43</v>
      </c>
      <c r="G8606" t="s">
        <v>51</v>
      </c>
      <c r="I8606" t="s">
        <v>41</v>
      </c>
      <c r="J8606" t="s">
        <v>20</v>
      </c>
      <c r="L8606" t="s">
        <v>173</v>
      </c>
      <c r="M8606" t="s">
        <v>1671</v>
      </c>
      <c r="N8606" t="s">
        <v>1661</v>
      </c>
      <c r="O8606" t="s">
        <v>23</v>
      </c>
      <c r="P8606" t="s">
        <v>1649</v>
      </c>
      <c r="Q8606" t="s">
        <v>1650</v>
      </c>
      <c r="R8606" t="s">
        <v>1651</v>
      </c>
    </row>
    <row r="8607" spans="1:18" x14ac:dyDescent="0.25">
      <c r="A8607" t="s">
        <v>12530</v>
      </c>
      <c r="B8607" t="s">
        <v>1673</v>
      </c>
      <c r="C8607" t="str">
        <f>HYPERLINK("https://nematode.unl.edu/plemak3.jpg")</f>
        <v>https://nematode.unl.edu/plemak3.jpg</v>
      </c>
      <c r="D8607" t="s">
        <v>43</v>
      </c>
      <c r="G8607" t="s">
        <v>53</v>
      </c>
      <c r="I8607" t="s">
        <v>41</v>
      </c>
      <c r="J8607" t="s">
        <v>20</v>
      </c>
      <c r="L8607" t="s">
        <v>138</v>
      </c>
      <c r="M8607" t="s">
        <v>1671</v>
      </c>
      <c r="N8607" t="s">
        <v>1661</v>
      </c>
      <c r="O8607" t="s">
        <v>23</v>
      </c>
      <c r="P8607" t="s">
        <v>1649</v>
      </c>
      <c r="Q8607" t="s">
        <v>1650</v>
      </c>
      <c r="R8607" t="s">
        <v>1651</v>
      </c>
    </row>
    <row r="8608" spans="1:18" x14ac:dyDescent="0.25">
      <c r="A8608" t="s">
        <v>12529</v>
      </c>
      <c r="B8608" t="s">
        <v>1674</v>
      </c>
      <c r="C8608" t="str">
        <f>HYPERLINK("https://nematode.unl.edu/plemak4.jpg")</f>
        <v>https://nematode.unl.edu/plemak4.jpg</v>
      </c>
      <c r="D8608" t="s">
        <v>43</v>
      </c>
      <c r="G8608" t="s">
        <v>905</v>
      </c>
      <c r="I8608" t="s">
        <v>41</v>
      </c>
      <c r="J8608" t="s">
        <v>20</v>
      </c>
      <c r="L8608" t="s">
        <v>138</v>
      </c>
      <c r="M8608" t="s">
        <v>1671</v>
      </c>
      <c r="N8608" t="s">
        <v>1661</v>
      </c>
      <c r="O8608" t="s">
        <v>23</v>
      </c>
      <c r="P8608" t="s">
        <v>1649</v>
      </c>
      <c r="Q8608" t="s">
        <v>1650</v>
      </c>
      <c r="R8608" t="s">
        <v>1651</v>
      </c>
    </row>
    <row r="8609" spans="1:18" x14ac:dyDescent="0.25">
      <c r="A8609" t="s">
        <v>12531</v>
      </c>
      <c r="B8609" t="s">
        <v>1675</v>
      </c>
      <c r="C8609" t="str">
        <f>HYPERLINK("https://nematode.unl.edu/plemak5.jpg")</f>
        <v>https://nematode.unl.edu/plemak5.jpg</v>
      </c>
      <c r="D8609" t="s">
        <v>43</v>
      </c>
      <c r="G8609" t="s">
        <v>28</v>
      </c>
      <c r="I8609" t="s">
        <v>41</v>
      </c>
      <c r="J8609" t="s">
        <v>20</v>
      </c>
      <c r="L8609" t="s">
        <v>173</v>
      </c>
      <c r="M8609" t="s">
        <v>1671</v>
      </c>
      <c r="N8609" t="s">
        <v>1661</v>
      </c>
      <c r="O8609" t="s">
        <v>23</v>
      </c>
      <c r="P8609" t="s">
        <v>1649</v>
      </c>
      <c r="Q8609" t="s">
        <v>1650</v>
      </c>
      <c r="R8609" t="s">
        <v>1651</v>
      </c>
    </row>
    <row r="8610" spans="1:18" x14ac:dyDescent="0.25">
      <c r="A8610" t="s">
        <v>12547</v>
      </c>
      <c r="B8610" t="s">
        <v>1652</v>
      </c>
      <c r="C8610" t="str">
        <f>HYPERLINK("https://nematode.unl.edu/plemi1.jpg")</f>
        <v>https://nematode.unl.edu/plemi1.jpg</v>
      </c>
      <c r="D8610" t="s">
        <v>43</v>
      </c>
      <c r="G8610" t="s">
        <v>44</v>
      </c>
      <c r="I8610" t="s">
        <v>45</v>
      </c>
      <c r="J8610" t="s">
        <v>20</v>
      </c>
      <c r="M8610" t="s">
        <v>1653</v>
      </c>
      <c r="N8610" t="s">
        <v>1654</v>
      </c>
      <c r="O8610" t="s">
        <v>23</v>
      </c>
      <c r="P8610" t="s">
        <v>1649</v>
      </c>
      <c r="Q8610" t="s">
        <v>1650</v>
      </c>
      <c r="R8610" t="s">
        <v>1651</v>
      </c>
    </row>
    <row r="8611" spans="1:18" x14ac:dyDescent="0.25">
      <c r="A8611" t="s">
        <v>12545</v>
      </c>
      <c r="B8611" t="s">
        <v>1655</v>
      </c>
      <c r="C8611" t="str">
        <f>HYPERLINK("https://nematode.unl.edu/plemi2.jpg")</f>
        <v>https://nematode.unl.edu/plemi2.jpg</v>
      </c>
      <c r="D8611" t="s">
        <v>43</v>
      </c>
      <c r="G8611" t="s">
        <v>96</v>
      </c>
      <c r="H8611" t="s">
        <v>18</v>
      </c>
      <c r="J8611" t="s">
        <v>20</v>
      </c>
      <c r="M8611" t="s">
        <v>1653</v>
      </c>
      <c r="N8611" t="s">
        <v>1654</v>
      </c>
      <c r="O8611" t="s">
        <v>23</v>
      </c>
      <c r="P8611" t="s">
        <v>1649</v>
      </c>
      <c r="Q8611" t="s">
        <v>1650</v>
      </c>
      <c r="R8611" t="s">
        <v>1651</v>
      </c>
    </row>
    <row r="8612" spans="1:18" x14ac:dyDescent="0.25">
      <c r="A8612" t="s">
        <v>12546</v>
      </c>
      <c r="B8612" t="s">
        <v>1656</v>
      </c>
      <c r="C8612" t="str">
        <f>HYPERLINK("https://nematode.unl.edu/plemi3.jpg")</f>
        <v>https://nematode.unl.edu/plemi3.jpg</v>
      </c>
      <c r="D8612" t="s">
        <v>43</v>
      </c>
      <c r="G8612" t="s">
        <v>34</v>
      </c>
      <c r="H8612" t="s">
        <v>18</v>
      </c>
      <c r="I8612" t="s">
        <v>19</v>
      </c>
      <c r="J8612" t="s">
        <v>20</v>
      </c>
      <c r="L8612" t="s">
        <v>85</v>
      </c>
      <c r="M8612" t="s">
        <v>1653</v>
      </c>
      <c r="N8612" t="s">
        <v>1654</v>
      </c>
      <c r="O8612" t="s">
        <v>23</v>
      </c>
      <c r="P8612" t="s">
        <v>1649</v>
      </c>
      <c r="Q8612" t="s">
        <v>1650</v>
      </c>
      <c r="R8612" t="s">
        <v>1651</v>
      </c>
    </row>
    <row r="8613" spans="1:18" x14ac:dyDescent="0.25">
      <c r="A8613" t="s">
        <v>12549</v>
      </c>
      <c r="B8613" t="s">
        <v>1657</v>
      </c>
      <c r="C8613" t="str">
        <f>HYPERLINK("https://nematode.unl.edu/plemi4.jpg")</f>
        <v>https://nematode.unl.edu/plemi4.jpg</v>
      </c>
      <c r="D8613" t="s">
        <v>43</v>
      </c>
      <c r="G8613" t="s">
        <v>51</v>
      </c>
      <c r="I8613" t="s">
        <v>19</v>
      </c>
      <c r="J8613" t="s">
        <v>20</v>
      </c>
      <c r="L8613" t="s">
        <v>85</v>
      </c>
      <c r="M8613" t="s">
        <v>1653</v>
      </c>
      <c r="N8613" t="s">
        <v>1654</v>
      </c>
      <c r="O8613" t="s">
        <v>23</v>
      </c>
      <c r="P8613" t="s">
        <v>1649</v>
      </c>
      <c r="Q8613" t="s">
        <v>1650</v>
      </c>
      <c r="R8613" t="s">
        <v>1651</v>
      </c>
    </row>
    <row r="8614" spans="1:18" x14ac:dyDescent="0.25">
      <c r="A8614" t="s">
        <v>12548</v>
      </c>
      <c r="B8614" t="s">
        <v>1658</v>
      </c>
      <c r="C8614" t="str">
        <f>HYPERLINK("https://nematode.unl.edu/plemi5.jpg")</f>
        <v>https://nematode.unl.edu/plemi5.jpg</v>
      </c>
      <c r="D8614" t="s">
        <v>43</v>
      </c>
      <c r="G8614" t="s">
        <v>28</v>
      </c>
      <c r="J8614" t="s">
        <v>20</v>
      </c>
      <c r="L8614" t="s">
        <v>85</v>
      </c>
      <c r="M8614" t="s">
        <v>1653</v>
      </c>
      <c r="N8614" t="s">
        <v>1654</v>
      </c>
      <c r="O8614" t="s">
        <v>23</v>
      </c>
      <c r="P8614" t="s">
        <v>1649</v>
      </c>
      <c r="Q8614" t="s">
        <v>1650</v>
      </c>
      <c r="R8614" t="s">
        <v>1651</v>
      </c>
    </row>
    <row r="8615" spans="1:18" x14ac:dyDescent="0.25">
      <c r="A8615" t="s">
        <v>12537</v>
      </c>
      <c r="B8615" t="s">
        <v>9941</v>
      </c>
      <c r="C8615" t="str">
        <f>HYPERLINK("https://nematode.unl.edu/plemin1.jpg")</f>
        <v>https://nematode.unl.edu/plemin1.jpg</v>
      </c>
      <c r="D8615" t="s">
        <v>43</v>
      </c>
      <c r="G8615" t="s">
        <v>44</v>
      </c>
      <c r="I8615" t="s">
        <v>4020</v>
      </c>
      <c r="J8615" t="s">
        <v>20</v>
      </c>
      <c r="L8615" t="s">
        <v>183</v>
      </c>
      <c r="M8615" t="s">
        <v>9942</v>
      </c>
      <c r="N8615" t="s">
        <v>9942</v>
      </c>
      <c r="O8615" t="s">
        <v>23</v>
      </c>
      <c r="P8615" t="s">
        <v>1649</v>
      </c>
      <c r="Q8615" t="s">
        <v>1650</v>
      </c>
      <c r="R8615" t="s">
        <v>1651</v>
      </c>
    </row>
    <row r="8616" spans="1:18" x14ac:dyDescent="0.25">
      <c r="A8616" t="s">
        <v>12542</v>
      </c>
      <c r="B8616" t="s">
        <v>9943</v>
      </c>
      <c r="C8616" t="str">
        <f>HYPERLINK("https://nematode.unl.edu/plemin10.jpg")</f>
        <v>https://nematode.unl.edu/plemin10.jpg</v>
      </c>
      <c r="D8616" t="s">
        <v>43</v>
      </c>
      <c r="G8616" t="s">
        <v>51</v>
      </c>
      <c r="I8616" t="s">
        <v>41</v>
      </c>
      <c r="J8616" t="s">
        <v>20</v>
      </c>
      <c r="L8616" t="s">
        <v>85</v>
      </c>
      <c r="M8616" t="s">
        <v>9942</v>
      </c>
      <c r="N8616" t="s">
        <v>9942</v>
      </c>
      <c r="O8616" t="s">
        <v>23</v>
      </c>
      <c r="P8616" t="s">
        <v>1649</v>
      </c>
      <c r="Q8616" t="s">
        <v>1650</v>
      </c>
      <c r="R8616" t="s">
        <v>1651</v>
      </c>
    </row>
    <row r="8617" spans="1:18" x14ac:dyDescent="0.25">
      <c r="A8617" t="s">
        <v>12539</v>
      </c>
      <c r="B8617" t="s">
        <v>9944</v>
      </c>
      <c r="C8617" t="str">
        <f>HYPERLINK("https://nematode.unl.edu/plemin11.jpg")</f>
        <v>https://nematode.unl.edu/plemin11.jpg</v>
      </c>
      <c r="D8617" t="s">
        <v>43</v>
      </c>
      <c r="G8617" t="s">
        <v>28</v>
      </c>
      <c r="I8617" t="s">
        <v>41</v>
      </c>
      <c r="J8617" t="s">
        <v>20</v>
      </c>
      <c r="L8617" t="s">
        <v>85</v>
      </c>
      <c r="M8617" t="s">
        <v>9942</v>
      </c>
      <c r="N8617" t="s">
        <v>9942</v>
      </c>
      <c r="O8617" t="s">
        <v>23</v>
      </c>
      <c r="P8617" t="s">
        <v>1649</v>
      </c>
      <c r="Q8617" t="s">
        <v>1650</v>
      </c>
      <c r="R8617" t="s">
        <v>1651</v>
      </c>
    </row>
    <row r="8618" spans="1:18" x14ac:dyDescent="0.25">
      <c r="A8618" t="s">
        <v>12538</v>
      </c>
      <c r="B8618" t="s">
        <v>9945</v>
      </c>
      <c r="C8618" t="str">
        <f>HYPERLINK("https://nematode.unl.edu/plemin12.jpg")</f>
        <v>https://nematode.unl.edu/plemin12.jpg</v>
      </c>
      <c r="D8618" t="s">
        <v>43</v>
      </c>
      <c r="G8618" t="s">
        <v>53</v>
      </c>
      <c r="I8618" t="s">
        <v>41</v>
      </c>
      <c r="J8618" t="s">
        <v>20</v>
      </c>
      <c r="M8618" t="s">
        <v>9942</v>
      </c>
      <c r="N8618" t="s">
        <v>9942</v>
      </c>
      <c r="O8618" t="s">
        <v>23</v>
      </c>
      <c r="P8618" t="s">
        <v>1649</v>
      </c>
      <c r="Q8618" t="s">
        <v>1650</v>
      </c>
      <c r="R8618" t="s">
        <v>1651</v>
      </c>
    </row>
    <row r="8619" spans="1:18" x14ac:dyDescent="0.25">
      <c r="A8619" t="s">
        <v>12534</v>
      </c>
      <c r="B8619" t="s">
        <v>9946</v>
      </c>
      <c r="C8619" t="str">
        <f>HYPERLINK("https://nematode.unl.edu/plemin2.jpg")</f>
        <v>https://nematode.unl.edu/plemin2.jpg</v>
      </c>
      <c r="D8619" t="s">
        <v>43</v>
      </c>
      <c r="G8619" t="s">
        <v>34</v>
      </c>
      <c r="H8619" t="s">
        <v>18</v>
      </c>
      <c r="I8619" t="s">
        <v>19</v>
      </c>
      <c r="M8619" t="s">
        <v>9942</v>
      </c>
      <c r="N8619" t="s">
        <v>9942</v>
      </c>
      <c r="O8619" t="s">
        <v>23</v>
      </c>
      <c r="P8619" t="s">
        <v>1649</v>
      </c>
      <c r="Q8619" t="s">
        <v>1650</v>
      </c>
      <c r="R8619" t="s">
        <v>1651</v>
      </c>
    </row>
    <row r="8620" spans="1:18" x14ac:dyDescent="0.25">
      <c r="A8620" t="s">
        <v>12543</v>
      </c>
      <c r="B8620" t="s">
        <v>9947</v>
      </c>
      <c r="C8620" t="str">
        <f>HYPERLINK("https://nematode.unl.edu/plemin3.jpg")</f>
        <v>https://nematode.unl.edu/plemin3.jpg</v>
      </c>
      <c r="D8620" t="s">
        <v>43</v>
      </c>
      <c r="G8620" t="s">
        <v>51</v>
      </c>
      <c r="I8620" t="s">
        <v>19</v>
      </c>
      <c r="J8620" t="s">
        <v>20</v>
      </c>
      <c r="M8620" t="s">
        <v>9942</v>
      </c>
      <c r="N8620" t="s">
        <v>9942</v>
      </c>
      <c r="O8620" t="s">
        <v>23</v>
      </c>
      <c r="P8620" t="s">
        <v>1649</v>
      </c>
      <c r="Q8620" t="s">
        <v>1650</v>
      </c>
      <c r="R8620" t="s">
        <v>1651</v>
      </c>
    </row>
    <row r="8621" spans="1:18" x14ac:dyDescent="0.25">
      <c r="A8621" t="s">
        <v>12540</v>
      </c>
      <c r="B8621" t="s">
        <v>9948</v>
      </c>
      <c r="C8621" t="str">
        <f>HYPERLINK("https://nematode.unl.edu/plemin4.jpg")</f>
        <v>https://nematode.unl.edu/plemin4.jpg</v>
      </c>
      <c r="D8621" t="s">
        <v>43</v>
      </c>
      <c r="G8621" t="s">
        <v>28</v>
      </c>
      <c r="J8621" t="s">
        <v>20</v>
      </c>
      <c r="L8621" t="s">
        <v>85</v>
      </c>
      <c r="M8621" t="s">
        <v>9942</v>
      </c>
      <c r="N8621" t="s">
        <v>9942</v>
      </c>
      <c r="O8621" t="s">
        <v>23</v>
      </c>
      <c r="P8621" t="s">
        <v>1649</v>
      </c>
      <c r="Q8621" t="s">
        <v>1650</v>
      </c>
      <c r="R8621" t="s">
        <v>1651</v>
      </c>
    </row>
    <row r="8622" spans="1:18" x14ac:dyDescent="0.25">
      <c r="A8622" t="s">
        <v>12533</v>
      </c>
      <c r="B8622" t="s">
        <v>9949</v>
      </c>
      <c r="C8622" t="str">
        <f>HYPERLINK("https://nematode.unl.edu/plemin5.jpg")</f>
        <v>https://nematode.unl.edu/plemin5.jpg</v>
      </c>
      <c r="D8622" t="s">
        <v>43</v>
      </c>
      <c r="G8622" t="s">
        <v>386</v>
      </c>
      <c r="H8622" t="s">
        <v>18</v>
      </c>
      <c r="I8622" t="s">
        <v>41</v>
      </c>
      <c r="J8622" t="s">
        <v>20</v>
      </c>
      <c r="L8622" t="s">
        <v>85</v>
      </c>
      <c r="M8622" t="s">
        <v>9942</v>
      </c>
      <c r="N8622" t="s">
        <v>9942</v>
      </c>
      <c r="O8622" t="s">
        <v>23</v>
      </c>
      <c r="P8622" t="s">
        <v>1649</v>
      </c>
      <c r="Q8622" t="s">
        <v>1650</v>
      </c>
      <c r="R8622" t="s">
        <v>1651</v>
      </c>
    </row>
    <row r="8623" spans="1:18" x14ac:dyDescent="0.25">
      <c r="A8623" t="s">
        <v>12535</v>
      </c>
      <c r="B8623" t="s">
        <v>9950</v>
      </c>
      <c r="C8623" t="str">
        <f>HYPERLINK("https://nematode.unl.edu/plemin6.jpg")</f>
        <v>https://nematode.unl.edu/plemin6.jpg</v>
      </c>
      <c r="D8623" t="s">
        <v>43</v>
      </c>
      <c r="G8623" t="s">
        <v>34</v>
      </c>
      <c r="H8623" t="s">
        <v>18</v>
      </c>
      <c r="I8623" t="s">
        <v>19</v>
      </c>
      <c r="J8623" t="s">
        <v>20</v>
      </c>
      <c r="M8623" t="s">
        <v>9942</v>
      </c>
      <c r="N8623" t="s">
        <v>9942</v>
      </c>
      <c r="O8623" t="s">
        <v>23</v>
      </c>
      <c r="P8623" t="s">
        <v>1649</v>
      </c>
      <c r="Q8623" t="s">
        <v>1650</v>
      </c>
      <c r="R8623" t="s">
        <v>1651</v>
      </c>
    </row>
    <row r="8624" spans="1:18" x14ac:dyDescent="0.25">
      <c r="A8624" t="s">
        <v>12544</v>
      </c>
      <c r="B8624" t="s">
        <v>9951</v>
      </c>
      <c r="C8624" t="str">
        <f>HYPERLINK("https://nematode.unl.edu/plemin7.jpg")</f>
        <v>https://nematode.unl.edu/plemin7.jpg</v>
      </c>
      <c r="D8624" t="s">
        <v>43</v>
      </c>
      <c r="G8624" t="s">
        <v>51</v>
      </c>
      <c r="J8624" t="s">
        <v>20</v>
      </c>
      <c r="L8624" t="s">
        <v>85</v>
      </c>
      <c r="M8624" t="s">
        <v>9942</v>
      </c>
      <c r="N8624" t="s">
        <v>9942</v>
      </c>
      <c r="O8624" t="s">
        <v>23</v>
      </c>
      <c r="P8624" t="s">
        <v>1649</v>
      </c>
      <c r="Q8624" t="s">
        <v>1650</v>
      </c>
      <c r="R8624" t="s">
        <v>1651</v>
      </c>
    </row>
    <row r="8625" spans="1:18" x14ac:dyDescent="0.25">
      <c r="A8625" t="s">
        <v>12541</v>
      </c>
      <c r="B8625" t="s">
        <v>9952</v>
      </c>
      <c r="C8625" t="str">
        <f>HYPERLINK("https://nematode.unl.edu/plemin8.jpg")</f>
        <v>https://nematode.unl.edu/plemin8.jpg</v>
      </c>
      <c r="D8625" t="s">
        <v>43</v>
      </c>
      <c r="G8625" t="s">
        <v>28</v>
      </c>
      <c r="J8625" t="s">
        <v>20</v>
      </c>
      <c r="M8625" t="s">
        <v>9942</v>
      </c>
      <c r="N8625" t="s">
        <v>9942</v>
      </c>
      <c r="O8625" t="s">
        <v>23</v>
      </c>
      <c r="P8625" t="s">
        <v>1649</v>
      </c>
      <c r="Q8625" t="s">
        <v>1650</v>
      </c>
      <c r="R8625" t="s">
        <v>1651</v>
      </c>
    </row>
    <row r="8626" spans="1:18" x14ac:dyDescent="0.25">
      <c r="A8626" t="s">
        <v>12536</v>
      </c>
      <c r="B8626" t="s">
        <v>9953</v>
      </c>
      <c r="C8626" t="str">
        <f>HYPERLINK("https://nematode.unl.edu/plemin9.jpg")</f>
        <v>https://nematode.unl.edu/plemin9.jpg</v>
      </c>
      <c r="D8626" t="s">
        <v>43</v>
      </c>
      <c r="G8626" t="s">
        <v>34</v>
      </c>
      <c r="H8626" t="s">
        <v>18</v>
      </c>
      <c r="I8626" t="s">
        <v>41</v>
      </c>
      <c r="J8626" t="s">
        <v>20</v>
      </c>
      <c r="L8626" t="s">
        <v>85</v>
      </c>
      <c r="M8626" t="s">
        <v>9942</v>
      </c>
      <c r="N8626" t="s">
        <v>9942</v>
      </c>
      <c r="O8626" t="s">
        <v>23</v>
      </c>
      <c r="P8626" t="s">
        <v>1649</v>
      </c>
      <c r="Q8626" t="s">
        <v>1650</v>
      </c>
      <c r="R8626" t="s">
        <v>1651</v>
      </c>
    </row>
    <row r="8627" spans="1:18" x14ac:dyDescent="0.25">
      <c r="A8627" t="s">
        <v>12598</v>
      </c>
      <c r="B8627" t="s">
        <v>9984</v>
      </c>
      <c r="C8627" t="str">
        <f>HYPERLINK("https://nematode.unl.edu/plepa1.jpg")</f>
        <v>https://nematode.unl.edu/plepa1.jpg</v>
      </c>
      <c r="D8627" t="s">
        <v>16</v>
      </c>
      <c r="G8627" t="s">
        <v>44</v>
      </c>
      <c r="I8627" t="s">
        <v>45</v>
      </c>
      <c r="J8627" t="s">
        <v>482</v>
      </c>
      <c r="M8627" t="s">
        <v>9985</v>
      </c>
      <c r="N8627" t="s">
        <v>9985</v>
      </c>
      <c r="O8627" t="s">
        <v>23</v>
      </c>
      <c r="P8627" t="s">
        <v>1649</v>
      </c>
      <c r="Q8627" t="s">
        <v>1650</v>
      </c>
      <c r="R8627" t="s">
        <v>1651</v>
      </c>
    </row>
    <row r="8628" spans="1:18" x14ac:dyDescent="0.25">
      <c r="A8628" t="s">
        <v>12585</v>
      </c>
      <c r="B8628" t="s">
        <v>9986</v>
      </c>
      <c r="C8628" t="str">
        <f>HYPERLINK("https://nematode.unl.edu/plepa10.jpg")</f>
        <v>https://nematode.unl.edu/plepa10.jpg</v>
      </c>
      <c r="D8628" t="s">
        <v>16</v>
      </c>
      <c r="G8628" t="s">
        <v>34</v>
      </c>
      <c r="H8628" t="s">
        <v>18</v>
      </c>
      <c r="I8628" t="s">
        <v>19</v>
      </c>
      <c r="J8628" t="s">
        <v>482</v>
      </c>
      <c r="M8628" t="s">
        <v>9985</v>
      </c>
      <c r="N8628" t="s">
        <v>9985</v>
      </c>
      <c r="O8628" t="s">
        <v>23</v>
      </c>
      <c r="P8628" t="s">
        <v>1649</v>
      </c>
      <c r="Q8628" t="s">
        <v>1650</v>
      </c>
      <c r="R8628" t="s">
        <v>1651</v>
      </c>
    </row>
    <row r="8629" spans="1:18" x14ac:dyDescent="0.25">
      <c r="A8629" t="s">
        <v>12599</v>
      </c>
      <c r="B8629" t="s">
        <v>9987</v>
      </c>
      <c r="C8629" t="str">
        <f>HYPERLINK("https://nematode.unl.edu/plepa11.jpg")</f>
        <v>https://nematode.unl.edu/plepa11.jpg</v>
      </c>
      <c r="D8629" t="s">
        <v>43</v>
      </c>
      <c r="G8629" t="s">
        <v>44</v>
      </c>
      <c r="I8629" t="s">
        <v>45</v>
      </c>
      <c r="J8629" t="s">
        <v>482</v>
      </c>
      <c r="M8629" t="s">
        <v>9985</v>
      </c>
      <c r="N8629" t="s">
        <v>9985</v>
      </c>
      <c r="O8629" t="s">
        <v>23</v>
      </c>
      <c r="P8629" t="s">
        <v>1649</v>
      </c>
      <c r="Q8629" t="s">
        <v>1650</v>
      </c>
      <c r="R8629" t="s">
        <v>1651</v>
      </c>
    </row>
    <row r="8630" spans="1:18" x14ac:dyDescent="0.25">
      <c r="A8630" t="s">
        <v>12614</v>
      </c>
      <c r="B8630" t="s">
        <v>9988</v>
      </c>
      <c r="C8630" t="str">
        <f>HYPERLINK("https://nematode.unl.edu/plepa12.jpg")</f>
        <v>https://nematode.unl.edu/plepa12.jpg</v>
      </c>
      <c r="D8630" t="s">
        <v>43</v>
      </c>
      <c r="G8630" t="s">
        <v>28</v>
      </c>
      <c r="J8630" t="s">
        <v>482</v>
      </c>
      <c r="M8630" t="s">
        <v>9985</v>
      </c>
      <c r="N8630" t="s">
        <v>9985</v>
      </c>
      <c r="O8630" t="s">
        <v>23</v>
      </c>
      <c r="P8630" t="s">
        <v>1649</v>
      </c>
      <c r="Q8630" t="s">
        <v>1650</v>
      </c>
      <c r="R8630" t="s">
        <v>1651</v>
      </c>
    </row>
    <row r="8631" spans="1:18" x14ac:dyDescent="0.25">
      <c r="A8631" t="s">
        <v>12586</v>
      </c>
      <c r="B8631" t="s">
        <v>9989</v>
      </c>
      <c r="C8631" t="str">
        <f>HYPERLINK("https://nematode.unl.edu/plepa13.jpg")</f>
        <v>https://nematode.unl.edu/plepa13.jpg</v>
      </c>
      <c r="D8631" t="s">
        <v>43</v>
      </c>
      <c r="G8631" t="s">
        <v>34</v>
      </c>
      <c r="H8631" t="s">
        <v>18</v>
      </c>
      <c r="I8631" t="s">
        <v>19</v>
      </c>
      <c r="J8631" t="s">
        <v>482</v>
      </c>
      <c r="M8631" t="s">
        <v>9985</v>
      </c>
      <c r="N8631" t="s">
        <v>9985</v>
      </c>
      <c r="O8631" t="s">
        <v>23</v>
      </c>
      <c r="P8631" t="s">
        <v>1649</v>
      </c>
      <c r="Q8631" t="s">
        <v>1650</v>
      </c>
      <c r="R8631" t="s">
        <v>1651</v>
      </c>
    </row>
    <row r="8632" spans="1:18" x14ac:dyDescent="0.25">
      <c r="A8632" t="s">
        <v>12600</v>
      </c>
      <c r="B8632" t="s">
        <v>9990</v>
      </c>
      <c r="C8632" t="str">
        <f>HYPERLINK("https://nematode.unl.edu/plepa14.jpg")</f>
        <v>https://nematode.unl.edu/plepa14.jpg</v>
      </c>
      <c r="D8632" t="s">
        <v>43</v>
      </c>
      <c r="G8632" t="s">
        <v>44</v>
      </c>
      <c r="I8632" t="s">
        <v>45</v>
      </c>
      <c r="J8632" t="s">
        <v>482</v>
      </c>
      <c r="M8632" t="s">
        <v>9985</v>
      </c>
      <c r="N8632" t="s">
        <v>9985</v>
      </c>
      <c r="O8632" t="s">
        <v>23</v>
      </c>
      <c r="P8632" t="s">
        <v>1649</v>
      </c>
      <c r="Q8632" t="s">
        <v>1650</v>
      </c>
      <c r="R8632" t="s">
        <v>1651</v>
      </c>
    </row>
    <row r="8633" spans="1:18" x14ac:dyDescent="0.25">
      <c r="A8633" t="s">
        <v>12587</v>
      </c>
      <c r="B8633" t="s">
        <v>9991</v>
      </c>
      <c r="C8633" t="str">
        <f>HYPERLINK("https://nematode.unl.edu/plepa15.jpg")</f>
        <v>https://nematode.unl.edu/plepa15.jpg</v>
      </c>
      <c r="D8633" t="s">
        <v>43</v>
      </c>
      <c r="G8633" t="s">
        <v>34</v>
      </c>
      <c r="H8633" t="s">
        <v>18</v>
      </c>
      <c r="J8633" t="s">
        <v>482</v>
      </c>
      <c r="M8633" t="s">
        <v>9985</v>
      </c>
      <c r="N8633" t="s">
        <v>9985</v>
      </c>
      <c r="O8633" t="s">
        <v>23</v>
      </c>
      <c r="P8633" t="s">
        <v>1649</v>
      </c>
      <c r="Q8633" t="s">
        <v>1650</v>
      </c>
      <c r="R8633" t="s">
        <v>1651</v>
      </c>
    </row>
    <row r="8634" spans="1:18" x14ac:dyDescent="0.25">
      <c r="A8634" t="s">
        <v>12620</v>
      </c>
      <c r="B8634" t="s">
        <v>9992</v>
      </c>
      <c r="C8634" t="str">
        <f>HYPERLINK("https://nematode.unl.edu/plepa16.jpg")</f>
        <v>https://nematode.unl.edu/plepa16.jpg</v>
      </c>
      <c r="D8634" t="s">
        <v>43</v>
      </c>
      <c r="G8634" t="s">
        <v>51</v>
      </c>
      <c r="I8634" t="s">
        <v>19</v>
      </c>
      <c r="J8634" t="s">
        <v>482</v>
      </c>
      <c r="M8634" t="s">
        <v>9985</v>
      </c>
      <c r="N8634" t="s">
        <v>9985</v>
      </c>
      <c r="O8634" t="s">
        <v>23</v>
      </c>
      <c r="P8634" t="s">
        <v>1649</v>
      </c>
      <c r="Q8634" t="s">
        <v>1650</v>
      </c>
      <c r="R8634" t="s">
        <v>1651</v>
      </c>
    </row>
    <row r="8635" spans="1:18" x14ac:dyDescent="0.25">
      <c r="A8635" t="s">
        <v>12606</v>
      </c>
      <c r="B8635" t="s">
        <v>9993</v>
      </c>
      <c r="C8635" t="str">
        <f>HYPERLINK("https://nematode.unl.edu/plepa17.jpg")</f>
        <v>https://nematode.unl.edu/plepa17.jpg</v>
      </c>
      <c r="D8635" t="s">
        <v>43</v>
      </c>
      <c r="G8635" t="s">
        <v>53</v>
      </c>
      <c r="I8635" t="s">
        <v>516</v>
      </c>
      <c r="J8635" t="s">
        <v>482</v>
      </c>
      <c r="M8635" t="s">
        <v>9985</v>
      </c>
      <c r="N8635" t="s">
        <v>9985</v>
      </c>
      <c r="O8635" t="s">
        <v>23</v>
      </c>
      <c r="P8635" t="s">
        <v>1649</v>
      </c>
      <c r="Q8635" t="s">
        <v>1650</v>
      </c>
      <c r="R8635" t="s">
        <v>1651</v>
      </c>
    </row>
    <row r="8636" spans="1:18" x14ac:dyDescent="0.25">
      <c r="A8636" t="s">
        <v>12615</v>
      </c>
      <c r="B8636" t="s">
        <v>9994</v>
      </c>
      <c r="C8636" t="str">
        <f>HYPERLINK("https://nematode.unl.edu/plepa2.jpg")</f>
        <v>https://nematode.unl.edu/plepa2.jpg</v>
      </c>
      <c r="D8636" t="s">
        <v>16</v>
      </c>
      <c r="G8636" t="s">
        <v>28</v>
      </c>
      <c r="I8636" t="s">
        <v>19</v>
      </c>
      <c r="J8636" t="s">
        <v>482</v>
      </c>
      <c r="M8636" t="s">
        <v>9985</v>
      </c>
      <c r="N8636" t="s">
        <v>9985</v>
      </c>
      <c r="O8636" t="s">
        <v>23</v>
      </c>
      <c r="P8636" t="s">
        <v>1649</v>
      </c>
      <c r="Q8636" t="s">
        <v>1650</v>
      </c>
      <c r="R8636" t="s">
        <v>1651</v>
      </c>
    </row>
    <row r="8637" spans="1:18" x14ac:dyDescent="0.25">
      <c r="A8637" t="s">
        <v>12588</v>
      </c>
      <c r="B8637" t="s">
        <v>9995</v>
      </c>
      <c r="C8637" t="str">
        <f>HYPERLINK("https://nematode.unl.edu/plepa3.jpg")</f>
        <v>https://nematode.unl.edu/plepa3.jpg</v>
      </c>
      <c r="D8637" t="s">
        <v>16</v>
      </c>
      <c r="G8637" t="s">
        <v>34</v>
      </c>
      <c r="H8637" t="s">
        <v>18</v>
      </c>
      <c r="J8637" t="s">
        <v>482</v>
      </c>
      <c r="M8637" t="s">
        <v>9985</v>
      </c>
      <c r="N8637" t="s">
        <v>9985</v>
      </c>
      <c r="O8637" t="s">
        <v>23</v>
      </c>
      <c r="P8637" t="s">
        <v>1649</v>
      </c>
      <c r="Q8637" t="s">
        <v>1650</v>
      </c>
      <c r="R8637" t="s">
        <v>1651</v>
      </c>
    </row>
    <row r="8638" spans="1:18" x14ac:dyDescent="0.25">
      <c r="A8638" t="s">
        <v>12589</v>
      </c>
      <c r="B8638" t="s">
        <v>9996</v>
      </c>
      <c r="C8638" t="str">
        <f>HYPERLINK("https://nematode.unl.edu/plepa4.jpg")</f>
        <v>https://nematode.unl.edu/plepa4.jpg</v>
      </c>
      <c r="D8638" t="s">
        <v>16</v>
      </c>
      <c r="G8638" t="s">
        <v>34</v>
      </c>
      <c r="H8638" t="s">
        <v>18</v>
      </c>
      <c r="I8638" t="s">
        <v>41</v>
      </c>
      <c r="J8638" t="s">
        <v>482</v>
      </c>
      <c r="M8638" t="s">
        <v>9985</v>
      </c>
      <c r="N8638" t="s">
        <v>9985</v>
      </c>
      <c r="O8638" t="s">
        <v>23</v>
      </c>
      <c r="P8638" t="s">
        <v>1649</v>
      </c>
      <c r="Q8638" t="s">
        <v>1650</v>
      </c>
      <c r="R8638" t="s">
        <v>1651</v>
      </c>
    </row>
    <row r="8639" spans="1:18" x14ac:dyDescent="0.25">
      <c r="A8639" t="s">
        <v>12607</v>
      </c>
      <c r="B8639" t="s">
        <v>9997</v>
      </c>
      <c r="C8639" t="str">
        <f>HYPERLINK("https://nematode.unl.edu/plepa5.jpg")</f>
        <v>https://nematode.unl.edu/plepa5.jpg</v>
      </c>
      <c r="D8639" t="s">
        <v>16</v>
      </c>
      <c r="G8639" t="s">
        <v>53</v>
      </c>
      <c r="I8639" t="s">
        <v>41</v>
      </c>
      <c r="J8639" t="s">
        <v>482</v>
      </c>
      <c r="M8639" t="s">
        <v>9985</v>
      </c>
      <c r="N8639" t="s">
        <v>9985</v>
      </c>
      <c r="O8639" t="s">
        <v>23</v>
      </c>
      <c r="P8639" t="s">
        <v>1649</v>
      </c>
      <c r="Q8639" t="s">
        <v>1650</v>
      </c>
      <c r="R8639" t="s">
        <v>1651</v>
      </c>
    </row>
    <row r="8640" spans="1:18" x14ac:dyDescent="0.25">
      <c r="A8640" t="s">
        <v>12579</v>
      </c>
      <c r="B8640" t="s">
        <v>9998</v>
      </c>
      <c r="C8640" t="str">
        <f>HYPERLINK("https://nematode.unl.edu/plepa6.jpg")</f>
        <v>https://nematode.unl.edu/plepa6.jpg</v>
      </c>
      <c r="D8640" t="s">
        <v>16</v>
      </c>
      <c r="G8640" t="s">
        <v>386</v>
      </c>
      <c r="H8640" t="s">
        <v>18</v>
      </c>
      <c r="I8640" t="s">
        <v>41</v>
      </c>
      <c r="J8640" t="s">
        <v>482</v>
      </c>
      <c r="M8640" t="s">
        <v>9985</v>
      </c>
      <c r="N8640" t="s">
        <v>9985</v>
      </c>
      <c r="O8640" t="s">
        <v>23</v>
      </c>
      <c r="P8640" t="s">
        <v>1649</v>
      </c>
      <c r="Q8640" t="s">
        <v>1650</v>
      </c>
      <c r="R8640" t="s">
        <v>1651</v>
      </c>
    </row>
    <row r="8641" spans="1:18" x14ac:dyDescent="0.25">
      <c r="A8641" t="s">
        <v>12608</v>
      </c>
      <c r="B8641" t="s">
        <v>9999</v>
      </c>
      <c r="C8641" t="str">
        <f>HYPERLINK("https://nematode.unl.edu/plepa7.jpg")</f>
        <v>https://nematode.unl.edu/plepa7.jpg</v>
      </c>
      <c r="G8641" t="s">
        <v>53</v>
      </c>
      <c r="I8641" t="s">
        <v>41</v>
      </c>
      <c r="J8641" t="s">
        <v>482</v>
      </c>
      <c r="M8641" t="s">
        <v>9985</v>
      </c>
      <c r="N8641" t="s">
        <v>9985</v>
      </c>
      <c r="O8641" t="s">
        <v>23</v>
      </c>
      <c r="P8641" t="s">
        <v>1649</v>
      </c>
      <c r="Q8641" t="s">
        <v>1650</v>
      </c>
      <c r="R8641" t="s">
        <v>1651</v>
      </c>
    </row>
    <row r="8642" spans="1:18" x14ac:dyDescent="0.25">
      <c r="A8642" t="s">
        <v>12604</v>
      </c>
      <c r="B8642" t="s">
        <v>10000</v>
      </c>
      <c r="C8642" t="str">
        <f>HYPERLINK("https://nematode.unl.edu/plepacmp.jpg")</f>
        <v>https://nematode.unl.edu/plepacmp.jpg</v>
      </c>
      <c r="G8642" t="s">
        <v>108</v>
      </c>
      <c r="J8642" t="s">
        <v>482</v>
      </c>
      <c r="M8642" t="s">
        <v>9985</v>
      </c>
      <c r="N8642" t="s">
        <v>9985</v>
      </c>
      <c r="O8642" t="s">
        <v>23</v>
      </c>
      <c r="P8642" t="s">
        <v>1649</v>
      </c>
      <c r="Q8642" t="s">
        <v>1650</v>
      </c>
      <c r="R8642" t="s">
        <v>1651</v>
      </c>
    </row>
    <row r="8643" spans="1:18" x14ac:dyDescent="0.25">
      <c r="A8643" t="s">
        <v>12601</v>
      </c>
      <c r="B8643" t="s">
        <v>10001</v>
      </c>
      <c r="C8643" t="str">
        <f>HYPERLINK("https://nematode.unl.edu/plepar1.jpg")</f>
        <v>https://nematode.unl.edu/plepar1.jpg</v>
      </c>
      <c r="D8643" t="s">
        <v>43</v>
      </c>
      <c r="G8643" t="s">
        <v>44</v>
      </c>
      <c r="I8643" t="s">
        <v>45</v>
      </c>
      <c r="J8643" t="s">
        <v>20</v>
      </c>
      <c r="L8643" t="s">
        <v>85</v>
      </c>
      <c r="M8643" t="s">
        <v>9985</v>
      </c>
      <c r="N8643" t="s">
        <v>9985</v>
      </c>
      <c r="O8643" t="s">
        <v>23</v>
      </c>
      <c r="P8643" t="s">
        <v>1649</v>
      </c>
      <c r="Q8643" t="s">
        <v>1650</v>
      </c>
      <c r="R8643" t="s">
        <v>1651</v>
      </c>
    </row>
    <row r="8644" spans="1:18" x14ac:dyDescent="0.25">
      <c r="A8644" t="s">
        <v>12616</v>
      </c>
      <c r="B8644" t="s">
        <v>10002</v>
      </c>
      <c r="C8644" t="str">
        <f>HYPERLINK("https://nematode.unl.edu/plepar10.jpg")</f>
        <v>https://nematode.unl.edu/plepar10.jpg</v>
      </c>
      <c r="D8644" t="s">
        <v>43</v>
      </c>
      <c r="G8644" t="s">
        <v>28</v>
      </c>
      <c r="J8644" t="s">
        <v>20</v>
      </c>
      <c r="L8644" t="s">
        <v>29</v>
      </c>
      <c r="M8644" t="s">
        <v>9985</v>
      </c>
      <c r="N8644" t="s">
        <v>9985</v>
      </c>
      <c r="O8644" t="s">
        <v>23</v>
      </c>
      <c r="P8644" t="s">
        <v>1649</v>
      </c>
      <c r="Q8644" t="s">
        <v>1650</v>
      </c>
      <c r="R8644" t="s">
        <v>1651</v>
      </c>
    </row>
    <row r="8645" spans="1:18" x14ac:dyDescent="0.25">
      <c r="A8645" t="s">
        <v>12590</v>
      </c>
      <c r="B8645" t="s">
        <v>10003</v>
      </c>
      <c r="C8645" t="str">
        <f>HYPERLINK("https://nematode.unl.edu/plepar11.jpg")</f>
        <v>https://nematode.unl.edu/plepar11.jpg</v>
      </c>
      <c r="D8645" t="s">
        <v>43</v>
      </c>
      <c r="G8645" t="s">
        <v>34</v>
      </c>
      <c r="H8645" t="s">
        <v>18</v>
      </c>
      <c r="J8645" t="s">
        <v>20</v>
      </c>
      <c r="L8645" t="s">
        <v>29</v>
      </c>
      <c r="M8645" t="s">
        <v>9985</v>
      </c>
      <c r="N8645" t="s">
        <v>9985</v>
      </c>
      <c r="O8645" t="s">
        <v>23</v>
      </c>
      <c r="P8645" t="s">
        <v>1649</v>
      </c>
      <c r="Q8645" t="s">
        <v>1650</v>
      </c>
      <c r="R8645" t="s">
        <v>1651</v>
      </c>
    </row>
    <row r="8646" spans="1:18" x14ac:dyDescent="0.25">
      <c r="A8646" t="s">
        <v>12591</v>
      </c>
      <c r="B8646" t="s">
        <v>10004</v>
      </c>
      <c r="C8646" t="str">
        <f>HYPERLINK("https://nematode.unl.edu/plepar12.jpg")</f>
        <v>https://nematode.unl.edu/plepar12.jpg</v>
      </c>
      <c r="D8646" t="s">
        <v>43</v>
      </c>
      <c r="G8646" t="s">
        <v>34</v>
      </c>
      <c r="H8646" t="s">
        <v>18</v>
      </c>
      <c r="I8646" t="s">
        <v>41</v>
      </c>
      <c r="J8646" t="s">
        <v>20</v>
      </c>
      <c r="L8646" t="s">
        <v>29</v>
      </c>
      <c r="M8646" t="s">
        <v>9985</v>
      </c>
      <c r="N8646" t="s">
        <v>9985</v>
      </c>
      <c r="O8646" t="s">
        <v>23</v>
      </c>
      <c r="P8646" t="s">
        <v>1649</v>
      </c>
      <c r="Q8646" t="s">
        <v>1650</v>
      </c>
      <c r="R8646" t="s">
        <v>1651</v>
      </c>
    </row>
    <row r="8647" spans="1:18" x14ac:dyDescent="0.25">
      <c r="A8647" t="s">
        <v>12580</v>
      </c>
      <c r="B8647" t="s">
        <v>10005</v>
      </c>
      <c r="C8647" t="str">
        <f>HYPERLINK("https://nematode.unl.edu/plepar13.jpg")</f>
        <v>https://nematode.unl.edu/plepar13.jpg</v>
      </c>
      <c r="D8647" t="s">
        <v>43</v>
      </c>
      <c r="G8647" t="s">
        <v>386</v>
      </c>
      <c r="H8647" t="s">
        <v>18</v>
      </c>
      <c r="I8647" t="s">
        <v>41</v>
      </c>
      <c r="J8647" t="s">
        <v>20</v>
      </c>
      <c r="L8647" t="s">
        <v>29</v>
      </c>
      <c r="M8647" t="s">
        <v>9985</v>
      </c>
      <c r="N8647" t="s">
        <v>9985</v>
      </c>
      <c r="O8647" t="s">
        <v>23</v>
      </c>
      <c r="P8647" t="s">
        <v>1649</v>
      </c>
      <c r="Q8647" t="s">
        <v>1650</v>
      </c>
      <c r="R8647" t="s">
        <v>1651</v>
      </c>
    </row>
    <row r="8648" spans="1:18" x14ac:dyDescent="0.25">
      <c r="A8648" t="s">
        <v>12602</v>
      </c>
      <c r="B8648" t="s">
        <v>10006</v>
      </c>
      <c r="C8648" t="str">
        <f>HYPERLINK("https://nematode.unl.edu/plepar14.jpg")</f>
        <v>https://nematode.unl.edu/plepar14.jpg</v>
      </c>
      <c r="D8648" t="s">
        <v>43</v>
      </c>
      <c r="G8648" t="s">
        <v>44</v>
      </c>
      <c r="I8648" t="s">
        <v>137</v>
      </c>
      <c r="J8648" t="s">
        <v>20</v>
      </c>
      <c r="L8648" t="s">
        <v>29</v>
      </c>
      <c r="M8648" t="s">
        <v>9985</v>
      </c>
      <c r="N8648" t="s">
        <v>9985</v>
      </c>
      <c r="O8648" t="s">
        <v>23</v>
      </c>
      <c r="P8648" t="s">
        <v>1649</v>
      </c>
      <c r="Q8648" t="s">
        <v>1650</v>
      </c>
      <c r="R8648" t="s">
        <v>1651</v>
      </c>
    </row>
    <row r="8649" spans="1:18" x14ac:dyDescent="0.25">
      <c r="A8649" t="s">
        <v>12592</v>
      </c>
      <c r="B8649" t="s">
        <v>10007</v>
      </c>
      <c r="C8649" t="str">
        <f>HYPERLINK("https://nematode.unl.edu/plepar15.jpg")</f>
        <v>https://nematode.unl.edu/plepar15.jpg</v>
      </c>
      <c r="D8649" t="s">
        <v>43</v>
      </c>
      <c r="G8649" t="s">
        <v>34</v>
      </c>
      <c r="H8649" t="s">
        <v>18</v>
      </c>
      <c r="J8649" t="s">
        <v>20</v>
      </c>
      <c r="L8649" t="s">
        <v>64</v>
      </c>
      <c r="M8649" t="s">
        <v>9985</v>
      </c>
      <c r="N8649" t="s">
        <v>9985</v>
      </c>
      <c r="O8649" t="s">
        <v>23</v>
      </c>
      <c r="P8649" t="s">
        <v>1649</v>
      </c>
      <c r="Q8649" t="s">
        <v>1650</v>
      </c>
      <c r="R8649" t="s">
        <v>1651</v>
      </c>
    </row>
    <row r="8650" spans="1:18" x14ac:dyDescent="0.25">
      <c r="A8650" t="s">
        <v>12621</v>
      </c>
      <c r="B8650" t="s">
        <v>10008</v>
      </c>
      <c r="C8650" t="str">
        <f>HYPERLINK("https://nematode.unl.edu/plepar16.jpg")</f>
        <v>https://nematode.unl.edu/plepar16.jpg</v>
      </c>
      <c r="D8650" t="s">
        <v>43</v>
      </c>
      <c r="G8650" t="s">
        <v>51</v>
      </c>
      <c r="J8650" t="s">
        <v>20</v>
      </c>
      <c r="L8650" t="s">
        <v>64</v>
      </c>
      <c r="M8650" t="s">
        <v>9985</v>
      </c>
      <c r="N8650" t="s">
        <v>9985</v>
      </c>
      <c r="O8650" t="s">
        <v>23</v>
      </c>
      <c r="P8650" t="s">
        <v>1649</v>
      </c>
      <c r="Q8650" t="s">
        <v>1650</v>
      </c>
      <c r="R8650" t="s">
        <v>1651</v>
      </c>
    </row>
    <row r="8651" spans="1:18" x14ac:dyDescent="0.25">
      <c r="A8651" t="s">
        <v>12617</v>
      </c>
      <c r="B8651" t="s">
        <v>10009</v>
      </c>
      <c r="C8651" t="str">
        <f>HYPERLINK("https://nematode.unl.edu/plepar17.jpg")</f>
        <v>https://nematode.unl.edu/plepar17.jpg</v>
      </c>
      <c r="D8651" t="s">
        <v>43</v>
      </c>
      <c r="G8651" t="s">
        <v>28</v>
      </c>
      <c r="I8651" t="s">
        <v>19</v>
      </c>
      <c r="J8651" t="s">
        <v>20</v>
      </c>
      <c r="L8651" t="s">
        <v>29</v>
      </c>
      <c r="M8651" t="s">
        <v>9985</v>
      </c>
      <c r="N8651" t="s">
        <v>9985</v>
      </c>
      <c r="O8651" t="s">
        <v>23</v>
      </c>
      <c r="P8651" t="s">
        <v>1649</v>
      </c>
      <c r="Q8651" t="s">
        <v>1650</v>
      </c>
      <c r="R8651" t="s">
        <v>1651</v>
      </c>
    </row>
    <row r="8652" spans="1:18" x14ac:dyDescent="0.25">
      <c r="A8652" t="s">
        <v>12593</v>
      </c>
      <c r="B8652" t="s">
        <v>10010</v>
      </c>
      <c r="C8652" t="str">
        <f>HYPERLINK("https://nematode.unl.edu/plepar18.jpg")</f>
        <v>https://nematode.unl.edu/plepar18.jpg</v>
      </c>
      <c r="D8652" t="s">
        <v>43</v>
      </c>
      <c r="G8652" t="s">
        <v>34</v>
      </c>
      <c r="H8652" t="s">
        <v>18</v>
      </c>
      <c r="I8652" t="s">
        <v>41</v>
      </c>
      <c r="J8652" t="s">
        <v>20</v>
      </c>
      <c r="L8652" t="s">
        <v>64</v>
      </c>
      <c r="M8652" t="s">
        <v>9985</v>
      </c>
      <c r="N8652" t="s">
        <v>9985</v>
      </c>
      <c r="O8652" t="s">
        <v>23</v>
      </c>
      <c r="P8652" t="s">
        <v>1649</v>
      </c>
      <c r="Q8652" t="s">
        <v>1650</v>
      </c>
      <c r="R8652" t="s">
        <v>1651</v>
      </c>
    </row>
    <row r="8653" spans="1:18" x14ac:dyDescent="0.25">
      <c r="A8653" t="s">
        <v>12609</v>
      </c>
      <c r="B8653" t="s">
        <v>10011</v>
      </c>
      <c r="C8653" t="str">
        <f>HYPERLINK("https://nematode.unl.edu/plepar19.jpg")</f>
        <v>https://nematode.unl.edu/plepar19.jpg</v>
      </c>
      <c r="D8653" t="s">
        <v>43</v>
      </c>
      <c r="G8653" t="s">
        <v>53</v>
      </c>
      <c r="I8653" t="s">
        <v>41</v>
      </c>
      <c r="J8653" t="s">
        <v>20</v>
      </c>
      <c r="M8653" t="s">
        <v>9985</v>
      </c>
      <c r="N8653" t="s">
        <v>9985</v>
      </c>
      <c r="O8653" t="s">
        <v>23</v>
      </c>
      <c r="P8653" t="s">
        <v>1649</v>
      </c>
      <c r="Q8653" t="s">
        <v>1650</v>
      </c>
      <c r="R8653" t="s">
        <v>1651</v>
      </c>
    </row>
    <row r="8654" spans="1:18" x14ac:dyDescent="0.25">
      <c r="A8654" t="s">
        <v>12594</v>
      </c>
      <c r="B8654" t="s">
        <v>10012</v>
      </c>
      <c r="C8654" t="str">
        <f>HYPERLINK("https://nematode.unl.edu/plepar2.jpg")</f>
        <v>https://nematode.unl.edu/plepar2.jpg</v>
      </c>
      <c r="D8654" t="s">
        <v>43</v>
      </c>
      <c r="G8654" t="s">
        <v>34</v>
      </c>
      <c r="H8654" t="s">
        <v>18</v>
      </c>
      <c r="I8654" t="s">
        <v>41</v>
      </c>
      <c r="J8654" t="s">
        <v>20</v>
      </c>
      <c r="M8654" t="s">
        <v>9985</v>
      </c>
      <c r="N8654" t="s">
        <v>9985</v>
      </c>
      <c r="O8654" t="s">
        <v>23</v>
      </c>
      <c r="P8654" t="s">
        <v>1649</v>
      </c>
      <c r="Q8654" t="s">
        <v>1650</v>
      </c>
      <c r="R8654" t="s">
        <v>1651</v>
      </c>
    </row>
    <row r="8655" spans="1:18" x14ac:dyDescent="0.25">
      <c r="A8655" t="s">
        <v>12622</v>
      </c>
      <c r="B8655" t="s">
        <v>10013</v>
      </c>
      <c r="C8655" t="str">
        <f>HYPERLINK("https://nematode.unl.edu/plepar3.jpg")</f>
        <v>https://nematode.unl.edu/plepar3.jpg</v>
      </c>
      <c r="D8655" t="s">
        <v>43</v>
      </c>
      <c r="G8655" t="s">
        <v>51</v>
      </c>
      <c r="I8655" t="s">
        <v>41</v>
      </c>
      <c r="J8655" t="s">
        <v>20</v>
      </c>
      <c r="M8655" t="s">
        <v>9985</v>
      </c>
      <c r="N8655" t="s">
        <v>9985</v>
      </c>
      <c r="O8655" t="s">
        <v>23</v>
      </c>
      <c r="P8655" t="s">
        <v>1649</v>
      </c>
      <c r="Q8655" t="s">
        <v>1650</v>
      </c>
      <c r="R8655" t="s">
        <v>1651</v>
      </c>
    </row>
    <row r="8656" spans="1:18" x14ac:dyDescent="0.25">
      <c r="A8656" t="s">
        <v>12618</v>
      </c>
      <c r="B8656" t="s">
        <v>10014</v>
      </c>
      <c r="C8656" t="str">
        <f>HYPERLINK("https://nematode.unl.edu/plepar4.jpg")</f>
        <v>https://nematode.unl.edu/plepar4.jpg</v>
      </c>
      <c r="D8656" t="s">
        <v>43</v>
      </c>
      <c r="G8656" t="s">
        <v>28</v>
      </c>
      <c r="I8656" t="s">
        <v>41</v>
      </c>
      <c r="M8656" t="s">
        <v>9985</v>
      </c>
      <c r="N8656" t="s">
        <v>9985</v>
      </c>
      <c r="O8656" t="s">
        <v>23</v>
      </c>
      <c r="P8656" t="s">
        <v>1649</v>
      </c>
      <c r="Q8656" t="s">
        <v>1650</v>
      </c>
      <c r="R8656" t="s">
        <v>1651</v>
      </c>
    </row>
    <row r="8657" spans="1:18" x14ac:dyDescent="0.25">
      <c r="A8657" t="s">
        <v>12610</v>
      </c>
      <c r="B8657" t="s">
        <v>10015</v>
      </c>
      <c r="C8657" t="str">
        <f>HYPERLINK("https://nematode.unl.edu/plepar5.jpg")</f>
        <v>https://nematode.unl.edu/plepar5.jpg</v>
      </c>
      <c r="D8657" t="s">
        <v>43</v>
      </c>
      <c r="G8657" t="s">
        <v>53</v>
      </c>
      <c r="I8657" t="s">
        <v>41</v>
      </c>
      <c r="M8657" t="s">
        <v>9985</v>
      </c>
      <c r="N8657" t="s">
        <v>9985</v>
      </c>
      <c r="O8657" t="s">
        <v>23</v>
      </c>
      <c r="P8657" t="s">
        <v>1649</v>
      </c>
      <c r="Q8657" t="s">
        <v>1650</v>
      </c>
      <c r="R8657" t="s">
        <v>1651</v>
      </c>
    </row>
    <row r="8658" spans="1:18" x14ac:dyDescent="0.25">
      <c r="A8658" t="s">
        <v>12595</v>
      </c>
      <c r="B8658" t="s">
        <v>10016</v>
      </c>
      <c r="C8658" t="str">
        <f>HYPERLINK("https://nematode.unl.edu/plepar6.jpg")</f>
        <v>https://nematode.unl.edu/plepar6.jpg</v>
      </c>
      <c r="D8658" t="s">
        <v>16</v>
      </c>
      <c r="G8658" t="s">
        <v>34</v>
      </c>
      <c r="H8658" t="s">
        <v>18</v>
      </c>
      <c r="I8658" t="s">
        <v>41</v>
      </c>
      <c r="J8658" t="s">
        <v>20</v>
      </c>
      <c r="L8658" t="s">
        <v>64</v>
      </c>
      <c r="M8658" t="s">
        <v>9985</v>
      </c>
      <c r="N8658" t="s">
        <v>9985</v>
      </c>
      <c r="O8658" t="s">
        <v>23</v>
      </c>
      <c r="P8658" t="s">
        <v>1649</v>
      </c>
      <c r="Q8658" t="s">
        <v>1650</v>
      </c>
      <c r="R8658" t="s">
        <v>1651</v>
      </c>
    </row>
    <row r="8659" spans="1:18" x14ac:dyDescent="0.25">
      <c r="A8659" t="s">
        <v>12581</v>
      </c>
      <c r="B8659" t="s">
        <v>10017</v>
      </c>
      <c r="C8659" t="str">
        <f>HYPERLINK("https://nematode.unl.edu/plepar7.jpg")</f>
        <v>https://nematode.unl.edu/plepar7.jpg</v>
      </c>
      <c r="D8659" t="s">
        <v>16</v>
      </c>
      <c r="G8659" t="s">
        <v>386</v>
      </c>
      <c r="H8659" t="s">
        <v>18</v>
      </c>
      <c r="I8659" t="s">
        <v>41</v>
      </c>
      <c r="J8659" t="s">
        <v>20</v>
      </c>
      <c r="L8659" t="s">
        <v>64</v>
      </c>
      <c r="M8659" t="s">
        <v>9985</v>
      </c>
      <c r="N8659" t="s">
        <v>9985</v>
      </c>
      <c r="O8659" t="s">
        <v>23</v>
      </c>
      <c r="P8659" t="s">
        <v>1649</v>
      </c>
      <c r="Q8659" t="s">
        <v>1650</v>
      </c>
      <c r="R8659" t="s">
        <v>1651</v>
      </c>
    </row>
    <row r="8660" spans="1:18" x14ac:dyDescent="0.25">
      <c r="A8660" t="s">
        <v>12619</v>
      </c>
      <c r="B8660" t="s">
        <v>10018</v>
      </c>
      <c r="C8660" t="str">
        <f>HYPERLINK("https://nematode.unl.edu/plepar8.jpg")</f>
        <v>https://nematode.unl.edu/plepar8.jpg</v>
      </c>
      <c r="D8660" t="s">
        <v>16</v>
      </c>
      <c r="G8660" t="s">
        <v>28</v>
      </c>
      <c r="I8660" t="s">
        <v>41</v>
      </c>
      <c r="J8660" t="s">
        <v>20</v>
      </c>
      <c r="M8660" t="s">
        <v>9985</v>
      </c>
      <c r="N8660" t="s">
        <v>9985</v>
      </c>
      <c r="O8660" t="s">
        <v>23</v>
      </c>
      <c r="P8660" t="s">
        <v>1649</v>
      </c>
      <c r="Q8660" t="s">
        <v>1650</v>
      </c>
      <c r="R8660" t="s">
        <v>1651</v>
      </c>
    </row>
    <row r="8661" spans="1:18" x14ac:dyDescent="0.25">
      <c r="A8661" t="s">
        <v>12583</v>
      </c>
      <c r="B8661" t="s">
        <v>10019</v>
      </c>
      <c r="C8661" t="str">
        <f>HYPERLINK("https://nematode.unl.edu/plepar9.jpg")</f>
        <v>https://nematode.unl.edu/plepar9.jpg</v>
      </c>
      <c r="D8661" t="s">
        <v>43</v>
      </c>
      <c r="G8661" t="s">
        <v>96</v>
      </c>
      <c r="H8661" t="s">
        <v>18</v>
      </c>
      <c r="I8661" t="s">
        <v>19</v>
      </c>
      <c r="M8661" t="s">
        <v>9985</v>
      </c>
      <c r="N8661" t="s">
        <v>9985</v>
      </c>
      <c r="O8661" t="s">
        <v>23</v>
      </c>
      <c r="P8661" t="s">
        <v>1649</v>
      </c>
      <c r="Q8661" t="s">
        <v>1650</v>
      </c>
      <c r="R8661" t="s">
        <v>1651</v>
      </c>
    </row>
    <row r="8662" spans="1:18" x14ac:dyDescent="0.25">
      <c r="A8662" t="s">
        <v>12559</v>
      </c>
      <c r="B8662" t="s">
        <v>9977</v>
      </c>
      <c r="C8662" t="str">
        <f>HYPERLINK("https://nematode.unl.edu/plepari1.jpg")</f>
        <v>https://nematode.unl.edu/plepari1.jpg</v>
      </c>
      <c r="D8662" t="s">
        <v>43</v>
      </c>
      <c r="G8662" t="s">
        <v>34</v>
      </c>
      <c r="H8662" t="s">
        <v>18</v>
      </c>
      <c r="I8662" t="s">
        <v>19</v>
      </c>
      <c r="M8662" t="s">
        <v>9955</v>
      </c>
      <c r="N8662" t="s">
        <v>9955</v>
      </c>
      <c r="O8662" t="s">
        <v>23</v>
      </c>
      <c r="P8662" t="s">
        <v>1649</v>
      </c>
      <c r="Q8662" t="s">
        <v>1650</v>
      </c>
      <c r="R8662" t="s">
        <v>1651</v>
      </c>
    </row>
    <row r="8663" spans="1:18" x14ac:dyDescent="0.25">
      <c r="A8663" t="s">
        <v>12560</v>
      </c>
      <c r="B8663" t="s">
        <v>9978</v>
      </c>
      <c r="C8663" t="str">
        <f>HYPERLINK("https://nematode.unl.edu/plepari2.jpg")</f>
        <v>https://nematode.unl.edu/plepari2.jpg</v>
      </c>
      <c r="D8663" t="s">
        <v>77</v>
      </c>
      <c r="G8663" t="s">
        <v>34</v>
      </c>
      <c r="H8663" t="s">
        <v>18</v>
      </c>
      <c r="I8663" t="s">
        <v>41</v>
      </c>
      <c r="M8663" t="s">
        <v>9955</v>
      </c>
      <c r="N8663" t="s">
        <v>9955</v>
      </c>
      <c r="O8663" t="s">
        <v>23</v>
      </c>
      <c r="P8663" t="s">
        <v>1649</v>
      </c>
      <c r="Q8663" t="s">
        <v>1650</v>
      </c>
      <c r="R8663" t="s">
        <v>1651</v>
      </c>
    </row>
    <row r="8664" spans="1:18" x14ac:dyDescent="0.25">
      <c r="A8664" t="s">
        <v>12563</v>
      </c>
      <c r="B8664" t="s">
        <v>9979</v>
      </c>
      <c r="C8664" t="str">
        <f>HYPERLINK("https://nematode.unl.edu/plepari3.jpg")</f>
        <v>https://nematode.unl.edu/plepari3.jpg</v>
      </c>
      <c r="D8664" t="s">
        <v>77</v>
      </c>
      <c r="G8664" t="s">
        <v>384</v>
      </c>
      <c r="I8664" t="s">
        <v>19</v>
      </c>
      <c r="M8664" t="s">
        <v>9955</v>
      </c>
      <c r="N8664" t="s">
        <v>9955</v>
      </c>
      <c r="O8664" t="s">
        <v>23</v>
      </c>
      <c r="P8664" t="s">
        <v>1649</v>
      </c>
      <c r="Q8664" t="s">
        <v>1650</v>
      </c>
      <c r="R8664" t="s">
        <v>1651</v>
      </c>
    </row>
    <row r="8665" spans="1:18" x14ac:dyDescent="0.25">
      <c r="A8665" t="s">
        <v>12631</v>
      </c>
      <c r="B8665" t="s">
        <v>10031</v>
      </c>
      <c r="C8665" t="str">
        <f>HYPERLINK("https://nematode.unl.edu/plepus1.jpg")</f>
        <v>https://nematode.unl.edu/plepus1.jpg</v>
      </c>
      <c r="D8665" t="s">
        <v>43</v>
      </c>
      <c r="G8665" t="s">
        <v>44</v>
      </c>
      <c r="I8665" t="s">
        <v>137</v>
      </c>
      <c r="J8665" t="s">
        <v>20</v>
      </c>
      <c r="L8665" t="s">
        <v>206</v>
      </c>
      <c r="M8665" t="s">
        <v>10032</v>
      </c>
      <c r="N8665" t="s">
        <v>10032</v>
      </c>
      <c r="O8665" t="s">
        <v>23</v>
      </c>
      <c r="P8665" t="s">
        <v>1649</v>
      </c>
      <c r="Q8665" t="s">
        <v>1650</v>
      </c>
      <c r="R8665" t="s">
        <v>1651</v>
      </c>
    </row>
    <row r="8666" spans="1:18" x14ac:dyDescent="0.25">
      <c r="A8666" t="s">
        <v>12634</v>
      </c>
      <c r="B8666" t="s">
        <v>10033</v>
      </c>
      <c r="C8666" t="str">
        <f>HYPERLINK("https://nematode.unl.edu/plepus10.jpg")</f>
        <v>https://nematode.unl.edu/plepus10.jpg</v>
      </c>
      <c r="D8666" t="s">
        <v>43</v>
      </c>
      <c r="G8666" t="s">
        <v>28</v>
      </c>
      <c r="I8666" t="s">
        <v>19</v>
      </c>
      <c r="J8666" t="s">
        <v>20</v>
      </c>
      <c r="L8666" t="s">
        <v>206</v>
      </c>
      <c r="M8666" t="s">
        <v>10032</v>
      </c>
      <c r="N8666" t="s">
        <v>10032</v>
      </c>
      <c r="O8666" t="s">
        <v>23</v>
      </c>
      <c r="P8666" t="s">
        <v>1649</v>
      </c>
      <c r="Q8666" t="s">
        <v>1650</v>
      </c>
      <c r="R8666" t="s">
        <v>1651</v>
      </c>
    </row>
    <row r="8667" spans="1:18" x14ac:dyDescent="0.25">
      <c r="A8667" t="s">
        <v>12625</v>
      </c>
      <c r="B8667" t="s">
        <v>10034</v>
      </c>
      <c r="C8667" t="str">
        <f>HYPERLINK("https://nematode.unl.edu/plepus11.jpg")</f>
        <v>https://nematode.unl.edu/plepus11.jpg</v>
      </c>
      <c r="D8667" t="s">
        <v>43</v>
      </c>
      <c r="G8667" t="s">
        <v>34</v>
      </c>
      <c r="H8667" t="s">
        <v>18</v>
      </c>
      <c r="J8667" t="s">
        <v>20</v>
      </c>
      <c r="L8667" t="s">
        <v>206</v>
      </c>
      <c r="M8667" t="s">
        <v>10032</v>
      </c>
      <c r="N8667" t="s">
        <v>10032</v>
      </c>
      <c r="O8667" t="s">
        <v>23</v>
      </c>
      <c r="P8667" t="s">
        <v>1649</v>
      </c>
      <c r="Q8667" t="s">
        <v>1650</v>
      </c>
      <c r="R8667" t="s">
        <v>1651</v>
      </c>
    </row>
    <row r="8668" spans="1:18" x14ac:dyDescent="0.25">
      <c r="A8668" t="s">
        <v>12626</v>
      </c>
      <c r="B8668" t="s">
        <v>10035</v>
      </c>
      <c r="C8668" t="str">
        <f>HYPERLINK("https://nematode.unl.edu/plepus12.jpg")</f>
        <v>https://nematode.unl.edu/plepus12.jpg</v>
      </c>
      <c r="D8668" t="s">
        <v>16</v>
      </c>
      <c r="G8668" t="s">
        <v>34</v>
      </c>
      <c r="H8668" t="s">
        <v>18</v>
      </c>
      <c r="I8668" t="s">
        <v>19</v>
      </c>
      <c r="J8668" t="s">
        <v>20</v>
      </c>
      <c r="L8668" t="s">
        <v>206</v>
      </c>
      <c r="M8668" t="s">
        <v>10032</v>
      </c>
      <c r="N8668" t="s">
        <v>10032</v>
      </c>
      <c r="O8668" t="s">
        <v>23</v>
      </c>
      <c r="P8668" t="s">
        <v>1649</v>
      </c>
      <c r="Q8668" t="s">
        <v>1650</v>
      </c>
      <c r="R8668" t="s">
        <v>1651</v>
      </c>
    </row>
    <row r="8669" spans="1:18" x14ac:dyDescent="0.25">
      <c r="A8669" t="s">
        <v>12635</v>
      </c>
      <c r="B8669" t="s">
        <v>10036</v>
      </c>
      <c r="C8669" t="str">
        <f>HYPERLINK("https://nematode.unl.edu/plepus13.jpg")</f>
        <v>https://nematode.unl.edu/plepus13.jpg</v>
      </c>
      <c r="D8669" t="s">
        <v>16</v>
      </c>
      <c r="G8669" t="s">
        <v>28</v>
      </c>
      <c r="J8669" t="s">
        <v>20</v>
      </c>
      <c r="L8669" t="s">
        <v>206</v>
      </c>
      <c r="M8669" t="s">
        <v>10032</v>
      </c>
      <c r="N8669" t="s">
        <v>10032</v>
      </c>
      <c r="O8669" t="s">
        <v>23</v>
      </c>
      <c r="P8669" t="s">
        <v>1649</v>
      </c>
      <c r="Q8669" t="s">
        <v>1650</v>
      </c>
      <c r="R8669" t="s">
        <v>1651</v>
      </c>
    </row>
    <row r="8670" spans="1:18" x14ac:dyDescent="0.25">
      <c r="A8670" t="s">
        <v>12627</v>
      </c>
      <c r="B8670" t="s">
        <v>10037</v>
      </c>
      <c r="C8670" t="str">
        <f>HYPERLINK("https://nematode.unl.edu/plepus18.jpg")</f>
        <v>https://nematode.unl.edu/plepus18.jpg</v>
      </c>
      <c r="D8670" t="s">
        <v>43</v>
      </c>
      <c r="G8670" t="s">
        <v>34</v>
      </c>
      <c r="H8670" t="s">
        <v>18</v>
      </c>
      <c r="J8670" t="s">
        <v>20</v>
      </c>
      <c r="L8670" t="s">
        <v>206</v>
      </c>
      <c r="M8670" t="s">
        <v>10032</v>
      </c>
      <c r="N8670" t="s">
        <v>10032</v>
      </c>
      <c r="O8670" t="s">
        <v>23</v>
      </c>
      <c r="P8670" t="s">
        <v>1649</v>
      </c>
      <c r="Q8670" t="s">
        <v>1650</v>
      </c>
      <c r="R8670" t="s">
        <v>1651</v>
      </c>
    </row>
    <row r="8671" spans="1:18" x14ac:dyDescent="0.25">
      <c r="A8671" t="s">
        <v>12639</v>
      </c>
      <c r="B8671" t="s">
        <v>10038</v>
      </c>
      <c r="C8671" t="str">
        <f>HYPERLINK("https://nematode.unl.edu/plepus19.jpg")</f>
        <v>https://nematode.unl.edu/plepus19.jpg</v>
      </c>
      <c r="D8671" t="s">
        <v>43</v>
      </c>
      <c r="G8671" t="s">
        <v>51</v>
      </c>
      <c r="J8671" t="s">
        <v>20</v>
      </c>
      <c r="L8671" t="s">
        <v>206</v>
      </c>
      <c r="M8671" t="s">
        <v>10032</v>
      </c>
      <c r="N8671" t="s">
        <v>10032</v>
      </c>
      <c r="O8671" t="s">
        <v>23</v>
      </c>
      <c r="P8671" t="s">
        <v>1649</v>
      </c>
      <c r="Q8671" t="s">
        <v>1650</v>
      </c>
      <c r="R8671" t="s">
        <v>1651</v>
      </c>
    </row>
    <row r="8672" spans="1:18" x14ac:dyDescent="0.25">
      <c r="A8672" t="s">
        <v>12628</v>
      </c>
      <c r="B8672" t="s">
        <v>10039</v>
      </c>
      <c r="C8672" t="str">
        <f>HYPERLINK("https://nematode.unl.edu/plepus2.jpg")</f>
        <v>https://nematode.unl.edu/plepus2.jpg</v>
      </c>
      <c r="D8672" t="s">
        <v>43</v>
      </c>
      <c r="G8672" t="s">
        <v>34</v>
      </c>
      <c r="H8672" t="s">
        <v>18</v>
      </c>
      <c r="I8672" t="s">
        <v>19</v>
      </c>
      <c r="J8672" t="s">
        <v>20</v>
      </c>
      <c r="L8672" t="s">
        <v>206</v>
      </c>
      <c r="M8672" t="s">
        <v>10032</v>
      </c>
      <c r="N8672" t="s">
        <v>10032</v>
      </c>
      <c r="O8672" t="s">
        <v>23</v>
      </c>
      <c r="P8672" t="s">
        <v>1649</v>
      </c>
      <c r="Q8672" t="s">
        <v>1650</v>
      </c>
      <c r="R8672" t="s">
        <v>1651</v>
      </c>
    </row>
    <row r="8673" spans="1:18" x14ac:dyDescent="0.25">
      <c r="A8673" t="s">
        <v>12636</v>
      </c>
      <c r="B8673" t="s">
        <v>10040</v>
      </c>
      <c r="C8673" t="str">
        <f>HYPERLINK("https://nematode.unl.edu/plepus20.jpg")</f>
        <v>https://nematode.unl.edu/plepus20.jpg</v>
      </c>
      <c r="D8673" t="s">
        <v>43</v>
      </c>
      <c r="G8673" t="s">
        <v>28</v>
      </c>
      <c r="I8673" t="s">
        <v>19</v>
      </c>
      <c r="J8673" t="s">
        <v>20</v>
      </c>
      <c r="L8673" t="s">
        <v>206</v>
      </c>
      <c r="M8673" t="s">
        <v>10032</v>
      </c>
      <c r="N8673" t="s">
        <v>10032</v>
      </c>
      <c r="O8673" t="s">
        <v>23</v>
      </c>
      <c r="P8673" t="s">
        <v>1649</v>
      </c>
      <c r="Q8673" t="s">
        <v>1650</v>
      </c>
      <c r="R8673" t="s">
        <v>1651</v>
      </c>
    </row>
    <row r="8674" spans="1:18" x14ac:dyDescent="0.25">
      <c r="A8674" t="s">
        <v>12629</v>
      </c>
      <c r="B8674" t="s">
        <v>10041</v>
      </c>
      <c r="C8674" t="str">
        <f>HYPERLINK("https://nematode.unl.edu/plepus21.jpg")</f>
        <v>https://nematode.unl.edu/plepus21.jpg</v>
      </c>
      <c r="D8674" t="s">
        <v>43</v>
      </c>
      <c r="G8674" t="s">
        <v>34</v>
      </c>
      <c r="H8674" t="s">
        <v>18</v>
      </c>
      <c r="I8674" t="s">
        <v>41</v>
      </c>
      <c r="J8674" t="s">
        <v>20</v>
      </c>
      <c r="L8674" t="s">
        <v>206</v>
      </c>
      <c r="M8674" t="s">
        <v>10032</v>
      </c>
      <c r="N8674" t="s">
        <v>10032</v>
      </c>
      <c r="O8674" t="s">
        <v>23</v>
      </c>
      <c r="P8674" t="s">
        <v>1649</v>
      </c>
      <c r="Q8674" t="s">
        <v>1650</v>
      </c>
      <c r="R8674" t="s">
        <v>1651</v>
      </c>
    </row>
    <row r="8675" spans="1:18" x14ac:dyDescent="0.25">
      <c r="A8675" t="s">
        <v>12637</v>
      </c>
      <c r="B8675" t="s">
        <v>10042</v>
      </c>
      <c r="C8675" t="str">
        <f>HYPERLINK("https://nematode.unl.edu/plepus3.jpg")</f>
        <v>https://nematode.unl.edu/plepus3.jpg</v>
      </c>
      <c r="D8675" t="s">
        <v>43</v>
      </c>
      <c r="G8675" t="s">
        <v>28</v>
      </c>
      <c r="J8675" t="s">
        <v>20</v>
      </c>
      <c r="L8675" t="s">
        <v>206</v>
      </c>
      <c r="M8675" t="s">
        <v>10032</v>
      </c>
      <c r="N8675" t="s">
        <v>10032</v>
      </c>
      <c r="O8675" t="s">
        <v>23</v>
      </c>
      <c r="P8675" t="s">
        <v>1649</v>
      </c>
      <c r="Q8675" t="s">
        <v>1650</v>
      </c>
      <c r="R8675" t="s">
        <v>1651</v>
      </c>
    </row>
    <row r="8676" spans="1:18" x14ac:dyDescent="0.25">
      <c r="A8676" t="s">
        <v>12624</v>
      </c>
      <c r="B8676" t="s">
        <v>10043</v>
      </c>
      <c r="C8676" t="str">
        <f>HYPERLINK("https://nematode.unl.edu/plepus4.jpg")</f>
        <v>https://nematode.unl.edu/plepus4.jpg</v>
      </c>
      <c r="D8676" t="s">
        <v>43</v>
      </c>
      <c r="G8676" t="s">
        <v>386</v>
      </c>
      <c r="H8676" t="s">
        <v>18</v>
      </c>
      <c r="I8676" t="s">
        <v>41</v>
      </c>
      <c r="J8676" t="s">
        <v>20</v>
      </c>
      <c r="L8676" t="s">
        <v>206</v>
      </c>
      <c r="M8676" t="s">
        <v>10032</v>
      </c>
      <c r="N8676" t="s">
        <v>10032</v>
      </c>
      <c r="O8676" t="s">
        <v>23</v>
      </c>
      <c r="P8676" t="s">
        <v>1649</v>
      </c>
      <c r="Q8676" t="s">
        <v>1650</v>
      </c>
      <c r="R8676" t="s">
        <v>1651</v>
      </c>
    </row>
    <row r="8677" spans="1:18" x14ac:dyDescent="0.25">
      <c r="A8677" t="s">
        <v>12630</v>
      </c>
      <c r="B8677" t="s">
        <v>10044</v>
      </c>
      <c r="C8677" t="str">
        <f>HYPERLINK("https://nematode.unl.edu/plepus5.jpg")</f>
        <v>https://nematode.unl.edu/plepus5.jpg</v>
      </c>
      <c r="D8677" t="s">
        <v>43</v>
      </c>
      <c r="G8677" t="s">
        <v>34</v>
      </c>
      <c r="H8677" t="s">
        <v>18</v>
      </c>
      <c r="I8677" t="s">
        <v>41</v>
      </c>
      <c r="J8677" t="s">
        <v>20</v>
      </c>
      <c r="L8677" t="s">
        <v>206</v>
      </c>
      <c r="M8677" t="s">
        <v>10032</v>
      </c>
      <c r="N8677" t="s">
        <v>10032</v>
      </c>
      <c r="O8677" t="s">
        <v>23</v>
      </c>
      <c r="P8677" t="s">
        <v>1649</v>
      </c>
      <c r="Q8677" t="s">
        <v>1650</v>
      </c>
      <c r="R8677" t="s">
        <v>1651</v>
      </c>
    </row>
    <row r="8678" spans="1:18" x14ac:dyDescent="0.25">
      <c r="A8678" t="s">
        <v>12638</v>
      </c>
      <c r="B8678" t="s">
        <v>10045</v>
      </c>
      <c r="C8678" t="str">
        <f>HYPERLINK("https://nematode.unl.edu/plepus6.jpg")</f>
        <v>https://nematode.unl.edu/plepus6.jpg</v>
      </c>
      <c r="D8678" t="s">
        <v>43</v>
      </c>
      <c r="G8678" t="s">
        <v>28</v>
      </c>
      <c r="I8678" t="s">
        <v>41</v>
      </c>
      <c r="J8678" t="s">
        <v>20</v>
      </c>
      <c r="L8678" t="s">
        <v>206</v>
      </c>
      <c r="M8678" t="s">
        <v>10032</v>
      </c>
      <c r="N8678" t="s">
        <v>10032</v>
      </c>
      <c r="O8678" t="s">
        <v>23</v>
      </c>
      <c r="P8678" t="s">
        <v>1649</v>
      </c>
      <c r="Q8678" t="s">
        <v>1650</v>
      </c>
      <c r="R8678" t="s">
        <v>1651</v>
      </c>
    </row>
    <row r="8679" spans="1:18" x14ac:dyDescent="0.25">
      <c r="A8679" t="s">
        <v>12633</v>
      </c>
      <c r="B8679" t="s">
        <v>10046</v>
      </c>
      <c r="C8679" t="str">
        <f>HYPERLINK("https://nematode.unl.edu/plepus7.jpg")</f>
        <v>https://nematode.unl.edu/plepus7.jpg</v>
      </c>
      <c r="D8679" t="s">
        <v>43</v>
      </c>
      <c r="G8679" t="s">
        <v>53</v>
      </c>
      <c r="I8679" t="s">
        <v>41</v>
      </c>
      <c r="J8679" t="s">
        <v>20</v>
      </c>
      <c r="L8679" t="s">
        <v>206</v>
      </c>
      <c r="M8679" t="s">
        <v>10032</v>
      </c>
      <c r="N8679" t="s">
        <v>10032</v>
      </c>
      <c r="O8679" t="s">
        <v>23</v>
      </c>
      <c r="P8679" t="s">
        <v>1649</v>
      </c>
      <c r="Q8679" t="s">
        <v>1650</v>
      </c>
      <c r="R8679" t="s">
        <v>1651</v>
      </c>
    </row>
    <row r="8680" spans="1:18" x14ac:dyDescent="0.25">
      <c r="A8680" t="s">
        <v>12640</v>
      </c>
      <c r="B8680" t="s">
        <v>10047</v>
      </c>
      <c r="C8680" t="str">
        <f>HYPERLINK("https://nematode.unl.edu/plepus8.jpg")</f>
        <v>https://nematode.unl.edu/plepus8.jpg</v>
      </c>
      <c r="D8680" t="s">
        <v>43</v>
      </c>
      <c r="G8680" t="s">
        <v>51</v>
      </c>
      <c r="I8680" t="s">
        <v>41</v>
      </c>
      <c r="J8680" t="s">
        <v>20</v>
      </c>
      <c r="L8680" t="s">
        <v>206</v>
      </c>
      <c r="M8680" t="s">
        <v>10032</v>
      </c>
      <c r="N8680" t="s">
        <v>10032</v>
      </c>
      <c r="O8680" t="s">
        <v>23</v>
      </c>
      <c r="P8680" t="s">
        <v>1649</v>
      </c>
      <c r="Q8680" t="s">
        <v>1650</v>
      </c>
      <c r="R8680" t="s">
        <v>1651</v>
      </c>
    </row>
    <row r="8681" spans="1:18" x14ac:dyDescent="0.25">
      <c r="A8681" t="s">
        <v>12632</v>
      </c>
      <c r="B8681" t="s">
        <v>10048</v>
      </c>
      <c r="C8681" t="str">
        <f>HYPERLINK("https://nematode.unl.edu/plepus9.jpg")</f>
        <v>https://nematode.unl.edu/plepus9.jpg</v>
      </c>
      <c r="D8681" t="s">
        <v>43</v>
      </c>
      <c r="G8681" t="s">
        <v>44</v>
      </c>
      <c r="I8681" t="s">
        <v>137</v>
      </c>
      <c r="J8681" t="s">
        <v>20</v>
      </c>
      <c r="L8681" t="s">
        <v>206</v>
      </c>
      <c r="M8681" t="s">
        <v>10032</v>
      </c>
      <c r="N8681" t="s">
        <v>10032</v>
      </c>
      <c r="O8681" t="s">
        <v>23</v>
      </c>
      <c r="P8681" t="s">
        <v>1649</v>
      </c>
      <c r="Q8681" t="s">
        <v>1650</v>
      </c>
      <c r="R8681" t="s">
        <v>1651</v>
      </c>
    </row>
    <row r="8682" spans="1:18" x14ac:dyDescent="0.25">
      <c r="A8682" t="s">
        <v>12659</v>
      </c>
      <c r="B8682" t="s">
        <v>10049</v>
      </c>
      <c r="C8682" t="str">
        <f>HYPERLINK("https://nematode.unl.edu/pleriz1.jpg")</f>
        <v>https://nematode.unl.edu/pleriz1.jpg</v>
      </c>
      <c r="D8682" t="s">
        <v>43</v>
      </c>
      <c r="G8682" t="s">
        <v>44</v>
      </c>
      <c r="I8682" t="s">
        <v>45</v>
      </c>
      <c r="J8682" t="s">
        <v>482</v>
      </c>
      <c r="M8682" t="s">
        <v>10050</v>
      </c>
      <c r="N8682" t="s">
        <v>10050</v>
      </c>
      <c r="O8682" t="s">
        <v>23</v>
      </c>
      <c r="P8682" t="s">
        <v>1649</v>
      </c>
      <c r="Q8682" t="s">
        <v>1650</v>
      </c>
      <c r="R8682" t="s">
        <v>1651</v>
      </c>
    </row>
    <row r="8683" spans="1:18" x14ac:dyDescent="0.25">
      <c r="A8683" t="s">
        <v>12664</v>
      </c>
      <c r="B8683" t="s">
        <v>10051</v>
      </c>
      <c r="C8683" t="str">
        <f>HYPERLINK("https://nematode.unl.edu/pleriz2.jpg")</f>
        <v>https://nematode.unl.edu/pleriz2.jpg</v>
      </c>
      <c r="D8683" t="s">
        <v>43</v>
      </c>
      <c r="G8683" t="s">
        <v>28</v>
      </c>
      <c r="M8683" t="s">
        <v>10050</v>
      </c>
      <c r="N8683" t="s">
        <v>10050</v>
      </c>
      <c r="O8683" t="s">
        <v>23</v>
      </c>
      <c r="P8683" t="s">
        <v>1649</v>
      </c>
      <c r="Q8683" t="s">
        <v>1650</v>
      </c>
      <c r="R8683" t="s">
        <v>1651</v>
      </c>
    </row>
    <row r="8684" spans="1:18" x14ac:dyDescent="0.25">
      <c r="A8684" t="s">
        <v>12669</v>
      </c>
      <c r="B8684" t="s">
        <v>10052</v>
      </c>
      <c r="C8684" t="str">
        <f>HYPERLINK("https://nematode.unl.edu/pleriz3.jpg")</f>
        <v>https://nematode.unl.edu/pleriz3.jpg</v>
      </c>
      <c r="D8684" t="s">
        <v>43</v>
      </c>
      <c r="G8684" t="s">
        <v>51</v>
      </c>
      <c r="M8684" t="s">
        <v>10050</v>
      </c>
      <c r="N8684" t="s">
        <v>10050</v>
      </c>
      <c r="O8684" t="s">
        <v>23</v>
      </c>
      <c r="P8684" t="s">
        <v>1649</v>
      </c>
      <c r="Q8684" t="s">
        <v>1650</v>
      </c>
      <c r="R8684" t="s">
        <v>1651</v>
      </c>
    </row>
    <row r="8685" spans="1:18" x14ac:dyDescent="0.25">
      <c r="A8685" t="s">
        <v>12649</v>
      </c>
      <c r="B8685" t="s">
        <v>10053</v>
      </c>
      <c r="C8685" t="str">
        <f>HYPERLINK("https://nematode.unl.edu/pleriz4.jpg")</f>
        <v>https://nematode.unl.edu/pleriz4.jpg</v>
      </c>
      <c r="D8685" t="s">
        <v>43</v>
      </c>
      <c r="G8685" t="s">
        <v>34</v>
      </c>
      <c r="H8685" t="s">
        <v>18</v>
      </c>
      <c r="M8685" t="s">
        <v>10050</v>
      </c>
      <c r="N8685" t="s">
        <v>10050</v>
      </c>
      <c r="O8685" t="s">
        <v>23</v>
      </c>
      <c r="P8685" t="s">
        <v>1649</v>
      </c>
      <c r="Q8685" t="s">
        <v>1650</v>
      </c>
      <c r="R8685" t="s">
        <v>1651</v>
      </c>
    </row>
    <row r="8686" spans="1:18" x14ac:dyDescent="0.25">
      <c r="A8686" t="s">
        <v>12650</v>
      </c>
      <c r="B8686" t="s">
        <v>10054</v>
      </c>
      <c r="C8686" t="str">
        <f>HYPERLINK("https://nematode.unl.edu/pleriz5.jpg")</f>
        <v>https://nematode.unl.edu/pleriz5.jpg</v>
      </c>
      <c r="D8686" t="s">
        <v>43</v>
      </c>
      <c r="G8686" t="s">
        <v>34</v>
      </c>
      <c r="H8686" t="s">
        <v>18</v>
      </c>
      <c r="I8686" t="s">
        <v>41</v>
      </c>
      <c r="J8686" t="s">
        <v>440</v>
      </c>
      <c r="M8686" t="s">
        <v>10050</v>
      </c>
      <c r="N8686" t="s">
        <v>10050</v>
      </c>
      <c r="O8686" t="s">
        <v>23</v>
      </c>
      <c r="P8686" t="s">
        <v>1649</v>
      </c>
      <c r="Q8686" t="s">
        <v>1650</v>
      </c>
      <c r="R8686" t="s">
        <v>1651</v>
      </c>
    </row>
    <row r="8687" spans="1:18" x14ac:dyDescent="0.25">
      <c r="A8687" t="s">
        <v>12661</v>
      </c>
      <c r="B8687" t="s">
        <v>10055</v>
      </c>
      <c r="C8687" t="str">
        <f>HYPERLINK("https://nematode.unl.edu/plerizcmp.jpg")</f>
        <v>https://nematode.unl.edu/plerizcmp.jpg</v>
      </c>
      <c r="G8687" t="s">
        <v>108</v>
      </c>
      <c r="J8687" t="s">
        <v>482</v>
      </c>
      <c r="M8687" t="s">
        <v>10050</v>
      </c>
      <c r="N8687" t="s">
        <v>10050</v>
      </c>
      <c r="O8687" t="s">
        <v>23</v>
      </c>
      <c r="P8687" t="s">
        <v>1649</v>
      </c>
      <c r="Q8687" t="s">
        <v>1650</v>
      </c>
      <c r="R8687" t="s">
        <v>1651</v>
      </c>
    </row>
    <row r="8688" spans="1:18" x14ac:dyDescent="0.25">
      <c r="A8688" t="s">
        <v>12641</v>
      </c>
      <c r="B8688" t="s">
        <v>10056</v>
      </c>
      <c r="C8688" t="str">
        <f>HYPERLINK("https://nematode.unl.edu/plerizop1.jpg")</f>
        <v>https://nematode.unl.edu/plerizop1.jpg</v>
      </c>
      <c r="D8688" t="s">
        <v>43</v>
      </c>
      <c r="G8688" t="s">
        <v>386</v>
      </c>
      <c r="H8688" t="s">
        <v>18</v>
      </c>
      <c r="I8688" t="s">
        <v>41</v>
      </c>
      <c r="J8688" t="s">
        <v>20</v>
      </c>
      <c r="L8688" t="s">
        <v>64</v>
      </c>
      <c r="M8688" t="s">
        <v>10050</v>
      </c>
      <c r="N8688" t="s">
        <v>10050</v>
      </c>
      <c r="O8688" t="s">
        <v>23</v>
      </c>
      <c r="P8688" t="s">
        <v>1649</v>
      </c>
      <c r="Q8688" t="s">
        <v>1650</v>
      </c>
      <c r="R8688" t="s">
        <v>1651</v>
      </c>
    </row>
    <row r="8689" spans="1:18" x14ac:dyDescent="0.25">
      <c r="A8689" t="s">
        <v>12665</v>
      </c>
      <c r="B8689" t="s">
        <v>10057</v>
      </c>
      <c r="C8689" t="str">
        <f>HYPERLINK("https://nematode.unl.edu/plerizop10.jpg")</f>
        <v>https://nematode.unl.edu/plerizop10.jpg</v>
      </c>
      <c r="D8689" t="s">
        <v>43</v>
      </c>
      <c r="G8689" t="s">
        <v>28</v>
      </c>
      <c r="I8689" t="s">
        <v>41</v>
      </c>
      <c r="J8689" t="s">
        <v>20</v>
      </c>
      <c r="L8689" t="s">
        <v>64</v>
      </c>
      <c r="M8689" t="s">
        <v>10050</v>
      </c>
      <c r="N8689" t="s">
        <v>10050</v>
      </c>
      <c r="O8689" t="s">
        <v>23</v>
      </c>
      <c r="P8689" t="s">
        <v>1649</v>
      </c>
      <c r="Q8689" t="s">
        <v>1650</v>
      </c>
      <c r="R8689" t="s">
        <v>1651</v>
      </c>
    </row>
    <row r="8690" spans="1:18" x14ac:dyDescent="0.25">
      <c r="A8690" t="s">
        <v>12651</v>
      </c>
      <c r="B8690" t="s">
        <v>10058</v>
      </c>
      <c r="C8690" t="str">
        <f>HYPERLINK("https://nematode.unl.edu/plerizop11.jpg")</f>
        <v>https://nematode.unl.edu/plerizop11.jpg</v>
      </c>
      <c r="D8690" t="s">
        <v>43</v>
      </c>
      <c r="G8690" t="s">
        <v>34</v>
      </c>
      <c r="H8690" t="s">
        <v>18</v>
      </c>
      <c r="J8690" t="s">
        <v>20</v>
      </c>
      <c r="L8690" t="s">
        <v>85</v>
      </c>
      <c r="M8690" t="s">
        <v>10050</v>
      </c>
      <c r="N8690" t="s">
        <v>10050</v>
      </c>
      <c r="O8690" t="s">
        <v>23</v>
      </c>
      <c r="P8690" t="s">
        <v>1649</v>
      </c>
      <c r="Q8690" t="s">
        <v>1650</v>
      </c>
      <c r="R8690" t="s">
        <v>1651</v>
      </c>
    </row>
    <row r="8691" spans="1:18" x14ac:dyDescent="0.25">
      <c r="A8691" t="s">
        <v>12658</v>
      </c>
      <c r="B8691" t="s">
        <v>10059</v>
      </c>
      <c r="C8691" t="str">
        <f>HYPERLINK("https://nematode.unl.edu/plerizop12.jpg")</f>
        <v>https://nematode.unl.edu/plerizop12.jpg</v>
      </c>
      <c r="D8691" t="s">
        <v>43</v>
      </c>
      <c r="G8691" t="s">
        <v>87</v>
      </c>
      <c r="I8691" t="s">
        <v>516</v>
      </c>
      <c r="J8691" t="s">
        <v>20</v>
      </c>
      <c r="L8691" t="s">
        <v>85</v>
      </c>
      <c r="M8691" t="s">
        <v>10050</v>
      </c>
      <c r="N8691" t="s">
        <v>10050</v>
      </c>
      <c r="O8691" t="s">
        <v>23</v>
      </c>
      <c r="P8691" t="s">
        <v>1649</v>
      </c>
      <c r="Q8691" t="s">
        <v>1650</v>
      </c>
      <c r="R8691" t="s">
        <v>1651</v>
      </c>
    </row>
    <row r="8692" spans="1:18" x14ac:dyDescent="0.25">
      <c r="A8692" t="s">
        <v>12670</v>
      </c>
      <c r="B8692" t="s">
        <v>10060</v>
      </c>
      <c r="C8692" t="str">
        <f>HYPERLINK("https://nematode.unl.edu/plerizop13.jpg")</f>
        <v>https://nematode.unl.edu/plerizop13.jpg</v>
      </c>
      <c r="D8692" t="s">
        <v>43</v>
      </c>
      <c r="G8692" t="s">
        <v>51</v>
      </c>
      <c r="M8692" t="s">
        <v>10050</v>
      </c>
      <c r="N8692" t="s">
        <v>10050</v>
      </c>
      <c r="O8692" t="s">
        <v>23</v>
      </c>
      <c r="P8692" t="s">
        <v>1649</v>
      </c>
      <c r="Q8692" t="s">
        <v>1650</v>
      </c>
      <c r="R8692" t="s">
        <v>1651</v>
      </c>
    </row>
    <row r="8693" spans="1:18" x14ac:dyDescent="0.25">
      <c r="A8693" t="s">
        <v>12666</v>
      </c>
      <c r="B8693" t="s">
        <v>10061</v>
      </c>
      <c r="C8693" t="str">
        <f>HYPERLINK("https://nematode.unl.edu/plerizop14.jpg")</f>
        <v>https://nematode.unl.edu/plerizop14.jpg</v>
      </c>
      <c r="D8693" t="s">
        <v>43</v>
      </c>
      <c r="G8693" t="s">
        <v>28</v>
      </c>
      <c r="J8693" t="s">
        <v>20</v>
      </c>
      <c r="M8693" t="s">
        <v>10050</v>
      </c>
      <c r="N8693" t="s">
        <v>10050</v>
      </c>
      <c r="O8693" t="s">
        <v>23</v>
      </c>
      <c r="P8693" t="s">
        <v>1649</v>
      </c>
      <c r="Q8693" t="s">
        <v>1650</v>
      </c>
      <c r="R8693" t="s">
        <v>1651</v>
      </c>
    </row>
    <row r="8694" spans="1:18" x14ac:dyDescent="0.25">
      <c r="A8694" t="s">
        <v>12642</v>
      </c>
      <c r="B8694" t="s">
        <v>10062</v>
      </c>
      <c r="C8694" t="str">
        <f>HYPERLINK("https://nematode.unl.edu/plerizop15.jpg")</f>
        <v>https://nematode.unl.edu/plerizop15.jpg</v>
      </c>
      <c r="D8694" t="s">
        <v>43</v>
      </c>
      <c r="G8694" t="s">
        <v>386</v>
      </c>
      <c r="H8694" t="s">
        <v>18</v>
      </c>
      <c r="I8694" t="s">
        <v>41</v>
      </c>
      <c r="J8694" t="s">
        <v>20</v>
      </c>
      <c r="L8694" t="s">
        <v>85</v>
      </c>
      <c r="M8694" t="s">
        <v>10050</v>
      </c>
      <c r="N8694" t="s">
        <v>10050</v>
      </c>
      <c r="O8694" t="s">
        <v>23</v>
      </c>
      <c r="P8694" t="s">
        <v>1649</v>
      </c>
      <c r="Q8694" t="s">
        <v>1650</v>
      </c>
      <c r="R8694" t="s">
        <v>1651</v>
      </c>
    </row>
    <row r="8695" spans="1:18" x14ac:dyDescent="0.25">
      <c r="A8695" t="s">
        <v>12652</v>
      </c>
      <c r="B8695" t="s">
        <v>10063</v>
      </c>
      <c r="C8695" t="str">
        <f>HYPERLINK("https://nematode.unl.edu/plerizop16.jpg")</f>
        <v>https://nematode.unl.edu/plerizop16.jpg</v>
      </c>
      <c r="D8695" t="s">
        <v>43</v>
      </c>
      <c r="G8695" t="s">
        <v>34</v>
      </c>
      <c r="H8695" t="s">
        <v>18</v>
      </c>
      <c r="J8695" t="s">
        <v>20</v>
      </c>
      <c r="L8695" t="s">
        <v>85</v>
      </c>
      <c r="M8695" t="s">
        <v>10050</v>
      </c>
      <c r="N8695" t="s">
        <v>10050</v>
      </c>
      <c r="O8695" t="s">
        <v>23</v>
      </c>
      <c r="P8695" t="s">
        <v>1649</v>
      </c>
      <c r="Q8695" t="s">
        <v>1650</v>
      </c>
      <c r="R8695" t="s">
        <v>1651</v>
      </c>
    </row>
    <row r="8696" spans="1:18" x14ac:dyDescent="0.25">
      <c r="A8696" t="s">
        <v>12662</v>
      </c>
      <c r="B8696" t="s">
        <v>10064</v>
      </c>
      <c r="C8696" t="str">
        <f>HYPERLINK("https://nematode.unl.edu/plerizop17.jpg")</f>
        <v>https://nematode.unl.edu/plerizop17.jpg</v>
      </c>
      <c r="D8696" t="s">
        <v>43</v>
      </c>
      <c r="G8696" t="s">
        <v>53</v>
      </c>
      <c r="I8696" t="s">
        <v>41</v>
      </c>
      <c r="J8696" t="s">
        <v>20</v>
      </c>
      <c r="L8696" t="s">
        <v>85</v>
      </c>
      <c r="M8696" t="s">
        <v>10050</v>
      </c>
      <c r="N8696" t="s">
        <v>10050</v>
      </c>
      <c r="O8696" t="s">
        <v>23</v>
      </c>
      <c r="P8696" t="s">
        <v>1649</v>
      </c>
      <c r="Q8696" t="s">
        <v>1650</v>
      </c>
      <c r="R8696" t="s">
        <v>1651</v>
      </c>
    </row>
    <row r="8697" spans="1:18" x14ac:dyDescent="0.25">
      <c r="A8697" t="s">
        <v>12663</v>
      </c>
      <c r="B8697" t="s">
        <v>10065</v>
      </c>
      <c r="C8697" t="str">
        <f>HYPERLINK("https://nematode.unl.edu/plerizop18.jpg")</f>
        <v>https://nematode.unl.edu/plerizop18.jpg</v>
      </c>
      <c r="D8697" t="s">
        <v>43</v>
      </c>
      <c r="G8697" t="s">
        <v>53</v>
      </c>
      <c r="I8697" t="s">
        <v>41</v>
      </c>
      <c r="M8697" t="s">
        <v>10050</v>
      </c>
      <c r="N8697" t="s">
        <v>10050</v>
      </c>
      <c r="O8697" t="s">
        <v>23</v>
      </c>
      <c r="P8697" t="s">
        <v>1649</v>
      </c>
      <c r="Q8697" t="s">
        <v>1650</v>
      </c>
      <c r="R8697" t="s">
        <v>1651</v>
      </c>
    </row>
    <row r="8698" spans="1:18" x14ac:dyDescent="0.25">
      <c r="A8698" t="s">
        <v>12643</v>
      </c>
      <c r="B8698" t="s">
        <v>10066</v>
      </c>
      <c r="C8698" t="str">
        <f>HYPERLINK("https://nematode.unl.edu/plerizop19.jpg")</f>
        <v>https://nematode.unl.edu/plerizop19.jpg</v>
      </c>
      <c r="D8698" t="s">
        <v>43</v>
      </c>
      <c r="G8698" t="s">
        <v>386</v>
      </c>
      <c r="H8698" t="s">
        <v>18</v>
      </c>
      <c r="I8698" t="s">
        <v>41</v>
      </c>
      <c r="J8698" t="s">
        <v>20</v>
      </c>
      <c r="M8698" t="s">
        <v>10050</v>
      </c>
      <c r="N8698" t="s">
        <v>10050</v>
      </c>
      <c r="O8698" t="s">
        <v>23</v>
      </c>
      <c r="P8698" t="s">
        <v>1649</v>
      </c>
      <c r="Q8698" t="s">
        <v>1650</v>
      </c>
      <c r="R8698" t="s">
        <v>1651</v>
      </c>
    </row>
    <row r="8699" spans="1:18" x14ac:dyDescent="0.25">
      <c r="A8699" t="s">
        <v>12660</v>
      </c>
      <c r="B8699" t="s">
        <v>10067</v>
      </c>
      <c r="C8699" t="str">
        <f>HYPERLINK("https://nematode.unl.edu/plerizop2.jpg")</f>
        <v>https://nematode.unl.edu/plerizop2.jpg</v>
      </c>
      <c r="D8699" t="s">
        <v>43</v>
      </c>
      <c r="G8699" t="s">
        <v>44</v>
      </c>
      <c r="I8699" t="s">
        <v>1008</v>
      </c>
      <c r="J8699" t="s">
        <v>20</v>
      </c>
      <c r="L8699" t="s">
        <v>78</v>
      </c>
      <c r="M8699" t="s">
        <v>10050</v>
      </c>
      <c r="N8699" t="s">
        <v>10050</v>
      </c>
      <c r="O8699" t="s">
        <v>23</v>
      </c>
      <c r="P8699" t="s">
        <v>1649</v>
      </c>
      <c r="Q8699" t="s">
        <v>1650</v>
      </c>
      <c r="R8699" t="s">
        <v>1651</v>
      </c>
    </row>
    <row r="8700" spans="1:18" x14ac:dyDescent="0.25">
      <c r="A8700" t="s">
        <v>12653</v>
      </c>
      <c r="B8700" t="s">
        <v>10068</v>
      </c>
      <c r="C8700" t="str">
        <f>HYPERLINK("https://nematode.unl.edu/plerizop20.jpg")</f>
        <v>https://nematode.unl.edu/plerizop20.jpg</v>
      </c>
      <c r="D8700" t="s">
        <v>43</v>
      </c>
      <c r="G8700" t="s">
        <v>34</v>
      </c>
      <c r="H8700" t="s">
        <v>18</v>
      </c>
      <c r="I8700" t="s">
        <v>41</v>
      </c>
      <c r="J8700" t="s">
        <v>20</v>
      </c>
      <c r="L8700" t="s">
        <v>85</v>
      </c>
      <c r="M8700" t="s">
        <v>10050</v>
      </c>
      <c r="N8700" t="s">
        <v>10050</v>
      </c>
      <c r="O8700" t="s">
        <v>23</v>
      </c>
      <c r="P8700" t="s">
        <v>1649</v>
      </c>
      <c r="Q8700" t="s">
        <v>1650</v>
      </c>
      <c r="R8700" t="s">
        <v>1651</v>
      </c>
    </row>
    <row r="8701" spans="1:18" x14ac:dyDescent="0.25">
      <c r="A8701" t="s">
        <v>12648</v>
      </c>
      <c r="B8701" t="s">
        <v>10069</v>
      </c>
      <c r="C8701" t="str">
        <f>HYPERLINK("https://nematode.unl.edu/plerizop21.jpg")</f>
        <v>https://nematode.unl.edu/plerizop21.jpg</v>
      </c>
      <c r="D8701" t="s">
        <v>43</v>
      </c>
      <c r="G8701" t="s">
        <v>96</v>
      </c>
      <c r="H8701" t="s">
        <v>18</v>
      </c>
      <c r="I8701" t="s">
        <v>19</v>
      </c>
      <c r="J8701" t="s">
        <v>20</v>
      </c>
      <c r="L8701" t="s">
        <v>85</v>
      </c>
      <c r="M8701" t="s">
        <v>10050</v>
      </c>
      <c r="N8701" t="s">
        <v>10050</v>
      </c>
      <c r="O8701" t="s">
        <v>23</v>
      </c>
      <c r="P8701" t="s">
        <v>1649</v>
      </c>
      <c r="Q8701" t="s">
        <v>1650</v>
      </c>
      <c r="R8701" t="s">
        <v>1651</v>
      </c>
    </row>
    <row r="8702" spans="1:18" x14ac:dyDescent="0.25">
      <c r="A8702" t="s">
        <v>12644</v>
      </c>
      <c r="B8702" t="s">
        <v>10070</v>
      </c>
      <c r="C8702" t="str">
        <f>HYPERLINK("https://nematode.unl.edu/plerizop22.jpg")</f>
        <v>https://nematode.unl.edu/plerizop22.jpg</v>
      </c>
      <c r="D8702" t="s">
        <v>43</v>
      </c>
      <c r="G8702" t="s">
        <v>386</v>
      </c>
      <c r="H8702" t="s">
        <v>18</v>
      </c>
      <c r="J8702" t="s">
        <v>20</v>
      </c>
      <c r="L8702" t="s">
        <v>85</v>
      </c>
      <c r="M8702" t="s">
        <v>10050</v>
      </c>
      <c r="N8702" t="s">
        <v>10050</v>
      </c>
      <c r="O8702" t="s">
        <v>23</v>
      </c>
      <c r="P8702" t="s">
        <v>1649</v>
      </c>
      <c r="Q8702" t="s">
        <v>1650</v>
      </c>
      <c r="R8702" t="s">
        <v>1651</v>
      </c>
    </row>
    <row r="8703" spans="1:18" x14ac:dyDescent="0.25">
      <c r="A8703" t="s">
        <v>12654</v>
      </c>
      <c r="B8703" t="s">
        <v>10071</v>
      </c>
      <c r="C8703" t="str">
        <f>HYPERLINK("https://nematode.unl.edu/plerizop23.jpg")</f>
        <v>https://nematode.unl.edu/plerizop23.jpg</v>
      </c>
      <c r="D8703" t="s">
        <v>16</v>
      </c>
      <c r="G8703" t="s">
        <v>34</v>
      </c>
      <c r="H8703" t="s">
        <v>18</v>
      </c>
      <c r="I8703" t="s">
        <v>19</v>
      </c>
      <c r="J8703" t="s">
        <v>20</v>
      </c>
      <c r="M8703" t="s">
        <v>10050</v>
      </c>
      <c r="N8703" t="s">
        <v>10050</v>
      </c>
      <c r="O8703" t="s">
        <v>23</v>
      </c>
      <c r="P8703" t="s">
        <v>1649</v>
      </c>
      <c r="Q8703" t="s">
        <v>1650</v>
      </c>
      <c r="R8703" t="s">
        <v>1651</v>
      </c>
    </row>
    <row r="8704" spans="1:18" x14ac:dyDescent="0.25">
      <c r="A8704" t="s">
        <v>12645</v>
      </c>
      <c r="B8704" t="s">
        <v>10072</v>
      </c>
      <c r="C8704" t="str">
        <f>HYPERLINK("https://nematode.unl.edu/plerizop24.jpg")</f>
        <v>https://nematode.unl.edu/plerizop24.jpg</v>
      </c>
      <c r="D8704" t="s">
        <v>16</v>
      </c>
      <c r="G8704" t="s">
        <v>386</v>
      </c>
      <c r="H8704" t="s">
        <v>18</v>
      </c>
      <c r="I8704" t="s">
        <v>19</v>
      </c>
      <c r="J8704" t="s">
        <v>20</v>
      </c>
      <c r="M8704" t="s">
        <v>10050</v>
      </c>
      <c r="N8704" t="s">
        <v>10050</v>
      </c>
      <c r="O8704" t="s">
        <v>23</v>
      </c>
      <c r="P8704" t="s">
        <v>1649</v>
      </c>
      <c r="Q8704" t="s">
        <v>1650</v>
      </c>
      <c r="R8704" t="s">
        <v>1651</v>
      </c>
    </row>
    <row r="8705" spans="1:18" x14ac:dyDescent="0.25">
      <c r="A8705" t="s">
        <v>12671</v>
      </c>
      <c r="B8705" t="s">
        <v>10073</v>
      </c>
      <c r="C8705" t="str">
        <f>HYPERLINK("https://nematode.unl.edu/plerizop25.jpg")</f>
        <v>https://nematode.unl.edu/plerizop25.jpg</v>
      </c>
      <c r="D8705" t="s">
        <v>43</v>
      </c>
      <c r="G8705" t="s">
        <v>51</v>
      </c>
      <c r="J8705" t="s">
        <v>20</v>
      </c>
      <c r="L8705" t="s">
        <v>85</v>
      </c>
      <c r="M8705" t="s">
        <v>10050</v>
      </c>
      <c r="N8705" t="s">
        <v>10050</v>
      </c>
      <c r="O8705" t="s">
        <v>23</v>
      </c>
      <c r="P8705" t="s">
        <v>1649</v>
      </c>
      <c r="Q8705" t="s">
        <v>1650</v>
      </c>
      <c r="R8705" t="s">
        <v>1651</v>
      </c>
    </row>
    <row r="8706" spans="1:18" x14ac:dyDescent="0.25">
      <c r="A8706" t="s">
        <v>12667</v>
      </c>
      <c r="B8706" t="s">
        <v>10074</v>
      </c>
      <c r="C8706" t="str">
        <f>HYPERLINK("https://nematode.unl.edu/plerizop26.jpg")</f>
        <v>https://nematode.unl.edu/plerizop26.jpg</v>
      </c>
      <c r="D8706" t="s">
        <v>16</v>
      </c>
      <c r="G8706" t="s">
        <v>28</v>
      </c>
      <c r="J8706" t="s">
        <v>20</v>
      </c>
      <c r="L8706" t="s">
        <v>85</v>
      </c>
      <c r="M8706" t="s">
        <v>10050</v>
      </c>
      <c r="N8706" t="s">
        <v>10050</v>
      </c>
      <c r="O8706" t="s">
        <v>23</v>
      </c>
      <c r="P8706" t="s">
        <v>1649</v>
      </c>
      <c r="Q8706" t="s">
        <v>1650</v>
      </c>
      <c r="R8706" t="s">
        <v>1651</v>
      </c>
    </row>
    <row r="8707" spans="1:18" x14ac:dyDescent="0.25">
      <c r="A8707" t="s">
        <v>12655</v>
      </c>
      <c r="B8707" t="s">
        <v>10075</v>
      </c>
      <c r="C8707" t="str">
        <f>HYPERLINK("https://nematode.unl.edu/plerizop3.jpg")</f>
        <v>https://nematode.unl.edu/plerizop3.jpg</v>
      </c>
      <c r="D8707" t="s">
        <v>43</v>
      </c>
      <c r="G8707" t="s">
        <v>34</v>
      </c>
      <c r="H8707" t="s">
        <v>18</v>
      </c>
      <c r="J8707" t="s">
        <v>20</v>
      </c>
      <c r="L8707" t="s">
        <v>64</v>
      </c>
      <c r="M8707" t="s">
        <v>10050</v>
      </c>
      <c r="N8707" t="s">
        <v>10050</v>
      </c>
      <c r="O8707" t="s">
        <v>23</v>
      </c>
      <c r="P8707" t="s">
        <v>1649</v>
      </c>
      <c r="Q8707" t="s">
        <v>1650</v>
      </c>
      <c r="R8707" t="s">
        <v>1651</v>
      </c>
    </row>
    <row r="8708" spans="1:18" x14ac:dyDescent="0.25">
      <c r="A8708" t="s">
        <v>12672</v>
      </c>
      <c r="B8708" t="s">
        <v>10076</v>
      </c>
      <c r="C8708" t="str">
        <f>HYPERLINK("https://nematode.unl.edu/plerizop4.jpg")</f>
        <v>https://nematode.unl.edu/plerizop4.jpg</v>
      </c>
      <c r="D8708" t="s">
        <v>43</v>
      </c>
      <c r="G8708" t="s">
        <v>51</v>
      </c>
      <c r="J8708" t="s">
        <v>20</v>
      </c>
      <c r="L8708" t="s">
        <v>35</v>
      </c>
      <c r="M8708" t="s">
        <v>10050</v>
      </c>
      <c r="N8708" t="s">
        <v>10050</v>
      </c>
      <c r="O8708" t="s">
        <v>23</v>
      </c>
      <c r="P8708" t="s">
        <v>1649</v>
      </c>
      <c r="Q8708" t="s">
        <v>1650</v>
      </c>
      <c r="R8708" t="s">
        <v>1651</v>
      </c>
    </row>
    <row r="8709" spans="1:18" x14ac:dyDescent="0.25">
      <c r="A8709" t="s">
        <v>12668</v>
      </c>
      <c r="B8709" t="s">
        <v>10077</v>
      </c>
      <c r="C8709" t="str">
        <f>HYPERLINK("https://nematode.unl.edu/plerizop5.jpg")</f>
        <v>https://nematode.unl.edu/plerizop5.jpg</v>
      </c>
      <c r="D8709" t="s">
        <v>43</v>
      </c>
      <c r="G8709" t="s">
        <v>28</v>
      </c>
      <c r="I8709" t="s">
        <v>19</v>
      </c>
      <c r="J8709" t="s">
        <v>20</v>
      </c>
      <c r="L8709" t="s">
        <v>85</v>
      </c>
      <c r="M8709" t="s">
        <v>10050</v>
      </c>
      <c r="N8709" t="s">
        <v>10050</v>
      </c>
      <c r="O8709" t="s">
        <v>23</v>
      </c>
      <c r="P8709" t="s">
        <v>1649</v>
      </c>
      <c r="Q8709" t="s">
        <v>1650</v>
      </c>
      <c r="R8709" t="s">
        <v>1651</v>
      </c>
    </row>
    <row r="8710" spans="1:18" x14ac:dyDescent="0.25">
      <c r="A8710" t="s">
        <v>12656</v>
      </c>
      <c r="B8710" t="s">
        <v>10078</v>
      </c>
      <c r="C8710" t="str">
        <f>HYPERLINK("https://nematode.unl.edu/plerizop6.jpg")</f>
        <v>https://nematode.unl.edu/plerizop6.jpg</v>
      </c>
      <c r="D8710" t="s">
        <v>43</v>
      </c>
      <c r="G8710" t="s">
        <v>34</v>
      </c>
      <c r="H8710" t="s">
        <v>18</v>
      </c>
      <c r="I8710" t="s">
        <v>41</v>
      </c>
      <c r="J8710" t="s">
        <v>20</v>
      </c>
      <c r="M8710" t="s">
        <v>10050</v>
      </c>
      <c r="N8710" t="s">
        <v>10050</v>
      </c>
      <c r="O8710" t="s">
        <v>23</v>
      </c>
      <c r="P8710" t="s">
        <v>1649</v>
      </c>
      <c r="Q8710" t="s">
        <v>1650</v>
      </c>
      <c r="R8710" t="s">
        <v>1651</v>
      </c>
    </row>
    <row r="8711" spans="1:18" x14ac:dyDescent="0.25">
      <c r="A8711" t="s">
        <v>12646</v>
      </c>
      <c r="B8711" t="s">
        <v>10079</v>
      </c>
      <c r="C8711" t="str">
        <f>HYPERLINK("https://nematode.unl.edu/plerizop7.jpg")</f>
        <v>https://nematode.unl.edu/plerizop7.jpg</v>
      </c>
      <c r="D8711" t="s">
        <v>43</v>
      </c>
      <c r="G8711" t="s">
        <v>386</v>
      </c>
      <c r="H8711" t="s">
        <v>18</v>
      </c>
      <c r="I8711" t="s">
        <v>41</v>
      </c>
      <c r="J8711" t="s">
        <v>20</v>
      </c>
      <c r="L8711" t="s">
        <v>85</v>
      </c>
      <c r="M8711" t="s">
        <v>10050</v>
      </c>
      <c r="N8711" t="s">
        <v>10050</v>
      </c>
      <c r="O8711" t="s">
        <v>23</v>
      </c>
      <c r="P8711" t="s">
        <v>1649</v>
      </c>
      <c r="Q8711" t="s">
        <v>1650</v>
      </c>
      <c r="R8711" t="s">
        <v>1651</v>
      </c>
    </row>
    <row r="8712" spans="1:18" x14ac:dyDescent="0.25">
      <c r="A8712" t="s">
        <v>12647</v>
      </c>
      <c r="B8712" t="s">
        <v>10080</v>
      </c>
      <c r="C8712" t="str">
        <f>HYPERLINK("https://nematode.unl.edu/plerizop8.jpg")</f>
        <v>https://nematode.unl.edu/plerizop8.jpg</v>
      </c>
      <c r="D8712" t="s">
        <v>43</v>
      </c>
      <c r="G8712" t="s">
        <v>386</v>
      </c>
      <c r="H8712" t="s">
        <v>18</v>
      </c>
      <c r="I8712" t="s">
        <v>41</v>
      </c>
      <c r="J8712" t="s">
        <v>20</v>
      </c>
      <c r="L8712" t="s">
        <v>85</v>
      </c>
      <c r="M8712" t="s">
        <v>10050</v>
      </c>
      <c r="N8712" t="s">
        <v>10050</v>
      </c>
      <c r="O8712" t="s">
        <v>23</v>
      </c>
      <c r="P8712" t="s">
        <v>1649</v>
      </c>
      <c r="Q8712" t="s">
        <v>1650</v>
      </c>
      <c r="R8712" t="s">
        <v>1651</v>
      </c>
    </row>
    <row r="8713" spans="1:18" x14ac:dyDescent="0.25">
      <c r="A8713" t="s">
        <v>12657</v>
      </c>
      <c r="B8713" t="s">
        <v>10081</v>
      </c>
      <c r="C8713" t="str">
        <f>HYPERLINK("https://nematode.unl.edu/plerizop9.jpg")</f>
        <v>https://nematode.unl.edu/plerizop9.jpg</v>
      </c>
      <c r="D8713" t="s">
        <v>43</v>
      </c>
      <c r="G8713" t="s">
        <v>34</v>
      </c>
      <c r="H8713" t="s">
        <v>18</v>
      </c>
      <c r="I8713" t="s">
        <v>41</v>
      </c>
      <c r="J8713" t="s">
        <v>20</v>
      </c>
      <c r="L8713" t="s">
        <v>64</v>
      </c>
      <c r="M8713" t="s">
        <v>10050</v>
      </c>
      <c r="N8713" t="s">
        <v>10050</v>
      </c>
      <c r="O8713" t="s">
        <v>23</v>
      </c>
      <c r="P8713" t="s">
        <v>1649</v>
      </c>
      <c r="Q8713" t="s">
        <v>1650</v>
      </c>
      <c r="R8713" t="s">
        <v>1651</v>
      </c>
    </row>
    <row r="8714" spans="1:18" x14ac:dyDescent="0.25">
      <c r="A8714" t="s">
        <v>12673</v>
      </c>
      <c r="B8714" t="s">
        <v>1646</v>
      </c>
      <c r="C8714" t="str">
        <f>HYPERLINK("https://nematode.unl.edu/pletho1.jpg")</f>
        <v>https://nematode.unl.edu/pletho1.jpg</v>
      </c>
      <c r="D8714" t="s">
        <v>16</v>
      </c>
      <c r="G8714" t="s">
        <v>34</v>
      </c>
      <c r="H8714" t="s">
        <v>18</v>
      </c>
      <c r="J8714" t="s">
        <v>20</v>
      </c>
      <c r="L8714" t="s">
        <v>141</v>
      </c>
      <c r="M8714" t="s">
        <v>1647</v>
      </c>
      <c r="N8714" t="s">
        <v>1648</v>
      </c>
      <c r="O8714" t="s">
        <v>23</v>
      </c>
      <c r="P8714" t="s">
        <v>1649</v>
      </c>
      <c r="Q8714" t="s">
        <v>1650</v>
      </c>
      <c r="R8714" t="s">
        <v>1651</v>
      </c>
    </row>
    <row r="8715" spans="1:18" x14ac:dyDescent="0.25">
      <c r="A8715" t="s">
        <v>12676</v>
      </c>
      <c r="B8715" t="s">
        <v>10082</v>
      </c>
      <c r="C8715" t="str">
        <f>HYPERLINK("https://nematode.unl.edu/pleva1.jpg")</f>
        <v>https://nematode.unl.edu/pleva1.jpg</v>
      </c>
      <c r="D8715" t="s">
        <v>16</v>
      </c>
      <c r="G8715" t="s">
        <v>44</v>
      </c>
      <c r="I8715" t="s">
        <v>45</v>
      </c>
      <c r="J8715" t="s">
        <v>20</v>
      </c>
      <c r="L8715" t="s">
        <v>141</v>
      </c>
      <c r="M8715" t="s">
        <v>10083</v>
      </c>
      <c r="N8715" t="s">
        <v>10083</v>
      </c>
      <c r="O8715" t="s">
        <v>23</v>
      </c>
      <c r="P8715" t="s">
        <v>1649</v>
      </c>
      <c r="Q8715" t="s">
        <v>1650</v>
      </c>
      <c r="R8715" t="s">
        <v>1651</v>
      </c>
    </row>
    <row r="8716" spans="1:18" x14ac:dyDescent="0.25">
      <c r="A8716" t="s">
        <v>12675</v>
      </c>
      <c r="B8716" t="s">
        <v>10084</v>
      </c>
      <c r="C8716" t="str">
        <f>HYPERLINK("https://nematode.unl.edu/pleva2.jpg")</f>
        <v>https://nematode.unl.edu/pleva2.jpg</v>
      </c>
      <c r="G8716" t="s">
        <v>34</v>
      </c>
      <c r="H8716" t="s">
        <v>18</v>
      </c>
      <c r="I8716" t="s">
        <v>19</v>
      </c>
      <c r="J8716" t="s">
        <v>20</v>
      </c>
      <c r="L8716" t="s">
        <v>141</v>
      </c>
      <c r="M8716" t="s">
        <v>10083</v>
      </c>
      <c r="N8716" t="s">
        <v>10083</v>
      </c>
      <c r="O8716" t="s">
        <v>23</v>
      </c>
      <c r="P8716" t="s">
        <v>1649</v>
      </c>
      <c r="Q8716" t="s">
        <v>1650</v>
      </c>
      <c r="R8716" t="s">
        <v>1651</v>
      </c>
    </row>
    <row r="8717" spans="1:18" x14ac:dyDescent="0.25">
      <c r="A8717" t="s">
        <v>12674</v>
      </c>
      <c r="B8717" t="s">
        <v>10085</v>
      </c>
      <c r="C8717" t="str">
        <f>HYPERLINK("https://nematode.unl.edu/pleva3.jpg")</f>
        <v>https://nematode.unl.edu/pleva3.jpg</v>
      </c>
      <c r="D8717" t="s">
        <v>16</v>
      </c>
      <c r="G8717" t="s">
        <v>386</v>
      </c>
      <c r="H8717" t="s">
        <v>18</v>
      </c>
      <c r="I8717" t="s">
        <v>19</v>
      </c>
      <c r="J8717" t="s">
        <v>20</v>
      </c>
      <c r="L8717" t="s">
        <v>141</v>
      </c>
      <c r="M8717" t="s">
        <v>10083</v>
      </c>
      <c r="N8717" t="s">
        <v>10083</v>
      </c>
      <c r="O8717" t="s">
        <v>23</v>
      </c>
      <c r="P8717" t="s">
        <v>1649</v>
      </c>
      <c r="Q8717" t="s">
        <v>1650</v>
      </c>
      <c r="R8717" t="s">
        <v>1651</v>
      </c>
    </row>
    <row r="8718" spans="1:18" x14ac:dyDescent="0.25">
      <c r="A8718" t="s">
        <v>12677</v>
      </c>
      <c r="B8718" t="s">
        <v>10086</v>
      </c>
      <c r="C8718" t="str">
        <f>HYPERLINK("https://nematode.unl.edu/pleva4.jpg")</f>
        <v>https://nematode.unl.edu/pleva4.jpg</v>
      </c>
      <c r="D8718" t="s">
        <v>16</v>
      </c>
      <c r="G8718" t="s">
        <v>28</v>
      </c>
      <c r="J8718" t="s">
        <v>20</v>
      </c>
      <c r="L8718" t="s">
        <v>141</v>
      </c>
      <c r="M8718" t="s">
        <v>10083</v>
      </c>
      <c r="N8718" t="s">
        <v>10083</v>
      </c>
      <c r="O8718" t="s">
        <v>23</v>
      </c>
      <c r="P8718" t="s">
        <v>1649</v>
      </c>
      <c r="Q8718" t="s">
        <v>1650</v>
      </c>
      <c r="R8718" t="s">
        <v>1651</v>
      </c>
    </row>
    <row r="8719" spans="1:18" x14ac:dyDescent="0.25">
      <c r="A8719" t="s">
        <v>17275</v>
      </c>
      <c r="B8719" t="s">
        <v>10445</v>
      </c>
      <c r="C8719" t="str">
        <f>HYPERLINK("https://nematode.unl.edu/ploos1.jpg")</f>
        <v>https://nematode.unl.edu/ploos1.jpg</v>
      </c>
      <c r="D8719" t="s">
        <v>43</v>
      </c>
      <c r="G8719" t="s">
        <v>44</v>
      </c>
      <c r="I8719" t="s">
        <v>45</v>
      </c>
      <c r="J8719" t="s">
        <v>20</v>
      </c>
      <c r="L8719" t="s">
        <v>141</v>
      </c>
      <c r="M8719" t="s">
        <v>10446</v>
      </c>
      <c r="N8719" t="s">
        <v>10446</v>
      </c>
      <c r="O8719" t="s">
        <v>23</v>
      </c>
      <c r="P8719" t="s">
        <v>24</v>
      </c>
      <c r="Q8719" t="s">
        <v>6484</v>
      </c>
      <c r="R8719" t="s">
        <v>10109</v>
      </c>
    </row>
    <row r="8720" spans="1:18" x14ac:dyDescent="0.25">
      <c r="A8720" t="s">
        <v>17277</v>
      </c>
      <c r="B8720" t="s">
        <v>10447</v>
      </c>
      <c r="C8720" t="str">
        <f>HYPERLINK("https://nematode.unl.edu/ploos10.jpg")</f>
        <v>https://nematode.unl.edu/ploos10.jpg</v>
      </c>
      <c r="D8720" t="s">
        <v>43</v>
      </c>
      <c r="G8720" t="s">
        <v>53</v>
      </c>
      <c r="I8720" t="s">
        <v>41</v>
      </c>
      <c r="J8720" t="s">
        <v>20</v>
      </c>
      <c r="L8720" t="s">
        <v>220</v>
      </c>
      <c r="M8720" t="s">
        <v>10446</v>
      </c>
      <c r="N8720" t="s">
        <v>10446</v>
      </c>
      <c r="O8720" t="s">
        <v>23</v>
      </c>
      <c r="P8720" t="s">
        <v>24</v>
      </c>
      <c r="Q8720" t="s">
        <v>6484</v>
      </c>
      <c r="R8720" t="s">
        <v>10109</v>
      </c>
    </row>
    <row r="8721" spans="1:18" x14ac:dyDescent="0.25">
      <c r="A8721" t="s">
        <v>17270</v>
      </c>
      <c r="B8721" t="s">
        <v>10448</v>
      </c>
      <c r="C8721" t="str">
        <f>HYPERLINK("https://nematode.unl.edu/ploos11.jpg")</f>
        <v>https://nematode.unl.edu/ploos11.jpg</v>
      </c>
      <c r="D8721" t="s">
        <v>43</v>
      </c>
      <c r="G8721" t="s">
        <v>34</v>
      </c>
      <c r="H8721" t="s">
        <v>18</v>
      </c>
      <c r="I8721" t="s">
        <v>41</v>
      </c>
      <c r="J8721" t="s">
        <v>20</v>
      </c>
      <c r="L8721" t="s">
        <v>220</v>
      </c>
      <c r="M8721" t="s">
        <v>10446</v>
      </c>
      <c r="N8721" t="s">
        <v>10446</v>
      </c>
      <c r="O8721" t="s">
        <v>23</v>
      </c>
      <c r="P8721" t="s">
        <v>24</v>
      </c>
      <c r="Q8721" t="s">
        <v>6484</v>
      </c>
      <c r="R8721" t="s">
        <v>10109</v>
      </c>
    </row>
    <row r="8722" spans="1:18" x14ac:dyDescent="0.25">
      <c r="A8722" t="s">
        <v>17281</v>
      </c>
      <c r="B8722" t="s">
        <v>10449</v>
      </c>
      <c r="C8722" t="str">
        <f>HYPERLINK("https://nematode.unl.edu/ploos13.jpg")</f>
        <v>https://nematode.unl.edu/ploos13.jpg</v>
      </c>
      <c r="G8722" t="s">
        <v>1404</v>
      </c>
      <c r="I8722" t="s">
        <v>19</v>
      </c>
      <c r="J8722" t="s">
        <v>20</v>
      </c>
      <c r="M8722" t="s">
        <v>10446</v>
      </c>
      <c r="N8722" t="s">
        <v>10446</v>
      </c>
      <c r="O8722" t="s">
        <v>23</v>
      </c>
      <c r="P8722" t="s">
        <v>24</v>
      </c>
      <c r="Q8722" t="s">
        <v>6484</v>
      </c>
      <c r="R8722" t="s">
        <v>10109</v>
      </c>
    </row>
    <row r="8723" spans="1:18" x14ac:dyDescent="0.25">
      <c r="A8723" t="s">
        <v>17286</v>
      </c>
      <c r="B8723" t="s">
        <v>10450</v>
      </c>
      <c r="C8723" t="str">
        <f>HYPERLINK("https://nematode.unl.edu/ploos14.jpg")</f>
        <v>https://nematode.unl.edu/ploos14.jpg</v>
      </c>
      <c r="D8723" t="s">
        <v>43</v>
      </c>
      <c r="G8723" t="s">
        <v>51</v>
      </c>
      <c r="I8723" t="s">
        <v>19</v>
      </c>
      <c r="J8723" t="s">
        <v>20</v>
      </c>
      <c r="L8723" t="s">
        <v>220</v>
      </c>
      <c r="M8723" t="s">
        <v>10446</v>
      </c>
      <c r="N8723" t="s">
        <v>10446</v>
      </c>
      <c r="O8723" t="s">
        <v>23</v>
      </c>
      <c r="P8723" t="s">
        <v>24</v>
      </c>
      <c r="Q8723" t="s">
        <v>6484</v>
      </c>
      <c r="R8723" t="s">
        <v>10109</v>
      </c>
    </row>
    <row r="8724" spans="1:18" x14ac:dyDescent="0.25">
      <c r="A8724" t="s">
        <v>17278</v>
      </c>
      <c r="B8724" t="s">
        <v>10451</v>
      </c>
      <c r="C8724" t="str">
        <f>HYPERLINK("https://nematode.unl.edu/ploos15.jpg")</f>
        <v>https://nematode.unl.edu/ploos15.jpg</v>
      </c>
      <c r="D8724" t="s">
        <v>43</v>
      </c>
      <c r="G8724" t="s">
        <v>53</v>
      </c>
      <c r="I8724" t="s">
        <v>41</v>
      </c>
      <c r="J8724" t="s">
        <v>20</v>
      </c>
      <c r="L8724" t="s">
        <v>141</v>
      </c>
      <c r="M8724" t="s">
        <v>10446</v>
      </c>
      <c r="N8724" t="s">
        <v>10446</v>
      </c>
      <c r="O8724" t="s">
        <v>23</v>
      </c>
      <c r="P8724" t="s">
        <v>24</v>
      </c>
      <c r="Q8724" t="s">
        <v>6484</v>
      </c>
      <c r="R8724" t="s">
        <v>10109</v>
      </c>
    </row>
    <row r="8725" spans="1:18" x14ac:dyDescent="0.25">
      <c r="A8725" t="s">
        <v>17271</v>
      </c>
      <c r="B8725" t="s">
        <v>10452</v>
      </c>
      <c r="C8725" t="str">
        <f>HYPERLINK("https://nematode.unl.edu/ploos17.jpg")</f>
        <v>https://nematode.unl.edu/ploos17.jpg</v>
      </c>
      <c r="D8725" t="s">
        <v>16</v>
      </c>
      <c r="G8725" t="s">
        <v>34</v>
      </c>
      <c r="H8725" t="s">
        <v>18</v>
      </c>
      <c r="J8725" t="s">
        <v>20</v>
      </c>
      <c r="L8725" t="s">
        <v>141</v>
      </c>
      <c r="M8725" t="s">
        <v>10446</v>
      </c>
      <c r="N8725" t="s">
        <v>10446</v>
      </c>
      <c r="O8725" t="s">
        <v>23</v>
      </c>
      <c r="P8725" t="s">
        <v>24</v>
      </c>
      <c r="Q8725" t="s">
        <v>6484</v>
      </c>
      <c r="R8725" t="s">
        <v>10109</v>
      </c>
    </row>
    <row r="8726" spans="1:18" x14ac:dyDescent="0.25">
      <c r="A8726" t="s">
        <v>17283</v>
      </c>
      <c r="B8726" t="s">
        <v>10453</v>
      </c>
      <c r="C8726" t="str">
        <f>HYPERLINK("https://nematode.unl.edu/ploos18.jpg")</f>
        <v>https://nematode.unl.edu/ploos18.jpg</v>
      </c>
      <c r="D8726" t="s">
        <v>16</v>
      </c>
      <c r="G8726" t="s">
        <v>28</v>
      </c>
      <c r="I8726" t="s">
        <v>19</v>
      </c>
      <c r="J8726" t="s">
        <v>20</v>
      </c>
      <c r="L8726" t="s">
        <v>141</v>
      </c>
      <c r="M8726" t="s">
        <v>10446</v>
      </c>
      <c r="N8726" t="s">
        <v>10446</v>
      </c>
      <c r="O8726" t="s">
        <v>23</v>
      </c>
      <c r="P8726" t="s">
        <v>24</v>
      </c>
      <c r="Q8726" t="s">
        <v>6484</v>
      </c>
      <c r="R8726" t="s">
        <v>10109</v>
      </c>
    </row>
    <row r="8727" spans="1:18" x14ac:dyDescent="0.25">
      <c r="A8727" t="s">
        <v>17279</v>
      </c>
      <c r="B8727" t="s">
        <v>10454</v>
      </c>
      <c r="C8727" t="str">
        <f>HYPERLINK("https://nematode.unl.edu/ploos19.jpg")</f>
        <v>https://nematode.unl.edu/ploos19.jpg</v>
      </c>
      <c r="D8727" t="s">
        <v>16</v>
      </c>
      <c r="G8727" t="s">
        <v>53</v>
      </c>
      <c r="I8727" t="s">
        <v>41</v>
      </c>
      <c r="J8727" t="s">
        <v>20</v>
      </c>
      <c r="L8727" t="s">
        <v>141</v>
      </c>
      <c r="M8727" t="s">
        <v>10446</v>
      </c>
      <c r="N8727" t="s">
        <v>10446</v>
      </c>
      <c r="O8727" t="s">
        <v>23</v>
      </c>
      <c r="P8727" t="s">
        <v>24</v>
      </c>
      <c r="Q8727" t="s">
        <v>6484</v>
      </c>
      <c r="R8727" t="s">
        <v>10109</v>
      </c>
    </row>
    <row r="8728" spans="1:18" x14ac:dyDescent="0.25">
      <c r="A8728" t="s">
        <v>17287</v>
      </c>
      <c r="B8728" t="s">
        <v>10455</v>
      </c>
      <c r="C8728" t="str">
        <f>HYPERLINK("https://nematode.unl.edu/ploos2.jpg")</f>
        <v>https://nematode.unl.edu/ploos2.jpg</v>
      </c>
      <c r="D8728" t="s">
        <v>43</v>
      </c>
      <c r="G8728" t="s">
        <v>51</v>
      </c>
      <c r="J8728" t="s">
        <v>20</v>
      </c>
      <c r="L8728" t="s">
        <v>141</v>
      </c>
      <c r="M8728" t="s">
        <v>10446</v>
      </c>
      <c r="N8728" t="s">
        <v>10446</v>
      </c>
      <c r="O8728" t="s">
        <v>23</v>
      </c>
      <c r="P8728" t="s">
        <v>24</v>
      </c>
      <c r="Q8728" t="s">
        <v>6484</v>
      </c>
      <c r="R8728" t="s">
        <v>10109</v>
      </c>
    </row>
    <row r="8729" spans="1:18" x14ac:dyDescent="0.25">
      <c r="A8729" t="s">
        <v>17284</v>
      </c>
      <c r="B8729" t="s">
        <v>10456</v>
      </c>
      <c r="C8729" t="str">
        <f>HYPERLINK("https://nematode.unl.edu/ploos20.jpg")</f>
        <v>https://nematode.unl.edu/ploos20.jpg</v>
      </c>
      <c r="D8729" t="s">
        <v>16</v>
      </c>
      <c r="G8729" t="s">
        <v>28</v>
      </c>
      <c r="I8729" t="s">
        <v>41</v>
      </c>
      <c r="J8729" t="s">
        <v>20</v>
      </c>
      <c r="L8729" t="s">
        <v>141</v>
      </c>
      <c r="M8729" t="s">
        <v>10446</v>
      </c>
      <c r="N8729" t="s">
        <v>10446</v>
      </c>
      <c r="O8729" t="s">
        <v>23</v>
      </c>
      <c r="P8729" t="s">
        <v>24</v>
      </c>
      <c r="Q8729" t="s">
        <v>6484</v>
      </c>
      <c r="R8729" t="s">
        <v>10109</v>
      </c>
    </row>
    <row r="8730" spans="1:18" x14ac:dyDescent="0.25">
      <c r="A8730" t="s">
        <v>17272</v>
      </c>
      <c r="B8730" t="s">
        <v>10457</v>
      </c>
      <c r="C8730" t="str">
        <f>HYPERLINK("https://nematode.unl.edu/ploos21.jpg")</f>
        <v>https://nematode.unl.edu/ploos21.jpg</v>
      </c>
      <c r="G8730" t="s">
        <v>34</v>
      </c>
      <c r="H8730" t="s">
        <v>18</v>
      </c>
      <c r="I8730" t="s">
        <v>41</v>
      </c>
      <c r="J8730" t="s">
        <v>20</v>
      </c>
      <c r="L8730" t="s">
        <v>141</v>
      </c>
      <c r="M8730" t="s">
        <v>10446</v>
      </c>
      <c r="N8730" t="s">
        <v>10446</v>
      </c>
      <c r="O8730" t="s">
        <v>23</v>
      </c>
      <c r="P8730" t="s">
        <v>24</v>
      </c>
      <c r="Q8730" t="s">
        <v>6484</v>
      </c>
      <c r="R8730" t="s">
        <v>10109</v>
      </c>
    </row>
    <row r="8731" spans="1:18" x14ac:dyDescent="0.25">
      <c r="A8731" t="s">
        <v>17280</v>
      </c>
      <c r="B8731" t="s">
        <v>10458</v>
      </c>
      <c r="C8731" t="str">
        <f>HYPERLINK("https://nematode.unl.edu/ploos3.jpg")</f>
        <v>https://nematode.unl.edu/ploos3.jpg</v>
      </c>
      <c r="D8731" t="s">
        <v>43</v>
      </c>
      <c r="G8731" t="s">
        <v>53</v>
      </c>
      <c r="I8731" t="s">
        <v>41</v>
      </c>
      <c r="J8731" t="s">
        <v>20</v>
      </c>
      <c r="L8731" t="s">
        <v>141</v>
      </c>
      <c r="M8731" t="s">
        <v>10446</v>
      </c>
      <c r="N8731" t="s">
        <v>10446</v>
      </c>
      <c r="O8731" t="s">
        <v>23</v>
      </c>
      <c r="P8731" t="s">
        <v>24</v>
      </c>
      <c r="Q8731" t="s">
        <v>6484</v>
      </c>
      <c r="R8731" t="s">
        <v>10109</v>
      </c>
    </row>
    <row r="8732" spans="1:18" x14ac:dyDescent="0.25">
      <c r="A8732" t="s">
        <v>17285</v>
      </c>
      <c r="B8732" t="s">
        <v>10459</v>
      </c>
      <c r="C8732" t="str">
        <f>HYPERLINK("https://nematode.unl.edu/ploos4.jpg")</f>
        <v>https://nematode.unl.edu/ploos4.jpg</v>
      </c>
      <c r="D8732" t="s">
        <v>43</v>
      </c>
      <c r="G8732" t="s">
        <v>28</v>
      </c>
      <c r="I8732" t="s">
        <v>41</v>
      </c>
      <c r="J8732" t="s">
        <v>20</v>
      </c>
      <c r="L8732" t="s">
        <v>141</v>
      </c>
      <c r="M8732" t="s">
        <v>10446</v>
      </c>
      <c r="N8732" t="s">
        <v>10446</v>
      </c>
      <c r="O8732" t="s">
        <v>23</v>
      </c>
      <c r="P8732" t="s">
        <v>24</v>
      </c>
      <c r="Q8732" t="s">
        <v>6484</v>
      </c>
      <c r="R8732" t="s">
        <v>10109</v>
      </c>
    </row>
    <row r="8733" spans="1:18" x14ac:dyDescent="0.25">
      <c r="A8733" t="s">
        <v>17273</v>
      </c>
      <c r="B8733" t="s">
        <v>10460</v>
      </c>
      <c r="C8733" t="str">
        <f>HYPERLINK("https://nematode.unl.edu/ploos5.jpg")</f>
        <v>https://nematode.unl.edu/ploos5.jpg</v>
      </c>
      <c r="D8733" t="s">
        <v>43</v>
      </c>
      <c r="G8733" t="s">
        <v>34</v>
      </c>
      <c r="H8733" t="s">
        <v>18</v>
      </c>
      <c r="I8733" t="s">
        <v>41</v>
      </c>
      <c r="J8733" t="s">
        <v>20</v>
      </c>
      <c r="L8733" t="s">
        <v>141</v>
      </c>
      <c r="M8733" t="s">
        <v>10446</v>
      </c>
      <c r="N8733" t="s">
        <v>10446</v>
      </c>
      <c r="O8733" t="s">
        <v>23</v>
      </c>
      <c r="P8733" t="s">
        <v>24</v>
      </c>
      <c r="Q8733" t="s">
        <v>6484</v>
      </c>
      <c r="R8733" t="s">
        <v>10109</v>
      </c>
    </row>
    <row r="8734" spans="1:18" x14ac:dyDescent="0.25">
      <c r="A8734" t="s">
        <v>17282</v>
      </c>
      <c r="B8734" t="s">
        <v>10461</v>
      </c>
      <c r="C8734" t="str">
        <f>HYPERLINK("https://nematode.unl.edu/ploos6.jpg")</f>
        <v>https://nematode.unl.edu/ploos6.jpg</v>
      </c>
      <c r="G8734" t="s">
        <v>1404</v>
      </c>
      <c r="I8734" t="s">
        <v>41</v>
      </c>
      <c r="J8734" t="s">
        <v>20</v>
      </c>
      <c r="L8734" t="s">
        <v>141</v>
      </c>
      <c r="M8734" t="s">
        <v>10446</v>
      </c>
      <c r="N8734" t="s">
        <v>10446</v>
      </c>
      <c r="O8734" t="s">
        <v>23</v>
      </c>
      <c r="P8734" t="s">
        <v>24</v>
      </c>
      <c r="Q8734" t="s">
        <v>6484</v>
      </c>
      <c r="R8734" t="s">
        <v>10109</v>
      </c>
    </row>
    <row r="8735" spans="1:18" x14ac:dyDescent="0.25">
      <c r="A8735" t="s">
        <v>17288</v>
      </c>
      <c r="B8735" t="s">
        <v>10462</v>
      </c>
      <c r="C8735" t="str">
        <f>HYPERLINK("https://nematode.unl.edu/ploos7.jpg")</f>
        <v>https://nematode.unl.edu/ploos7.jpg</v>
      </c>
      <c r="D8735" t="s">
        <v>43</v>
      </c>
      <c r="G8735" t="s">
        <v>51</v>
      </c>
      <c r="J8735" t="s">
        <v>20</v>
      </c>
      <c r="L8735" t="s">
        <v>141</v>
      </c>
      <c r="M8735" t="s">
        <v>10446</v>
      </c>
      <c r="N8735" t="s">
        <v>10446</v>
      </c>
      <c r="O8735" t="s">
        <v>23</v>
      </c>
      <c r="P8735" t="s">
        <v>24</v>
      </c>
      <c r="Q8735" t="s">
        <v>6484</v>
      </c>
      <c r="R8735" t="s">
        <v>10109</v>
      </c>
    </row>
    <row r="8736" spans="1:18" x14ac:dyDescent="0.25">
      <c r="A8736" t="s">
        <v>17274</v>
      </c>
      <c r="B8736" t="s">
        <v>10463</v>
      </c>
      <c r="C8736" t="str">
        <f>HYPERLINK("https://nematode.unl.edu/ploos8.jpg")</f>
        <v>https://nematode.unl.edu/ploos8.jpg</v>
      </c>
      <c r="D8736" t="s">
        <v>43</v>
      </c>
      <c r="G8736" t="s">
        <v>34</v>
      </c>
      <c r="H8736" t="s">
        <v>18</v>
      </c>
      <c r="J8736" t="s">
        <v>20</v>
      </c>
      <c r="L8736" t="s">
        <v>141</v>
      </c>
      <c r="M8736" t="s">
        <v>10446</v>
      </c>
      <c r="N8736" t="s">
        <v>10446</v>
      </c>
      <c r="O8736" t="s">
        <v>23</v>
      </c>
      <c r="P8736" t="s">
        <v>24</v>
      </c>
      <c r="Q8736" t="s">
        <v>6484</v>
      </c>
      <c r="R8736" t="s">
        <v>10109</v>
      </c>
    </row>
    <row r="8737" spans="1:18" x14ac:dyDescent="0.25">
      <c r="A8737" t="s">
        <v>17276</v>
      </c>
      <c r="B8737" t="s">
        <v>10464</v>
      </c>
      <c r="C8737" t="str">
        <f>HYPERLINK("https://nematode.unl.edu/ploos9.jpg")</f>
        <v>https://nematode.unl.edu/ploos9.jpg</v>
      </c>
      <c r="D8737" t="s">
        <v>43</v>
      </c>
      <c r="G8737" t="s">
        <v>44</v>
      </c>
      <c r="I8737" t="s">
        <v>45</v>
      </c>
      <c r="J8737" t="s">
        <v>20</v>
      </c>
      <c r="L8737" t="s">
        <v>141</v>
      </c>
      <c r="M8737" t="s">
        <v>10446</v>
      </c>
      <c r="N8737" t="s">
        <v>10446</v>
      </c>
      <c r="O8737" t="s">
        <v>23</v>
      </c>
      <c r="P8737" t="s">
        <v>24</v>
      </c>
      <c r="Q8737" t="s">
        <v>6484</v>
      </c>
      <c r="R8737" t="s">
        <v>10109</v>
      </c>
    </row>
    <row r="8738" spans="1:18" x14ac:dyDescent="0.25">
      <c r="A8738" t="s">
        <v>12414</v>
      </c>
      <c r="B8738" t="s">
        <v>9831</v>
      </c>
      <c r="C8738" t="str">
        <f>HYPERLINK("https://nematode.unl.edu/plum1.jpg")</f>
        <v>https://nematode.unl.edu/plum1.jpg</v>
      </c>
      <c r="D8738" t="s">
        <v>43</v>
      </c>
      <c r="G8738" t="s">
        <v>44</v>
      </c>
      <c r="J8738" t="s">
        <v>267</v>
      </c>
      <c r="M8738" t="s">
        <v>9803</v>
      </c>
      <c r="N8738" t="s">
        <v>9803</v>
      </c>
      <c r="O8738" t="s">
        <v>23</v>
      </c>
      <c r="P8738" t="s">
        <v>1649</v>
      </c>
      <c r="Q8738" t="s">
        <v>1650</v>
      </c>
      <c r="R8738" t="s">
        <v>1651</v>
      </c>
    </row>
    <row r="8739" spans="1:18" x14ac:dyDescent="0.25">
      <c r="A8739" t="s">
        <v>12415</v>
      </c>
      <c r="B8739" t="s">
        <v>9832</v>
      </c>
      <c r="C8739" t="str">
        <f>HYPERLINK("https://nematode.unl.edu/plum10.jpg")</f>
        <v>https://nematode.unl.edu/plum10.jpg</v>
      </c>
      <c r="D8739" t="s">
        <v>43</v>
      </c>
      <c r="G8739" t="s">
        <v>44</v>
      </c>
      <c r="J8739" t="s">
        <v>267</v>
      </c>
      <c r="M8739" t="s">
        <v>9803</v>
      </c>
      <c r="N8739" t="s">
        <v>9803</v>
      </c>
      <c r="O8739" t="s">
        <v>23</v>
      </c>
      <c r="P8739" t="s">
        <v>1649</v>
      </c>
      <c r="Q8739" t="s">
        <v>1650</v>
      </c>
      <c r="R8739" t="s">
        <v>1651</v>
      </c>
    </row>
    <row r="8740" spans="1:18" x14ac:dyDescent="0.25">
      <c r="A8740" t="s">
        <v>12391</v>
      </c>
      <c r="B8740" t="s">
        <v>9833</v>
      </c>
      <c r="C8740" t="str">
        <f>HYPERLINK("https://nematode.unl.edu/plum11.jpg")</f>
        <v>https://nematode.unl.edu/plum11.jpg</v>
      </c>
      <c r="D8740" t="s">
        <v>43</v>
      </c>
      <c r="G8740" t="s">
        <v>386</v>
      </c>
      <c r="H8740" t="s">
        <v>18</v>
      </c>
      <c r="I8740" t="s">
        <v>19</v>
      </c>
      <c r="J8740" t="s">
        <v>267</v>
      </c>
      <c r="M8740" t="s">
        <v>9803</v>
      </c>
      <c r="N8740" t="s">
        <v>9803</v>
      </c>
      <c r="O8740" t="s">
        <v>23</v>
      </c>
      <c r="P8740" t="s">
        <v>1649</v>
      </c>
      <c r="Q8740" t="s">
        <v>1650</v>
      </c>
      <c r="R8740" t="s">
        <v>1651</v>
      </c>
    </row>
    <row r="8741" spans="1:18" x14ac:dyDescent="0.25">
      <c r="A8741" t="s">
        <v>12401</v>
      </c>
      <c r="B8741" t="s">
        <v>9834</v>
      </c>
      <c r="C8741" t="str">
        <f>HYPERLINK("https://nematode.unl.edu/plum12.jpg")</f>
        <v>https://nematode.unl.edu/plum12.jpg</v>
      </c>
      <c r="D8741" t="s">
        <v>43</v>
      </c>
      <c r="G8741" t="s">
        <v>34</v>
      </c>
      <c r="H8741" t="s">
        <v>18</v>
      </c>
      <c r="I8741" t="s">
        <v>19</v>
      </c>
      <c r="J8741" t="s">
        <v>267</v>
      </c>
      <c r="M8741" t="s">
        <v>9803</v>
      </c>
      <c r="N8741" t="s">
        <v>9803</v>
      </c>
      <c r="O8741" t="s">
        <v>23</v>
      </c>
      <c r="P8741" t="s">
        <v>1649</v>
      </c>
      <c r="Q8741" t="s">
        <v>1650</v>
      </c>
      <c r="R8741" t="s">
        <v>1651</v>
      </c>
    </row>
    <row r="8742" spans="1:18" x14ac:dyDescent="0.25">
      <c r="A8742" t="s">
        <v>12402</v>
      </c>
      <c r="B8742" t="s">
        <v>9835</v>
      </c>
      <c r="C8742" t="str">
        <f>HYPERLINK("https://nematode.unl.edu/plum13.jpg")</f>
        <v>https://nematode.unl.edu/plum13.jpg</v>
      </c>
      <c r="D8742" t="s">
        <v>43</v>
      </c>
      <c r="G8742" t="s">
        <v>34</v>
      </c>
      <c r="H8742" t="s">
        <v>18</v>
      </c>
      <c r="I8742" t="s">
        <v>19</v>
      </c>
      <c r="J8742" t="s">
        <v>267</v>
      </c>
      <c r="M8742" t="s">
        <v>9803</v>
      </c>
      <c r="N8742" t="s">
        <v>9803</v>
      </c>
      <c r="O8742" t="s">
        <v>23</v>
      </c>
      <c r="P8742" t="s">
        <v>1649</v>
      </c>
      <c r="Q8742" t="s">
        <v>1650</v>
      </c>
      <c r="R8742" t="s">
        <v>1651</v>
      </c>
    </row>
    <row r="8743" spans="1:18" x14ac:dyDescent="0.25">
      <c r="A8743" t="s">
        <v>12426</v>
      </c>
      <c r="B8743" t="s">
        <v>9836</v>
      </c>
      <c r="C8743" t="str">
        <f>HYPERLINK("https://nematode.unl.edu/plum14.jpg")</f>
        <v>https://nematode.unl.edu/plum14.jpg</v>
      </c>
      <c r="D8743" t="s">
        <v>43</v>
      </c>
      <c r="G8743" t="s">
        <v>28</v>
      </c>
      <c r="I8743" t="s">
        <v>19</v>
      </c>
      <c r="J8743" t="s">
        <v>267</v>
      </c>
      <c r="M8743" t="s">
        <v>9803</v>
      </c>
      <c r="N8743" t="s">
        <v>9803</v>
      </c>
      <c r="O8743" t="s">
        <v>23</v>
      </c>
      <c r="P8743" t="s">
        <v>1649</v>
      </c>
      <c r="Q8743" t="s">
        <v>1650</v>
      </c>
      <c r="R8743" t="s">
        <v>1651</v>
      </c>
    </row>
    <row r="8744" spans="1:18" x14ac:dyDescent="0.25">
      <c r="A8744" t="s">
        <v>12403</v>
      </c>
      <c r="B8744" t="s">
        <v>9837</v>
      </c>
      <c r="C8744" t="str">
        <f>HYPERLINK("https://nematode.unl.edu/plum16.jpg")</f>
        <v>https://nematode.unl.edu/plum16.jpg</v>
      </c>
      <c r="D8744" t="s">
        <v>43</v>
      </c>
      <c r="G8744" t="s">
        <v>34</v>
      </c>
      <c r="H8744" t="s">
        <v>18</v>
      </c>
      <c r="I8744" t="s">
        <v>41</v>
      </c>
      <c r="J8744" t="s">
        <v>267</v>
      </c>
      <c r="M8744" t="s">
        <v>9803</v>
      </c>
      <c r="N8744" t="s">
        <v>9803</v>
      </c>
      <c r="O8744" t="s">
        <v>23</v>
      </c>
      <c r="P8744" t="s">
        <v>1649</v>
      </c>
      <c r="Q8744" t="s">
        <v>1650</v>
      </c>
      <c r="R8744" t="s">
        <v>1651</v>
      </c>
    </row>
    <row r="8745" spans="1:18" x14ac:dyDescent="0.25">
      <c r="A8745" t="s">
        <v>12427</v>
      </c>
      <c r="B8745" t="s">
        <v>9838</v>
      </c>
      <c r="C8745" t="str">
        <f>HYPERLINK("https://nematode.unl.edu/plum2.jpg")</f>
        <v>https://nematode.unl.edu/plum2.jpg</v>
      </c>
      <c r="D8745" t="s">
        <v>43</v>
      </c>
      <c r="G8745" t="s">
        <v>28</v>
      </c>
      <c r="I8745" t="s">
        <v>19</v>
      </c>
      <c r="J8745" t="s">
        <v>267</v>
      </c>
      <c r="M8745" t="s">
        <v>9803</v>
      </c>
      <c r="N8745" t="s">
        <v>9803</v>
      </c>
      <c r="O8745" t="s">
        <v>23</v>
      </c>
      <c r="P8745" t="s">
        <v>1649</v>
      </c>
      <c r="Q8745" t="s">
        <v>1650</v>
      </c>
      <c r="R8745" t="s">
        <v>1651</v>
      </c>
    </row>
    <row r="8746" spans="1:18" x14ac:dyDescent="0.25">
      <c r="A8746" t="s">
        <v>12392</v>
      </c>
      <c r="B8746" t="s">
        <v>9839</v>
      </c>
      <c r="C8746" t="str">
        <f>HYPERLINK("https://nematode.unl.edu/plum3.jpg")</f>
        <v>https://nematode.unl.edu/plum3.jpg</v>
      </c>
      <c r="D8746" t="s">
        <v>43</v>
      </c>
      <c r="G8746" t="s">
        <v>386</v>
      </c>
      <c r="H8746" t="s">
        <v>18</v>
      </c>
      <c r="I8746" t="s">
        <v>41</v>
      </c>
      <c r="J8746" t="s">
        <v>267</v>
      </c>
      <c r="M8746" t="s">
        <v>9803</v>
      </c>
      <c r="N8746" t="s">
        <v>9803</v>
      </c>
      <c r="O8746" t="s">
        <v>23</v>
      </c>
      <c r="P8746" t="s">
        <v>1649</v>
      </c>
      <c r="Q8746" t="s">
        <v>1650</v>
      </c>
      <c r="R8746" t="s">
        <v>1651</v>
      </c>
    </row>
    <row r="8747" spans="1:18" x14ac:dyDescent="0.25">
      <c r="A8747" t="s">
        <v>12404</v>
      </c>
      <c r="B8747" t="s">
        <v>9840</v>
      </c>
      <c r="C8747" t="str">
        <f>HYPERLINK("https://nematode.unl.edu/plum4.jpg")</f>
        <v>https://nematode.unl.edu/plum4.jpg</v>
      </c>
      <c r="D8747" t="s">
        <v>43</v>
      </c>
      <c r="G8747" t="s">
        <v>34</v>
      </c>
      <c r="H8747" t="s">
        <v>18</v>
      </c>
      <c r="J8747" t="s">
        <v>267</v>
      </c>
      <c r="M8747" t="s">
        <v>9803</v>
      </c>
      <c r="N8747" t="s">
        <v>9803</v>
      </c>
      <c r="O8747" t="s">
        <v>23</v>
      </c>
      <c r="P8747" t="s">
        <v>1649</v>
      </c>
      <c r="Q8747" t="s">
        <v>1650</v>
      </c>
      <c r="R8747" t="s">
        <v>1651</v>
      </c>
    </row>
    <row r="8748" spans="1:18" x14ac:dyDescent="0.25">
      <c r="A8748" t="s">
        <v>12420</v>
      </c>
      <c r="B8748" t="s">
        <v>9841</v>
      </c>
      <c r="C8748" t="str">
        <f>HYPERLINK("https://nematode.unl.edu/plum5.jpg")</f>
        <v>https://nematode.unl.edu/plum5.jpg</v>
      </c>
      <c r="D8748" t="s">
        <v>43</v>
      </c>
      <c r="G8748" t="s">
        <v>53</v>
      </c>
      <c r="J8748" t="s">
        <v>267</v>
      </c>
      <c r="M8748" t="s">
        <v>9803</v>
      </c>
      <c r="N8748" t="s">
        <v>9803</v>
      </c>
      <c r="O8748" t="s">
        <v>23</v>
      </c>
      <c r="P8748" t="s">
        <v>1649</v>
      </c>
      <c r="Q8748" t="s">
        <v>1650</v>
      </c>
      <c r="R8748" t="s">
        <v>1651</v>
      </c>
    </row>
    <row r="8749" spans="1:18" x14ac:dyDescent="0.25">
      <c r="A8749" t="s">
        <v>12428</v>
      </c>
      <c r="B8749" t="s">
        <v>9842</v>
      </c>
      <c r="C8749" t="str">
        <f>HYPERLINK("https://nematode.unl.edu/plum6.jpg")</f>
        <v>https://nematode.unl.edu/plum6.jpg</v>
      </c>
      <c r="D8749" t="s">
        <v>43</v>
      </c>
      <c r="G8749" t="s">
        <v>28</v>
      </c>
      <c r="I8749" t="s">
        <v>19</v>
      </c>
      <c r="J8749" t="s">
        <v>267</v>
      </c>
      <c r="M8749" t="s">
        <v>9803</v>
      </c>
      <c r="N8749" t="s">
        <v>9803</v>
      </c>
      <c r="O8749" t="s">
        <v>23</v>
      </c>
      <c r="P8749" t="s">
        <v>1649</v>
      </c>
      <c r="Q8749" t="s">
        <v>1650</v>
      </c>
      <c r="R8749" t="s">
        <v>1651</v>
      </c>
    </row>
    <row r="8750" spans="1:18" x14ac:dyDescent="0.25">
      <c r="A8750" t="s">
        <v>12405</v>
      </c>
      <c r="B8750" t="s">
        <v>9843</v>
      </c>
      <c r="C8750" t="str">
        <f>HYPERLINK("https://nematode.unl.edu/plum7.jpg")</f>
        <v>https://nematode.unl.edu/plum7.jpg</v>
      </c>
      <c r="D8750" t="s">
        <v>43</v>
      </c>
      <c r="G8750" t="s">
        <v>34</v>
      </c>
      <c r="H8750" t="s">
        <v>18</v>
      </c>
      <c r="I8750" t="s">
        <v>19</v>
      </c>
      <c r="J8750" t="s">
        <v>267</v>
      </c>
      <c r="M8750" t="s">
        <v>9803</v>
      </c>
      <c r="N8750" t="s">
        <v>9803</v>
      </c>
      <c r="O8750" t="s">
        <v>23</v>
      </c>
      <c r="P8750" t="s">
        <v>1649</v>
      </c>
      <c r="Q8750" t="s">
        <v>1650</v>
      </c>
      <c r="R8750" t="s">
        <v>1651</v>
      </c>
    </row>
    <row r="8751" spans="1:18" x14ac:dyDescent="0.25">
      <c r="A8751" t="s">
        <v>12406</v>
      </c>
      <c r="B8751" t="s">
        <v>9844</v>
      </c>
      <c r="C8751" t="str">
        <f>HYPERLINK("https://nematode.unl.edu/plum8.jpg")</f>
        <v>https://nematode.unl.edu/plum8.jpg</v>
      </c>
      <c r="D8751" t="s">
        <v>43</v>
      </c>
      <c r="G8751" t="s">
        <v>34</v>
      </c>
      <c r="H8751" t="s">
        <v>18</v>
      </c>
      <c r="I8751" t="s">
        <v>19</v>
      </c>
      <c r="J8751" t="s">
        <v>267</v>
      </c>
      <c r="M8751" t="s">
        <v>9803</v>
      </c>
      <c r="N8751" t="s">
        <v>9803</v>
      </c>
      <c r="O8751" t="s">
        <v>23</v>
      </c>
      <c r="P8751" t="s">
        <v>1649</v>
      </c>
      <c r="Q8751" t="s">
        <v>1650</v>
      </c>
      <c r="R8751" t="s">
        <v>1651</v>
      </c>
    </row>
    <row r="8752" spans="1:18" x14ac:dyDescent="0.25">
      <c r="A8752" t="s">
        <v>12407</v>
      </c>
      <c r="B8752" t="s">
        <v>9845</v>
      </c>
      <c r="C8752" t="str">
        <f>HYPERLINK("https://nematode.unl.edu/plum9.jpg")</f>
        <v>https://nematode.unl.edu/plum9.jpg</v>
      </c>
      <c r="D8752" t="s">
        <v>43</v>
      </c>
      <c r="G8752" t="s">
        <v>34</v>
      </c>
      <c r="H8752" t="s">
        <v>18</v>
      </c>
      <c r="I8752" t="s">
        <v>19</v>
      </c>
      <c r="J8752" t="s">
        <v>267</v>
      </c>
      <c r="M8752" t="s">
        <v>9803</v>
      </c>
      <c r="N8752" t="s">
        <v>9803</v>
      </c>
      <c r="O8752" t="s">
        <v>23</v>
      </c>
      <c r="P8752" t="s">
        <v>1649</v>
      </c>
      <c r="Q8752" t="s">
        <v>1650</v>
      </c>
      <c r="R8752" t="s">
        <v>1651</v>
      </c>
    </row>
    <row r="8753" spans="1:18" x14ac:dyDescent="0.25">
      <c r="A8753" t="s">
        <v>12521</v>
      </c>
      <c r="B8753" t="s">
        <v>1659</v>
      </c>
      <c r="C8753" t="str">
        <f>HYPERLINK("https://nematode.unl.edu/pmakrod1.jpg")</f>
        <v>https://nematode.unl.edu/pmakrod1.jpg</v>
      </c>
      <c r="D8753" t="s">
        <v>43</v>
      </c>
      <c r="G8753" t="s">
        <v>96</v>
      </c>
      <c r="H8753" t="s">
        <v>18</v>
      </c>
      <c r="I8753" t="s">
        <v>516</v>
      </c>
      <c r="J8753" t="s">
        <v>116</v>
      </c>
      <c r="L8753" t="s">
        <v>85</v>
      </c>
      <c r="M8753" t="s">
        <v>1660</v>
      </c>
      <c r="N8753" t="s">
        <v>1661</v>
      </c>
      <c r="O8753" t="s">
        <v>23</v>
      </c>
      <c r="P8753" t="s">
        <v>1649</v>
      </c>
      <c r="Q8753" t="s">
        <v>1650</v>
      </c>
      <c r="R8753" t="s">
        <v>1651</v>
      </c>
    </row>
    <row r="8754" spans="1:18" x14ac:dyDescent="0.25">
      <c r="A8754" t="s">
        <v>12523</v>
      </c>
      <c r="B8754" t="s">
        <v>1662</v>
      </c>
      <c r="C8754" t="str">
        <f>HYPERLINK("https://nematode.unl.edu/pmakrod2.jpg")</f>
        <v>https://nematode.unl.edu/pmakrod2.jpg</v>
      </c>
      <c r="D8754" t="s">
        <v>43</v>
      </c>
      <c r="G8754" t="s">
        <v>34</v>
      </c>
      <c r="H8754" t="s">
        <v>18</v>
      </c>
      <c r="J8754" t="s">
        <v>116</v>
      </c>
      <c r="L8754" t="s">
        <v>85</v>
      </c>
      <c r="M8754" t="s">
        <v>1660</v>
      </c>
      <c r="N8754" t="s">
        <v>1661</v>
      </c>
      <c r="O8754" t="s">
        <v>23</v>
      </c>
      <c r="P8754" t="s">
        <v>1649</v>
      </c>
      <c r="Q8754" t="s">
        <v>1650</v>
      </c>
      <c r="R8754" t="s">
        <v>1651</v>
      </c>
    </row>
    <row r="8755" spans="1:18" x14ac:dyDescent="0.25">
      <c r="A8755" t="s">
        <v>12522</v>
      </c>
      <c r="B8755" t="s">
        <v>1663</v>
      </c>
      <c r="C8755" t="str">
        <f>HYPERLINK("https://nematode.unl.edu/pmakrod3.jpg")</f>
        <v>https://nematode.unl.edu/pmakrod3.jpg</v>
      </c>
      <c r="D8755" t="s">
        <v>43</v>
      </c>
      <c r="G8755" t="s">
        <v>96</v>
      </c>
      <c r="H8755" t="s">
        <v>18</v>
      </c>
      <c r="I8755" t="s">
        <v>19</v>
      </c>
      <c r="J8755" t="s">
        <v>116</v>
      </c>
      <c r="L8755" t="s">
        <v>85</v>
      </c>
      <c r="M8755" t="s">
        <v>1660</v>
      </c>
      <c r="N8755" t="s">
        <v>1661</v>
      </c>
      <c r="O8755" t="s">
        <v>23</v>
      </c>
      <c r="P8755" t="s">
        <v>1649</v>
      </c>
      <c r="Q8755" t="s">
        <v>1650</v>
      </c>
      <c r="R8755" t="s">
        <v>1651</v>
      </c>
    </row>
    <row r="8756" spans="1:18" x14ac:dyDescent="0.25">
      <c r="A8756" t="s">
        <v>12527</v>
      </c>
      <c r="B8756" t="s">
        <v>1664</v>
      </c>
      <c r="C8756" t="str">
        <f>HYPERLINK("https://nematode.unl.edu/pmakrod4.jpg")</f>
        <v>https://nematode.unl.edu/pmakrod4.jpg</v>
      </c>
      <c r="D8756" t="s">
        <v>43</v>
      </c>
      <c r="G8756" t="s">
        <v>51</v>
      </c>
      <c r="J8756" t="s">
        <v>116</v>
      </c>
      <c r="L8756" t="s">
        <v>85</v>
      </c>
      <c r="M8756" t="s">
        <v>1660</v>
      </c>
      <c r="N8756" t="s">
        <v>1661</v>
      </c>
      <c r="O8756" t="s">
        <v>23</v>
      </c>
      <c r="P8756" t="s">
        <v>1649</v>
      </c>
      <c r="Q8756" t="s">
        <v>1650</v>
      </c>
      <c r="R8756" t="s">
        <v>1651</v>
      </c>
    </row>
    <row r="8757" spans="1:18" x14ac:dyDescent="0.25">
      <c r="A8757" t="s">
        <v>12526</v>
      </c>
      <c r="B8757" t="s">
        <v>1665</v>
      </c>
      <c r="C8757" t="str">
        <f>HYPERLINK("https://nematode.unl.edu/pmakrod5.jpg")</f>
        <v>https://nematode.unl.edu/pmakrod5.jpg</v>
      </c>
      <c r="D8757" t="s">
        <v>43</v>
      </c>
      <c r="G8757" t="s">
        <v>28</v>
      </c>
      <c r="I8757" t="s">
        <v>19</v>
      </c>
      <c r="J8757" t="s">
        <v>116</v>
      </c>
      <c r="L8757" t="s">
        <v>85</v>
      </c>
      <c r="M8757" t="s">
        <v>1660</v>
      </c>
      <c r="N8757" t="s">
        <v>1661</v>
      </c>
      <c r="O8757" t="s">
        <v>23</v>
      </c>
      <c r="P8757" t="s">
        <v>1649</v>
      </c>
      <c r="Q8757" t="s">
        <v>1650</v>
      </c>
      <c r="R8757" t="s">
        <v>1651</v>
      </c>
    </row>
    <row r="8758" spans="1:18" x14ac:dyDescent="0.25">
      <c r="A8758" t="s">
        <v>12525</v>
      </c>
      <c r="B8758" t="s">
        <v>1666</v>
      </c>
      <c r="C8758" t="str">
        <f>HYPERLINK("https://nematode.unl.edu/pmakrod6.jpg")</f>
        <v>https://nematode.unl.edu/pmakrod6.jpg</v>
      </c>
      <c r="D8758" t="s">
        <v>43</v>
      </c>
      <c r="G8758" t="s">
        <v>1667</v>
      </c>
      <c r="I8758" t="s">
        <v>41</v>
      </c>
      <c r="J8758" t="s">
        <v>116</v>
      </c>
      <c r="L8758" t="s">
        <v>85</v>
      </c>
      <c r="M8758" t="s">
        <v>1660</v>
      </c>
      <c r="N8758" t="s">
        <v>1661</v>
      </c>
      <c r="O8758" t="s">
        <v>23</v>
      </c>
      <c r="P8758" t="s">
        <v>1649</v>
      </c>
      <c r="Q8758" t="s">
        <v>1650</v>
      </c>
      <c r="R8758" t="s">
        <v>1651</v>
      </c>
    </row>
    <row r="8759" spans="1:18" x14ac:dyDescent="0.25">
      <c r="A8759" t="s">
        <v>12520</v>
      </c>
      <c r="B8759" t="s">
        <v>1668</v>
      </c>
      <c r="C8759" t="str">
        <f>HYPERLINK("https://nematode.unl.edu/pmakrod7.jpg")</f>
        <v>https://nematode.unl.edu/pmakrod7.jpg</v>
      </c>
      <c r="D8759" t="s">
        <v>43</v>
      </c>
      <c r="G8759" t="s">
        <v>386</v>
      </c>
      <c r="H8759" t="s">
        <v>18</v>
      </c>
      <c r="I8759" t="s">
        <v>41</v>
      </c>
      <c r="J8759" t="s">
        <v>116</v>
      </c>
      <c r="L8759" t="s">
        <v>85</v>
      </c>
      <c r="M8759" t="s">
        <v>1660</v>
      </c>
      <c r="N8759" t="s">
        <v>1661</v>
      </c>
      <c r="O8759" t="s">
        <v>23</v>
      </c>
      <c r="P8759" t="s">
        <v>1649</v>
      </c>
      <c r="Q8759" t="s">
        <v>1650</v>
      </c>
      <c r="R8759" t="s">
        <v>1651</v>
      </c>
    </row>
    <row r="8760" spans="1:18" x14ac:dyDescent="0.25">
      <c r="A8760" t="s">
        <v>12524</v>
      </c>
      <c r="B8760" t="s">
        <v>1669</v>
      </c>
      <c r="C8760" t="str">
        <f>HYPERLINK("https://nematode.unl.edu/pmakrod8.jpg")</f>
        <v>https://nematode.unl.edu/pmakrod8.jpg</v>
      </c>
      <c r="D8760" t="s">
        <v>43</v>
      </c>
      <c r="G8760" t="s">
        <v>53</v>
      </c>
      <c r="I8760" t="s">
        <v>41</v>
      </c>
      <c r="J8760" t="s">
        <v>116</v>
      </c>
      <c r="L8760" t="s">
        <v>85</v>
      </c>
      <c r="M8760" t="s">
        <v>1660</v>
      </c>
      <c r="N8760" t="s">
        <v>1661</v>
      </c>
      <c r="O8760" t="s">
        <v>23</v>
      </c>
      <c r="P8760" t="s">
        <v>1649</v>
      </c>
      <c r="Q8760" t="s">
        <v>1650</v>
      </c>
      <c r="R8760" t="s">
        <v>1651</v>
      </c>
    </row>
    <row r="8761" spans="1:18" x14ac:dyDescent="0.25">
      <c r="A8761" t="s">
        <v>17291</v>
      </c>
      <c r="B8761" t="s">
        <v>10495</v>
      </c>
      <c r="C8761" t="str">
        <f>HYPERLINK("https://nematode.unl.edu/pnegwis1.jpg")</f>
        <v>https://nematode.unl.edu/pnegwis1.jpg</v>
      </c>
      <c r="D8761" t="s">
        <v>43</v>
      </c>
      <c r="G8761" t="s">
        <v>96</v>
      </c>
      <c r="H8761" t="s">
        <v>18</v>
      </c>
      <c r="I8761" t="s">
        <v>19</v>
      </c>
      <c r="J8761" t="s">
        <v>10496</v>
      </c>
      <c r="M8761" t="s">
        <v>10466</v>
      </c>
      <c r="N8761" t="s">
        <v>10466</v>
      </c>
      <c r="O8761" t="s">
        <v>23</v>
      </c>
      <c r="P8761" t="s">
        <v>24</v>
      </c>
      <c r="Q8761" t="s">
        <v>6484</v>
      </c>
      <c r="R8761" t="s">
        <v>10109</v>
      </c>
    </row>
    <row r="8762" spans="1:18" x14ac:dyDescent="0.25">
      <c r="A8762" t="s">
        <v>17322</v>
      </c>
      <c r="B8762" t="s">
        <v>10497</v>
      </c>
      <c r="C8762" t="str">
        <f>HYPERLINK("https://nematode.unl.edu/pnegwis2.jpg")</f>
        <v>https://nematode.unl.edu/pnegwis2.jpg</v>
      </c>
      <c r="D8762" t="s">
        <v>43</v>
      </c>
      <c r="G8762" t="s">
        <v>28</v>
      </c>
      <c r="I8762" t="s">
        <v>316</v>
      </c>
      <c r="J8762" t="s">
        <v>10496</v>
      </c>
      <c r="M8762" t="s">
        <v>10466</v>
      </c>
      <c r="N8762" t="s">
        <v>10466</v>
      </c>
      <c r="O8762" t="s">
        <v>23</v>
      </c>
      <c r="P8762" t="s">
        <v>24</v>
      </c>
      <c r="Q8762" t="s">
        <v>6484</v>
      </c>
      <c r="R8762" t="s">
        <v>10109</v>
      </c>
    </row>
    <row r="8763" spans="1:18" x14ac:dyDescent="0.25">
      <c r="A8763" t="s">
        <v>17300</v>
      </c>
      <c r="B8763" t="s">
        <v>10498</v>
      </c>
      <c r="C8763" t="str">
        <f>HYPERLINK("https://nematode.unl.edu/pnegwis3.jpg")</f>
        <v>https://nematode.unl.edu/pnegwis3.jpg</v>
      </c>
      <c r="G8763" t="s">
        <v>34</v>
      </c>
      <c r="H8763" t="s">
        <v>18</v>
      </c>
      <c r="I8763" t="s">
        <v>41</v>
      </c>
      <c r="J8763" t="s">
        <v>10496</v>
      </c>
      <c r="M8763" t="s">
        <v>10466</v>
      </c>
      <c r="N8763" t="s">
        <v>10466</v>
      </c>
      <c r="O8763" t="s">
        <v>23</v>
      </c>
      <c r="P8763" t="s">
        <v>24</v>
      </c>
      <c r="Q8763" t="s">
        <v>6484</v>
      </c>
      <c r="R8763" t="s">
        <v>10109</v>
      </c>
    </row>
    <row r="8764" spans="1:18" x14ac:dyDescent="0.25">
      <c r="A8764" t="s">
        <v>17311</v>
      </c>
      <c r="B8764" t="s">
        <v>10499</v>
      </c>
      <c r="C8764" t="str">
        <f>HYPERLINK("https://nematode.unl.edu/pnegwis4.jpg")</f>
        <v>https://nematode.unl.edu/pnegwis4.jpg</v>
      </c>
      <c r="D8764" t="s">
        <v>43</v>
      </c>
      <c r="G8764" t="s">
        <v>53</v>
      </c>
      <c r="I8764" t="s">
        <v>41</v>
      </c>
      <c r="J8764" t="s">
        <v>10496</v>
      </c>
      <c r="M8764" t="s">
        <v>10466</v>
      </c>
      <c r="N8764" t="s">
        <v>10466</v>
      </c>
      <c r="O8764" t="s">
        <v>23</v>
      </c>
      <c r="P8764" t="s">
        <v>24</v>
      </c>
      <c r="Q8764" t="s">
        <v>6484</v>
      </c>
      <c r="R8764" t="s">
        <v>10109</v>
      </c>
    </row>
    <row r="8765" spans="1:18" x14ac:dyDescent="0.25">
      <c r="A8765" t="s">
        <v>17312</v>
      </c>
      <c r="B8765" t="s">
        <v>10500</v>
      </c>
      <c r="C8765" t="str">
        <f>HYPERLINK("https://nematode.unl.edu/pnegwis5.jpg")</f>
        <v>https://nematode.unl.edu/pnegwis5.jpg</v>
      </c>
      <c r="D8765" t="s">
        <v>43</v>
      </c>
      <c r="G8765" t="s">
        <v>53</v>
      </c>
      <c r="I8765" t="s">
        <v>529</v>
      </c>
      <c r="J8765" t="s">
        <v>10496</v>
      </c>
      <c r="M8765" t="s">
        <v>10466</v>
      </c>
      <c r="N8765" t="s">
        <v>10466</v>
      </c>
      <c r="O8765" t="s">
        <v>23</v>
      </c>
      <c r="P8765" t="s">
        <v>24</v>
      </c>
      <c r="Q8765" t="s">
        <v>6484</v>
      </c>
      <c r="R8765" t="s">
        <v>10109</v>
      </c>
    </row>
    <row r="8766" spans="1:18" x14ac:dyDescent="0.25">
      <c r="A8766" t="s">
        <v>17323</v>
      </c>
      <c r="B8766" t="s">
        <v>10501</v>
      </c>
      <c r="C8766" t="str">
        <f>HYPERLINK("https://nematode.unl.edu/pnegwis6.jpg")</f>
        <v>https://nematode.unl.edu/pnegwis6.jpg</v>
      </c>
      <c r="D8766" t="s">
        <v>43</v>
      </c>
      <c r="G8766" t="s">
        <v>28</v>
      </c>
      <c r="I8766" t="s">
        <v>41</v>
      </c>
      <c r="J8766" t="s">
        <v>10496</v>
      </c>
      <c r="M8766" t="s">
        <v>10466</v>
      </c>
      <c r="N8766" t="s">
        <v>10466</v>
      </c>
      <c r="O8766" t="s">
        <v>23</v>
      </c>
      <c r="P8766" t="s">
        <v>24</v>
      </c>
      <c r="Q8766" t="s">
        <v>6484</v>
      </c>
      <c r="R8766" t="s">
        <v>10109</v>
      </c>
    </row>
    <row r="8767" spans="1:18" x14ac:dyDescent="0.25">
      <c r="A8767" t="s">
        <v>18502</v>
      </c>
      <c r="B8767" t="s">
        <v>10087</v>
      </c>
      <c r="C8767" t="str">
        <f>HYPERLINK("https://nematode.unl.edu/popoli1.jpg")</f>
        <v>https://nematode.unl.edu/popoli1.jpg</v>
      </c>
      <c r="D8767" t="s">
        <v>77</v>
      </c>
      <c r="G8767" t="s">
        <v>44</v>
      </c>
      <c r="I8767" t="s">
        <v>45</v>
      </c>
      <c r="J8767" t="s">
        <v>20</v>
      </c>
      <c r="L8767" t="s">
        <v>38</v>
      </c>
      <c r="M8767" t="s">
        <v>10088</v>
      </c>
      <c r="N8767" t="s">
        <v>10088</v>
      </c>
      <c r="O8767" t="s">
        <v>23</v>
      </c>
      <c r="P8767" t="s">
        <v>24</v>
      </c>
      <c r="Q8767" t="s">
        <v>69</v>
      </c>
      <c r="R8767" t="s">
        <v>10089</v>
      </c>
    </row>
    <row r="8768" spans="1:18" x14ac:dyDescent="0.25">
      <c r="A8768" t="s">
        <v>18508</v>
      </c>
      <c r="B8768" t="s">
        <v>10090</v>
      </c>
      <c r="C8768" t="str">
        <f>HYPERLINK("https://nematode.unl.edu/popoli10.jpg")</f>
        <v>https://nematode.unl.edu/popoli10.jpg</v>
      </c>
      <c r="D8768" t="s">
        <v>16</v>
      </c>
      <c r="G8768" t="s">
        <v>53</v>
      </c>
      <c r="I8768" t="s">
        <v>41</v>
      </c>
      <c r="J8768" t="s">
        <v>20</v>
      </c>
      <c r="L8768" t="s">
        <v>64</v>
      </c>
      <c r="M8768" t="s">
        <v>10088</v>
      </c>
      <c r="N8768" t="s">
        <v>10088</v>
      </c>
      <c r="O8768" t="s">
        <v>23</v>
      </c>
      <c r="P8768" t="s">
        <v>24</v>
      </c>
      <c r="Q8768" t="s">
        <v>69</v>
      </c>
      <c r="R8768" t="s">
        <v>10089</v>
      </c>
    </row>
    <row r="8769" spans="1:18" x14ac:dyDescent="0.25">
      <c r="A8769" t="s">
        <v>18506</v>
      </c>
      <c r="B8769" t="s">
        <v>10091</v>
      </c>
      <c r="C8769" t="str">
        <f>HYPERLINK("https://nematode.unl.edu/popoli11.jpg")</f>
        <v>https://nematode.unl.edu/popoli11.jpg</v>
      </c>
      <c r="D8769" t="s">
        <v>16</v>
      </c>
      <c r="G8769" t="s">
        <v>224</v>
      </c>
      <c r="I8769" t="s">
        <v>41</v>
      </c>
      <c r="J8769" t="s">
        <v>20</v>
      </c>
      <c r="L8769" t="s">
        <v>35</v>
      </c>
      <c r="M8769" t="s">
        <v>10088</v>
      </c>
      <c r="N8769" t="s">
        <v>10088</v>
      </c>
      <c r="O8769" t="s">
        <v>23</v>
      </c>
      <c r="P8769" t="s">
        <v>24</v>
      </c>
      <c r="Q8769" t="s">
        <v>69</v>
      </c>
      <c r="R8769" t="s">
        <v>10089</v>
      </c>
    </row>
    <row r="8770" spans="1:18" x14ac:dyDescent="0.25">
      <c r="A8770" t="s">
        <v>18495</v>
      </c>
      <c r="B8770" t="s">
        <v>10092</v>
      </c>
      <c r="C8770" t="str">
        <f>HYPERLINK("https://nematode.unl.edu/popoli12.jpg")</f>
        <v>https://nematode.unl.edu/popoli12.jpg</v>
      </c>
      <c r="D8770" t="s">
        <v>16</v>
      </c>
      <c r="G8770" t="s">
        <v>34</v>
      </c>
      <c r="H8770" t="s">
        <v>18</v>
      </c>
      <c r="I8770" t="s">
        <v>41</v>
      </c>
      <c r="J8770" t="s">
        <v>20</v>
      </c>
      <c r="L8770" t="s">
        <v>85</v>
      </c>
      <c r="M8770" t="s">
        <v>10088</v>
      </c>
      <c r="N8770" t="s">
        <v>10088</v>
      </c>
      <c r="O8770" t="s">
        <v>23</v>
      </c>
      <c r="P8770" t="s">
        <v>24</v>
      </c>
      <c r="Q8770" t="s">
        <v>69</v>
      </c>
      <c r="R8770" t="s">
        <v>10089</v>
      </c>
    </row>
    <row r="8771" spans="1:18" x14ac:dyDescent="0.25">
      <c r="A8771" t="s">
        <v>18503</v>
      </c>
      <c r="B8771" t="s">
        <v>10093</v>
      </c>
      <c r="C8771" t="str">
        <f>HYPERLINK("https://nematode.unl.edu/popoli13.jpg")</f>
        <v>https://nematode.unl.edu/popoli13.jpg</v>
      </c>
      <c r="D8771" t="s">
        <v>77</v>
      </c>
      <c r="G8771" t="s">
        <v>44</v>
      </c>
      <c r="I8771" t="s">
        <v>45</v>
      </c>
      <c r="J8771" t="s">
        <v>20</v>
      </c>
      <c r="L8771" t="s">
        <v>85</v>
      </c>
      <c r="M8771" t="s">
        <v>10088</v>
      </c>
      <c r="N8771" t="s">
        <v>10088</v>
      </c>
      <c r="O8771" t="s">
        <v>23</v>
      </c>
      <c r="P8771" t="s">
        <v>24</v>
      </c>
      <c r="Q8771" t="s">
        <v>69</v>
      </c>
      <c r="R8771" t="s">
        <v>10089</v>
      </c>
    </row>
    <row r="8772" spans="1:18" x14ac:dyDescent="0.25">
      <c r="A8772" t="s">
        <v>18496</v>
      </c>
      <c r="B8772" t="s">
        <v>10094</v>
      </c>
      <c r="C8772" t="str">
        <f>HYPERLINK("https://nematode.unl.edu/popoli14.jpg")</f>
        <v>https://nematode.unl.edu/popoli14.jpg</v>
      </c>
      <c r="D8772" t="s">
        <v>77</v>
      </c>
      <c r="G8772" t="s">
        <v>34</v>
      </c>
      <c r="H8772" t="s">
        <v>18</v>
      </c>
      <c r="J8772" t="s">
        <v>20</v>
      </c>
      <c r="L8772" t="s">
        <v>85</v>
      </c>
      <c r="M8772" t="s">
        <v>10088</v>
      </c>
      <c r="N8772" t="s">
        <v>10088</v>
      </c>
      <c r="O8772" t="s">
        <v>23</v>
      </c>
      <c r="P8772" t="s">
        <v>24</v>
      </c>
      <c r="Q8772" t="s">
        <v>69</v>
      </c>
      <c r="R8772" t="s">
        <v>10089</v>
      </c>
    </row>
    <row r="8773" spans="1:18" x14ac:dyDescent="0.25">
      <c r="A8773" t="s">
        <v>18509</v>
      </c>
      <c r="B8773" t="s">
        <v>10095</v>
      </c>
      <c r="C8773" t="str">
        <f>HYPERLINK("https://nematode.unl.edu/popoli15.jpg")</f>
        <v>https://nematode.unl.edu/popoli15.jpg</v>
      </c>
      <c r="D8773" t="s">
        <v>77</v>
      </c>
      <c r="G8773" t="s">
        <v>112</v>
      </c>
      <c r="J8773" t="s">
        <v>20</v>
      </c>
      <c r="L8773" t="s">
        <v>85</v>
      </c>
      <c r="M8773" t="s">
        <v>10088</v>
      </c>
      <c r="N8773" t="s">
        <v>10088</v>
      </c>
      <c r="O8773" t="s">
        <v>23</v>
      </c>
      <c r="P8773" t="s">
        <v>24</v>
      </c>
      <c r="Q8773" t="s">
        <v>69</v>
      </c>
      <c r="R8773" t="s">
        <v>10089</v>
      </c>
    </row>
    <row r="8774" spans="1:18" x14ac:dyDescent="0.25">
      <c r="A8774" t="s">
        <v>18497</v>
      </c>
      <c r="B8774" t="s">
        <v>10096</v>
      </c>
      <c r="C8774" t="str">
        <f>HYPERLINK("https://nematode.unl.edu/popoli16.jpg")</f>
        <v>https://nematode.unl.edu/popoli16.jpg</v>
      </c>
      <c r="D8774" t="s">
        <v>77</v>
      </c>
      <c r="G8774" t="s">
        <v>34</v>
      </c>
      <c r="H8774" t="s">
        <v>18</v>
      </c>
      <c r="I8774" t="s">
        <v>41</v>
      </c>
      <c r="J8774" t="s">
        <v>20</v>
      </c>
      <c r="L8774" t="s">
        <v>85</v>
      </c>
      <c r="M8774" t="s">
        <v>10088</v>
      </c>
      <c r="N8774" t="s">
        <v>10088</v>
      </c>
      <c r="O8774" t="s">
        <v>23</v>
      </c>
      <c r="P8774" t="s">
        <v>24</v>
      </c>
      <c r="Q8774" t="s">
        <v>69</v>
      </c>
      <c r="R8774" t="s">
        <v>10089</v>
      </c>
    </row>
    <row r="8775" spans="1:18" x14ac:dyDescent="0.25">
      <c r="A8775" t="s">
        <v>18505</v>
      </c>
      <c r="B8775" t="s">
        <v>10097</v>
      </c>
      <c r="C8775" t="str">
        <f>HYPERLINK("https://nematode.unl.edu/popoli17.jpg")</f>
        <v>https://nematode.unl.edu/popoli17.jpg</v>
      </c>
      <c r="D8775" t="s">
        <v>77</v>
      </c>
      <c r="G8775" t="s">
        <v>1906</v>
      </c>
      <c r="I8775" t="s">
        <v>41</v>
      </c>
      <c r="J8775" t="s">
        <v>20</v>
      </c>
      <c r="L8775" t="s">
        <v>85</v>
      </c>
      <c r="M8775" t="s">
        <v>10088</v>
      </c>
      <c r="N8775" t="s">
        <v>10088</v>
      </c>
      <c r="O8775" t="s">
        <v>23</v>
      </c>
      <c r="P8775" t="s">
        <v>24</v>
      </c>
      <c r="Q8775" t="s">
        <v>69</v>
      </c>
      <c r="R8775" t="s">
        <v>10089</v>
      </c>
    </row>
    <row r="8776" spans="1:18" x14ac:dyDescent="0.25">
      <c r="A8776" t="s">
        <v>18507</v>
      </c>
      <c r="B8776" t="s">
        <v>10098</v>
      </c>
      <c r="C8776" t="str">
        <f>HYPERLINK("https://nematode.unl.edu/popoli18.jpg")</f>
        <v>https://nematode.unl.edu/popoli18.jpg</v>
      </c>
      <c r="D8776" t="s">
        <v>77</v>
      </c>
      <c r="G8776" t="s">
        <v>224</v>
      </c>
      <c r="I8776" t="s">
        <v>41</v>
      </c>
      <c r="J8776" t="s">
        <v>20</v>
      </c>
      <c r="L8776" t="s">
        <v>85</v>
      </c>
      <c r="M8776" t="s">
        <v>10088</v>
      </c>
      <c r="N8776" t="s">
        <v>10088</v>
      </c>
      <c r="O8776" t="s">
        <v>23</v>
      </c>
      <c r="P8776" t="s">
        <v>24</v>
      </c>
      <c r="Q8776" t="s">
        <v>69</v>
      </c>
      <c r="R8776" t="s">
        <v>10089</v>
      </c>
    </row>
    <row r="8777" spans="1:18" x14ac:dyDescent="0.25">
      <c r="A8777" t="s">
        <v>18498</v>
      </c>
      <c r="B8777" t="s">
        <v>10099</v>
      </c>
      <c r="C8777" t="str">
        <f>HYPERLINK("https://nematode.unl.edu/popoli2.jpg")</f>
        <v>https://nematode.unl.edu/popoli2.jpg</v>
      </c>
      <c r="D8777" t="s">
        <v>77</v>
      </c>
      <c r="G8777" t="s">
        <v>34</v>
      </c>
      <c r="H8777" t="s">
        <v>18</v>
      </c>
      <c r="I8777" t="s">
        <v>19</v>
      </c>
      <c r="J8777" t="s">
        <v>20</v>
      </c>
      <c r="L8777" t="s">
        <v>85</v>
      </c>
      <c r="M8777" t="s">
        <v>10088</v>
      </c>
      <c r="N8777" t="s">
        <v>10088</v>
      </c>
      <c r="O8777" t="s">
        <v>23</v>
      </c>
      <c r="P8777" t="s">
        <v>24</v>
      </c>
      <c r="Q8777" t="s">
        <v>69</v>
      </c>
      <c r="R8777" t="s">
        <v>10089</v>
      </c>
    </row>
    <row r="8778" spans="1:18" x14ac:dyDescent="0.25">
      <c r="A8778" t="s">
        <v>18510</v>
      </c>
      <c r="B8778" t="s">
        <v>10100</v>
      </c>
      <c r="C8778" t="str">
        <f>HYPERLINK("https://nematode.unl.edu/popoli3.jpg")</f>
        <v>https://nematode.unl.edu/popoli3.jpg</v>
      </c>
      <c r="D8778" t="s">
        <v>77</v>
      </c>
      <c r="G8778" t="s">
        <v>112</v>
      </c>
      <c r="I8778" t="s">
        <v>19</v>
      </c>
      <c r="J8778" t="s">
        <v>20</v>
      </c>
      <c r="L8778" t="s">
        <v>85</v>
      </c>
      <c r="M8778" t="s">
        <v>10088</v>
      </c>
      <c r="N8778" t="s">
        <v>10088</v>
      </c>
      <c r="O8778" t="s">
        <v>23</v>
      </c>
      <c r="P8778" t="s">
        <v>24</v>
      </c>
      <c r="Q8778" t="s">
        <v>69</v>
      </c>
      <c r="R8778" t="s">
        <v>10089</v>
      </c>
    </row>
    <row r="8779" spans="1:18" x14ac:dyDescent="0.25">
      <c r="A8779" t="s">
        <v>18511</v>
      </c>
      <c r="B8779" t="s">
        <v>10101</v>
      </c>
      <c r="C8779" t="str">
        <f>HYPERLINK("https://nematode.unl.edu/popoli4.jpg")</f>
        <v>https://nematode.unl.edu/popoli4.jpg</v>
      </c>
      <c r="D8779" t="s">
        <v>77</v>
      </c>
      <c r="G8779" t="s">
        <v>112</v>
      </c>
      <c r="I8779" t="s">
        <v>41</v>
      </c>
      <c r="J8779" t="s">
        <v>20</v>
      </c>
      <c r="L8779" t="s">
        <v>85</v>
      </c>
      <c r="M8779" t="s">
        <v>10088</v>
      </c>
      <c r="N8779" t="s">
        <v>10088</v>
      </c>
      <c r="O8779" t="s">
        <v>23</v>
      </c>
      <c r="P8779" t="s">
        <v>24</v>
      </c>
      <c r="Q8779" t="s">
        <v>69</v>
      </c>
      <c r="R8779" t="s">
        <v>10089</v>
      </c>
    </row>
    <row r="8780" spans="1:18" x14ac:dyDescent="0.25">
      <c r="A8780" t="s">
        <v>18499</v>
      </c>
      <c r="B8780" t="s">
        <v>10102</v>
      </c>
      <c r="C8780" t="str">
        <f>HYPERLINK("https://nematode.unl.edu/popoli5.jpg")</f>
        <v>https://nematode.unl.edu/popoli5.jpg</v>
      </c>
      <c r="D8780" t="s">
        <v>77</v>
      </c>
      <c r="G8780" t="s">
        <v>34</v>
      </c>
      <c r="H8780" t="s">
        <v>18</v>
      </c>
      <c r="I8780" t="s">
        <v>41</v>
      </c>
      <c r="J8780" t="s">
        <v>20</v>
      </c>
      <c r="L8780" t="s">
        <v>85</v>
      </c>
      <c r="M8780" t="s">
        <v>10088</v>
      </c>
      <c r="N8780" t="s">
        <v>10088</v>
      </c>
      <c r="O8780" t="s">
        <v>23</v>
      </c>
      <c r="P8780" t="s">
        <v>24</v>
      </c>
      <c r="Q8780" t="s">
        <v>69</v>
      </c>
      <c r="R8780" t="s">
        <v>10089</v>
      </c>
    </row>
    <row r="8781" spans="1:18" x14ac:dyDescent="0.25">
      <c r="A8781" t="s">
        <v>18504</v>
      </c>
      <c r="B8781" t="s">
        <v>10103</v>
      </c>
      <c r="C8781" t="str">
        <f>HYPERLINK("https://nematode.unl.edu/popoli6.jpg")</f>
        <v>https://nematode.unl.edu/popoli6.jpg</v>
      </c>
      <c r="D8781" t="s">
        <v>43</v>
      </c>
      <c r="G8781" t="s">
        <v>44</v>
      </c>
      <c r="I8781" t="s">
        <v>45</v>
      </c>
      <c r="J8781" t="s">
        <v>20</v>
      </c>
      <c r="L8781" t="s">
        <v>85</v>
      </c>
      <c r="M8781" t="s">
        <v>10088</v>
      </c>
      <c r="N8781" t="s">
        <v>10088</v>
      </c>
      <c r="O8781" t="s">
        <v>23</v>
      </c>
      <c r="P8781" t="s">
        <v>24</v>
      </c>
      <c r="Q8781" t="s">
        <v>69</v>
      </c>
      <c r="R8781" t="s">
        <v>10089</v>
      </c>
    </row>
    <row r="8782" spans="1:18" x14ac:dyDescent="0.25">
      <c r="A8782" t="s">
        <v>18500</v>
      </c>
      <c r="B8782" t="s">
        <v>10104</v>
      </c>
      <c r="C8782" t="str">
        <f>HYPERLINK("https://nematode.unl.edu/popoli7.jpg")</f>
        <v>https://nematode.unl.edu/popoli7.jpg</v>
      </c>
      <c r="D8782" t="s">
        <v>43</v>
      </c>
      <c r="G8782" t="s">
        <v>34</v>
      </c>
      <c r="H8782" t="s">
        <v>18</v>
      </c>
      <c r="I8782" t="s">
        <v>41</v>
      </c>
      <c r="J8782" t="s">
        <v>20</v>
      </c>
      <c r="L8782" t="s">
        <v>85</v>
      </c>
      <c r="M8782" t="s">
        <v>10088</v>
      </c>
      <c r="N8782" t="s">
        <v>10088</v>
      </c>
      <c r="O8782" t="s">
        <v>23</v>
      </c>
      <c r="P8782" t="s">
        <v>24</v>
      </c>
      <c r="Q8782" t="s">
        <v>69</v>
      </c>
      <c r="R8782" t="s">
        <v>10089</v>
      </c>
    </row>
    <row r="8783" spans="1:18" x14ac:dyDescent="0.25">
      <c r="A8783" t="s">
        <v>18512</v>
      </c>
      <c r="B8783" t="s">
        <v>10105</v>
      </c>
      <c r="C8783" t="str">
        <f>HYPERLINK("https://nematode.unl.edu/popoli8.jpg")</f>
        <v>https://nematode.unl.edu/popoli8.jpg</v>
      </c>
      <c r="D8783" t="s">
        <v>43</v>
      </c>
      <c r="G8783" t="s">
        <v>51</v>
      </c>
      <c r="I8783" t="s">
        <v>41</v>
      </c>
      <c r="J8783" t="s">
        <v>20</v>
      </c>
      <c r="L8783" t="s">
        <v>85</v>
      </c>
      <c r="M8783" t="s">
        <v>10088</v>
      </c>
      <c r="N8783" t="s">
        <v>10088</v>
      </c>
      <c r="O8783" t="s">
        <v>23</v>
      </c>
      <c r="P8783" t="s">
        <v>24</v>
      </c>
      <c r="Q8783" t="s">
        <v>69</v>
      </c>
      <c r="R8783" t="s">
        <v>10089</v>
      </c>
    </row>
    <row r="8784" spans="1:18" x14ac:dyDescent="0.25">
      <c r="A8784" t="s">
        <v>18501</v>
      </c>
      <c r="B8784" t="s">
        <v>10106</v>
      </c>
      <c r="C8784" t="str">
        <f>HYPERLINK("https://nematode.unl.edu/popoli9.jpg")</f>
        <v>https://nematode.unl.edu/popoli9.jpg</v>
      </c>
      <c r="D8784" t="s">
        <v>16</v>
      </c>
      <c r="G8784" t="s">
        <v>34</v>
      </c>
      <c r="H8784" t="s">
        <v>18</v>
      </c>
      <c r="I8784" t="s">
        <v>19</v>
      </c>
      <c r="J8784" t="s">
        <v>20</v>
      </c>
      <c r="L8784" t="s">
        <v>85</v>
      </c>
      <c r="M8784" t="s">
        <v>10088</v>
      </c>
      <c r="N8784" t="s">
        <v>10088</v>
      </c>
      <c r="O8784" t="s">
        <v>23</v>
      </c>
      <c r="P8784" t="s">
        <v>24</v>
      </c>
      <c r="Q8784" t="s">
        <v>69</v>
      </c>
      <c r="R8784" t="s">
        <v>10089</v>
      </c>
    </row>
    <row r="8785" spans="1:18" x14ac:dyDescent="0.25">
      <c r="A8785" t="s">
        <v>12561</v>
      </c>
      <c r="B8785" t="s">
        <v>9980</v>
      </c>
      <c r="C8785" t="str">
        <f>HYPERLINK("https://nematode.unl.edu/ppariet1.jpg")</f>
        <v>https://nematode.unl.edu/ppariet1.jpg</v>
      </c>
      <c r="G8785" t="s">
        <v>34</v>
      </c>
      <c r="H8785" t="s">
        <v>18</v>
      </c>
      <c r="J8785" t="s">
        <v>20</v>
      </c>
      <c r="L8785" t="s">
        <v>85</v>
      </c>
      <c r="M8785" t="s">
        <v>9955</v>
      </c>
      <c r="N8785" t="s">
        <v>9955</v>
      </c>
      <c r="O8785" t="s">
        <v>23</v>
      </c>
      <c r="P8785" t="s">
        <v>1649</v>
      </c>
      <c r="Q8785" t="s">
        <v>1650</v>
      </c>
      <c r="R8785" t="s">
        <v>1651</v>
      </c>
    </row>
    <row r="8786" spans="1:18" x14ac:dyDescent="0.25">
      <c r="A8786" t="s">
        <v>12575</v>
      </c>
      <c r="B8786" t="s">
        <v>9981</v>
      </c>
      <c r="C8786" t="str">
        <f>HYPERLINK("https://nematode.unl.edu/ppariet2.jpg")</f>
        <v>https://nematode.unl.edu/ppariet2.jpg</v>
      </c>
      <c r="D8786" t="s">
        <v>16</v>
      </c>
      <c r="G8786" t="s">
        <v>28</v>
      </c>
      <c r="I8786" t="s">
        <v>19</v>
      </c>
      <c r="J8786" t="s">
        <v>482</v>
      </c>
      <c r="M8786" t="s">
        <v>9955</v>
      </c>
      <c r="N8786" t="s">
        <v>9955</v>
      </c>
      <c r="O8786" t="s">
        <v>23</v>
      </c>
      <c r="P8786" t="s">
        <v>1649</v>
      </c>
      <c r="Q8786" t="s">
        <v>1650</v>
      </c>
      <c r="R8786" t="s">
        <v>1651</v>
      </c>
    </row>
    <row r="8787" spans="1:18" x14ac:dyDescent="0.25">
      <c r="A8787" t="s">
        <v>12564</v>
      </c>
      <c r="B8787" t="s">
        <v>9982</v>
      </c>
      <c r="C8787" t="str">
        <f>HYPERLINK("https://nematode.unl.edu/ppariet3.jpg")</f>
        <v>https://nematode.unl.edu/ppariet3.jpg</v>
      </c>
      <c r="D8787" t="s">
        <v>16</v>
      </c>
      <c r="G8787" t="s">
        <v>44</v>
      </c>
      <c r="I8787" t="s">
        <v>91</v>
      </c>
      <c r="J8787" t="s">
        <v>482</v>
      </c>
      <c r="M8787" t="s">
        <v>9955</v>
      </c>
      <c r="N8787" t="s">
        <v>9955</v>
      </c>
      <c r="O8787" t="s">
        <v>23</v>
      </c>
      <c r="P8787" t="s">
        <v>1649</v>
      </c>
      <c r="Q8787" t="s">
        <v>1650</v>
      </c>
      <c r="R8787" t="s">
        <v>1651</v>
      </c>
    </row>
    <row r="8788" spans="1:18" x14ac:dyDescent="0.25">
      <c r="A8788" t="s">
        <v>12576</v>
      </c>
      <c r="B8788" t="s">
        <v>9983</v>
      </c>
      <c r="C8788" t="str">
        <f>HYPERLINK("https://nematode.unl.edu/ppariet4.jpg")</f>
        <v>https://nematode.unl.edu/ppariet4.jpg</v>
      </c>
      <c r="D8788" t="s">
        <v>16</v>
      </c>
      <c r="G8788" t="s">
        <v>28</v>
      </c>
      <c r="I8788" t="s">
        <v>137</v>
      </c>
      <c r="J8788" t="s">
        <v>482</v>
      </c>
      <c r="M8788" t="s">
        <v>9955</v>
      </c>
      <c r="N8788" t="s">
        <v>9955</v>
      </c>
      <c r="O8788" t="s">
        <v>23</v>
      </c>
      <c r="P8788" t="s">
        <v>1649</v>
      </c>
      <c r="Q8788" t="s">
        <v>1650</v>
      </c>
      <c r="R8788" t="s">
        <v>1651</v>
      </c>
    </row>
    <row r="8789" spans="1:18" x14ac:dyDescent="0.25">
      <c r="A8789" t="s">
        <v>12603</v>
      </c>
      <c r="B8789" t="s">
        <v>10020</v>
      </c>
      <c r="C8789" t="str">
        <f>HYPERLINK("https://nematode.unl.edu/pparvgw1.jpg")</f>
        <v>https://nematode.unl.edu/pparvgw1.jpg</v>
      </c>
      <c r="D8789" t="s">
        <v>43</v>
      </c>
      <c r="G8789" t="s">
        <v>44</v>
      </c>
      <c r="I8789" t="s">
        <v>137</v>
      </c>
      <c r="J8789" t="s">
        <v>2572</v>
      </c>
      <c r="M8789" t="s">
        <v>9985</v>
      </c>
      <c r="N8789" t="s">
        <v>9985</v>
      </c>
      <c r="O8789" t="s">
        <v>23</v>
      </c>
      <c r="P8789" t="s">
        <v>1649</v>
      </c>
      <c r="Q8789" t="s">
        <v>1650</v>
      </c>
      <c r="R8789" t="s">
        <v>1651</v>
      </c>
    </row>
    <row r="8790" spans="1:18" x14ac:dyDescent="0.25">
      <c r="A8790" t="s">
        <v>12611</v>
      </c>
      <c r="B8790" t="s">
        <v>10021</v>
      </c>
      <c r="C8790" t="str">
        <f>HYPERLINK("https://nematode.unl.edu/pparvgw10.jpg")</f>
        <v>https://nematode.unl.edu/pparvgw10.jpg</v>
      </c>
      <c r="D8790" t="s">
        <v>43</v>
      </c>
      <c r="G8790" t="s">
        <v>53</v>
      </c>
      <c r="I8790" t="s">
        <v>41</v>
      </c>
      <c r="M8790" t="s">
        <v>9985</v>
      </c>
      <c r="N8790" t="s">
        <v>9985</v>
      </c>
      <c r="O8790" t="s">
        <v>23</v>
      </c>
      <c r="P8790" t="s">
        <v>1649</v>
      </c>
      <c r="Q8790" t="s">
        <v>1650</v>
      </c>
      <c r="R8790" t="s">
        <v>1651</v>
      </c>
    </row>
    <row r="8791" spans="1:18" x14ac:dyDescent="0.25">
      <c r="A8791" t="s">
        <v>12584</v>
      </c>
      <c r="B8791" t="s">
        <v>10022</v>
      </c>
      <c r="C8791" t="str">
        <f>HYPERLINK("https://nematode.unl.edu/pparvgw2.jpg")</f>
        <v>https://nematode.unl.edu/pparvgw2.jpg</v>
      </c>
      <c r="D8791" t="s">
        <v>43</v>
      </c>
      <c r="G8791" t="s">
        <v>96</v>
      </c>
      <c r="H8791" t="s">
        <v>18</v>
      </c>
      <c r="J8791" t="s">
        <v>2572</v>
      </c>
      <c r="M8791" t="s">
        <v>9985</v>
      </c>
      <c r="N8791" t="s">
        <v>9985</v>
      </c>
      <c r="O8791" t="s">
        <v>23</v>
      </c>
      <c r="P8791" t="s">
        <v>1649</v>
      </c>
      <c r="Q8791" t="s">
        <v>1650</v>
      </c>
      <c r="R8791" t="s">
        <v>1651</v>
      </c>
    </row>
    <row r="8792" spans="1:18" x14ac:dyDescent="0.25">
      <c r="A8792" t="s">
        <v>12612</v>
      </c>
      <c r="B8792" t="s">
        <v>10023</v>
      </c>
      <c r="C8792" t="str">
        <f>HYPERLINK("https://nematode.unl.edu/pparvgw3.jpg")</f>
        <v>https://nematode.unl.edu/pparvgw3.jpg</v>
      </c>
      <c r="D8792" t="s">
        <v>43</v>
      </c>
      <c r="G8792" t="s">
        <v>181</v>
      </c>
      <c r="I8792" t="s">
        <v>19</v>
      </c>
      <c r="M8792" t="s">
        <v>9985</v>
      </c>
      <c r="N8792" t="s">
        <v>9985</v>
      </c>
      <c r="O8792" t="s">
        <v>23</v>
      </c>
      <c r="P8792" t="s">
        <v>1649</v>
      </c>
      <c r="Q8792" t="s">
        <v>1650</v>
      </c>
      <c r="R8792" t="s">
        <v>1651</v>
      </c>
    </row>
    <row r="8793" spans="1:18" x14ac:dyDescent="0.25">
      <c r="A8793" t="s">
        <v>12596</v>
      </c>
      <c r="B8793" t="s">
        <v>10024</v>
      </c>
      <c r="C8793" t="str">
        <f>HYPERLINK("https://nematode.unl.edu/pparvgw4.jpg")</f>
        <v>https://nematode.unl.edu/pparvgw4.jpg</v>
      </c>
      <c r="D8793" t="s">
        <v>43</v>
      </c>
      <c r="G8793" t="s">
        <v>34</v>
      </c>
      <c r="H8793" t="s">
        <v>18</v>
      </c>
      <c r="I8793" t="s">
        <v>41</v>
      </c>
      <c r="J8793" t="s">
        <v>2572</v>
      </c>
      <c r="M8793" t="s">
        <v>9985</v>
      </c>
      <c r="N8793" t="s">
        <v>9985</v>
      </c>
      <c r="O8793" t="s">
        <v>23</v>
      </c>
      <c r="P8793" t="s">
        <v>1649</v>
      </c>
      <c r="Q8793" t="s">
        <v>1650</v>
      </c>
      <c r="R8793" t="s">
        <v>1651</v>
      </c>
    </row>
    <row r="8794" spans="1:18" x14ac:dyDescent="0.25">
      <c r="A8794" t="s">
        <v>12582</v>
      </c>
      <c r="B8794" t="s">
        <v>10025</v>
      </c>
      <c r="C8794" t="str">
        <f>HYPERLINK("https://nematode.unl.edu/pparvgw5.jpg")</f>
        <v>https://nematode.unl.edu/pparvgw5.jpg</v>
      </c>
      <c r="D8794" t="s">
        <v>43</v>
      </c>
      <c r="G8794" t="s">
        <v>386</v>
      </c>
      <c r="H8794" t="s">
        <v>18</v>
      </c>
      <c r="I8794" t="s">
        <v>41</v>
      </c>
      <c r="J8794" t="s">
        <v>2572</v>
      </c>
      <c r="M8794" t="s">
        <v>9985</v>
      </c>
      <c r="N8794" t="s">
        <v>9985</v>
      </c>
      <c r="O8794" t="s">
        <v>23</v>
      </c>
      <c r="P8794" t="s">
        <v>1649</v>
      </c>
      <c r="Q8794" t="s">
        <v>1650</v>
      </c>
      <c r="R8794" t="s">
        <v>1651</v>
      </c>
    </row>
    <row r="8795" spans="1:18" x14ac:dyDescent="0.25">
      <c r="A8795" t="s">
        <v>12613</v>
      </c>
      <c r="B8795" t="s">
        <v>10026</v>
      </c>
      <c r="C8795" t="str">
        <f>HYPERLINK("https://nematode.unl.edu/pparvgw6.jpg")</f>
        <v>https://nematode.unl.edu/pparvgw6.jpg</v>
      </c>
      <c r="D8795" t="s">
        <v>43</v>
      </c>
      <c r="G8795" t="s">
        <v>9882</v>
      </c>
      <c r="I8795" t="s">
        <v>529</v>
      </c>
      <c r="J8795" t="s">
        <v>10027</v>
      </c>
      <c r="M8795" t="s">
        <v>9985</v>
      </c>
      <c r="N8795" t="s">
        <v>9985</v>
      </c>
      <c r="O8795" t="s">
        <v>23</v>
      </c>
      <c r="P8795" t="s">
        <v>1649</v>
      </c>
      <c r="Q8795" t="s">
        <v>1650</v>
      </c>
      <c r="R8795" t="s">
        <v>1651</v>
      </c>
    </row>
    <row r="8796" spans="1:18" x14ac:dyDescent="0.25">
      <c r="A8796" t="s">
        <v>12597</v>
      </c>
      <c r="B8796" t="s">
        <v>10028</v>
      </c>
      <c r="C8796" t="str">
        <f>HYPERLINK("https://nematode.unl.edu/pparvgw7.jpg")</f>
        <v>https://nematode.unl.edu/pparvgw7.jpg</v>
      </c>
      <c r="D8796" t="s">
        <v>43</v>
      </c>
      <c r="G8796" t="s">
        <v>384</v>
      </c>
      <c r="I8796" t="s">
        <v>41</v>
      </c>
      <c r="J8796" t="s">
        <v>2572</v>
      </c>
      <c r="M8796" t="s">
        <v>9985</v>
      </c>
      <c r="N8796" t="s">
        <v>9985</v>
      </c>
      <c r="O8796" t="s">
        <v>23</v>
      </c>
      <c r="P8796" t="s">
        <v>1649</v>
      </c>
      <c r="Q8796" t="s">
        <v>1650</v>
      </c>
      <c r="R8796" t="s">
        <v>1651</v>
      </c>
    </row>
    <row r="8797" spans="1:18" x14ac:dyDescent="0.25">
      <c r="A8797" t="s">
        <v>12605</v>
      </c>
      <c r="B8797" t="s">
        <v>10029</v>
      </c>
      <c r="C8797" t="str">
        <f>HYPERLINK("https://nematode.unl.edu/pparvgw8.jpg")</f>
        <v>https://nematode.unl.edu/pparvgw8.jpg</v>
      </c>
      <c r="D8797" t="s">
        <v>43</v>
      </c>
      <c r="G8797" t="s">
        <v>224</v>
      </c>
      <c r="I8797" t="s">
        <v>41</v>
      </c>
      <c r="J8797" t="s">
        <v>2572</v>
      </c>
      <c r="M8797" t="s">
        <v>9985</v>
      </c>
      <c r="N8797" t="s">
        <v>9985</v>
      </c>
      <c r="O8797" t="s">
        <v>23</v>
      </c>
      <c r="P8797" t="s">
        <v>1649</v>
      </c>
      <c r="Q8797" t="s">
        <v>1650</v>
      </c>
      <c r="R8797" t="s">
        <v>1651</v>
      </c>
    </row>
    <row r="8798" spans="1:18" x14ac:dyDescent="0.25">
      <c r="A8798" t="s">
        <v>12623</v>
      </c>
      <c r="B8798" t="s">
        <v>10030</v>
      </c>
      <c r="C8798" t="str">
        <f>HYPERLINK("https://nematode.unl.edu/pparvgw9.jpg")</f>
        <v>https://nematode.unl.edu/pparvgw9.jpg</v>
      </c>
      <c r="D8798" t="s">
        <v>43</v>
      </c>
      <c r="G8798" t="s">
        <v>51</v>
      </c>
      <c r="I8798" t="s">
        <v>41</v>
      </c>
      <c r="J8798" t="s">
        <v>2572</v>
      </c>
      <c r="M8798" t="s">
        <v>9985</v>
      </c>
      <c r="N8798" t="s">
        <v>9985</v>
      </c>
      <c r="O8798" t="s">
        <v>23</v>
      </c>
      <c r="P8798" t="s">
        <v>1649</v>
      </c>
      <c r="Q8798" t="s">
        <v>1650</v>
      </c>
      <c r="R8798" t="s">
        <v>1651</v>
      </c>
    </row>
    <row r="8799" spans="1:18" x14ac:dyDescent="0.25">
      <c r="A8799" t="s">
        <v>17369</v>
      </c>
      <c r="B8799" t="s">
        <v>10502</v>
      </c>
      <c r="C8799" t="str">
        <f>HYPERLINK("https://nematode.unl.edu/ppenet1.jpg")</f>
        <v>https://nematode.unl.edu/ppenet1.jpg</v>
      </c>
      <c r="D8799" t="s">
        <v>43</v>
      </c>
      <c r="G8799" t="s">
        <v>44</v>
      </c>
      <c r="I8799" t="s">
        <v>516</v>
      </c>
      <c r="J8799" t="s">
        <v>10259</v>
      </c>
      <c r="L8799" t="s">
        <v>1087</v>
      </c>
      <c r="M8799" t="s">
        <v>10503</v>
      </c>
      <c r="N8799" t="s">
        <v>10503</v>
      </c>
      <c r="O8799" t="s">
        <v>23</v>
      </c>
      <c r="P8799" t="s">
        <v>24</v>
      </c>
      <c r="Q8799" t="s">
        <v>6484</v>
      </c>
      <c r="R8799" t="s">
        <v>10109</v>
      </c>
    </row>
    <row r="8800" spans="1:18" x14ac:dyDescent="0.25">
      <c r="A8800" t="s">
        <v>17324</v>
      </c>
      <c r="B8800" t="s">
        <v>10504</v>
      </c>
      <c r="C8800" t="str">
        <f>HYPERLINK("https://nematode.unl.edu/ppenet2.jpg")</f>
        <v>https://nematode.unl.edu/ppenet2.jpg</v>
      </c>
      <c r="D8800" t="s">
        <v>43</v>
      </c>
      <c r="G8800" t="s">
        <v>96</v>
      </c>
      <c r="H8800" t="s">
        <v>18</v>
      </c>
      <c r="I8800" t="s">
        <v>41</v>
      </c>
      <c r="J8800" t="s">
        <v>10259</v>
      </c>
      <c r="L8800" t="s">
        <v>1087</v>
      </c>
      <c r="M8800" t="s">
        <v>10503</v>
      </c>
      <c r="N8800" t="s">
        <v>10503</v>
      </c>
      <c r="O8800" t="s">
        <v>23</v>
      </c>
      <c r="P8800" t="s">
        <v>24</v>
      </c>
      <c r="Q8800" t="s">
        <v>6484</v>
      </c>
      <c r="R8800" t="s">
        <v>10109</v>
      </c>
    </row>
    <row r="8801" spans="1:18" x14ac:dyDescent="0.25">
      <c r="A8801" t="s">
        <v>17388</v>
      </c>
      <c r="B8801" t="s">
        <v>10505</v>
      </c>
      <c r="C8801" t="str">
        <f>HYPERLINK("https://nematode.unl.edu/ppenet3.jpg")</f>
        <v>https://nematode.unl.edu/ppenet3.jpg</v>
      </c>
      <c r="D8801" t="s">
        <v>43</v>
      </c>
      <c r="G8801" t="s">
        <v>181</v>
      </c>
      <c r="I8801" t="s">
        <v>41</v>
      </c>
      <c r="J8801" t="s">
        <v>10259</v>
      </c>
      <c r="L8801" t="s">
        <v>1087</v>
      </c>
      <c r="M8801" t="s">
        <v>10503</v>
      </c>
      <c r="N8801" t="s">
        <v>10503</v>
      </c>
      <c r="O8801" t="s">
        <v>23</v>
      </c>
      <c r="P8801" t="s">
        <v>24</v>
      </c>
      <c r="Q8801" t="s">
        <v>6484</v>
      </c>
      <c r="R8801" t="s">
        <v>10109</v>
      </c>
    </row>
    <row r="8802" spans="1:18" x14ac:dyDescent="0.25">
      <c r="A8802" t="s">
        <v>17338</v>
      </c>
      <c r="B8802" t="s">
        <v>10506</v>
      </c>
      <c r="C8802" t="str">
        <f>HYPERLINK("https://nematode.unl.edu/ppenet4.jpg")</f>
        <v>https://nematode.unl.edu/ppenet4.jpg</v>
      </c>
      <c r="D8802" t="s">
        <v>43</v>
      </c>
      <c r="G8802" t="s">
        <v>34</v>
      </c>
      <c r="H8802" t="s">
        <v>18</v>
      </c>
      <c r="J8802" t="s">
        <v>10259</v>
      </c>
      <c r="L8802" t="s">
        <v>1087</v>
      </c>
      <c r="M8802" t="s">
        <v>10503</v>
      </c>
      <c r="N8802" t="s">
        <v>10503</v>
      </c>
      <c r="O8802" t="s">
        <v>23</v>
      </c>
      <c r="P8802" t="s">
        <v>24</v>
      </c>
      <c r="Q8802" t="s">
        <v>6484</v>
      </c>
      <c r="R8802" t="s">
        <v>10109</v>
      </c>
    </row>
    <row r="8803" spans="1:18" x14ac:dyDescent="0.25">
      <c r="A8803" t="s">
        <v>17413</v>
      </c>
      <c r="B8803" t="s">
        <v>10507</v>
      </c>
      <c r="C8803" t="str">
        <f>HYPERLINK("https://nematode.unl.edu/ppenet5.jpg")</f>
        <v>https://nematode.unl.edu/ppenet5.jpg</v>
      </c>
      <c r="D8803" t="s">
        <v>43</v>
      </c>
      <c r="G8803" t="s">
        <v>28</v>
      </c>
      <c r="I8803" t="s">
        <v>41</v>
      </c>
      <c r="J8803" t="s">
        <v>10259</v>
      </c>
      <c r="L8803" t="s">
        <v>1087</v>
      </c>
      <c r="M8803" t="s">
        <v>10503</v>
      </c>
      <c r="N8803" t="s">
        <v>10503</v>
      </c>
      <c r="O8803" t="s">
        <v>23</v>
      </c>
      <c r="P8803" t="s">
        <v>24</v>
      </c>
      <c r="Q8803" t="s">
        <v>6484</v>
      </c>
      <c r="R8803" t="s">
        <v>10109</v>
      </c>
    </row>
    <row r="8804" spans="1:18" x14ac:dyDescent="0.25">
      <c r="A8804" t="s">
        <v>17325</v>
      </c>
      <c r="B8804" t="s">
        <v>10508</v>
      </c>
      <c r="C8804" t="str">
        <f>HYPERLINK("https://nematode.unl.edu/ppenet6.jpg")</f>
        <v>https://nematode.unl.edu/ppenet6.jpg</v>
      </c>
      <c r="D8804" t="s">
        <v>43</v>
      </c>
      <c r="G8804" t="s">
        <v>96</v>
      </c>
      <c r="H8804" t="s">
        <v>18</v>
      </c>
      <c r="I8804" t="s">
        <v>41</v>
      </c>
      <c r="J8804" t="s">
        <v>10259</v>
      </c>
      <c r="L8804" t="s">
        <v>1087</v>
      </c>
      <c r="M8804" t="s">
        <v>10503</v>
      </c>
      <c r="N8804" t="s">
        <v>10503</v>
      </c>
      <c r="O8804" t="s">
        <v>23</v>
      </c>
      <c r="P8804" t="s">
        <v>24</v>
      </c>
      <c r="Q8804" t="s">
        <v>6484</v>
      </c>
      <c r="R8804" t="s">
        <v>10109</v>
      </c>
    </row>
    <row r="8805" spans="1:18" x14ac:dyDescent="0.25">
      <c r="A8805" t="s">
        <v>17389</v>
      </c>
      <c r="B8805" t="s">
        <v>10509</v>
      </c>
      <c r="C8805" t="str">
        <f>HYPERLINK("https://nematode.unl.edu/ppenet7.jpg")</f>
        <v>https://nematode.unl.edu/ppenet7.jpg</v>
      </c>
      <c r="D8805" t="s">
        <v>43</v>
      </c>
      <c r="G8805" t="s">
        <v>181</v>
      </c>
      <c r="I8805" t="s">
        <v>41</v>
      </c>
      <c r="J8805" t="s">
        <v>10259</v>
      </c>
      <c r="L8805" t="s">
        <v>1087</v>
      </c>
      <c r="M8805" t="s">
        <v>10503</v>
      </c>
      <c r="N8805" t="s">
        <v>10503</v>
      </c>
      <c r="O8805" t="s">
        <v>23</v>
      </c>
      <c r="P8805" t="s">
        <v>24</v>
      </c>
      <c r="Q8805" t="s">
        <v>6484</v>
      </c>
      <c r="R8805" t="s">
        <v>10109</v>
      </c>
    </row>
    <row r="8806" spans="1:18" x14ac:dyDescent="0.25">
      <c r="A8806" t="s">
        <v>17066</v>
      </c>
      <c r="B8806" t="s">
        <v>10225</v>
      </c>
      <c r="C8806" t="str">
        <f>HYPERLINK("https://nematode.unl.edu/pracoff1.jpg")</f>
        <v>https://nematode.unl.edu/pracoff1.jpg</v>
      </c>
      <c r="D8806" t="s">
        <v>43</v>
      </c>
      <c r="G8806" t="s">
        <v>34</v>
      </c>
      <c r="H8806" t="s">
        <v>18</v>
      </c>
      <c r="J8806" t="s">
        <v>20</v>
      </c>
      <c r="L8806" t="s">
        <v>220</v>
      </c>
      <c r="M8806" t="s">
        <v>10226</v>
      </c>
      <c r="N8806" t="s">
        <v>10226</v>
      </c>
      <c r="O8806" t="s">
        <v>23</v>
      </c>
      <c r="P8806" t="s">
        <v>24</v>
      </c>
      <c r="Q8806" t="s">
        <v>6484</v>
      </c>
      <c r="R8806" t="s">
        <v>10109</v>
      </c>
    </row>
    <row r="8807" spans="1:18" x14ac:dyDescent="0.25">
      <c r="A8807" t="s">
        <v>17082</v>
      </c>
      <c r="B8807" t="s">
        <v>10227</v>
      </c>
      <c r="C8807" t="str">
        <f>HYPERLINK("https://nematode.unl.edu/pracoff10.jpg")</f>
        <v>https://nematode.unl.edu/pracoff10.jpg</v>
      </c>
      <c r="D8807" t="s">
        <v>43</v>
      </c>
      <c r="G8807" t="s">
        <v>51</v>
      </c>
      <c r="I8807" t="s">
        <v>41</v>
      </c>
      <c r="J8807" t="s">
        <v>20</v>
      </c>
      <c r="L8807" t="s">
        <v>141</v>
      </c>
      <c r="M8807" t="s">
        <v>10226</v>
      </c>
      <c r="N8807" t="s">
        <v>10226</v>
      </c>
      <c r="O8807" t="s">
        <v>23</v>
      </c>
      <c r="P8807" t="s">
        <v>24</v>
      </c>
      <c r="Q8807" t="s">
        <v>6484</v>
      </c>
      <c r="R8807" t="s">
        <v>10109</v>
      </c>
    </row>
    <row r="8808" spans="1:18" x14ac:dyDescent="0.25">
      <c r="A8808" t="s">
        <v>17067</v>
      </c>
      <c r="B8808" t="s">
        <v>10228</v>
      </c>
      <c r="C8808" t="str">
        <f>HYPERLINK("https://nematode.unl.edu/pracoff11.jpg")</f>
        <v>https://nematode.unl.edu/pracoff11.jpg</v>
      </c>
      <c r="D8808" t="s">
        <v>43</v>
      </c>
      <c r="G8808" t="s">
        <v>34</v>
      </c>
      <c r="H8808" t="s">
        <v>18</v>
      </c>
      <c r="I8808" t="s">
        <v>41</v>
      </c>
      <c r="J8808" t="s">
        <v>20</v>
      </c>
      <c r="L8808" t="s">
        <v>220</v>
      </c>
      <c r="M8808" t="s">
        <v>10226</v>
      </c>
      <c r="N8808" t="s">
        <v>10226</v>
      </c>
      <c r="O8808" t="s">
        <v>23</v>
      </c>
      <c r="P8808" t="s">
        <v>24</v>
      </c>
      <c r="Q8808" t="s">
        <v>6484</v>
      </c>
      <c r="R8808" t="s">
        <v>10109</v>
      </c>
    </row>
    <row r="8809" spans="1:18" x14ac:dyDescent="0.25">
      <c r="A8809" t="s">
        <v>17068</v>
      </c>
      <c r="B8809" t="s">
        <v>10229</v>
      </c>
      <c r="C8809" t="str">
        <f>HYPERLINK("https://nematode.unl.edu/pracoff12.jpg")</f>
        <v>https://nematode.unl.edu/pracoff12.jpg</v>
      </c>
      <c r="D8809" t="s">
        <v>16</v>
      </c>
      <c r="G8809" t="s">
        <v>34</v>
      </c>
      <c r="H8809" t="s">
        <v>18</v>
      </c>
      <c r="J8809" t="s">
        <v>20</v>
      </c>
      <c r="L8809" t="s">
        <v>220</v>
      </c>
      <c r="M8809" t="s">
        <v>10226</v>
      </c>
      <c r="N8809" t="s">
        <v>10226</v>
      </c>
      <c r="O8809" t="s">
        <v>23</v>
      </c>
      <c r="P8809" t="s">
        <v>24</v>
      </c>
      <c r="Q8809" t="s">
        <v>6484</v>
      </c>
      <c r="R8809" t="s">
        <v>10109</v>
      </c>
    </row>
    <row r="8810" spans="1:18" x14ac:dyDescent="0.25">
      <c r="A8810" t="s">
        <v>17079</v>
      </c>
      <c r="B8810" t="s">
        <v>10230</v>
      </c>
      <c r="C8810" t="str">
        <f>HYPERLINK("https://nematode.unl.edu/pracoff13.jpg")</f>
        <v>https://nematode.unl.edu/pracoff13.jpg</v>
      </c>
      <c r="D8810" t="s">
        <v>16</v>
      </c>
      <c r="G8810" t="s">
        <v>28</v>
      </c>
      <c r="I8810" t="s">
        <v>19</v>
      </c>
      <c r="J8810" t="s">
        <v>20</v>
      </c>
      <c r="L8810" t="s">
        <v>220</v>
      </c>
      <c r="M8810" t="s">
        <v>10226</v>
      </c>
      <c r="N8810" t="s">
        <v>10226</v>
      </c>
      <c r="O8810" t="s">
        <v>23</v>
      </c>
      <c r="P8810" t="s">
        <v>24</v>
      </c>
      <c r="Q8810" t="s">
        <v>6484</v>
      </c>
      <c r="R8810" t="s">
        <v>10109</v>
      </c>
    </row>
    <row r="8811" spans="1:18" x14ac:dyDescent="0.25">
      <c r="A8811" t="s">
        <v>17071</v>
      </c>
      <c r="B8811" t="s">
        <v>10231</v>
      </c>
      <c r="C8811" t="str">
        <f>HYPERLINK("https://nematode.unl.edu/pracoff16.jpg")</f>
        <v>https://nematode.unl.edu/pracoff16.jpg</v>
      </c>
      <c r="G8811" t="s">
        <v>44</v>
      </c>
      <c r="I8811" t="s">
        <v>45</v>
      </c>
      <c r="J8811" t="s">
        <v>20</v>
      </c>
      <c r="L8811" t="s">
        <v>727</v>
      </c>
      <c r="M8811" t="s">
        <v>10226</v>
      </c>
      <c r="N8811" t="s">
        <v>10226</v>
      </c>
      <c r="O8811" t="s">
        <v>23</v>
      </c>
      <c r="P8811" t="s">
        <v>24</v>
      </c>
      <c r="Q8811" t="s">
        <v>6484</v>
      </c>
      <c r="R8811" t="s">
        <v>10109</v>
      </c>
    </row>
    <row r="8812" spans="1:18" x14ac:dyDescent="0.25">
      <c r="A8812" t="s">
        <v>17073</v>
      </c>
      <c r="B8812" t="s">
        <v>10232</v>
      </c>
      <c r="C8812" t="str">
        <f>HYPERLINK("https://nematode.unl.edu/pracoff17.jpg")</f>
        <v>https://nematode.unl.edu/pracoff17.jpg</v>
      </c>
      <c r="G8812" t="s">
        <v>53</v>
      </c>
      <c r="I8812" t="s">
        <v>19</v>
      </c>
      <c r="J8812" t="s">
        <v>20</v>
      </c>
      <c r="L8812" t="s">
        <v>727</v>
      </c>
      <c r="M8812" t="s">
        <v>10226</v>
      </c>
      <c r="N8812" t="s">
        <v>10226</v>
      </c>
      <c r="O8812" t="s">
        <v>23</v>
      </c>
      <c r="P8812" t="s">
        <v>24</v>
      </c>
      <c r="Q8812" t="s">
        <v>6484</v>
      </c>
      <c r="R8812" t="s">
        <v>10109</v>
      </c>
    </row>
    <row r="8813" spans="1:18" x14ac:dyDescent="0.25">
      <c r="A8813" t="s">
        <v>17070</v>
      </c>
      <c r="B8813" t="s">
        <v>10233</v>
      </c>
      <c r="C8813" t="str">
        <f>HYPERLINK("https://nematode.unl.edu/pracoff18.jpg")</f>
        <v>https://nematode.unl.edu/pracoff18.jpg</v>
      </c>
      <c r="G8813" t="s">
        <v>3928</v>
      </c>
      <c r="H8813" t="s">
        <v>18</v>
      </c>
      <c r="I8813" t="s">
        <v>19</v>
      </c>
      <c r="J8813" t="s">
        <v>20</v>
      </c>
      <c r="L8813" t="s">
        <v>727</v>
      </c>
      <c r="M8813" t="s">
        <v>10226</v>
      </c>
      <c r="N8813" t="s">
        <v>10226</v>
      </c>
      <c r="O8813" t="s">
        <v>23</v>
      </c>
      <c r="P8813" t="s">
        <v>24</v>
      </c>
      <c r="Q8813" t="s">
        <v>6484</v>
      </c>
      <c r="R8813" t="s">
        <v>10109</v>
      </c>
    </row>
    <row r="8814" spans="1:18" x14ac:dyDescent="0.25">
      <c r="A8814" t="s">
        <v>17080</v>
      </c>
      <c r="B8814" t="s">
        <v>10234</v>
      </c>
      <c r="C8814" t="str">
        <f>HYPERLINK("https://nematode.unl.edu/pracoff19.jpg")</f>
        <v>https://nematode.unl.edu/pracoff19.jpg</v>
      </c>
      <c r="G8814" t="s">
        <v>28</v>
      </c>
      <c r="I8814" t="s">
        <v>19</v>
      </c>
      <c r="J8814" t="s">
        <v>20</v>
      </c>
      <c r="L8814" t="s">
        <v>727</v>
      </c>
      <c r="M8814" t="s">
        <v>10226</v>
      </c>
      <c r="N8814" t="s">
        <v>10226</v>
      </c>
      <c r="O8814" t="s">
        <v>23</v>
      </c>
      <c r="P8814" t="s">
        <v>24</v>
      </c>
      <c r="Q8814" t="s">
        <v>6484</v>
      </c>
      <c r="R8814" t="s">
        <v>10109</v>
      </c>
    </row>
    <row r="8815" spans="1:18" x14ac:dyDescent="0.25">
      <c r="A8815" t="s">
        <v>17074</v>
      </c>
      <c r="B8815" t="s">
        <v>10235</v>
      </c>
      <c r="C8815" t="str">
        <f>HYPERLINK("https://nematode.unl.edu/pracoff2.jpg")</f>
        <v>https://nematode.unl.edu/pracoff2.jpg</v>
      </c>
      <c r="D8815" t="s">
        <v>43</v>
      </c>
      <c r="G8815" t="s">
        <v>53</v>
      </c>
      <c r="I8815" t="s">
        <v>41</v>
      </c>
      <c r="J8815" t="s">
        <v>20</v>
      </c>
      <c r="M8815" t="s">
        <v>10226</v>
      </c>
      <c r="N8815" t="s">
        <v>10226</v>
      </c>
      <c r="O8815" t="s">
        <v>23</v>
      </c>
      <c r="P8815" t="s">
        <v>24</v>
      </c>
      <c r="Q8815" t="s">
        <v>6484</v>
      </c>
      <c r="R8815" t="s">
        <v>10109</v>
      </c>
    </row>
    <row r="8816" spans="1:18" x14ac:dyDescent="0.25">
      <c r="A8816" t="s">
        <v>17065</v>
      </c>
      <c r="B8816" t="s">
        <v>10236</v>
      </c>
      <c r="C8816" t="str">
        <f>HYPERLINK("https://nematode.unl.edu/pracoff20.jpg")</f>
        <v>https://nematode.unl.edu/pracoff20.jpg</v>
      </c>
      <c r="G8816" t="s">
        <v>96</v>
      </c>
      <c r="H8816" t="s">
        <v>18</v>
      </c>
      <c r="I8816" t="s">
        <v>19</v>
      </c>
      <c r="J8816" t="s">
        <v>20</v>
      </c>
      <c r="L8816" t="s">
        <v>727</v>
      </c>
      <c r="M8816" t="s">
        <v>10226</v>
      </c>
      <c r="N8816" t="s">
        <v>10226</v>
      </c>
      <c r="O8816" t="s">
        <v>23</v>
      </c>
      <c r="P8816" t="s">
        <v>24</v>
      </c>
      <c r="Q8816" t="s">
        <v>6484</v>
      </c>
      <c r="R8816" t="s">
        <v>10109</v>
      </c>
    </row>
    <row r="8817" spans="1:18" x14ac:dyDescent="0.25">
      <c r="A8817" t="s">
        <v>17077</v>
      </c>
      <c r="B8817" t="s">
        <v>10237</v>
      </c>
      <c r="C8817" t="str">
        <f>HYPERLINK("https://nematode.unl.edu/pracoff3.jpg")</f>
        <v>https://nematode.unl.edu/pracoff3.jpg</v>
      </c>
      <c r="G8817" t="s">
        <v>1404</v>
      </c>
      <c r="I8817" t="s">
        <v>41</v>
      </c>
      <c r="J8817" t="s">
        <v>20</v>
      </c>
      <c r="L8817" t="s">
        <v>220</v>
      </c>
      <c r="M8817" t="s">
        <v>10226</v>
      </c>
      <c r="N8817" t="s">
        <v>10226</v>
      </c>
      <c r="O8817" t="s">
        <v>23</v>
      </c>
      <c r="P8817" t="s">
        <v>24</v>
      </c>
      <c r="Q8817" t="s">
        <v>6484</v>
      </c>
      <c r="R8817" t="s">
        <v>10109</v>
      </c>
    </row>
    <row r="8818" spans="1:18" x14ac:dyDescent="0.25">
      <c r="A8818" t="s">
        <v>17069</v>
      </c>
      <c r="B8818" t="s">
        <v>10238</v>
      </c>
      <c r="C8818" t="str">
        <f>HYPERLINK("https://nematode.unl.edu/pracoff4.jpg")</f>
        <v>https://nematode.unl.edu/pracoff4.jpg</v>
      </c>
      <c r="D8818" t="s">
        <v>43</v>
      </c>
      <c r="G8818" t="s">
        <v>34</v>
      </c>
      <c r="H8818" t="s">
        <v>18</v>
      </c>
      <c r="I8818" t="s">
        <v>41</v>
      </c>
      <c r="J8818" t="s">
        <v>20</v>
      </c>
      <c r="L8818" t="s">
        <v>141</v>
      </c>
      <c r="M8818" t="s">
        <v>10226</v>
      </c>
      <c r="N8818" t="s">
        <v>10226</v>
      </c>
      <c r="O8818" t="s">
        <v>23</v>
      </c>
      <c r="P8818" t="s">
        <v>24</v>
      </c>
      <c r="Q8818" t="s">
        <v>6484</v>
      </c>
      <c r="R8818" t="s">
        <v>10109</v>
      </c>
    </row>
    <row r="8819" spans="1:18" x14ac:dyDescent="0.25">
      <c r="A8819" t="s">
        <v>17076</v>
      </c>
      <c r="B8819" t="s">
        <v>10239</v>
      </c>
      <c r="C8819" t="str">
        <f>HYPERLINK("https://nematode.unl.edu/pracoff5.jpg")</f>
        <v>https://nematode.unl.edu/pracoff5.jpg</v>
      </c>
      <c r="D8819" t="s">
        <v>43</v>
      </c>
      <c r="G8819" t="s">
        <v>414</v>
      </c>
      <c r="I8819" t="s">
        <v>529</v>
      </c>
      <c r="J8819" t="s">
        <v>20</v>
      </c>
      <c r="L8819" t="s">
        <v>141</v>
      </c>
      <c r="M8819" t="s">
        <v>10226</v>
      </c>
      <c r="N8819" t="s">
        <v>10226</v>
      </c>
      <c r="O8819" t="s">
        <v>23</v>
      </c>
      <c r="P8819" t="s">
        <v>24</v>
      </c>
      <c r="Q8819" t="s">
        <v>6484</v>
      </c>
      <c r="R8819" t="s">
        <v>10109</v>
      </c>
    </row>
    <row r="8820" spans="1:18" x14ac:dyDescent="0.25">
      <c r="A8820" t="s">
        <v>17081</v>
      </c>
      <c r="B8820" t="s">
        <v>10240</v>
      </c>
      <c r="C8820" t="str">
        <f>HYPERLINK("https://nematode.unl.edu/pracoff6.jpg")</f>
        <v>https://nematode.unl.edu/pracoff6.jpg</v>
      </c>
      <c r="D8820" t="s">
        <v>43</v>
      </c>
      <c r="G8820" t="s">
        <v>28</v>
      </c>
      <c r="I8820" t="s">
        <v>41</v>
      </c>
      <c r="L8820" t="s">
        <v>220</v>
      </c>
      <c r="M8820" t="s">
        <v>10226</v>
      </c>
      <c r="N8820" t="s">
        <v>10226</v>
      </c>
      <c r="O8820" t="s">
        <v>23</v>
      </c>
      <c r="P8820" t="s">
        <v>24</v>
      </c>
      <c r="Q8820" t="s">
        <v>6484</v>
      </c>
      <c r="R8820" t="s">
        <v>10109</v>
      </c>
    </row>
    <row r="8821" spans="1:18" x14ac:dyDescent="0.25">
      <c r="A8821" t="s">
        <v>17072</v>
      </c>
      <c r="B8821" t="s">
        <v>10241</v>
      </c>
      <c r="C8821" t="str">
        <f>HYPERLINK("https://nematode.unl.edu/pracoff7.jpg")</f>
        <v>https://nematode.unl.edu/pracoff7.jpg</v>
      </c>
      <c r="D8821" t="s">
        <v>43</v>
      </c>
      <c r="G8821" t="s">
        <v>44</v>
      </c>
      <c r="I8821" t="s">
        <v>45</v>
      </c>
      <c r="J8821" t="s">
        <v>20</v>
      </c>
      <c r="L8821" t="s">
        <v>220</v>
      </c>
      <c r="M8821" t="s">
        <v>10226</v>
      </c>
      <c r="N8821" t="s">
        <v>10226</v>
      </c>
      <c r="O8821" t="s">
        <v>23</v>
      </c>
      <c r="P8821" t="s">
        <v>24</v>
      </c>
      <c r="Q8821" t="s">
        <v>6484</v>
      </c>
      <c r="R8821" t="s">
        <v>10109</v>
      </c>
    </row>
    <row r="8822" spans="1:18" x14ac:dyDescent="0.25">
      <c r="A8822" t="s">
        <v>17075</v>
      </c>
      <c r="B8822" t="s">
        <v>10242</v>
      </c>
      <c r="C8822" t="str">
        <f>HYPERLINK("https://nematode.unl.edu/pracoff8.jpg")</f>
        <v>https://nematode.unl.edu/pracoff8.jpg</v>
      </c>
      <c r="D8822" t="s">
        <v>43</v>
      </c>
      <c r="G8822" t="s">
        <v>53</v>
      </c>
      <c r="I8822" t="s">
        <v>41</v>
      </c>
      <c r="J8822" t="s">
        <v>20</v>
      </c>
      <c r="L8822" t="s">
        <v>220</v>
      </c>
      <c r="M8822" t="s">
        <v>10226</v>
      </c>
      <c r="N8822" t="s">
        <v>10226</v>
      </c>
      <c r="O8822" t="s">
        <v>23</v>
      </c>
      <c r="P8822" t="s">
        <v>24</v>
      </c>
      <c r="Q8822" t="s">
        <v>6484</v>
      </c>
      <c r="R8822" t="s">
        <v>10109</v>
      </c>
    </row>
    <row r="8823" spans="1:18" x14ac:dyDescent="0.25">
      <c r="A8823" t="s">
        <v>17078</v>
      </c>
      <c r="B8823" t="s">
        <v>10243</v>
      </c>
      <c r="C8823" t="str">
        <f>HYPERLINK("https://nematode.unl.edu/pracoff9.jpg")</f>
        <v>https://nematode.unl.edu/pracoff9.jpg</v>
      </c>
      <c r="G8823" t="s">
        <v>1404</v>
      </c>
      <c r="I8823" t="s">
        <v>41</v>
      </c>
      <c r="J8823" t="s">
        <v>20</v>
      </c>
      <c r="M8823" t="s">
        <v>10226</v>
      </c>
      <c r="N8823" t="s">
        <v>10226</v>
      </c>
      <c r="O8823" t="s">
        <v>23</v>
      </c>
      <c r="P8823" t="s">
        <v>24</v>
      </c>
      <c r="Q8823" t="s">
        <v>6484</v>
      </c>
      <c r="R8823" t="s">
        <v>10109</v>
      </c>
    </row>
    <row r="8824" spans="1:18" x14ac:dyDescent="0.25">
      <c r="A8824" t="s">
        <v>17087</v>
      </c>
      <c r="B8824" t="s">
        <v>10244</v>
      </c>
      <c r="C8824" t="str">
        <f>HYPERLINK("https://nematode.unl.edu/praconva1.jpg")</f>
        <v>https://nematode.unl.edu/praconva1.jpg</v>
      </c>
      <c r="D8824" t="s">
        <v>43</v>
      </c>
      <c r="G8824" t="s">
        <v>44</v>
      </c>
      <c r="I8824" t="s">
        <v>45</v>
      </c>
      <c r="J8824" t="s">
        <v>20</v>
      </c>
      <c r="L8824" t="s">
        <v>217</v>
      </c>
      <c r="M8824" t="s">
        <v>10245</v>
      </c>
      <c r="N8824" t="s">
        <v>10245</v>
      </c>
      <c r="O8824" t="s">
        <v>23</v>
      </c>
      <c r="P8824" t="s">
        <v>24</v>
      </c>
      <c r="Q8824" t="s">
        <v>6484</v>
      </c>
      <c r="R8824" t="s">
        <v>10109</v>
      </c>
    </row>
    <row r="8825" spans="1:18" x14ac:dyDescent="0.25">
      <c r="A8825" t="s">
        <v>17094</v>
      </c>
      <c r="B8825" t="s">
        <v>10246</v>
      </c>
      <c r="C8825" t="str">
        <f>HYPERLINK("https://nematode.unl.edu/praconva10.jpg")</f>
        <v>https://nematode.unl.edu/praconva10.jpg</v>
      </c>
      <c r="D8825" t="s">
        <v>43</v>
      </c>
      <c r="G8825" t="s">
        <v>51</v>
      </c>
      <c r="I8825" t="s">
        <v>19</v>
      </c>
      <c r="J8825" t="s">
        <v>20</v>
      </c>
      <c r="L8825" t="s">
        <v>217</v>
      </c>
      <c r="M8825" t="s">
        <v>10245</v>
      </c>
      <c r="N8825" t="s">
        <v>10245</v>
      </c>
      <c r="O8825" t="s">
        <v>23</v>
      </c>
      <c r="P8825" t="s">
        <v>24</v>
      </c>
      <c r="Q8825" t="s">
        <v>6484</v>
      </c>
      <c r="R8825" t="s">
        <v>10109</v>
      </c>
    </row>
    <row r="8826" spans="1:18" x14ac:dyDescent="0.25">
      <c r="A8826" t="s">
        <v>17083</v>
      </c>
      <c r="B8826" t="s">
        <v>10247</v>
      </c>
      <c r="C8826" t="str">
        <f>HYPERLINK("https://nematode.unl.edu/praconva11.jpg")</f>
        <v>https://nematode.unl.edu/praconva11.jpg</v>
      </c>
      <c r="D8826" t="s">
        <v>77</v>
      </c>
      <c r="G8826" t="s">
        <v>34</v>
      </c>
      <c r="H8826" t="s">
        <v>18</v>
      </c>
      <c r="J8826" t="s">
        <v>20</v>
      </c>
      <c r="L8826" t="s">
        <v>217</v>
      </c>
      <c r="M8826" t="s">
        <v>10245</v>
      </c>
      <c r="N8826" t="s">
        <v>10245</v>
      </c>
      <c r="O8826" t="s">
        <v>23</v>
      </c>
      <c r="P8826" t="s">
        <v>24</v>
      </c>
      <c r="Q8826" t="s">
        <v>6484</v>
      </c>
      <c r="R8826" t="s">
        <v>10109</v>
      </c>
    </row>
    <row r="8827" spans="1:18" x14ac:dyDescent="0.25">
      <c r="A8827" t="s">
        <v>17084</v>
      </c>
      <c r="B8827" t="s">
        <v>10248</v>
      </c>
      <c r="C8827" t="str">
        <f>HYPERLINK("https://nematode.unl.edu/praconva12.jpg")</f>
        <v>https://nematode.unl.edu/praconva12.jpg</v>
      </c>
      <c r="D8827" t="s">
        <v>77</v>
      </c>
      <c r="G8827" t="s">
        <v>34</v>
      </c>
      <c r="H8827" t="s">
        <v>18</v>
      </c>
      <c r="I8827" t="s">
        <v>41</v>
      </c>
      <c r="J8827" t="s">
        <v>20</v>
      </c>
      <c r="L8827" t="s">
        <v>217</v>
      </c>
      <c r="M8827" t="s">
        <v>10245</v>
      </c>
      <c r="N8827" t="s">
        <v>10245</v>
      </c>
      <c r="O8827" t="s">
        <v>23</v>
      </c>
      <c r="P8827" t="s">
        <v>24</v>
      </c>
      <c r="Q8827" t="s">
        <v>6484</v>
      </c>
      <c r="R8827" t="s">
        <v>10109</v>
      </c>
    </row>
    <row r="8828" spans="1:18" x14ac:dyDescent="0.25">
      <c r="A8828" t="s">
        <v>17091</v>
      </c>
      <c r="B8828" t="s">
        <v>10249</v>
      </c>
      <c r="C8828" t="str">
        <f>HYPERLINK("https://nematode.unl.edu/praconva13.jpg")</f>
        <v>https://nematode.unl.edu/praconva13.jpg</v>
      </c>
      <c r="D8828" t="s">
        <v>77</v>
      </c>
      <c r="G8828" t="s">
        <v>28</v>
      </c>
      <c r="I8828" t="s">
        <v>41</v>
      </c>
      <c r="J8828" t="s">
        <v>20</v>
      </c>
      <c r="L8828" t="s">
        <v>217</v>
      </c>
      <c r="M8828" t="s">
        <v>10245</v>
      </c>
      <c r="N8828" t="s">
        <v>10245</v>
      </c>
      <c r="O8828" t="s">
        <v>23</v>
      </c>
      <c r="P8828" t="s">
        <v>24</v>
      </c>
      <c r="Q8828" t="s">
        <v>6484</v>
      </c>
      <c r="R8828" t="s">
        <v>10109</v>
      </c>
    </row>
    <row r="8829" spans="1:18" x14ac:dyDescent="0.25">
      <c r="A8829" t="s">
        <v>17085</v>
      </c>
      <c r="B8829" t="s">
        <v>10250</v>
      </c>
      <c r="C8829" t="str">
        <f>HYPERLINK("https://nematode.unl.edu/praconva2.jpg")</f>
        <v>https://nematode.unl.edu/praconva2.jpg</v>
      </c>
      <c r="D8829" t="s">
        <v>77</v>
      </c>
      <c r="G8829" t="s">
        <v>34</v>
      </c>
      <c r="H8829" t="s">
        <v>18</v>
      </c>
      <c r="J8829" t="s">
        <v>20</v>
      </c>
      <c r="L8829" t="s">
        <v>217</v>
      </c>
      <c r="M8829" t="s">
        <v>10245</v>
      </c>
      <c r="N8829" t="s">
        <v>10245</v>
      </c>
      <c r="O8829" t="s">
        <v>23</v>
      </c>
      <c r="P8829" t="s">
        <v>24</v>
      </c>
      <c r="Q8829" t="s">
        <v>6484</v>
      </c>
      <c r="R8829" t="s">
        <v>10109</v>
      </c>
    </row>
    <row r="8830" spans="1:18" x14ac:dyDescent="0.25">
      <c r="A8830" t="s">
        <v>17092</v>
      </c>
      <c r="B8830" t="s">
        <v>10251</v>
      </c>
      <c r="C8830" t="str">
        <f>HYPERLINK("https://nematode.unl.edu/praconva3.jpg")</f>
        <v>https://nematode.unl.edu/praconva3.jpg</v>
      </c>
      <c r="D8830" t="s">
        <v>43</v>
      </c>
      <c r="G8830" t="s">
        <v>28</v>
      </c>
      <c r="I8830" t="s">
        <v>19</v>
      </c>
      <c r="J8830" t="s">
        <v>20</v>
      </c>
      <c r="L8830" t="s">
        <v>217</v>
      </c>
      <c r="M8830" t="s">
        <v>10245</v>
      </c>
      <c r="N8830" t="s">
        <v>10245</v>
      </c>
      <c r="O8830" t="s">
        <v>23</v>
      </c>
      <c r="P8830" t="s">
        <v>24</v>
      </c>
      <c r="Q8830" t="s">
        <v>6484</v>
      </c>
      <c r="R8830" t="s">
        <v>10109</v>
      </c>
    </row>
    <row r="8831" spans="1:18" x14ac:dyDescent="0.25">
      <c r="A8831" t="s">
        <v>17090</v>
      </c>
      <c r="B8831" t="s">
        <v>10252</v>
      </c>
      <c r="C8831" t="str">
        <f>HYPERLINK("https://nematode.unl.edu/praconva4.jpg")</f>
        <v>https://nematode.unl.edu/praconva4.jpg</v>
      </c>
      <c r="G8831" t="s">
        <v>1404</v>
      </c>
      <c r="I8831" t="s">
        <v>41</v>
      </c>
      <c r="J8831" t="s">
        <v>20</v>
      </c>
      <c r="L8831" t="s">
        <v>217</v>
      </c>
      <c r="M8831" t="s">
        <v>10245</v>
      </c>
      <c r="N8831" t="s">
        <v>10245</v>
      </c>
      <c r="O8831" t="s">
        <v>23</v>
      </c>
      <c r="P8831" t="s">
        <v>24</v>
      </c>
      <c r="Q8831" t="s">
        <v>6484</v>
      </c>
      <c r="R8831" t="s">
        <v>10109</v>
      </c>
    </row>
    <row r="8832" spans="1:18" x14ac:dyDescent="0.25">
      <c r="A8832" t="s">
        <v>17095</v>
      </c>
      <c r="B8832" t="s">
        <v>10253</v>
      </c>
      <c r="C8832" t="str">
        <f>HYPERLINK("https://nematode.unl.edu/praconva5.jpg")</f>
        <v>https://nematode.unl.edu/praconva5.jpg</v>
      </c>
      <c r="D8832" t="s">
        <v>43</v>
      </c>
      <c r="G8832" t="s">
        <v>51</v>
      </c>
      <c r="I8832" t="s">
        <v>41</v>
      </c>
      <c r="J8832" t="s">
        <v>20</v>
      </c>
      <c r="L8832" t="s">
        <v>217</v>
      </c>
      <c r="M8832" t="s">
        <v>10245</v>
      </c>
      <c r="N8832" t="s">
        <v>10245</v>
      </c>
      <c r="O8832" t="s">
        <v>23</v>
      </c>
      <c r="P8832" t="s">
        <v>24</v>
      </c>
      <c r="Q8832" t="s">
        <v>6484</v>
      </c>
      <c r="R8832" t="s">
        <v>10109</v>
      </c>
    </row>
    <row r="8833" spans="1:18" x14ac:dyDescent="0.25">
      <c r="A8833" t="s">
        <v>17086</v>
      </c>
      <c r="B8833" t="s">
        <v>10254</v>
      </c>
      <c r="C8833" t="str">
        <f>HYPERLINK("https://nematode.unl.edu/praconva6.jpg")</f>
        <v>https://nematode.unl.edu/praconva6.jpg</v>
      </c>
      <c r="D8833" t="s">
        <v>77</v>
      </c>
      <c r="G8833" t="s">
        <v>34</v>
      </c>
      <c r="H8833" t="s">
        <v>18</v>
      </c>
      <c r="I8833" t="s">
        <v>41</v>
      </c>
      <c r="J8833" t="s">
        <v>20</v>
      </c>
      <c r="L8833" t="s">
        <v>217</v>
      </c>
      <c r="M8833" t="s">
        <v>10245</v>
      </c>
      <c r="N8833" t="s">
        <v>10245</v>
      </c>
      <c r="O8833" t="s">
        <v>23</v>
      </c>
      <c r="P8833" t="s">
        <v>24</v>
      </c>
      <c r="Q8833" t="s">
        <v>6484</v>
      </c>
      <c r="R8833" t="s">
        <v>10109</v>
      </c>
    </row>
    <row r="8834" spans="1:18" x14ac:dyDescent="0.25">
      <c r="A8834" t="s">
        <v>17093</v>
      </c>
      <c r="B8834" t="s">
        <v>10255</v>
      </c>
      <c r="C8834" t="str">
        <f>HYPERLINK("https://nematode.unl.edu/praconva7.jpg")</f>
        <v>https://nematode.unl.edu/praconva7.jpg</v>
      </c>
      <c r="D8834" t="s">
        <v>43</v>
      </c>
      <c r="G8834" t="s">
        <v>28</v>
      </c>
      <c r="I8834" t="s">
        <v>41</v>
      </c>
      <c r="J8834" t="s">
        <v>20</v>
      </c>
      <c r="L8834" t="s">
        <v>217</v>
      </c>
      <c r="M8834" t="s">
        <v>10245</v>
      </c>
      <c r="N8834" t="s">
        <v>10245</v>
      </c>
      <c r="O8834" t="s">
        <v>23</v>
      </c>
      <c r="P8834" t="s">
        <v>24</v>
      </c>
      <c r="Q8834" t="s">
        <v>6484</v>
      </c>
      <c r="R8834" t="s">
        <v>10109</v>
      </c>
    </row>
    <row r="8835" spans="1:18" x14ac:dyDescent="0.25">
      <c r="A8835" t="s">
        <v>17089</v>
      </c>
      <c r="B8835" t="s">
        <v>10256</v>
      </c>
      <c r="C8835" t="str">
        <f>HYPERLINK("https://nematode.unl.edu/praconva8.jpg")</f>
        <v>https://nematode.unl.edu/praconva8.jpg</v>
      </c>
      <c r="D8835" t="s">
        <v>43</v>
      </c>
      <c r="G8835" t="s">
        <v>53</v>
      </c>
      <c r="I8835" t="s">
        <v>529</v>
      </c>
      <c r="J8835" t="s">
        <v>20</v>
      </c>
      <c r="L8835" t="s">
        <v>217</v>
      </c>
      <c r="M8835" t="s">
        <v>10245</v>
      </c>
      <c r="N8835" t="s">
        <v>10245</v>
      </c>
      <c r="O8835" t="s">
        <v>23</v>
      </c>
      <c r="P8835" t="s">
        <v>24</v>
      </c>
      <c r="Q8835" t="s">
        <v>6484</v>
      </c>
      <c r="R8835" t="s">
        <v>10109</v>
      </c>
    </row>
    <row r="8836" spans="1:18" x14ac:dyDescent="0.25">
      <c r="A8836" t="s">
        <v>17088</v>
      </c>
      <c r="B8836" t="s">
        <v>10257</v>
      </c>
      <c r="C8836" t="str">
        <f>HYPERLINK("https://nematode.unl.edu/praconva9.jpg")</f>
        <v>https://nematode.unl.edu/praconva9.jpg</v>
      </c>
      <c r="D8836" t="s">
        <v>43</v>
      </c>
      <c r="G8836" t="s">
        <v>44</v>
      </c>
      <c r="I8836" t="s">
        <v>45</v>
      </c>
      <c r="J8836" t="s">
        <v>20</v>
      </c>
      <c r="L8836" t="s">
        <v>217</v>
      </c>
      <c r="M8836" t="s">
        <v>10245</v>
      </c>
      <c r="N8836" t="s">
        <v>10245</v>
      </c>
      <c r="O8836" t="s">
        <v>23</v>
      </c>
      <c r="P8836" t="s">
        <v>24</v>
      </c>
      <c r="Q8836" t="s">
        <v>6484</v>
      </c>
      <c r="R8836" t="s">
        <v>10109</v>
      </c>
    </row>
    <row r="8837" spans="1:18" x14ac:dyDescent="0.25">
      <c r="A8837" t="s">
        <v>17097</v>
      </c>
      <c r="B8837" t="s">
        <v>10258</v>
      </c>
      <c r="C8837" t="str">
        <f>HYPERLINK("https://nematode.unl.edu/pracren1.jpg")</f>
        <v>https://nematode.unl.edu/pracren1.jpg</v>
      </c>
      <c r="D8837" t="s">
        <v>43</v>
      </c>
      <c r="G8837" t="s">
        <v>34</v>
      </c>
      <c r="H8837" t="s">
        <v>18</v>
      </c>
      <c r="I8837" t="s">
        <v>41</v>
      </c>
      <c r="J8837" t="s">
        <v>10259</v>
      </c>
      <c r="L8837" t="s">
        <v>1087</v>
      </c>
      <c r="M8837" t="s">
        <v>10260</v>
      </c>
      <c r="N8837" t="s">
        <v>10260</v>
      </c>
      <c r="O8837" t="s">
        <v>23</v>
      </c>
      <c r="P8837" t="s">
        <v>24</v>
      </c>
      <c r="Q8837" t="s">
        <v>6484</v>
      </c>
      <c r="R8837" t="s">
        <v>10109</v>
      </c>
    </row>
    <row r="8838" spans="1:18" x14ac:dyDescent="0.25">
      <c r="A8838" t="s">
        <v>17098</v>
      </c>
      <c r="B8838" t="s">
        <v>10261</v>
      </c>
      <c r="C8838" t="str">
        <f>HYPERLINK("https://nematode.unl.edu/pracren10.jpg")</f>
        <v>https://nematode.unl.edu/pracren10.jpg</v>
      </c>
      <c r="D8838" t="s">
        <v>43</v>
      </c>
      <c r="G8838" t="s">
        <v>34</v>
      </c>
      <c r="H8838" t="s">
        <v>18</v>
      </c>
      <c r="I8838" t="s">
        <v>41</v>
      </c>
      <c r="J8838" t="s">
        <v>10259</v>
      </c>
      <c r="L8838" t="s">
        <v>1087</v>
      </c>
      <c r="M8838" t="s">
        <v>10260</v>
      </c>
      <c r="N8838" t="s">
        <v>10260</v>
      </c>
      <c r="O8838" t="s">
        <v>23</v>
      </c>
      <c r="P8838" t="s">
        <v>24</v>
      </c>
      <c r="Q8838" t="s">
        <v>6484</v>
      </c>
      <c r="R8838" t="s">
        <v>10109</v>
      </c>
    </row>
    <row r="8839" spans="1:18" x14ac:dyDescent="0.25">
      <c r="A8839" t="s">
        <v>17111</v>
      </c>
      <c r="B8839" t="s">
        <v>10262</v>
      </c>
      <c r="C8839" t="str">
        <f>HYPERLINK("https://nematode.unl.edu/pracren11.jpg")</f>
        <v>https://nematode.unl.edu/pracren11.jpg</v>
      </c>
      <c r="D8839" t="s">
        <v>43</v>
      </c>
      <c r="G8839" t="s">
        <v>28</v>
      </c>
      <c r="I8839" t="s">
        <v>41</v>
      </c>
      <c r="J8839" t="s">
        <v>10259</v>
      </c>
      <c r="L8839" t="s">
        <v>1087</v>
      </c>
      <c r="M8839" t="s">
        <v>10260</v>
      </c>
      <c r="N8839" t="s">
        <v>10260</v>
      </c>
      <c r="O8839" t="s">
        <v>23</v>
      </c>
      <c r="P8839" t="s">
        <v>24</v>
      </c>
      <c r="Q8839" t="s">
        <v>6484</v>
      </c>
      <c r="R8839" t="s">
        <v>10109</v>
      </c>
    </row>
    <row r="8840" spans="1:18" x14ac:dyDescent="0.25">
      <c r="A8840" t="s">
        <v>17096</v>
      </c>
      <c r="B8840" t="s">
        <v>10263</v>
      </c>
      <c r="C8840" t="str">
        <f>HYPERLINK("https://nematode.unl.edu/pracren12.jpg")</f>
        <v>https://nematode.unl.edu/pracren12.jpg</v>
      </c>
      <c r="D8840" t="s">
        <v>16</v>
      </c>
      <c r="G8840" t="s">
        <v>96</v>
      </c>
      <c r="H8840" t="s">
        <v>18</v>
      </c>
      <c r="I8840" t="s">
        <v>529</v>
      </c>
      <c r="J8840" t="s">
        <v>10259</v>
      </c>
      <c r="L8840" t="s">
        <v>1087</v>
      </c>
      <c r="M8840" t="s">
        <v>10260</v>
      </c>
      <c r="N8840" t="s">
        <v>10260</v>
      </c>
      <c r="O8840" t="s">
        <v>23</v>
      </c>
      <c r="P8840" t="s">
        <v>24</v>
      </c>
      <c r="Q8840" t="s">
        <v>6484</v>
      </c>
      <c r="R8840" t="s">
        <v>10109</v>
      </c>
    </row>
    <row r="8841" spans="1:18" x14ac:dyDescent="0.25">
      <c r="A8841" t="s">
        <v>17110</v>
      </c>
      <c r="B8841" t="s">
        <v>10264</v>
      </c>
      <c r="C8841" t="str">
        <f>HYPERLINK("https://nematode.unl.edu/pracren13.jpg")</f>
        <v>https://nematode.unl.edu/pracren13.jpg</v>
      </c>
      <c r="D8841" t="s">
        <v>16</v>
      </c>
      <c r="G8841" t="s">
        <v>181</v>
      </c>
      <c r="J8841" t="s">
        <v>10259</v>
      </c>
      <c r="L8841" t="s">
        <v>1087</v>
      </c>
      <c r="M8841" t="s">
        <v>10260</v>
      </c>
      <c r="N8841" t="s">
        <v>10260</v>
      </c>
      <c r="O8841" t="s">
        <v>23</v>
      </c>
      <c r="P8841" t="s">
        <v>24</v>
      </c>
      <c r="Q8841" t="s">
        <v>6484</v>
      </c>
      <c r="R8841" t="s">
        <v>10109</v>
      </c>
    </row>
    <row r="8842" spans="1:18" x14ac:dyDescent="0.25">
      <c r="A8842" t="s">
        <v>17109</v>
      </c>
      <c r="B8842" t="s">
        <v>10265</v>
      </c>
      <c r="C8842" t="str">
        <f>HYPERLINK("https://nematode.unl.edu/pracren14.jpg")</f>
        <v>https://nematode.unl.edu/pracren14.jpg</v>
      </c>
      <c r="D8842" t="s">
        <v>43</v>
      </c>
      <c r="G8842" t="s">
        <v>3111</v>
      </c>
      <c r="I8842" t="s">
        <v>41</v>
      </c>
      <c r="J8842" t="s">
        <v>10259</v>
      </c>
      <c r="L8842" t="s">
        <v>1087</v>
      </c>
      <c r="M8842" t="s">
        <v>10260</v>
      </c>
      <c r="N8842" t="s">
        <v>10260</v>
      </c>
      <c r="O8842" t="s">
        <v>23</v>
      </c>
      <c r="P8842" t="s">
        <v>24</v>
      </c>
      <c r="Q8842" t="s">
        <v>6484</v>
      </c>
      <c r="R8842" t="s">
        <v>10109</v>
      </c>
    </row>
    <row r="8843" spans="1:18" x14ac:dyDescent="0.25">
      <c r="A8843" t="s">
        <v>17106</v>
      </c>
      <c r="B8843" t="s">
        <v>10266</v>
      </c>
      <c r="C8843" t="str">
        <f>HYPERLINK("https://nematode.unl.edu/pracren15.jpg")</f>
        <v>https://nematode.unl.edu/pracren15.jpg</v>
      </c>
      <c r="D8843" t="s">
        <v>43</v>
      </c>
      <c r="G8843" t="s">
        <v>44</v>
      </c>
      <c r="I8843" t="s">
        <v>516</v>
      </c>
      <c r="J8843" t="s">
        <v>10259</v>
      </c>
      <c r="L8843" t="s">
        <v>1087</v>
      </c>
      <c r="M8843" t="s">
        <v>10260</v>
      </c>
      <c r="N8843" t="s">
        <v>10260</v>
      </c>
      <c r="O8843" t="s">
        <v>23</v>
      </c>
      <c r="P8843" t="s">
        <v>24</v>
      </c>
      <c r="Q8843" t="s">
        <v>6484</v>
      </c>
      <c r="R8843" t="s">
        <v>10109</v>
      </c>
    </row>
    <row r="8844" spans="1:18" x14ac:dyDescent="0.25">
      <c r="A8844" t="s">
        <v>17104</v>
      </c>
      <c r="B8844" t="s">
        <v>10267</v>
      </c>
      <c r="C8844" t="str">
        <f>HYPERLINK("https://nematode.unl.edu/pracren16.jpg")</f>
        <v>https://nematode.unl.edu/pracren16.jpg</v>
      </c>
      <c r="D8844" t="s">
        <v>43</v>
      </c>
      <c r="G8844" t="s">
        <v>3928</v>
      </c>
      <c r="H8844" t="s">
        <v>18</v>
      </c>
      <c r="I8844" t="s">
        <v>41</v>
      </c>
      <c r="J8844" t="s">
        <v>10259</v>
      </c>
      <c r="L8844" t="s">
        <v>1087</v>
      </c>
      <c r="M8844" t="s">
        <v>10260</v>
      </c>
      <c r="N8844" t="s">
        <v>10260</v>
      </c>
      <c r="O8844" t="s">
        <v>23</v>
      </c>
      <c r="P8844" t="s">
        <v>24</v>
      </c>
      <c r="Q8844" t="s">
        <v>6484</v>
      </c>
      <c r="R8844" t="s">
        <v>10109</v>
      </c>
    </row>
    <row r="8845" spans="1:18" x14ac:dyDescent="0.25">
      <c r="A8845" t="s">
        <v>17105</v>
      </c>
      <c r="B8845" t="s">
        <v>10268</v>
      </c>
      <c r="C8845" t="str">
        <f>HYPERLINK("https://nematode.unl.edu/pracren17.jpg")</f>
        <v>https://nematode.unl.edu/pracren17.jpg</v>
      </c>
      <c r="D8845" t="s">
        <v>43</v>
      </c>
      <c r="G8845" t="s">
        <v>10269</v>
      </c>
      <c r="J8845" t="s">
        <v>10259</v>
      </c>
      <c r="L8845" t="s">
        <v>1087</v>
      </c>
      <c r="M8845" t="s">
        <v>10260</v>
      </c>
      <c r="N8845" t="s">
        <v>10260</v>
      </c>
      <c r="O8845" t="s">
        <v>23</v>
      </c>
      <c r="P8845" t="s">
        <v>24</v>
      </c>
      <c r="Q8845" t="s">
        <v>6484</v>
      </c>
      <c r="R8845" t="s">
        <v>10109</v>
      </c>
    </row>
    <row r="8846" spans="1:18" x14ac:dyDescent="0.25">
      <c r="A8846" t="s">
        <v>17112</v>
      </c>
      <c r="B8846" t="s">
        <v>10270</v>
      </c>
      <c r="C8846" t="str">
        <f>HYPERLINK("https://nematode.unl.edu/pracren18.jpg")</f>
        <v>https://nematode.unl.edu/pracren18.jpg</v>
      </c>
      <c r="D8846" t="s">
        <v>43</v>
      </c>
      <c r="G8846" t="s">
        <v>28</v>
      </c>
      <c r="I8846" t="s">
        <v>41</v>
      </c>
      <c r="J8846" t="s">
        <v>10259</v>
      </c>
      <c r="L8846" t="s">
        <v>1087</v>
      </c>
      <c r="M8846" t="s">
        <v>10260</v>
      </c>
      <c r="N8846" t="s">
        <v>10260</v>
      </c>
      <c r="O8846" t="s">
        <v>23</v>
      </c>
      <c r="P8846" t="s">
        <v>24</v>
      </c>
      <c r="Q8846" t="s">
        <v>6484</v>
      </c>
      <c r="R8846" t="s">
        <v>10109</v>
      </c>
    </row>
    <row r="8847" spans="1:18" x14ac:dyDescent="0.25">
      <c r="A8847" t="s">
        <v>17099</v>
      </c>
      <c r="B8847" t="s">
        <v>10271</v>
      </c>
      <c r="C8847" t="str">
        <f>HYPERLINK("https://nematode.unl.edu/pracren19.jpg")</f>
        <v>https://nematode.unl.edu/pracren19.jpg</v>
      </c>
      <c r="D8847" t="s">
        <v>43</v>
      </c>
      <c r="G8847" t="s">
        <v>34</v>
      </c>
      <c r="H8847" t="s">
        <v>18</v>
      </c>
      <c r="I8847" t="s">
        <v>41</v>
      </c>
      <c r="J8847" t="s">
        <v>10259</v>
      </c>
      <c r="L8847" t="s">
        <v>1087</v>
      </c>
      <c r="M8847" t="s">
        <v>10260</v>
      </c>
      <c r="N8847" t="s">
        <v>10260</v>
      </c>
      <c r="O8847" t="s">
        <v>23</v>
      </c>
      <c r="P8847" t="s">
        <v>24</v>
      </c>
      <c r="Q8847" t="s">
        <v>6484</v>
      </c>
      <c r="R8847" t="s">
        <v>10109</v>
      </c>
    </row>
    <row r="8848" spans="1:18" x14ac:dyDescent="0.25">
      <c r="A8848" t="s">
        <v>17100</v>
      </c>
      <c r="B8848" t="s">
        <v>10272</v>
      </c>
      <c r="C8848" t="str">
        <f>HYPERLINK("https://nematode.unl.edu/pracren2.jpg")</f>
        <v>https://nematode.unl.edu/pracren2.jpg</v>
      </c>
      <c r="G8848" t="s">
        <v>34</v>
      </c>
      <c r="H8848" t="s">
        <v>18</v>
      </c>
      <c r="J8848" t="s">
        <v>10259</v>
      </c>
      <c r="L8848" t="s">
        <v>1087</v>
      </c>
      <c r="M8848" t="s">
        <v>10260</v>
      </c>
      <c r="N8848" t="s">
        <v>10260</v>
      </c>
      <c r="O8848" t="s">
        <v>23</v>
      </c>
      <c r="P8848" t="s">
        <v>24</v>
      </c>
      <c r="Q8848" t="s">
        <v>6484</v>
      </c>
      <c r="R8848" t="s">
        <v>10109</v>
      </c>
    </row>
    <row r="8849" spans="1:18" x14ac:dyDescent="0.25">
      <c r="A8849" t="s">
        <v>17113</v>
      </c>
      <c r="B8849" t="s">
        <v>10273</v>
      </c>
      <c r="C8849" t="str">
        <f>HYPERLINK("https://nematode.unl.edu/pracren20.jpg")</f>
        <v>https://nematode.unl.edu/pracren20.jpg</v>
      </c>
      <c r="D8849" t="s">
        <v>43</v>
      </c>
      <c r="G8849" t="s">
        <v>28</v>
      </c>
      <c r="I8849" t="s">
        <v>41</v>
      </c>
      <c r="J8849" t="s">
        <v>10259</v>
      </c>
      <c r="L8849" t="s">
        <v>1087</v>
      </c>
      <c r="M8849" t="s">
        <v>10260</v>
      </c>
      <c r="N8849" t="s">
        <v>10260</v>
      </c>
      <c r="O8849" t="s">
        <v>23</v>
      </c>
      <c r="P8849" t="s">
        <v>24</v>
      </c>
      <c r="Q8849" t="s">
        <v>6484</v>
      </c>
      <c r="R8849" t="s">
        <v>10109</v>
      </c>
    </row>
    <row r="8850" spans="1:18" x14ac:dyDescent="0.25">
      <c r="A8850" t="s">
        <v>17108</v>
      </c>
      <c r="B8850" t="s">
        <v>10274</v>
      </c>
      <c r="C8850" t="str">
        <f>HYPERLINK("https://nematode.unl.edu/pracren21.jpg")</f>
        <v>https://nematode.unl.edu/pracren21.jpg</v>
      </c>
      <c r="D8850" t="s">
        <v>43</v>
      </c>
      <c r="G8850" t="s">
        <v>53</v>
      </c>
      <c r="I8850" t="s">
        <v>41</v>
      </c>
      <c r="J8850" t="s">
        <v>10259</v>
      </c>
      <c r="L8850" t="s">
        <v>1087</v>
      </c>
      <c r="M8850" t="s">
        <v>10260</v>
      </c>
      <c r="N8850" t="s">
        <v>10260</v>
      </c>
      <c r="O8850" t="s">
        <v>23</v>
      </c>
      <c r="P8850" t="s">
        <v>24</v>
      </c>
      <c r="Q8850" t="s">
        <v>6484</v>
      </c>
      <c r="R8850" t="s">
        <v>10109</v>
      </c>
    </row>
    <row r="8851" spans="1:18" x14ac:dyDescent="0.25">
      <c r="A8851" t="s">
        <v>17114</v>
      </c>
      <c r="B8851" t="s">
        <v>10275</v>
      </c>
      <c r="C8851" t="str">
        <f>HYPERLINK("https://nematode.unl.edu/pracren3.jpg")</f>
        <v>https://nematode.unl.edu/pracren3.jpg</v>
      </c>
      <c r="G8851" t="s">
        <v>28</v>
      </c>
      <c r="I8851" t="s">
        <v>41</v>
      </c>
      <c r="J8851" t="s">
        <v>10259</v>
      </c>
      <c r="L8851" t="s">
        <v>1087</v>
      </c>
      <c r="M8851" t="s">
        <v>10260</v>
      </c>
      <c r="N8851" t="s">
        <v>10260</v>
      </c>
      <c r="O8851" t="s">
        <v>23</v>
      </c>
      <c r="P8851" t="s">
        <v>24</v>
      </c>
      <c r="Q8851" t="s">
        <v>6484</v>
      </c>
      <c r="R8851" t="s">
        <v>10109</v>
      </c>
    </row>
    <row r="8852" spans="1:18" x14ac:dyDescent="0.25">
      <c r="A8852" t="s">
        <v>17103</v>
      </c>
      <c r="B8852" t="s">
        <v>10276</v>
      </c>
      <c r="C8852" t="str">
        <f>HYPERLINK("https://nematode.unl.edu/pracren4.jpg")</f>
        <v>https://nematode.unl.edu/pracren4.jpg</v>
      </c>
      <c r="D8852" t="s">
        <v>43</v>
      </c>
      <c r="G8852" t="s">
        <v>10277</v>
      </c>
      <c r="H8852" t="s">
        <v>18</v>
      </c>
      <c r="I8852" t="s">
        <v>529</v>
      </c>
      <c r="J8852" t="s">
        <v>10259</v>
      </c>
      <c r="L8852" t="s">
        <v>1087</v>
      </c>
      <c r="M8852" t="s">
        <v>10260</v>
      </c>
      <c r="N8852" t="s">
        <v>10260</v>
      </c>
      <c r="O8852" t="s">
        <v>23</v>
      </c>
      <c r="P8852" t="s">
        <v>24</v>
      </c>
      <c r="Q8852" t="s">
        <v>6484</v>
      </c>
      <c r="R8852" t="s">
        <v>10109</v>
      </c>
    </row>
    <row r="8853" spans="1:18" x14ac:dyDescent="0.25">
      <c r="A8853" t="s">
        <v>17107</v>
      </c>
      <c r="B8853" t="s">
        <v>10278</v>
      </c>
      <c r="C8853" t="str">
        <f>HYPERLINK("https://nematode.unl.edu/pracren5.jpg")</f>
        <v>https://nematode.unl.edu/pracren5.jpg</v>
      </c>
      <c r="D8853" t="s">
        <v>43</v>
      </c>
      <c r="G8853" t="s">
        <v>3931</v>
      </c>
      <c r="I8853" t="s">
        <v>41</v>
      </c>
      <c r="J8853" t="s">
        <v>10259</v>
      </c>
      <c r="L8853" t="s">
        <v>1087</v>
      </c>
      <c r="M8853" t="s">
        <v>10260</v>
      </c>
      <c r="N8853" t="s">
        <v>10260</v>
      </c>
      <c r="O8853" t="s">
        <v>23</v>
      </c>
      <c r="P8853" t="s">
        <v>24</v>
      </c>
      <c r="Q8853" t="s">
        <v>6484</v>
      </c>
      <c r="R8853" t="s">
        <v>10109</v>
      </c>
    </row>
    <row r="8854" spans="1:18" x14ac:dyDescent="0.25">
      <c r="A8854" t="s">
        <v>17101</v>
      </c>
      <c r="B8854" t="s">
        <v>10279</v>
      </c>
      <c r="C8854" t="str">
        <f>HYPERLINK("https://nematode.unl.edu/pracren6.jpg")</f>
        <v>https://nematode.unl.edu/pracren6.jpg</v>
      </c>
      <c r="D8854" t="s">
        <v>43</v>
      </c>
      <c r="G8854" t="s">
        <v>34</v>
      </c>
      <c r="H8854" t="s">
        <v>18</v>
      </c>
      <c r="I8854" t="s">
        <v>41</v>
      </c>
      <c r="J8854" t="s">
        <v>10259</v>
      </c>
      <c r="L8854" t="s">
        <v>1087</v>
      </c>
      <c r="M8854" t="s">
        <v>10260</v>
      </c>
      <c r="N8854" t="s">
        <v>10260</v>
      </c>
      <c r="O8854" t="s">
        <v>23</v>
      </c>
      <c r="P8854" t="s">
        <v>24</v>
      </c>
      <c r="Q8854" t="s">
        <v>6484</v>
      </c>
      <c r="R8854" t="s">
        <v>10109</v>
      </c>
    </row>
    <row r="8855" spans="1:18" x14ac:dyDescent="0.25">
      <c r="A8855" t="s">
        <v>17115</v>
      </c>
      <c r="B8855" t="s">
        <v>10280</v>
      </c>
      <c r="C8855" t="str">
        <f>HYPERLINK("https://nematode.unl.edu/pracren7.jpg")</f>
        <v>https://nematode.unl.edu/pracren7.jpg</v>
      </c>
      <c r="D8855" t="s">
        <v>43</v>
      </c>
      <c r="G8855" t="s">
        <v>28</v>
      </c>
      <c r="I8855" t="s">
        <v>41</v>
      </c>
      <c r="J8855" t="s">
        <v>10259</v>
      </c>
      <c r="L8855" t="s">
        <v>1087</v>
      </c>
      <c r="M8855" t="s">
        <v>10260</v>
      </c>
      <c r="N8855" t="s">
        <v>10260</v>
      </c>
      <c r="O8855" t="s">
        <v>23</v>
      </c>
      <c r="P8855" t="s">
        <v>24</v>
      </c>
      <c r="Q8855" t="s">
        <v>6484</v>
      </c>
      <c r="R8855" t="s">
        <v>10109</v>
      </c>
    </row>
    <row r="8856" spans="1:18" x14ac:dyDescent="0.25">
      <c r="A8856" t="s">
        <v>17102</v>
      </c>
      <c r="B8856" t="s">
        <v>10281</v>
      </c>
      <c r="C8856" t="str">
        <f>HYPERLINK("https://nematode.unl.edu/pracren8.jpg")</f>
        <v>https://nematode.unl.edu/pracren8.jpg</v>
      </c>
      <c r="D8856" t="s">
        <v>16</v>
      </c>
      <c r="G8856" t="s">
        <v>34</v>
      </c>
      <c r="H8856" t="s">
        <v>18</v>
      </c>
      <c r="I8856" t="s">
        <v>41</v>
      </c>
      <c r="J8856" t="s">
        <v>10259</v>
      </c>
      <c r="L8856" t="s">
        <v>1087</v>
      </c>
      <c r="M8856" t="s">
        <v>10260</v>
      </c>
      <c r="N8856" t="s">
        <v>10260</v>
      </c>
      <c r="O8856" t="s">
        <v>23</v>
      </c>
      <c r="P8856" t="s">
        <v>24</v>
      </c>
      <c r="Q8856" t="s">
        <v>6484</v>
      </c>
      <c r="R8856" t="s">
        <v>10109</v>
      </c>
    </row>
    <row r="8857" spans="1:18" x14ac:dyDescent="0.25">
      <c r="A8857" t="s">
        <v>17116</v>
      </c>
      <c r="B8857" t="s">
        <v>10282</v>
      </c>
      <c r="C8857" t="str">
        <f>HYPERLINK("https://nematode.unl.edu/pracren9.jpg")</f>
        <v>https://nematode.unl.edu/pracren9.jpg</v>
      </c>
      <c r="D8857" t="s">
        <v>16</v>
      </c>
      <c r="G8857" t="s">
        <v>28</v>
      </c>
      <c r="I8857" t="s">
        <v>41</v>
      </c>
      <c r="J8857" t="s">
        <v>10259</v>
      </c>
      <c r="L8857" t="s">
        <v>1087</v>
      </c>
      <c r="M8857" t="s">
        <v>10260</v>
      </c>
      <c r="N8857" t="s">
        <v>10260</v>
      </c>
      <c r="O8857" t="s">
        <v>23</v>
      </c>
      <c r="P8857" t="s">
        <v>24</v>
      </c>
      <c r="Q8857" t="s">
        <v>6484</v>
      </c>
      <c r="R8857" t="s">
        <v>10109</v>
      </c>
    </row>
    <row r="8858" spans="1:18" x14ac:dyDescent="0.25">
      <c r="A8858" t="s">
        <v>17142</v>
      </c>
      <c r="B8858" t="s">
        <v>10288</v>
      </c>
      <c r="C8858" t="str">
        <f>HYPERLINK("https://nematode.unl.edu/praflak1.jpg")</f>
        <v>https://nematode.unl.edu/praflak1.jpg</v>
      </c>
      <c r="D8858" t="s">
        <v>43</v>
      </c>
      <c r="G8858" t="s">
        <v>44</v>
      </c>
      <c r="I8858" t="s">
        <v>19</v>
      </c>
      <c r="J8858" t="s">
        <v>116</v>
      </c>
      <c r="L8858" t="s">
        <v>85</v>
      </c>
      <c r="M8858" t="s">
        <v>10289</v>
      </c>
      <c r="N8858" t="s">
        <v>10289</v>
      </c>
      <c r="O8858" t="s">
        <v>23</v>
      </c>
      <c r="P8858" t="s">
        <v>24</v>
      </c>
      <c r="Q8858" t="s">
        <v>6484</v>
      </c>
      <c r="R8858" t="s">
        <v>10109</v>
      </c>
    </row>
    <row r="8859" spans="1:18" x14ac:dyDescent="0.25">
      <c r="A8859" t="s">
        <v>17166</v>
      </c>
      <c r="B8859" t="s">
        <v>10290</v>
      </c>
      <c r="C8859" t="str">
        <f>HYPERLINK("https://nematode.unl.edu/praflak10.jpg")</f>
        <v>https://nematode.unl.edu/praflak10.jpg</v>
      </c>
      <c r="D8859" t="s">
        <v>43</v>
      </c>
      <c r="G8859" t="s">
        <v>28</v>
      </c>
      <c r="J8859" t="s">
        <v>116</v>
      </c>
      <c r="L8859" t="s">
        <v>85</v>
      </c>
      <c r="M8859" t="s">
        <v>10289</v>
      </c>
      <c r="N8859" t="s">
        <v>10289</v>
      </c>
      <c r="O8859" t="s">
        <v>23</v>
      </c>
      <c r="P8859" t="s">
        <v>24</v>
      </c>
      <c r="Q8859" t="s">
        <v>6484</v>
      </c>
      <c r="R8859" t="s">
        <v>10109</v>
      </c>
    </row>
    <row r="8860" spans="1:18" x14ac:dyDescent="0.25">
      <c r="A8860" t="s">
        <v>17121</v>
      </c>
      <c r="B8860" t="s">
        <v>10291</v>
      </c>
      <c r="C8860" t="str">
        <f>HYPERLINK("https://nematode.unl.edu/praflak11.jpg")</f>
        <v>https://nematode.unl.edu/praflak11.jpg</v>
      </c>
      <c r="D8860" t="s">
        <v>43</v>
      </c>
      <c r="G8860" t="s">
        <v>34</v>
      </c>
      <c r="H8860" t="s">
        <v>18</v>
      </c>
      <c r="J8860" t="s">
        <v>116</v>
      </c>
      <c r="L8860" t="s">
        <v>85</v>
      </c>
      <c r="M8860" t="s">
        <v>10289</v>
      </c>
      <c r="N8860" t="s">
        <v>10289</v>
      </c>
      <c r="O8860" t="s">
        <v>23</v>
      </c>
      <c r="P8860" t="s">
        <v>24</v>
      </c>
      <c r="Q8860" t="s">
        <v>6484</v>
      </c>
      <c r="R8860" t="s">
        <v>10109</v>
      </c>
    </row>
    <row r="8861" spans="1:18" x14ac:dyDescent="0.25">
      <c r="A8861" t="s">
        <v>17122</v>
      </c>
      <c r="B8861" t="s">
        <v>10292</v>
      </c>
      <c r="C8861" t="str">
        <f>HYPERLINK("https://nematode.unl.edu/praflak2.jpg")</f>
        <v>https://nematode.unl.edu/praflak2.jpg</v>
      </c>
      <c r="D8861" t="s">
        <v>43</v>
      </c>
      <c r="G8861" t="s">
        <v>34</v>
      </c>
      <c r="H8861" t="s">
        <v>18</v>
      </c>
      <c r="I8861" t="s">
        <v>19</v>
      </c>
      <c r="J8861" t="s">
        <v>116</v>
      </c>
      <c r="L8861" t="s">
        <v>85</v>
      </c>
      <c r="M8861" t="s">
        <v>10289</v>
      </c>
      <c r="N8861" t="s">
        <v>10289</v>
      </c>
      <c r="O8861" t="s">
        <v>23</v>
      </c>
      <c r="P8861" t="s">
        <v>24</v>
      </c>
      <c r="Q8861" t="s">
        <v>6484</v>
      </c>
      <c r="R8861" t="s">
        <v>10109</v>
      </c>
    </row>
    <row r="8862" spans="1:18" x14ac:dyDescent="0.25">
      <c r="A8862" t="s">
        <v>17167</v>
      </c>
      <c r="B8862" t="s">
        <v>10293</v>
      </c>
      <c r="C8862" t="str">
        <f>HYPERLINK("https://nematode.unl.edu/praflak3.jpg")</f>
        <v>https://nematode.unl.edu/praflak3.jpg</v>
      </c>
      <c r="D8862" t="s">
        <v>43</v>
      </c>
      <c r="G8862" t="s">
        <v>28</v>
      </c>
      <c r="I8862" t="s">
        <v>19</v>
      </c>
      <c r="J8862" t="s">
        <v>116</v>
      </c>
      <c r="L8862" t="s">
        <v>85</v>
      </c>
      <c r="M8862" t="s">
        <v>10289</v>
      </c>
      <c r="N8862" t="s">
        <v>10289</v>
      </c>
      <c r="O8862" t="s">
        <v>23</v>
      </c>
      <c r="P8862" t="s">
        <v>24</v>
      </c>
      <c r="Q8862" t="s">
        <v>6484</v>
      </c>
      <c r="R8862" t="s">
        <v>10109</v>
      </c>
    </row>
    <row r="8863" spans="1:18" x14ac:dyDescent="0.25">
      <c r="A8863" t="s">
        <v>17143</v>
      </c>
      <c r="B8863" t="s">
        <v>10294</v>
      </c>
      <c r="C8863" t="str">
        <f>HYPERLINK("https://nematode.unl.edu/praflak4.jpg")</f>
        <v>https://nematode.unl.edu/praflak4.jpg</v>
      </c>
      <c r="D8863" t="s">
        <v>43</v>
      </c>
      <c r="G8863" t="s">
        <v>44</v>
      </c>
      <c r="I8863" t="s">
        <v>45</v>
      </c>
      <c r="J8863" t="s">
        <v>116</v>
      </c>
      <c r="L8863" t="s">
        <v>85</v>
      </c>
      <c r="M8863" t="s">
        <v>10289</v>
      </c>
      <c r="N8863" t="s">
        <v>10289</v>
      </c>
      <c r="O8863" t="s">
        <v>23</v>
      </c>
      <c r="P8863" t="s">
        <v>24</v>
      </c>
      <c r="Q8863" t="s">
        <v>6484</v>
      </c>
      <c r="R8863" t="s">
        <v>10109</v>
      </c>
    </row>
    <row r="8864" spans="1:18" x14ac:dyDescent="0.25">
      <c r="A8864" t="s">
        <v>17123</v>
      </c>
      <c r="B8864" t="s">
        <v>10295</v>
      </c>
      <c r="C8864" t="str">
        <f>HYPERLINK("https://nematode.unl.edu/praflak5.jpg")</f>
        <v>https://nematode.unl.edu/praflak5.jpg</v>
      </c>
      <c r="D8864" t="s">
        <v>43</v>
      </c>
      <c r="G8864" t="s">
        <v>34</v>
      </c>
      <c r="H8864" t="s">
        <v>18</v>
      </c>
      <c r="I8864" t="s">
        <v>19</v>
      </c>
      <c r="J8864" t="s">
        <v>116</v>
      </c>
      <c r="L8864" t="s">
        <v>85</v>
      </c>
      <c r="M8864" t="s">
        <v>10289</v>
      </c>
      <c r="N8864" t="s">
        <v>10289</v>
      </c>
      <c r="O8864" t="s">
        <v>23</v>
      </c>
      <c r="P8864" t="s">
        <v>24</v>
      </c>
      <c r="Q8864" t="s">
        <v>6484</v>
      </c>
      <c r="R8864" t="s">
        <v>10109</v>
      </c>
    </row>
    <row r="8865" spans="1:18" x14ac:dyDescent="0.25">
      <c r="A8865" t="s">
        <v>17168</v>
      </c>
      <c r="B8865" t="s">
        <v>10296</v>
      </c>
      <c r="C8865" t="str">
        <f>HYPERLINK("https://nematode.unl.edu/praflak6.jpg")</f>
        <v>https://nematode.unl.edu/praflak6.jpg</v>
      </c>
      <c r="D8865" t="s">
        <v>77</v>
      </c>
      <c r="G8865" t="s">
        <v>28</v>
      </c>
      <c r="J8865" t="s">
        <v>116</v>
      </c>
      <c r="L8865" t="s">
        <v>85</v>
      </c>
      <c r="M8865" t="s">
        <v>10289</v>
      </c>
      <c r="N8865" t="s">
        <v>10289</v>
      </c>
      <c r="O8865" t="s">
        <v>23</v>
      </c>
      <c r="P8865" t="s">
        <v>24</v>
      </c>
      <c r="Q8865" t="s">
        <v>6484</v>
      </c>
      <c r="R8865" t="s">
        <v>10109</v>
      </c>
    </row>
    <row r="8866" spans="1:18" x14ac:dyDescent="0.25">
      <c r="A8866" t="s">
        <v>17124</v>
      </c>
      <c r="B8866" t="s">
        <v>10297</v>
      </c>
      <c r="C8866" t="str">
        <f>HYPERLINK("https://nematode.unl.edu/praflak7.jpg")</f>
        <v>https://nematode.unl.edu/praflak7.jpg</v>
      </c>
      <c r="D8866" t="s">
        <v>43</v>
      </c>
      <c r="G8866" t="s">
        <v>34</v>
      </c>
      <c r="H8866" t="s">
        <v>18</v>
      </c>
      <c r="I8866" t="s">
        <v>41</v>
      </c>
      <c r="J8866" t="s">
        <v>116</v>
      </c>
      <c r="L8866" t="s">
        <v>85</v>
      </c>
      <c r="M8866" t="s">
        <v>10289</v>
      </c>
      <c r="N8866" t="s">
        <v>10289</v>
      </c>
      <c r="O8866" t="s">
        <v>23</v>
      </c>
      <c r="P8866" t="s">
        <v>24</v>
      </c>
      <c r="Q8866" t="s">
        <v>6484</v>
      </c>
      <c r="R8866" t="s">
        <v>10109</v>
      </c>
    </row>
    <row r="8867" spans="1:18" x14ac:dyDescent="0.25">
      <c r="A8867" t="s">
        <v>17169</v>
      </c>
      <c r="B8867" t="s">
        <v>10298</v>
      </c>
      <c r="C8867" t="str">
        <f>HYPERLINK("https://nematode.unl.edu/praflak8.jpg")</f>
        <v>https://nematode.unl.edu/praflak8.jpg</v>
      </c>
      <c r="D8867" t="s">
        <v>43</v>
      </c>
      <c r="G8867" t="s">
        <v>28</v>
      </c>
      <c r="I8867" t="s">
        <v>41</v>
      </c>
      <c r="J8867" t="s">
        <v>116</v>
      </c>
      <c r="L8867" t="s">
        <v>85</v>
      </c>
      <c r="M8867" t="s">
        <v>10289</v>
      </c>
      <c r="N8867" t="s">
        <v>10289</v>
      </c>
      <c r="O8867" t="s">
        <v>23</v>
      </c>
      <c r="P8867" t="s">
        <v>24</v>
      </c>
      <c r="Q8867" t="s">
        <v>6484</v>
      </c>
      <c r="R8867" t="s">
        <v>10109</v>
      </c>
    </row>
    <row r="8868" spans="1:18" x14ac:dyDescent="0.25">
      <c r="A8868" t="s">
        <v>17125</v>
      </c>
      <c r="B8868" t="s">
        <v>10299</v>
      </c>
      <c r="C8868" t="str">
        <f>HYPERLINK("https://nematode.unl.edu/praflak9.jpg")</f>
        <v>https://nematode.unl.edu/praflak9.jpg</v>
      </c>
      <c r="D8868" t="s">
        <v>43</v>
      </c>
      <c r="G8868" t="s">
        <v>34</v>
      </c>
      <c r="H8868" t="s">
        <v>18</v>
      </c>
      <c r="I8868" t="s">
        <v>19</v>
      </c>
      <c r="J8868" t="s">
        <v>116</v>
      </c>
      <c r="L8868" t="s">
        <v>85</v>
      </c>
      <c r="M8868" t="s">
        <v>10289</v>
      </c>
      <c r="N8868" t="s">
        <v>10289</v>
      </c>
      <c r="O8868" t="s">
        <v>23</v>
      </c>
      <c r="P8868" t="s">
        <v>24</v>
      </c>
      <c r="Q8868" t="s">
        <v>6484</v>
      </c>
      <c r="R8868" t="s">
        <v>10109</v>
      </c>
    </row>
    <row r="8869" spans="1:18" x14ac:dyDescent="0.25">
      <c r="A8869" t="s">
        <v>17210</v>
      </c>
      <c r="B8869" t="s">
        <v>10350</v>
      </c>
      <c r="C8869" t="str">
        <f>HYPERLINK("https://nematode.unl.edu/prahex1.jpg")</f>
        <v>https://nematode.unl.edu/prahex1.jpg</v>
      </c>
      <c r="D8869" t="s">
        <v>16</v>
      </c>
      <c r="G8869" t="s">
        <v>44</v>
      </c>
      <c r="I8869" t="s">
        <v>45</v>
      </c>
      <c r="J8869" t="s">
        <v>46</v>
      </c>
      <c r="L8869" t="s">
        <v>105</v>
      </c>
      <c r="M8869" t="s">
        <v>10351</v>
      </c>
      <c r="N8869" t="s">
        <v>10351</v>
      </c>
      <c r="O8869" t="s">
        <v>23</v>
      </c>
      <c r="P8869" t="s">
        <v>24</v>
      </c>
      <c r="Q8869" t="s">
        <v>6484</v>
      </c>
      <c r="R8869" t="s">
        <v>10109</v>
      </c>
    </row>
    <row r="8870" spans="1:18" x14ac:dyDescent="0.25">
      <c r="A8870" t="s">
        <v>17183</v>
      </c>
      <c r="B8870" t="s">
        <v>10352</v>
      </c>
      <c r="C8870" t="str">
        <f>HYPERLINK("https://nematode.unl.edu/prahex2.jpg")</f>
        <v>https://nematode.unl.edu/prahex2.jpg</v>
      </c>
      <c r="D8870" t="s">
        <v>16</v>
      </c>
      <c r="G8870" t="s">
        <v>34</v>
      </c>
      <c r="H8870" t="s">
        <v>18</v>
      </c>
      <c r="J8870" t="s">
        <v>46</v>
      </c>
      <c r="L8870" t="s">
        <v>105</v>
      </c>
      <c r="M8870" t="s">
        <v>10351</v>
      </c>
      <c r="N8870" t="s">
        <v>10351</v>
      </c>
      <c r="O8870" t="s">
        <v>23</v>
      </c>
      <c r="P8870" t="s">
        <v>24</v>
      </c>
      <c r="Q8870" t="s">
        <v>6484</v>
      </c>
      <c r="R8870" t="s">
        <v>10109</v>
      </c>
    </row>
    <row r="8871" spans="1:18" x14ac:dyDescent="0.25">
      <c r="A8871" t="s">
        <v>17243</v>
      </c>
      <c r="B8871" t="s">
        <v>10353</v>
      </c>
      <c r="C8871" t="str">
        <f>HYPERLINK("https://nematode.unl.edu/prahex3.jpg")</f>
        <v>https://nematode.unl.edu/prahex3.jpg</v>
      </c>
      <c r="D8871" t="s">
        <v>16</v>
      </c>
      <c r="G8871" t="s">
        <v>28</v>
      </c>
      <c r="I8871" t="s">
        <v>516</v>
      </c>
      <c r="J8871" t="s">
        <v>46</v>
      </c>
      <c r="L8871" t="s">
        <v>105</v>
      </c>
      <c r="M8871" t="s">
        <v>10351</v>
      </c>
      <c r="N8871" t="s">
        <v>10351</v>
      </c>
      <c r="O8871" t="s">
        <v>23</v>
      </c>
      <c r="P8871" t="s">
        <v>24</v>
      </c>
      <c r="Q8871" t="s">
        <v>6484</v>
      </c>
      <c r="R8871" t="s">
        <v>10109</v>
      </c>
    </row>
    <row r="8872" spans="1:18" x14ac:dyDescent="0.25">
      <c r="A8872" t="s">
        <v>17184</v>
      </c>
      <c r="B8872" t="s">
        <v>10354</v>
      </c>
      <c r="C8872" t="str">
        <f>HYPERLINK("https://nematode.unl.edu/prahex4.jpg")</f>
        <v>https://nematode.unl.edu/prahex4.jpg</v>
      </c>
      <c r="D8872" t="s">
        <v>16</v>
      </c>
      <c r="G8872" t="s">
        <v>34</v>
      </c>
      <c r="H8872" t="s">
        <v>18</v>
      </c>
      <c r="I8872" t="s">
        <v>41</v>
      </c>
      <c r="J8872" t="s">
        <v>46</v>
      </c>
      <c r="L8872" t="s">
        <v>105</v>
      </c>
      <c r="M8872" t="s">
        <v>10351</v>
      </c>
      <c r="N8872" t="s">
        <v>10351</v>
      </c>
      <c r="O8872" t="s">
        <v>23</v>
      </c>
      <c r="P8872" t="s">
        <v>24</v>
      </c>
      <c r="Q8872" t="s">
        <v>6484</v>
      </c>
      <c r="R8872" t="s">
        <v>10109</v>
      </c>
    </row>
    <row r="8873" spans="1:18" x14ac:dyDescent="0.25">
      <c r="A8873" t="s">
        <v>17051</v>
      </c>
      <c r="B8873" t="s">
        <v>10220</v>
      </c>
      <c r="C8873" t="str">
        <f>HYPERLINK("https://nematode.unl.edu/pralle1.jpg")</f>
        <v>https://nematode.unl.edu/pralle1.jpg</v>
      </c>
      <c r="D8873" t="s">
        <v>43</v>
      </c>
      <c r="G8873" t="s">
        <v>44</v>
      </c>
      <c r="I8873" t="s">
        <v>45</v>
      </c>
      <c r="J8873" t="s">
        <v>116</v>
      </c>
      <c r="L8873" t="s">
        <v>105</v>
      </c>
      <c r="M8873" t="s">
        <v>10201</v>
      </c>
      <c r="N8873" t="s">
        <v>10201</v>
      </c>
      <c r="O8873" t="s">
        <v>23</v>
      </c>
      <c r="P8873" t="s">
        <v>24</v>
      </c>
      <c r="Q8873" t="s">
        <v>6484</v>
      </c>
      <c r="R8873" t="s">
        <v>10109</v>
      </c>
    </row>
    <row r="8874" spans="1:18" x14ac:dyDescent="0.25">
      <c r="A8874" t="s">
        <v>17047</v>
      </c>
      <c r="B8874" t="s">
        <v>10221</v>
      </c>
      <c r="C8874" t="str">
        <f>HYPERLINK("https://nematode.unl.edu/pralle2.jpg")</f>
        <v>https://nematode.unl.edu/pralle2.jpg</v>
      </c>
      <c r="D8874" t="s">
        <v>43</v>
      </c>
      <c r="G8874" t="s">
        <v>34</v>
      </c>
      <c r="H8874" t="s">
        <v>18</v>
      </c>
      <c r="I8874" t="s">
        <v>19</v>
      </c>
      <c r="J8874" t="s">
        <v>116</v>
      </c>
      <c r="L8874" t="s">
        <v>105</v>
      </c>
      <c r="M8874" t="s">
        <v>10201</v>
      </c>
      <c r="N8874" t="s">
        <v>10201</v>
      </c>
      <c r="O8874" t="s">
        <v>23</v>
      </c>
      <c r="P8874" t="s">
        <v>24</v>
      </c>
      <c r="Q8874" t="s">
        <v>6484</v>
      </c>
      <c r="R8874" t="s">
        <v>10109</v>
      </c>
    </row>
    <row r="8875" spans="1:18" x14ac:dyDescent="0.25">
      <c r="A8875" t="s">
        <v>17062</v>
      </c>
      <c r="B8875" t="s">
        <v>10222</v>
      </c>
      <c r="C8875" t="str">
        <f>HYPERLINK("https://nematode.unl.edu/pralle3.jpg")</f>
        <v>https://nematode.unl.edu/pralle3.jpg</v>
      </c>
      <c r="D8875" t="s">
        <v>43</v>
      </c>
      <c r="G8875" t="s">
        <v>28</v>
      </c>
      <c r="J8875" t="s">
        <v>116</v>
      </c>
      <c r="L8875" t="s">
        <v>105</v>
      </c>
      <c r="M8875" t="s">
        <v>10201</v>
      </c>
      <c r="N8875" t="s">
        <v>10201</v>
      </c>
      <c r="O8875" t="s">
        <v>23</v>
      </c>
      <c r="P8875" t="s">
        <v>24</v>
      </c>
      <c r="Q8875" t="s">
        <v>6484</v>
      </c>
      <c r="R8875" t="s">
        <v>10109</v>
      </c>
    </row>
    <row r="8876" spans="1:18" x14ac:dyDescent="0.25">
      <c r="A8876" t="s">
        <v>17048</v>
      </c>
      <c r="B8876" t="s">
        <v>10223</v>
      </c>
      <c r="C8876" t="str">
        <f>HYPERLINK("https://nematode.unl.edu/pralle4.jpg")</f>
        <v>https://nematode.unl.edu/pralle4.jpg</v>
      </c>
      <c r="D8876" t="s">
        <v>43</v>
      </c>
      <c r="G8876" t="s">
        <v>34</v>
      </c>
      <c r="H8876" t="s">
        <v>18</v>
      </c>
      <c r="I8876" t="s">
        <v>41</v>
      </c>
      <c r="J8876" t="s">
        <v>116</v>
      </c>
      <c r="L8876" t="s">
        <v>105</v>
      </c>
      <c r="M8876" t="s">
        <v>10201</v>
      </c>
      <c r="N8876" t="s">
        <v>10201</v>
      </c>
      <c r="O8876" t="s">
        <v>23</v>
      </c>
      <c r="P8876" t="s">
        <v>24</v>
      </c>
      <c r="Q8876" t="s">
        <v>6484</v>
      </c>
      <c r="R8876" t="s">
        <v>10109</v>
      </c>
    </row>
    <row r="8877" spans="1:18" x14ac:dyDescent="0.25">
      <c r="A8877" t="s">
        <v>17063</v>
      </c>
      <c r="B8877" t="s">
        <v>10224</v>
      </c>
      <c r="C8877" t="str">
        <f>HYPERLINK("https://nematode.unl.edu/pralle5.jpg")</f>
        <v>https://nematode.unl.edu/pralle5.jpg</v>
      </c>
      <c r="G8877" t="s">
        <v>28</v>
      </c>
      <c r="I8877" t="s">
        <v>41</v>
      </c>
      <c r="J8877" t="s">
        <v>116</v>
      </c>
      <c r="L8877" t="s">
        <v>105</v>
      </c>
      <c r="M8877" t="s">
        <v>10201</v>
      </c>
      <c r="N8877" t="s">
        <v>10201</v>
      </c>
      <c r="O8877" t="s">
        <v>23</v>
      </c>
      <c r="P8877" t="s">
        <v>24</v>
      </c>
      <c r="Q8877" t="s">
        <v>6484</v>
      </c>
      <c r="R8877" t="s">
        <v>10109</v>
      </c>
    </row>
    <row r="8878" spans="1:18" x14ac:dyDescent="0.25">
      <c r="A8878" t="s">
        <v>17289</v>
      </c>
      <c r="B8878" t="s">
        <v>10465</v>
      </c>
      <c r="C8878" t="str">
        <f>HYPERLINK("https://nematode.unl.edu/praneg1.jpg")</f>
        <v>https://nematode.unl.edu/praneg1.jpg</v>
      </c>
      <c r="D8878" t="s">
        <v>43</v>
      </c>
      <c r="G8878" t="s">
        <v>96</v>
      </c>
      <c r="H8878" t="s">
        <v>18</v>
      </c>
      <c r="I8878" t="s">
        <v>41</v>
      </c>
      <c r="J8878" t="s">
        <v>10415</v>
      </c>
      <c r="L8878" t="s">
        <v>4481</v>
      </c>
      <c r="M8878" t="s">
        <v>10466</v>
      </c>
      <c r="N8878" t="s">
        <v>10466</v>
      </c>
      <c r="O8878" t="s">
        <v>23</v>
      </c>
      <c r="P8878" t="s">
        <v>24</v>
      </c>
      <c r="Q8878" t="s">
        <v>6484</v>
      </c>
      <c r="R8878" t="s">
        <v>10109</v>
      </c>
    </row>
    <row r="8879" spans="1:18" x14ac:dyDescent="0.25">
      <c r="A8879" t="s">
        <v>17314</v>
      </c>
      <c r="B8879" t="s">
        <v>10467</v>
      </c>
      <c r="C8879" t="str">
        <f>HYPERLINK("https://nematode.unl.edu/praneg10.jpg")</f>
        <v>https://nematode.unl.edu/praneg10.jpg</v>
      </c>
      <c r="D8879" t="s">
        <v>77</v>
      </c>
      <c r="G8879" t="s">
        <v>28</v>
      </c>
      <c r="I8879" t="s">
        <v>41</v>
      </c>
      <c r="J8879" t="s">
        <v>10415</v>
      </c>
      <c r="L8879" t="s">
        <v>4481</v>
      </c>
      <c r="M8879" t="s">
        <v>10466</v>
      </c>
      <c r="N8879" t="s">
        <v>10466</v>
      </c>
      <c r="O8879" t="s">
        <v>23</v>
      </c>
      <c r="P8879" t="s">
        <v>24</v>
      </c>
      <c r="Q8879" t="s">
        <v>6484</v>
      </c>
      <c r="R8879" t="s">
        <v>10109</v>
      </c>
    </row>
    <row r="8880" spans="1:18" x14ac:dyDescent="0.25">
      <c r="A8880" t="s">
        <v>17292</v>
      </c>
      <c r="B8880" t="s">
        <v>10468</v>
      </c>
      <c r="C8880" t="str">
        <f>HYPERLINK("https://nematode.unl.edu/praneg11.jpg")</f>
        <v>https://nematode.unl.edu/praneg11.jpg</v>
      </c>
      <c r="D8880" t="s">
        <v>43</v>
      </c>
      <c r="G8880" t="s">
        <v>34</v>
      </c>
      <c r="H8880" t="s">
        <v>18</v>
      </c>
      <c r="I8880" t="s">
        <v>41</v>
      </c>
      <c r="J8880" t="s">
        <v>10415</v>
      </c>
      <c r="L8880" t="s">
        <v>4481</v>
      </c>
      <c r="M8880" t="s">
        <v>10466</v>
      </c>
      <c r="N8880" t="s">
        <v>10466</v>
      </c>
      <c r="O8880" t="s">
        <v>23</v>
      </c>
      <c r="P8880" t="s">
        <v>24</v>
      </c>
      <c r="Q8880" t="s">
        <v>6484</v>
      </c>
      <c r="R8880" t="s">
        <v>10109</v>
      </c>
    </row>
    <row r="8881" spans="1:18" x14ac:dyDescent="0.25">
      <c r="A8881" t="s">
        <v>17313</v>
      </c>
      <c r="B8881" t="s">
        <v>10469</v>
      </c>
      <c r="C8881" t="str">
        <f>HYPERLINK("https://nematode.unl.edu/praneg12.jpg")</f>
        <v>https://nematode.unl.edu/praneg12.jpg</v>
      </c>
      <c r="G8881" t="s">
        <v>414</v>
      </c>
      <c r="I8881" t="s">
        <v>41</v>
      </c>
      <c r="J8881" t="s">
        <v>10415</v>
      </c>
      <c r="L8881" t="s">
        <v>4481</v>
      </c>
      <c r="M8881" t="s">
        <v>10466</v>
      </c>
      <c r="N8881" t="s">
        <v>10466</v>
      </c>
      <c r="O8881" t="s">
        <v>23</v>
      </c>
      <c r="P8881" t="s">
        <v>24</v>
      </c>
      <c r="Q8881" t="s">
        <v>6484</v>
      </c>
      <c r="R8881" t="s">
        <v>10109</v>
      </c>
    </row>
    <row r="8882" spans="1:18" x14ac:dyDescent="0.25">
      <c r="A8882" t="s">
        <v>17303</v>
      </c>
      <c r="B8882" t="s">
        <v>10470</v>
      </c>
      <c r="C8882" t="str">
        <f>HYPERLINK("https://nematode.unl.edu/praneg13.jpg")</f>
        <v>https://nematode.unl.edu/praneg13.jpg</v>
      </c>
      <c r="D8882" t="s">
        <v>43</v>
      </c>
      <c r="G8882" t="s">
        <v>44</v>
      </c>
      <c r="I8882" t="s">
        <v>45</v>
      </c>
      <c r="J8882" t="s">
        <v>10415</v>
      </c>
      <c r="L8882" t="s">
        <v>4481</v>
      </c>
      <c r="M8882" t="s">
        <v>10466</v>
      </c>
      <c r="N8882" t="s">
        <v>10466</v>
      </c>
      <c r="O8882" t="s">
        <v>23</v>
      </c>
      <c r="P8882" t="s">
        <v>24</v>
      </c>
      <c r="Q8882" t="s">
        <v>6484</v>
      </c>
      <c r="R8882" t="s">
        <v>10109</v>
      </c>
    </row>
    <row r="8883" spans="1:18" x14ac:dyDescent="0.25">
      <c r="A8883" t="s">
        <v>17315</v>
      </c>
      <c r="B8883" t="s">
        <v>10471</v>
      </c>
      <c r="C8883" t="str">
        <f>HYPERLINK("https://nematode.unl.edu/praneg14.jpg")</f>
        <v>https://nematode.unl.edu/praneg14.jpg</v>
      </c>
      <c r="D8883" t="s">
        <v>77</v>
      </c>
      <c r="G8883" t="s">
        <v>28</v>
      </c>
      <c r="I8883" t="s">
        <v>41</v>
      </c>
      <c r="J8883" t="s">
        <v>10415</v>
      </c>
      <c r="L8883" t="s">
        <v>4481</v>
      </c>
      <c r="M8883" t="s">
        <v>10466</v>
      </c>
      <c r="N8883" t="s">
        <v>10466</v>
      </c>
      <c r="O8883" t="s">
        <v>23</v>
      </c>
      <c r="P8883" t="s">
        <v>24</v>
      </c>
      <c r="Q8883" t="s">
        <v>6484</v>
      </c>
      <c r="R8883" t="s">
        <v>10109</v>
      </c>
    </row>
    <row r="8884" spans="1:18" x14ac:dyDescent="0.25">
      <c r="A8884" t="s">
        <v>17293</v>
      </c>
      <c r="B8884" t="s">
        <v>10472</v>
      </c>
      <c r="C8884" t="str">
        <f>HYPERLINK("https://nematode.unl.edu/praneg15.jpg")</f>
        <v>https://nematode.unl.edu/praneg15.jpg</v>
      </c>
      <c r="D8884" t="s">
        <v>43</v>
      </c>
      <c r="G8884" t="s">
        <v>34</v>
      </c>
      <c r="H8884" t="s">
        <v>18</v>
      </c>
      <c r="I8884" t="s">
        <v>41</v>
      </c>
      <c r="J8884" t="s">
        <v>10415</v>
      </c>
      <c r="L8884" t="s">
        <v>4481</v>
      </c>
      <c r="M8884" t="s">
        <v>10466</v>
      </c>
      <c r="N8884" t="s">
        <v>10466</v>
      </c>
      <c r="O8884" t="s">
        <v>23</v>
      </c>
      <c r="P8884" t="s">
        <v>24</v>
      </c>
      <c r="Q8884" t="s">
        <v>6484</v>
      </c>
      <c r="R8884" t="s">
        <v>10109</v>
      </c>
    </row>
    <row r="8885" spans="1:18" x14ac:dyDescent="0.25">
      <c r="A8885" t="s">
        <v>17294</v>
      </c>
      <c r="B8885" t="s">
        <v>10473</v>
      </c>
      <c r="C8885" t="str">
        <f>HYPERLINK("https://nematode.unl.edu/praneg16.jpg")</f>
        <v>https://nematode.unl.edu/praneg16.jpg</v>
      </c>
      <c r="D8885" t="s">
        <v>43</v>
      </c>
      <c r="G8885" t="s">
        <v>34</v>
      </c>
      <c r="H8885" t="s">
        <v>18</v>
      </c>
      <c r="I8885" t="s">
        <v>41</v>
      </c>
      <c r="J8885" t="s">
        <v>10415</v>
      </c>
      <c r="L8885" t="s">
        <v>4481</v>
      </c>
      <c r="M8885" t="s">
        <v>10466</v>
      </c>
      <c r="N8885" t="s">
        <v>10466</v>
      </c>
      <c r="O8885" t="s">
        <v>23</v>
      </c>
      <c r="P8885" t="s">
        <v>24</v>
      </c>
      <c r="Q8885" t="s">
        <v>6484</v>
      </c>
      <c r="R8885" t="s">
        <v>10109</v>
      </c>
    </row>
    <row r="8886" spans="1:18" x14ac:dyDescent="0.25">
      <c r="A8886" t="s">
        <v>17316</v>
      </c>
      <c r="B8886" t="s">
        <v>10474</v>
      </c>
      <c r="C8886" t="str">
        <f>HYPERLINK("https://nematode.unl.edu/praneg17.jpg")</f>
        <v>https://nematode.unl.edu/praneg17.jpg</v>
      </c>
      <c r="D8886" t="s">
        <v>77</v>
      </c>
      <c r="G8886" t="s">
        <v>28</v>
      </c>
      <c r="I8886" t="s">
        <v>41</v>
      </c>
      <c r="J8886" t="s">
        <v>10415</v>
      </c>
      <c r="L8886" t="s">
        <v>4481</v>
      </c>
      <c r="M8886" t="s">
        <v>10466</v>
      </c>
      <c r="N8886" t="s">
        <v>10466</v>
      </c>
      <c r="O8886" t="s">
        <v>23</v>
      </c>
      <c r="P8886" t="s">
        <v>24</v>
      </c>
      <c r="Q8886" t="s">
        <v>6484</v>
      </c>
      <c r="R8886" t="s">
        <v>10109</v>
      </c>
    </row>
    <row r="8887" spans="1:18" x14ac:dyDescent="0.25">
      <c r="A8887" t="s">
        <v>17295</v>
      </c>
      <c r="B8887" t="s">
        <v>10475</v>
      </c>
      <c r="C8887" t="str">
        <f>HYPERLINK("https://nematode.unl.edu/praneg2.jpg")</f>
        <v>https://nematode.unl.edu/praneg2.jpg</v>
      </c>
      <c r="D8887" t="s">
        <v>43</v>
      </c>
      <c r="G8887" t="s">
        <v>34</v>
      </c>
      <c r="H8887" t="s">
        <v>18</v>
      </c>
      <c r="I8887" t="s">
        <v>41</v>
      </c>
      <c r="J8887" t="s">
        <v>10415</v>
      </c>
      <c r="L8887" t="s">
        <v>4481</v>
      </c>
      <c r="M8887" t="s">
        <v>10466</v>
      </c>
      <c r="N8887" t="s">
        <v>10466</v>
      </c>
      <c r="O8887" t="s">
        <v>23</v>
      </c>
      <c r="P8887" t="s">
        <v>24</v>
      </c>
      <c r="Q8887" t="s">
        <v>6484</v>
      </c>
      <c r="R8887" t="s">
        <v>10109</v>
      </c>
    </row>
    <row r="8888" spans="1:18" x14ac:dyDescent="0.25">
      <c r="A8888" t="s">
        <v>17290</v>
      </c>
      <c r="B8888" t="s">
        <v>10476</v>
      </c>
      <c r="C8888" t="str">
        <f>HYPERLINK("https://nematode.unl.edu/praneg3.jpg")</f>
        <v>https://nematode.unl.edu/praneg3.jpg</v>
      </c>
      <c r="D8888" t="s">
        <v>43</v>
      </c>
      <c r="G8888" t="s">
        <v>96</v>
      </c>
      <c r="H8888" t="s">
        <v>18</v>
      </c>
      <c r="I8888" t="s">
        <v>41</v>
      </c>
      <c r="J8888" t="s">
        <v>10415</v>
      </c>
      <c r="L8888" t="s">
        <v>4481</v>
      </c>
      <c r="M8888" t="s">
        <v>10466</v>
      </c>
      <c r="N8888" t="s">
        <v>10466</v>
      </c>
      <c r="O8888" t="s">
        <v>23</v>
      </c>
      <c r="P8888" t="s">
        <v>24</v>
      </c>
      <c r="Q8888" t="s">
        <v>6484</v>
      </c>
      <c r="R8888" t="s">
        <v>10109</v>
      </c>
    </row>
    <row r="8889" spans="1:18" x14ac:dyDescent="0.25">
      <c r="A8889" t="s">
        <v>17296</v>
      </c>
      <c r="B8889" t="s">
        <v>10477</v>
      </c>
      <c r="C8889" t="str">
        <f>HYPERLINK("https://nematode.unl.edu/praneg4.jpg")</f>
        <v>https://nematode.unl.edu/praneg4.jpg</v>
      </c>
      <c r="D8889" t="s">
        <v>43</v>
      </c>
      <c r="G8889" t="s">
        <v>34</v>
      </c>
      <c r="H8889" t="s">
        <v>18</v>
      </c>
      <c r="I8889" t="s">
        <v>41</v>
      </c>
      <c r="J8889" t="s">
        <v>10415</v>
      </c>
      <c r="L8889" t="s">
        <v>4481</v>
      </c>
      <c r="M8889" t="s">
        <v>10466</v>
      </c>
      <c r="N8889" t="s">
        <v>10466</v>
      </c>
      <c r="O8889" t="s">
        <v>23</v>
      </c>
      <c r="P8889" t="s">
        <v>24</v>
      </c>
      <c r="Q8889" t="s">
        <v>6484</v>
      </c>
      <c r="R8889" t="s">
        <v>10109</v>
      </c>
    </row>
    <row r="8890" spans="1:18" x14ac:dyDescent="0.25">
      <c r="A8890" t="s">
        <v>17317</v>
      </c>
      <c r="B8890" t="s">
        <v>10478</v>
      </c>
      <c r="C8890" t="str">
        <f>HYPERLINK("https://nematode.unl.edu/praneg5.jpg")</f>
        <v>https://nematode.unl.edu/praneg5.jpg</v>
      </c>
      <c r="D8890" t="s">
        <v>43</v>
      </c>
      <c r="G8890" t="s">
        <v>28</v>
      </c>
      <c r="J8890" t="s">
        <v>10415</v>
      </c>
      <c r="L8890" t="s">
        <v>4481</v>
      </c>
      <c r="M8890" t="s">
        <v>10466</v>
      </c>
      <c r="N8890" t="s">
        <v>10466</v>
      </c>
      <c r="O8890" t="s">
        <v>23</v>
      </c>
      <c r="P8890" t="s">
        <v>24</v>
      </c>
      <c r="Q8890" t="s">
        <v>6484</v>
      </c>
      <c r="R8890" t="s">
        <v>10109</v>
      </c>
    </row>
    <row r="8891" spans="1:18" x14ac:dyDescent="0.25">
      <c r="A8891" t="s">
        <v>17307</v>
      </c>
      <c r="B8891" t="s">
        <v>10479</v>
      </c>
      <c r="C8891" t="str">
        <f>HYPERLINK("https://nematode.unl.edu/praneg6.jpg")</f>
        <v>https://nematode.unl.edu/praneg6.jpg</v>
      </c>
      <c r="D8891" t="s">
        <v>43</v>
      </c>
      <c r="G8891" t="s">
        <v>53</v>
      </c>
      <c r="I8891" t="s">
        <v>41</v>
      </c>
      <c r="J8891" t="s">
        <v>10415</v>
      </c>
      <c r="L8891" t="s">
        <v>4481</v>
      </c>
      <c r="M8891" t="s">
        <v>10466</v>
      </c>
      <c r="N8891" t="s">
        <v>10466</v>
      </c>
      <c r="O8891" t="s">
        <v>23</v>
      </c>
      <c r="P8891" t="s">
        <v>24</v>
      </c>
      <c r="Q8891" t="s">
        <v>6484</v>
      </c>
      <c r="R8891" t="s">
        <v>10109</v>
      </c>
    </row>
    <row r="8892" spans="1:18" x14ac:dyDescent="0.25">
      <c r="A8892" t="s">
        <v>17297</v>
      </c>
      <c r="B8892" t="s">
        <v>10480</v>
      </c>
      <c r="C8892" t="str">
        <f>HYPERLINK("https://nematode.unl.edu/praneg7.jpg")</f>
        <v>https://nematode.unl.edu/praneg7.jpg</v>
      </c>
      <c r="D8892" t="s">
        <v>77</v>
      </c>
      <c r="G8892" t="s">
        <v>34</v>
      </c>
      <c r="H8892" t="s">
        <v>18</v>
      </c>
      <c r="J8892" t="s">
        <v>10415</v>
      </c>
      <c r="L8892" t="s">
        <v>4481</v>
      </c>
      <c r="M8892" t="s">
        <v>10466</v>
      </c>
      <c r="N8892" t="s">
        <v>10466</v>
      </c>
      <c r="O8892" t="s">
        <v>23</v>
      </c>
      <c r="P8892" t="s">
        <v>24</v>
      </c>
      <c r="Q8892" t="s">
        <v>6484</v>
      </c>
      <c r="R8892" t="s">
        <v>10109</v>
      </c>
    </row>
    <row r="8893" spans="1:18" x14ac:dyDescent="0.25">
      <c r="A8893" t="s">
        <v>17318</v>
      </c>
      <c r="B8893" t="s">
        <v>10481</v>
      </c>
      <c r="C8893" t="str">
        <f>HYPERLINK("https://nematode.unl.edu/praneg8.jpg")</f>
        <v>https://nematode.unl.edu/praneg8.jpg</v>
      </c>
      <c r="D8893" t="s">
        <v>77</v>
      </c>
      <c r="G8893" t="s">
        <v>28</v>
      </c>
      <c r="J8893" t="s">
        <v>10415</v>
      </c>
      <c r="L8893" t="s">
        <v>4481</v>
      </c>
      <c r="M8893" t="s">
        <v>10466</v>
      </c>
      <c r="N8893" t="s">
        <v>10466</v>
      </c>
      <c r="O8893" t="s">
        <v>23</v>
      </c>
      <c r="P8893" t="s">
        <v>24</v>
      </c>
      <c r="Q8893" t="s">
        <v>6484</v>
      </c>
      <c r="R8893" t="s">
        <v>10109</v>
      </c>
    </row>
    <row r="8894" spans="1:18" x14ac:dyDescent="0.25">
      <c r="A8894" t="s">
        <v>17308</v>
      </c>
      <c r="B8894" t="s">
        <v>10482</v>
      </c>
      <c r="C8894" t="str">
        <f>HYPERLINK("https://nematode.unl.edu/praneg9.jpg")</f>
        <v>https://nematode.unl.edu/praneg9.jpg</v>
      </c>
      <c r="D8894" t="s">
        <v>43</v>
      </c>
      <c r="G8894" t="s">
        <v>53</v>
      </c>
      <c r="I8894" t="s">
        <v>529</v>
      </c>
      <c r="J8894" t="s">
        <v>10415</v>
      </c>
      <c r="L8894" t="s">
        <v>4481</v>
      </c>
      <c r="M8894" t="s">
        <v>10466</v>
      </c>
      <c r="N8894" t="s">
        <v>10466</v>
      </c>
      <c r="O8894" t="s">
        <v>23</v>
      </c>
      <c r="P8894" t="s">
        <v>24</v>
      </c>
      <c r="Q8894" t="s">
        <v>6484</v>
      </c>
      <c r="R8894" t="s">
        <v>10109</v>
      </c>
    </row>
    <row r="8895" spans="1:18" x14ac:dyDescent="0.25">
      <c r="A8895" t="s">
        <v>17304</v>
      </c>
      <c r="B8895" t="s">
        <v>10483</v>
      </c>
      <c r="C8895" t="str">
        <f>HYPERLINK("https://nematode.unl.edu/pranegwa1.jpg")</f>
        <v>https://nematode.unl.edu/pranegwa1.jpg</v>
      </c>
      <c r="D8895" t="s">
        <v>43</v>
      </c>
      <c r="G8895" t="s">
        <v>44</v>
      </c>
      <c r="I8895" t="s">
        <v>45</v>
      </c>
      <c r="J8895" t="s">
        <v>10430</v>
      </c>
      <c r="L8895" t="s">
        <v>4481</v>
      </c>
      <c r="M8895" t="s">
        <v>10466</v>
      </c>
      <c r="N8895" t="s">
        <v>10466</v>
      </c>
      <c r="O8895" t="s">
        <v>23</v>
      </c>
      <c r="P8895" t="s">
        <v>24</v>
      </c>
      <c r="Q8895" t="s">
        <v>6484</v>
      </c>
      <c r="R8895" t="s">
        <v>10109</v>
      </c>
    </row>
    <row r="8896" spans="1:18" x14ac:dyDescent="0.25">
      <c r="A8896" t="s">
        <v>17305</v>
      </c>
      <c r="B8896" t="s">
        <v>10484</v>
      </c>
      <c r="C8896" t="str">
        <f>HYPERLINK("https://nematode.unl.edu/pranegwa2.jpg")</f>
        <v>https://nematode.unl.edu/pranegwa2.jpg</v>
      </c>
      <c r="D8896" t="s">
        <v>43</v>
      </c>
      <c r="G8896" t="s">
        <v>44</v>
      </c>
      <c r="I8896" t="s">
        <v>137</v>
      </c>
      <c r="J8896" t="s">
        <v>10430</v>
      </c>
      <c r="L8896" t="s">
        <v>4481</v>
      </c>
      <c r="M8896" t="s">
        <v>10466</v>
      </c>
      <c r="N8896" t="s">
        <v>10466</v>
      </c>
      <c r="O8896" t="s">
        <v>23</v>
      </c>
      <c r="P8896" t="s">
        <v>24</v>
      </c>
      <c r="Q8896" t="s">
        <v>6484</v>
      </c>
      <c r="R8896" t="s">
        <v>10109</v>
      </c>
    </row>
    <row r="8897" spans="1:18" x14ac:dyDescent="0.25">
      <c r="A8897" t="s">
        <v>17301</v>
      </c>
      <c r="B8897" t="s">
        <v>10485</v>
      </c>
      <c r="C8897" t="str">
        <f>HYPERLINK("https://nematode.unl.edu/pranegwa3.jpg")</f>
        <v>https://nematode.unl.edu/pranegwa3.jpg</v>
      </c>
      <c r="D8897" t="s">
        <v>43</v>
      </c>
      <c r="G8897" t="s">
        <v>10277</v>
      </c>
      <c r="H8897" t="s">
        <v>18</v>
      </c>
      <c r="I8897" t="s">
        <v>516</v>
      </c>
      <c r="J8897" t="s">
        <v>10430</v>
      </c>
      <c r="L8897" t="s">
        <v>4481</v>
      </c>
      <c r="M8897" t="s">
        <v>10466</v>
      </c>
      <c r="N8897" t="s">
        <v>10466</v>
      </c>
      <c r="O8897" t="s">
        <v>23</v>
      </c>
      <c r="P8897" t="s">
        <v>24</v>
      </c>
      <c r="Q8897" t="s">
        <v>6484</v>
      </c>
      <c r="R8897" t="s">
        <v>10109</v>
      </c>
    </row>
    <row r="8898" spans="1:18" x14ac:dyDescent="0.25">
      <c r="A8898" t="s">
        <v>17319</v>
      </c>
      <c r="B8898" t="s">
        <v>10486</v>
      </c>
      <c r="C8898" t="str">
        <f>HYPERLINK("https://nematode.unl.edu/pranegwa4.jpg")</f>
        <v>https://nematode.unl.edu/pranegwa4.jpg</v>
      </c>
      <c r="G8898" t="s">
        <v>28</v>
      </c>
      <c r="I8898" t="s">
        <v>19</v>
      </c>
      <c r="J8898" t="s">
        <v>10430</v>
      </c>
      <c r="L8898" t="s">
        <v>4481</v>
      </c>
      <c r="M8898" t="s">
        <v>10466</v>
      </c>
      <c r="N8898" t="s">
        <v>10466</v>
      </c>
      <c r="O8898" t="s">
        <v>23</v>
      </c>
      <c r="P8898" t="s">
        <v>24</v>
      </c>
      <c r="Q8898" t="s">
        <v>6484</v>
      </c>
      <c r="R8898" t="s">
        <v>10109</v>
      </c>
    </row>
    <row r="8899" spans="1:18" x14ac:dyDescent="0.25">
      <c r="A8899" t="s">
        <v>17309</v>
      </c>
      <c r="B8899" t="s">
        <v>10487</v>
      </c>
      <c r="C8899" t="str">
        <f>HYPERLINK("https://nematode.unl.edu/pranegwa5.jpg")</f>
        <v>https://nematode.unl.edu/pranegwa5.jpg</v>
      </c>
      <c r="D8899" t="s">
        <v>43</v>
      </c>
      <c r="G8899" t="s">
        <v>53</v>
      </c>
      <c r="I8899" t="s">
        <v>41</v>
      </c>
      <c r="J8899" t="s">
        <v>10430</v>
      </c>
      <c r="L8899" t="s">
        <v>4481</v>
      </c>
      <c r="M8899" t="s">
        <v>10466</v>
      </c>
      <c r="N8899" t="s">
        <v>10466</v>
      </c>
      <c r="O8899" t="s">
        <v>23</v>
      </c>
      <c r="P8899" t="s">
        <v>24</v>
      </c>
      <c r="Q8899" t="s">
        <v>6484</v>
      </c>
      <c r="R8899" t="s">
        <v>10109</v>
      </c>
    </row>
    <row r="8900" spans="1:18" x14ac:dyDescent="0.25">
      <c r="A8900" t="s">
        <v>17298</v>
      </c>
      <c r="B8900" t="s">
        <v>10488</v>
      </c>
      <c r="C8900" t="str">
        <f>HYPERLINK("https://nematode.unl.edu/pranegwa6.jpg")</f>
        <v>https://nematode.unl.edu/pranegwa6.jpg</v>
      </c>
      <c r="D8900" t="s">
        <v>43</v>
      </c>
      <c r="G8900" t="s">
        <v>34</v>
      </c>
      <c r="H8900" t="s">
        <v>18</v>
      </c>
      <c r="I8900" t="s">
        <v>41</v>
      </c>
      <c r="J8900" t="s">
        <v>10430</v>
      </c>
      <c r="L8900" t="s">
        <v>4481</v>
      </c>
      <c r="M8900" t="s">
        <v>10466</v>
      </c>
      <c r="N8900" t="s">
        <v>10466</v>
      </c>
      <c r="O8900" t="s">
        <v>23</v>
      </c>
      <c r="P8900" t="s">
        <v>24</v>
      </c>
      <c r="Q8900" t="s">
        <v>6484</v>
      </c>
      <c r="R8900" t="s">
        <v>10109</v>
      </c>
    </row>
    <row r="8901" spans="1:18" x14ac:dyDescent="0.25">
      <c r="A8901" t="s">
        <v>17320</v>
      </c>
      <c r="B8901" t="s">
        <v>10489</v>
      </c>
      <c r="C8901" t="str">
        <f>HYPERLINK("https://nematode.unl.edu/pranegwa7.jpg")</f>
        <v>https://nematode.unl.edu/pranegwa7.jpg</v>
      </c>
      <c r="D8901" t="s">
        <v>77</v>
      </c>
      <c r="G8901" t="s">
        <v>28</v>
      </c>
      <c r="J8901" t="s">
        <v>10430</v>
      </c>
      <c r="L8901" t="s">
        <v>4481</v>
      </c>
      <c r="M8901" t="s">
        <v>10466</v>
      </c>
      <c r="N8901" t="s">
        <v>10466</v>
      </c>
      <c r="O8901" t="s">
        <v>23</v>
      </c>
      <c r="P8901" t="s">
        <v>24</v>
      </c>
      <c r="Q8901" t="s">
        <v>6484</v>
      </c>
      <c r="R8901" t="s">
        <v>10109</v>
      </c>
    </row>
    <row r="8902" spans="1:18" x14ac:dyDescent="0.25">
      <c r="A8902" t="s">
        <v>17302</v>
      </c>
      <c r="B8902" t="s">
        <v>10490</v>
      </c>
      <c r="C8902" t="str">
        <f>HYPERLINK("https://nematode.unl.edu/pranegwa8.jpg")</f>
        <v>https://nematode.unl.edu/pranegwa8.jpg</v>
      </c>
      <c r="D8902" t="s">
        <v>43</v>
      </c>
      <c r="G8902" t="s">
        <v>257</v>
      </c>
      <c r="H8902" t="s">
        <v>18</v>
      </c>
      <c r="I8902" t="s">
        <v>41</v>
      </c>
      <c r="J8902" t="s">
        <v>10430</v>
      </c>
      <c r="L8902" t="s">
        <v>4481</v>
      </c>
      <c r="M8902" t="s">
        <v>10466</v>
      </c>
      <c r="N8902" t="s">
        <v>10466</v>
      </c>
      <c r="O8902" t="s">
        <v>23</v>
      </c>
      <c r="P8902" t="s">
        <v>24</v>
      </c>
      <c r="Q8902" t="s">
        <v>6484</v>
      </c>
      <c r="R8902" t="s">
        <v>10109</v>
      </c>
    </row>
    <row r="8903" spans="1:18" x14ac:dyDescent="0.25">
      <c r="A8903" t="s">
        <v>17370</v>
      </c>
      <c r="B8903" t="s">
        <v>10510</v>
      </c>
      <c r="C8903" t="str">
        <f>HYPERLINK("https://nematode.unl.edu/prapen1.jpg")</f>
        <v>https://nematode.unl.edu/prapen1.jpg</v>
      </c>
      <c r="D8903" t="s">
        <v>77</v>
      </c>
      <c r="G8903" t="s">
        <v>44</v>
      </c>
      <c r="I8903" t="s">
        <v>45</v>
      </c>
      <c r="J8903" t="s">
        <v>10430</v>
      </c>
      <c r="L8903" t="s">
        <v>4481</v>
      </c>
      <c r="M8903" t="s">
        <v>10503</v>
      </c>
      <c r="N8903" t="s">
        <v>10503</v>
      </c>
      <c r="O8903" t="s">
        <v>23</v>
      </c>
      <c r="P8903" t="s">
        <v>24</v>
      </c>
      <c r="Q8903" t="s">
        <v>6484</v>
      </c>
      <c r="R8903" t="s">
        <v>10109</v>
      </c>
    </row>
    <row r="8904" spans="1:18" x14ac:dyDescent="0.25">
      <c r="A8904" t="s">
        <v>17371</v>
      </c>
      <c r="B8904" t="s">
        <v>10511</v>
      </c>
      <c r="C8904" t="str">
        <f>HYPERLINK("https://nematode.unl.edu/prapen10.jpg")</f>
        <v>https://nematode.unl.edu/prapen10.jpg</v>
      </c>
      <c r="D8904" t="s">
        <v>77</v>
      </c>
      <c r="G8904" t="s">
        <v>44</v>
      </c>
      <c r="I8904" t="s">
        <v>137</v>
      </c>
      <c r="J8904" t="s">
        <v>10430</v>
      </c>
      <c r="L8904" t="s">
        <v>4481</v>
      </c>
      <c r="M8904" t="s">
        <v>10503</v>
      </c>
      <c r="N8904" t="s">
        <v>10503</v>
      </c>
      <c r="O8904" t="s">
        <v>23</v>
      </c>
      <c r="P8904" t="s">
        <v>24</v>
      </c>
      <c r="Q8904" t="s">
        <v>6484</v>
      </c>
      <c r="R8904" t="s">
        <v>10109</v>
      </c>
    </row>
    <row r="8905" spans="1:18" x14ac:dyDescent="0.25">
      <c r="A8905" t="s">
        <v>17441</v>
      </c>
      <c r="B8905" t="s">
        <v>10512</v>
      </c>
      <c r="C8905" t="str">
        <f>HYPERLINK("https://nematode.unl.edu/prapen11.jpg")</f>
        <v>https://nematode.unl.edu/prapen11.jpg</v>
      </c>
      <c r="D8905" t="s">
        <v>43</v>
      </c>
      <c r="G8905" t="s">
        <v>422</v>
      </c>
      <c r="I8905" t="s">
        <v>529</v>
      </c>
      <c r="J8905" t="s">
        <v>10430</v>
      </c>
      <c r="L8905" t="s">
        <v>4481</v>
      </c>
      <c r="M8905" t="s">
        <v>10503</v>
      </c>
      <c r="N8905" t="s">
        <v>10503</v>
      </c>
      <c r="O8905" t="s">
        <v>23</v>
      </c>
      <c r="P8905" t="s">
        <v>24</v>
      </c>
      <c r="Q8905" t="s">
        <v>6484</v>
      </c>
      <c r="R8905" t="s">
        <v>10109</v>
      </c>
    </row>
    <row r="8906" spans="1:18" x14ac:dyDescent="0.25">
      <c r="A8906" t="s">
        <v>17387</v>
      </c>
      <c r="B8906" t="s">
        <v>10513</v>
      </c>
      <c r="C8906" t="str">
        <f>HYPERLINK("https://nematode.unl.edu/prapen12.jpg")</f>
        <v>https://nematode.unl.edu/prapen12.jpg</v>
      </c>
      <c r="G8906" t="s">
        <v>2029</v>
      </c>
      <c r="I8906" t="s">
        <v>41</v>
      </c>
      <c r="J8906" t="s">
        <v>10430</v>
      </c>
      <c r="L8906" t="s">
        <v>4481</v>
      </c>
      <c r="M8906" t="s">
        <v>10503</v>
      </c>
      <c r="N8906" t="s">
        <v>10503</v>
      </c>
      <c r="O8906" t="s">
        <v>23</v>
      </c>
      <c r="P8906" t="s">
        <v>24</v>
      </c>
      <c r="Q8906" t="s">
        <v>6484</v>
      </c>
      <c r="R8906" t="s">
        <v>10109</v>
      </c>
    </row>
    <row r="8907" spans="1:18" x14ac:dyDescent="0.25">
      <c r="A8907" t="s">
        <v>17339</v>
      </c>
      <c r="B8907" t="s">
        <v>10514</v>
      </c>
      <c r="C8907" t="str">
        <f>HYPERLINK("https://nematode.unl.edu/prapen13.jpg")</f>
        <v>https://nematode.unl.edu/prapen13.jpg</v>
      </c>
      <c r="D8907" t="s">
        <v>77</v>
      </c>
      <c r="G8907" t="s">
        <v>34</v>
      </c>
      <c r="H8907" t="s">
        <v>18</v>
      </c>
      <c r="I8907" t="s">
        <v>41</v>
      </c>
      <c r="J8907" t="s">
        <v>10430</v>
      </c>
      <c r="L8907" t="s">
        <v>4481</v>
      </c>
      <c r="M8907" t="s">
        <v>10503</v>
      </c>
      <c r="N8907" t="s">
        <v>10503</v>
      </c>
      <c r="O8907" t="s">
        <v>23</v>
      </c>
      <c r="P8907" t="s">
        <v>24</v>
      </c>
      <c r="Q8907" t="s">
        <v>6484</v>
      </c>
      <c r="R8907" t="s">
        <v>10109</v>
      </c>
    </row>
    <row r="8908" spans="1:18" x14ac:dyDescent="0.25">
      <c r="A8908" t="s">
        <v>17381</v>
      </c>
      <c r="B8908" t="s">
        <v>10515</v>
      </c>
      <c r="C8908" t="str">
        <f>HYPERLINK("https://nematode.unl.edu/prapen14.jpg")</f>
        <v>https://nematode.unl.edu/prapen14.jpg</v>
      </c>
      <c r="D8908" t="s">
        <v>77</v>
      </c>
      <c r="G8908" t="s">
        <v>1906</v>
      </c>
      <c r="I8908" t="s">
        <v>41</v>
      </c>
      <c r="J8908" t="s">
        <v>10430</v>
      </c>
      <c r="L8908" t="s">
        <v>4481</v>
      </c>
      <c r="M8908" t="s">
        <v>10503</v>
      </c>
      <c r="N8908" t="s">
        <v>10503</v>
      </c>
      <c r="O8908" t="s">
        <v>23</v>
      </c>
      <c r="P8908" t="s">
        <v>24</v>
      </c>
      <c r="Q8908" t="s">
        <v>6484</v>
      </c>
      <c r="R8908" t="s">
        <v>10109</v>
      </c>
    </row>
    <row r="8909" spans="1:18" x14ac:dyDescent="0.25">
      <c r="A8909" t="s">
        <v>17411</v>
      </c>
      <c r="B8909" t="s">
        <v>10516</v>
      </c>
      <c r="C8909" t="str">
        <f>HYPERLINK("https://nematode.unl.edu/prapen15.jpg")</f>
        <v>https://nematode.unl.edu/prapen15.jpg</v>
      </c>
      <c r="D8909" t="s">
        <v>77</v>
      </c>
      <c r="G8909" t="s">
        <v>112</v>
      </c>
      <c r="I8909" t="s">
        <v>41</v>
      </c>
      <c r="J8909" t="s">
        <v>10430</v>
      </c>
      <c r="L8909" t="s">
        <v>4481</v>
      </c>
      <c r="M8909" t="s">
        <v>10503</v>
      </c>
      <c r="N8909" t="s">
        <v>10503</v>
      </c>
      <c r="O8909" t="s">
        <v>23</v>
      </c>
      <c r="P8909" t="s">
        <v>24</v>
      </c>
      <c r="Q8909" t="s">
        <v>6484</v>
      </c>
      <c r="R8909" t="s">
        <v>10109</v>
      </c>
    </row>
    <row r="8910" spans="1:18" x14ac:dyDescent="0.25">
      <c r="A8910" t="s">
        <v>17383</v>
      </c>
      <c r="B8910" t="s">
        <v>10517</v>
      </c>
      <c r="C8910" t="str">
        <f>HYPERLINK("https://nematode.unl.edu/prapen16.jpg")</f>
        <v>https://nematode.unl.edu/prapen16.jpg</v>
      </c>
      <c r="D8910" t="s">
        <v>77</v>
      </c>
      <c r="G8910" t="s">
        <v>53</v>
      </c>
      <c r="I8910" t="s">
        <v>41</v>
      </c>
      <c r="J8910" t="s">
        <v>10430</v>
      </c>
      <c r="L8910" t="s">
        <v>4481</v>
      </c>
      <c r="M8910" t="s">
        <v>10503</v>
      </c>
      <c r="N8910" t="s">
        <v>10503</v>
      </c>
      <c r="O8910" t="s">
        <v>23</v>
      </c>
      <c r="P8910" t="s">
        <v>24</v>
      </c>
      <c r="Q8910" t="s">
        <v>6484</v>
      </c>
      <c r="R8910" t="s">
        <v>10109</v>
      </c>
    </row>
    <row r="8911" spans="1:18" x14ac:dyDescent="0.25">
      <c r="A8911" t="s">
        <v>17340</v>
      </c>
      <c r="B8911" t="s">
        <v>10518</v>
      </c>
      <c r="C8911" t="str">
        <f>HYPERLINK("https://nematode.unl.edu/prapen2.jpg")</f>
        <v>https://nematode.unl.edu/prapen2.jpg</v>
      </c>
      <c r="D8911" t="s">
        <v>77</v>
      </c>
      <c r="G8911" t="s">
        <v>34</v>
      </c>
      <c r="H8911" t="s">
        <v>18</v>
      </c>
      <c r="J8911" t="s">
        <v>10430</v>
      </c>
      <c r="L8911" t="s">
        <v>4481</v>
      </c>
      <c r="M8911" t="s">
        <v>10503</v>
      </c>
      <c r="N8911" t="s">
        <v>10503</v>
      </c>
      <c r="O8911" t="s">
        <v>23</v>
      </c>
      <c r="P8911" t="s">
        <v>24</v>
      </c>
      <c r="Q8911" t="s">
        <v>6484</v>
      </c>
      <c r="R8911" t="s">
        <v>10109</v>
      </c>
    </row>
    <row r="8912" spans="1:18" x14ac:dyDescent="0.25">
      <c r="A8912" t="s">
        <v>17412</v>
      </c>
      <c r="B8912" t="s">
        <v>10519</v>
      </c>
      <c r="C8912" t="str">
        <f>HYPERLINK("https://nematode.unl.edu/prapen3.jpg")</f>
        <v>https://nematode.unl.edu/prapen3.jpg</v>
      </c>
      <c r="D8912" t="s">
        <v>77</v>
      </c>
      <c r="G8912" t="s">
        <v>112</v>
      </c>
      <c r="J8912" t="s">
        <v>10430</v>
      </c>
      <c r="L8912" t="s">
        <v>4481</v>
      </c>
      <c r="M8912" t="s">
        <v>10503</v>
      </c>
      <c r="N8912" t="s">
        <v>10503</v>
      </c>
      <c r="O8912" t="s">
        <v>23</v>
      </c>
      <c r="P8912" t="s">
        <v>24</v>
      </c>
      <c r="Q8912" t="s">
        <v>6484</v>
      </c>
      <c r="R8912" t="s">
        <v>10109</v>
      </c>
    </row>
    <row r="8913" spans="1:18" x14ac:dyDescent="0.25">
      <c r="A8913" t="s">
        <v>17382</v>
      </c>
      <c r="B8913" t="s">
        <v>10520</v>
      </c>
      <c r="C8913" t="str">
        <f>HYPERLINK("https://nematode.unl.edu/prapen4.jpg")</f>
        <v>https://nematode.unl.edu/prapen4.jpg</v>
      </c>
      <c r="D8913" t="s">
        <v>77</v>
      </c>
      <c r="G8913" t="s">
        <v>1906</v>
      </c>
      <c r="I8913" t="s">
        <v>19</v>
      </c>
      <c r="J8913" t="s">
        <v>10430</v>
      </c>
      <c r="L8913" t="s">
        <v>4481</v>
      </c>
      <c r="M8913" t="s">
        <v>10503</v>
      </c>
      <c r="N8913" t="s">
        <v>10503</v>
      </c>
      <c r="O8913" t="s">
        <v>23</v>
      </c>
      <c r="P8913" t="s">
        <v>24</v>
      </c>
      <c r="Q8913" t="s">
        <v>6484</v>
      </c>
      <c r="R8913" t="s">
        <v>10109</v>
      </c>
    </row>
    <row r="8914" spans="1:18" x14ac:dyDescent="0.25">
      <c r="A8914" t="s">
        <v>17372</v>
      </c>
      <c r="B8914" t="s">
        <v>10521</v>
      </c>
      <c r="C8914" t="str">
        <f>HYPERLINK("https://nematode.unl.edu/prapen5.jpg")</f>
        <v>https://nematode.unl.edu/prapen5.jpg</v>
      </c>
      <c r="D8914" t="s">
        <v>77</v>
      </c>
      <c r="G8914" t="s">
        <v>44</v>
      </c>
      <c r="I8914" t="s">
        <v>137</v>
      </c>
      <c r="J8914" t="s">
        <v>10430</v>
      </c>
      <c r="L8914" t="s">
        <v>4481</v>
      </c>
      <c r="M8914" t="s">
        <v>10503</v>
      </c>
      <c r="N8914" t="s">
        <v>10503</v>
      </c>
      <c r="O8914" t="s">
        <v>23</v>
      </c>
      <c r="P8914" t="s">
        <v>24</v>
      </c>
      <c r="Q8914" t="s">
        <v>6484</v>
      </c>
      <c r="R8914" t="s">
        <v>10109</v>
      </c>
    </row>
    <row r="8915" spans="1:18" x14ac:dyDescent="0.25">
      <c r="A8915" t="s">
        <v>17399</v>
      </c>
      <c r="B8915" t="s">
        <v>10522</v>
      </c>
      <c r="C8915" t="str">
        <f>HYPERLINK("https://nematode.unl.edu/prapen6.jpg")</f>
        <v>https://nematode.unl.edu/prapen6.jpg</v>
      </c>
      <c r="D8915" t="s">
        <v>77</v>
      </c>
      <c r="G8915" t="s">
        <v>1404</v>
      </c>
      <c r="I8915" t="s">
        <v>41</v>
      </c>
      <c r="J8915" t="s">
        <v>10430</v>
      </c>
      <c r="L8915" t="s">
        <v>4481</v>
      </c>
      <c r="M8915" t="s">
        <v>10503</v>
      </c>
      <c r="N8915" t="s">
        <v>10503</v>
      </c>
      <c r="O8915" t="s">
        <v>23</v>
      </c>
      <c r="P8915" t="s">
        <v>24</v>
      </c>
      <c r="Q8915" t="s">
        <v>6484</v>
      </c>
      <c r="R8915" t="s">
        <v>10109</v>
      </c>
    </row>
    <row r="8916" spans="1:18" x14ac:dyDescent="0.25">
      <c r="A8916" t="s">
        <v>17341</v>
      </c>
      <c r="B8916" t="s">
        <v>10523</v>
      </c>
      <c r="C8916" t="str">
        <f>HYPERLINK("https://nematode.unl.edu/prapen7.jpg")</f>
        <v>https://nematode.unl.edu/prapen7.jpg</v>
      </c>
      <c r="D8916" t="s">
        <v>43</v>
      </c>
      <c r="G8916" t="s">
        <v>34</v>
      </c>
      <c r="H8916" t="s">
        <v>18</v>
      </c>
      <c r="I8916" t="s">
        <v>41</v>
      </c>
      <c r="J8916" t="s">
        <v>10430</v>
      </c>
      <c r="L8916" t="s">
        <v>4481</v>
      </c>
      <c r="M8916" t="s">
        <v>10503</v>
      </c>
      <c r="N8916" t="s">
        <v>10503</v>
      </c>
      <c r="O8916" t="s">
        <v>23</v>
      </c>
      <c r="P8916" t="s">
        <v>24</v>
      </c>
      <c r="Q8916" t="s">
        <v>6484</v>
      </c>
      <c r="R8916" t="s">
        <v>10109</v>
      </c>
    </row>
    <row r="8917" spans="1:18" x14ac:dyDescent="0.25">
      <c r="A8917" t="s">
        <v>17326</v>
      </c>
      <c r="B8917" t="s">
        <v>10524</v>
      </c>
      <c r="C8917" t="str">
        <f>HYPERLINK("https://nematode.unl.edu/prapen8.jpg")</f>
        <v>https://nematode.unl.edu/prapen8.jpg</v>
      </c>
      <c r="D8917" t="s">
        <v>43</v>
      </c>
      <c r="G8917" t="s">
        <v>96</v>
      </c>
      <c r="H8917" t="s">
        <v>18</v>
      </c>
      <c r="J8917" t="s">
        <v>10430</v>
      </c>
      <c r="L8917" t="s">
        <v>4481</v>
      </c>
      <c r="M8917" t="s">
        <v>10503</v>
      </c>
      <c r="N8917" t="s">
        <v>10503</v>
      </c>
      <c r="O8917" t="s">
        <v>23</v>
      </c>
      <c r="P8917" t="s">
        <v>24</v>
      </c>
      <c r="Q8917" t="s">
        <v>6484</v>
      </c>
      <c r="R8917" t="s">
        <v>10109</v>
      </c>
    </row>
    <row r="8918" spans="1:18" x14ac:dyDescent="0.25">
      <c r="A8918" t="s">
        <v>17414</v>
      </c>
      <c r="B8918" t="s">
        <v>10525</v>
      </c>
      <c r="C8918" t="str">
        <f>HYPERLINK("https://nematode.unl.edu/prapen9.jpg")</f>
        <v>https://nematode.unl.edu/prapen9.jpg</v>
      </c>
      <c r="G8918" t="s">
        <v>28</v>
      </c>
      <c r="I8918" t="s">
        <v>19</v>
      </c>
      <c r="J8918" t="s">
        <v>10430</v>
      </c>
      <c r="L8918" t="s">
        <v>4481</v>
      </c>
      <c r="M8918" t="s">
        <v>10503</v>
      </c>
      <c r="N8918" t="s">
        <v>10503</v>
      </c>
      <c r="O8918" t="s">
        <v>23</v>
      </c>
      <c r="P8918" t="s">
        <v>24</v>
      </c>
      <c r="Q8918" t="s">
        <v>6484</v>
      </c>
      <c r="R8918" t="s">
        <v>10109</v>
      </c>
    </row>
    <row r="8919" spans="1:18" x14ac:dyDescent="0.25">
      <c r="A8919" t="s">
        <v>17342</v>
      </c>
      <c r="B8919" t="s">
        <v>10526</v>
      </c>
      <c r="C8919" t="str">
        <f>HYPERLINK("https://nematode.unl.edu/prapenho1.jpg")</f>
        <v>https://nematode.unl.edu/prapenho1.jpg</v>
      </c>
      <c r="D8919" t="s">
        <v>77</v>
      </c>
      <c r="G8919" t="s">
        <v>34</v>
      </c>
      <c r="H8919" t="s">
        <v>18</v>
      </c>
      <c r="I8919" t="s">
        <v>19</v>
      </c>
      <c r="J8919" t="s">
        <v>116</v>
      </c>
      <c r="L8919" t="s">
        <v>85</v>
      </c>
      <c r="M8919" t="s">
        <v>10503</v>
      </c>
      <c r="N8919" t="s">
        <v>10503</v>
      </c>
      <c r="O8919" t="s">
        <v>23</v>
      </c>
      <c r="P8919" t="s">
        <v>24</v>
      </c>
      <c r="Q8919" t="s">
        <v>6484</v>
      </c>
      <c r="R8919" t="s">
        <v>10109</v>
      </c>
    </row>
    <row r="8920" spans="1:18" x14ac:dyDescent="0.25">
      <c r="A8920" t="s">
        <v>17343</v>
      </c>
      <c r="B8920" t="s">
        <v>10527</v>
      </c>
      <c r="C8920" t="str">
        <f>HYPERLINK("https://nematode.unl.edu/prapenho2.jpg")</f>
        <v>https://nematode.unl.edu/prapenho2.jpg</v>
      </c>
      <c r="D8920" t="s">
        <v>43</v>
      </c>
      <c r="G8920" t="s">
        <v>34</v>
      </c>
      <c r="H8920" t="s">
        <v>18</v>
      </c>
      <c r="I8920" t="s">
        <v>19</v>
      </c>
      <c r="J8920" t="s">
        <v>116</v>
      </c>
      <c r="L8920" t="s">
        <v>85</v>
      </c>
      <c r="M8920" t="s">
        <v>10503</v>
      </c>
      <c r="N8920" t="s">
        <v>10503</v>
      </c>
      <c r="O8920" t="s">
        <v>23</v>
      </c>
      <c r="P8920" t="s">
        <v>24</v>
      </c>
      <c r="Q8920" t="s">
        <v>6484</v>
      </c>
      <c r="R8920" t="s">
        <v>10109</v>
      </c>
    </row>
    <row r="8921" spans="1:18" x14ac:dyDescent="0.25">
      <c r="A8921" t="s">
        <v>17415</v>
      </c>
      <c r="B8921" t="s">
        <v>10528</v>
      </c>
      <c r="C8921" t="str">
        <f>HYPERLINK("https://nematode.unl.edu/prapenho3.jpg")</f>
        <v>https://nematode.unl.edu/prapenho3.jpg</v>
      </c>
      <c r="D8921" t="s">
        <v>43</v>
      </c>
      <c r="G8921" t="s">
        <v>28</v>
      </c>
      <c r="J8921" t="s">
        <v>116</v>
      </c>
      <c r="L8921" t="s">
        <v>85</v>
      </c>
      <c r="M8921" t="s">
        <v>10503</v>
      </c>
      <c r="N8921" t="s">
        <v>10503</v>
      </c>
      <c r="O8921" t="s">
        <v>23</v>
      </c>
      <c r="P8921" t="s">
        <v>24</v>
      </c>
      <c r="Q8921" t="s">
        <v>6484</v>
      </c>
      <c r="R8921" t="s">
        <v>10109</v>
      </c>
    </row>
    <row r="8922" spans="1:18" x14ac:dyDescent="0.25">
      <c r="A8922" t="s">
        <v>17344</v>
      </c>
      <c r="B8922" t="s">
        <v>10529</v>
      </c>
      <c r="C8922" t="str">
        <f>HYPERLINK("https://nematode.unl.edu/prapenho4.jpg")</f>
        <v>https://nematode.unl.edu/prapenho4.jpg</v>
      </c>
      <c r="D8922" t="s">
        <v>43</v>
      </c>
      <c r="G8922" t="s">
        <v>34</v>
      </c>
      <c r="H8922" t="s">
        <v>18</v>
      </c>
      <c r="I8922" t="s">
        <v>41</v>
      </c>
      <c r="J8922" t="s">
        <v>116</v>
      </c>
      <c r="L8922" t="s">
        <v>85</v>
      </c>
      <c r="M8922" t="s">
        <v>10503</v>
      </c>
      <c r="N8922" t="s">
        <v>10503</v>
      </c>
      <c r="O8922" t="s">
        <v>23</v>
      </c>
      <c r="P8922" t="s">
        <v>24</v>
      </c>
      <c r="Q8922" t="s">
        <v>6484</v>
      </c>
      <c r="R8922" t="s">
        <v>10109</v>
      </c>
    </row>
    <row r="8923" spans="1:18" x14ac:dyDescent="0.25">
      <c r="A8923" t="s">
        <v>17373</v>
      </c>
      <c r="B8923" t="s">
        <v>10530</v>
      </c>
      <c r="C8923" t="str">
        <f>HYPERLINK("https://nematode.unl.edu/prapenho5.jpg")</f>
        <v>https://nematode.unl.edu/prapenho5.jpg</v>
      </c>
      <c r="D8923" t="s">
        <v>43</v>
      </c>
      <c r="G8923" t="s">
        <v>44</v>
      </c>
      <c r="I8923" t="s">
        <v>45</v>
      </c>
      <c r="J8923" t="s">
        <v>116</v>
      </c>
      <c r="L8923" t="s">
        <v>85</v>
      </c>
      <c r="M8923" t="s">
        <v>10503</v>
      </c>
      <c r="N8923" t="s">
        <v>10503</v>
      </c>
      <c r="O8923" t="s">
        <v>23</v>
      </c>
      <c r="P8923" t="s">
        <v>24</v>
      </c>
      <c r="Q8923" t="s">
        <v>6484</v>
      </c>
      <c r="R8923" t="s">
        <v>10109</v>
      </c>
    </row>
    <row r="8924" spans="1:18" x14ac:dyDescent="0.25">
      <c r="A8924" t="s">
        <v>17442</v>
      </c>
      <c r="B8924" t="s">
        <v>10531</v>
      </c>
      <c r="C8924" t="str">
        <f>HYPERLINK("https://nematode.unl.edu/prapenho6.jpg")</f>
        <v>https://nematode.unl.edu/prapenho6.jpg</v>
      </c>
      <c r="D8924" t="s">
        <v>43</v>
      </c>
      <c r="G8924" t="s">
        <v>51</v>
      </c>
      <c r="I8924" t="s">
        <v>19</v>
      </c>
      <c r="J8924" t="s">
        <v>116</v>
      </c>
      <c r="L8924" t="s">
        <v>85</v>
      </c>
      <c r="M8924" t="s">
        <v>10503</v>
      </c>
      <c r="N8924" t="s">
        <v>10503</v>
      </c>
      <c r="O8924" t="s">
        <v>23</v>
      </c>
      <c r="P8924" t="s">
        <v>24</v>
      </c>
      <c r="Q8924" t="s">
        <v>6484</v>
      </c>
      <c r="R8924" t="s">
        <v>10109</v>
      </c>
    </row>
    <row r="8925" spans="1:18" x14ac:dyDescent="0.25">
      <c r="A8925" t="s">
        <v>17345</v>
      </c>
      <c r="B8925" t="s">
        <v>10532</v>
      </c>
      <c r="C8925" t="str">
        <f>HYPERLINK("https://nematode.unl.edu/prapenho7.jpg")</f>
        <v>https://nematode.unl.edu/prapenho7.jpg</v>
      </c>
      <c r="D8925" t="s">
        <v>43</v>
      </c>
      <c r="G8925" t="s">
        <v>34</v>
      </c>
      <c r="H8925" t="s">
        <v>18</v>
      </c>
      <c r="I8925" t="s">
        <v>41</v>
      </c>
      <c r="J8925" t="s">
        <v>116</v>
      </c>
      <c r="L8925" t="s">
        <v>85</v>
      </c>
      <c r="M8925" t="s">
        <v>10503</v>
      </c>
      <c r="N8925" t="s">
        <v>10503</v>
      </c>
      <c r="O8925" t="s">
        <v>23</v>
      </c>
      <c r="P8925" t="s">
        <v>24</v>
      </c>
      <c r="Q8925" t="s">
        <v>6484</v>
      </c>
      <c r="R8925" t="s">
        <v>10109</v>
      </c>
    </row>
    <row r="8926" spans="1:18" x14ac:dyDescent="0.25">
      <c r="A8926" t="s">
        <v>17446</v>
      </c>
      <c r="B8926" t="s">
        <v>10625</v>
      </c>
      <c r="C8926" t="str">
        <f>HYPERLINK("https://nematode.unl.edu/prapse1.jpg")</f>
        <v>https://nematode.unl.edu/prapse1.jpg</v>
      </c>
      <c r="D8926" t="s">
        <v>43</v>
      </c>
      <c r="G8926" t="s">
        <v>44</v>
      </c>
      <c r="I8926" t="s">
        <v>499</v>
      </c>
      <c r="J8926" t="s">
        <v>20</v>
      </c>
      <c r="L8926" t="s">
        <v>29</v>
      </c>
      <c r="M8926" t="s">
        <v>10626</v>
      </c>
      <c r="N8926" t="s">
        <v>10626</v>
      </c>
      <c r="O8926" t="s">
        <v>23</v>
      </c>
      <c r="P8926" t="s">
        <v>24</v>
      </c>
      <c r="Q8926" t="s">
        <v>6484</v>
      </c>
      <c r="R8926" t="s">
        <v>10109</v>
      </c>
    </row>
    <row r="8927" spans="1:18" x14ac:dyDescent="0.25">
      <c r="A8927" t="s">
        <v>17444</v>
      </c>
      <c r="B8927" t="s">
        <v>10627</v>
      </c>
      <c r="C8927" t="str">
        <f>HYPERLINK("https://nematode.unl.edu/prapse2.jpg")</f>
        <v>https://nematode.unl.edu/prapse2.jpg</v>
      </c>
      <c r="D8927" t="s">
        <v>43</v>
      </c>
      <c r="G8927" t="s">
        <v>34</v>
      </c>
      <c r="H8927" t="s">
        <v>18</v>
      </c>
      <c r="J8927" t="s">
        <v>20</v>
      </c>
      <c r="L8927" t="s">
        <v>29</v>
      </c>
      <c r="M8927" t="s">
        <v>10626</v>
      </c>
      <c r="N8927" t="s">
        <v>10626</v>
      </c>
      <c r="O8927" t="s">
        <v>23</v>
      </c>
      <c r="P8927" t="s">
        <v>24</v>
      </c>
      <c r="Q8927" t="s">
        <v>6484</v>
      </c>
      <c r="R8927" t="s">
        <v>10109</v>
      </c>
    </row>
    <row r="8928" spans="1:18" x14ac:dyDescent="0.25">
      <c r="A8928" t="s">
        <v>17447</v>
      </c>
      <c r="B8928" t="s">
        <v>10628</v>
      </c>
      <c r="C8928" t="str">
        <f>HYPERLINK("https://nematode.unl.edu/prapse3.jpg")</f>
        <v>https://nematode.unl.edu/prapse3.jpg</v>
      </c>
      <c r="D8928" t="s">
        <v>43</v>
      </c>
      <c r="G8928" t="s">
        <v>28</v>
      </c>
      <c r="J8928" t="s">
        <v>20</v>
      </c>
      <c r="L8928" t="s">
        <v>29</v>
      </c>
      <c r="M8928" t="s">
        <v>10626</v>
      </c>
      <c r="N8928" t="s">
        <v>10626</v>
      </c>
      <c r="O8928" t="s">
        <v>23</v>
      </c>
      <c r="P8928" t="s">
        <v>24</v>
      </c>
      <c r="Q8928" t="s">
        <v>6484</v>
      </c>
      <c r="R8928" t="s">
        <v>10109</v>
      </c>
    </row>
    <row r="8929" spans="1:18" x14ac:dyDescent="0.25">
      <c r="A8929" t="s">
        <v>17445</v>
      </c>
      <c r="B8929" t="s">
        <v>10629</v>
      </c>
      <c r="C8929" t="str">
        <f>HYPERLINK("https://nematode.unl.edu/prapse4.jpg")</f>
        <v>https://nematode.unl.edu/prapse4.jpg</v>
      </c>
      <c r="D8929" t="s">
        <v>43</v>
      </c>
      <c r="G8929" t="s">
        <v>34</v>
      </c>
      <c r="H8929" t="s">
        <v>18</v>
      </c>
      <c r="J8929" t="s">
        <v>20</v>
      </c>
      <c r="L8929" t="s">
        <v>29</v>
      </c>
      <c r="M8929" t="s">
        <v>10626</v>
      </c>
      <c r="N8929" t="s">
        <v>10626</v>
      </c>
      <c r="O8929" t="s">
        <v>23</v>
      </c>
      <c r="P8929" t="s">
        <v>24</v>
      </c>
      <c r="Q8929" t="s">
        <v>6484</v>
      </c>
      <c r="R8929" t="s">
        <v>10109</v>
      </c>
    </row>
    <row r="8930" spans="1:18" x14ac:dyDescent="0.25">
      <c r="A8930" t="s">
        <v>17465</v>
      </c>
      <c r="B8930" t="s">
        <v>10630</v>
      </c>
      <c r="C8930" t="str">
        <f>HYPERLINK("https://nematode.unl.edu/prasc1.jpg")</f>
        <v>https://nematode.unl.edu/prasc1.jpg</v>
      </c>
      <c r="D8930" t="s">
        <v>43</v>
      </c>
      <c r="G8930" t="s">
        <v>44</v>
      </c>
      <c r="I8930" t="s">
        <v>499</v>
      </c>
      <c r="J8930" t="s">
        <v>10631</v>
      </c>
      <c r="K8930" t="s">
        <v>22858</v>
      </c>
      <c r="L8930" t="s">
        <v>10632</v>
      </c>
      <c r="M8930" t="s">
        <v>10633</v>
      </c>
      <c r="N8930" t="s">
        <v>10633</v>
      </c>
      <c r="O8930" t="s">
        <v>23</v>
      </c>
      <c r="P8930" t="s">
        <v>24</v>
      </c>
      <c r="Q8930" t="s">
        <v>6484</v>
      </c>
      <c r="R8930" t="s">
        <v>10109</v>
      </c>
    </row>
    <row r="8931" spans="1:18" x14ac:dyDescent="0.25">
      <c r="A8931" t="s">
        <v>17453</v>
      </c>
      <c r="B8931" t="s">
        <v>10634</v>
      </c>
      <c r="C8931" t="str">
        <f>HYPERLINK("https://nematode.unl.edu/prasc10.jpg")</f>
        <v>https://nematode.unl.edu/prasc10.jpg</v>
      </c>
      <c r="D8931" t="s">
        <v>43</v>
      </c>
      <c r="G8931" t="s">
        <v>34</v>
      </c>
      <c r="H8931" t="s">
        <v>18</v>
      </c>
      <c r="I8931" t="s">
        <v>41</v>
      </c>
      <c r="J8931" t="s">
        <v>10631</v>
      </c>
      <c r="K8931" t="s">
        <v>22858</v>
      </c>
      <c r="L8931" t="s">
        <v>10632</v>
      </c>
      <c r="M8931" t="s">
        <v>10633</v>
      </c>
      <c r="N8931" t="s">
        <v>10633</v>
      </c>
      <c r="O8931" t="s">
        <v>23</v>
      </c>
      <c r="P8931" t="s">
        <v>24</v>
      </c>
      <c r="Q8931" t="s">
        <v>6484</v>
      </c>
      <c r="R8931" t="s">
        <v>10109</v>
      </c>
    </row>
    <row r="8932" spans="1:18" x14ac:dyDescent="0.25">
      <c r="A8932" t="s">
        <v>17477</v>
      </c>
      <c r="B8932" t="s">
        <v>10635</v>
      </c>
      <c r="C8932" t="str">
        <f>HYPERLINK("https://nematode.unl.edu/prasc11.jpg")</f>
        <v>https://nematode.unl.edu/prasc11.jpg</v>
      </c>
      <c r="D8932" t="s">
        <v>43</v>
      </c>
      <c r="G8932" t="s">
        <v>53</v>
      </c>
      <c r="I8932" t="s">
        <v>41</v>
      </c>
      <c r="J8932" t="s">
        <v>10631</v>
      </c>
      <c r="K8932" t="s">
        <v>22858</v>
      </c>
      <c r="L8932" t="s">
        <v>10632</v>
      </c>
      <c r="M8932" t="s">
        <v>10633</v>
      </c>
      <c r="N8932" t="s">
        <v>10633</v>
      </c>
      <c r="O8932" t="s">
        <v>23</v>
      </c>
      <c r="P8932" t="s">
        <v>24</v>
      </c>
      <c r="Q8932" t="s">
        <v>6484</v>
      </c>
      <c r="R8932" t="s">
        <v>10109</v>
      </c>
    </row>
    <row r="8933" spans="1:18" x14ac:dyDescent="0.25">
      <c r="A8933" t="s">
        <v>17496</v>
      </c>
      <c r="B8933" t="s">
        <v>10636</v>
      </c>
      <c r="C8933" t="str">
        <f>HYPERLINK("https://nematode.unl.edu/prasc12.jpg")</f>
        <v>https://nematode.unl.edu/prasc12.jpg</v>
      </c>
      <c r="G8933" t="s">
        <v>1404</v>
      </c>
      <c r="I8933" t="s">
        <v>41</v>
      </c>
      <c r="J8933" t="s">
        <v>10631</v>
      </c>
      <c r="K8933" t="s">
        <v>22858</v>
      </c>
      <c r="L8933" t="s">
        <v>10632</v>
      </c>
      <c r="M8933" t="s">
        <v>10633</v>
      </c>
      <c r="N8933" t="s">
        <v>10633</v>
      </c>
      <c r="O8933" t="s">
        <v>23</v>
      </c>
      <c r="P8933" t="s">
        <v>24</v>
      </c>
      <c r="Q8933" t="s">
        <v>6484</v>
      </c>
      <c r="R8933" t="s">
        <v>10109</v>
      </c>
    </row>
    <row r="8934" spans="1:18" x14ac:dyDescent="0.25">
      <c r="A8934" t="s">
        <v>17478</v>
      </c>
      <c r="B8934" t="s">
        <v>10637</v>
      </c>
      <c r="C8934" t="str">
        <f>HYPERLINK("https://nematode.unl.edu/prasc13.jpg")</f>
        <v>https://nematode.unl.edu/prasc13.jpg</v>
      </c>
      <c r="D8934" t="s">
        <v>43</v>
      </c>
      <c r="G8934" t="s">
        <v>53</v>
      </c>
      <c r="I8934" t="s">
        <v>41</v>
      </c>
      <c r="J8934" t="s">
        <v>10631</v>
      </c>
      <c r="K8934" t="s">
        <v>22858</v>
      </c>
      <c r="L8934" t="s">
        <v>10632</v>
      </c>
      <c r="M8934" t="s">
        <v>10633</v>
      </c>
      <c r="N8934" t="s">
        <v>10633</v>
      </c>
      <c r="O8934" t="s">
        <v>23</v>
      </c>
      <c r="P8934" t="s">
        <v>24</v>
      </c>
      <c r="Q8934" t="s">
        <v>6484</v>
      </c>
      <c r="R8934" t="s">
        <v>10109</v>
      </c>
    </row>
    <row r="8935" spans="1:18" x14ac:dyDescent="0.25">
      <c r="A8935" t="s">
        <v>17500</v>
      </c>
      <c r="B8935" t="s">
        <v>10638</v>
      </c>
      <c r="C8935" t="str">
        <f>HYPERLINK("https://nematode.unl.edu/prasc14.jpg")</f>
        <v>https://nematode.unl.edu/prasc14.jpg</v>
      </c>
      <c r="D8935" t="s">
        <v>43</v>
      </c>
      <c r="G8935" t="s">
        <v>28</v>
      </c>
      <c r="I8935" t="s">
        <v>41</v>
      </c>
      <c r="J8935" t="s">
        <v>10631</v>
      </c>
      <c r="K8935" t="s">
        <v>22858</v>
      </c>
      <c r="L8935" t="s">
        <v>10632</v>
      </c>
      <c r="M8935" t="s">
        <v>10633</v>
      </c>
      <c r="N8935" t="s">
        <v>10633</v>
      </c>
      <c r="O8935" t="s">
        <v>23</v>
      </c>
      <c r="P8935" t="s">
        <v>24</v>
      </c>
      <c r="Q8935" t="s">
        <v>6484</v>
      </c>
      <c r="R8935" t="s">
        <v>10109</v>
      </c>
    </row>
    <row r="8936" spans="1:18" x14ac:dyDescent="0.25">
      <c r="A8936" t="s">
        <v>17448</v>
      </c>
      <c r="B8936" t="s">
        <v>10639</v>
      </c>
      <c r="C8936" t="str">
        <f>HYPERLINK("https://nematode.unl.edu/prasc2.jpg")</f>
        <v>https://nematode.unl.edu/prasc2.jpg</v>
      </c>
      <c r="D8936" t="s">
        <v>43</v>
      </c>
      <c r="G8936" t="s">
        <v>96</v>
      </c>
      <c r="H8936" t="s">
        <v>18</v>
      </c>
      <c r="J8936" t="s">
        <v>10631</v>
      </c>
      <c r="K8936" s="1" t="s">
        <v>22858</v>
      </c>
      <c r="L8936" t="s">
        <v>10632</v>
      </c>
      <c r="M8936" t="s">
        <v>10633</v>
      </c>
      <c r="N8936" t="s">
        <v>10633</v>
      </c>
      <c r="O8936" t="s">
        <v>23</v>
      </c>
      <c r="P8936" t="s">
        <v>24</v>
      </c>
      <c r="Q8936" t="s">
        <v>6484</v>
      </c>
      <c r="R8936" t="s">
        <v>10109</v>
      </c>
    </row>
    <row r="8937" spans="1:18" x14ac:dyDescent="0.25">
      <c r="A8937" t="s">
        <v>17494</v>
      </c>
      <c r="B8937" t="s">
        <v>10640</v>
      </c>
      <c r="C8937" t="str">
        <f>HYPERLINK("https://nematode.unl.edu/prasc3.jpg")</f>
        <v>https://nematode.unl.edu/prasc3.jpg</v>
      </c>
      <c r="D8937" t="s">
        <v>43</v>
      </c>
      <c r="G8937" t="s">
        <v>181</v>
      </c>
      <c r="I8937" t="s">
        <v>19</v>
      </c>
      <c r="J8937" t="s">
        <v>10631</v>
      </c>
      <c r="K8937" t="s">
        <v>22858</v>
      </c>
      <c r="L8937" t="s">
        <v>10632</v>
      </c>
      <c r="M8937" t="s">
        <v>10633</v>
      </c>
      <c r="N8937" t="s">
        <v>10633</v>
      </c>
      <c r="O8937" t="s">
        <v>23</v>
      </c>
      <c r="P8937" t="s">
        <v>24</v>
      </c>
      <c r="Q8937" t="s">
        <v>6484</v>
      </c>
      <c r="R8937" t="s">
        <v>10109</v>
      </c>
    </row>
    <row r="8938" spans="1:18" x14ac:dyDescent="0.25">
      <c r="A8938" t="s">
        <v>17454</v>
      </c>
      <c r="B8938" t="s">
        <v>10641</v>
      </c>
      <c r="C8938" t="str">
        <f>HYPERLINK("https://nematode.unl.edu/prasc4.jpg")</f>
        <v>https://nematode.unl.edu/prasc4.jpg</v>
      </c>
      <c r="D8938" t="s">
        <v>43</v>
      </c>
      <c r="G8938" t="s">
        <v>34</v>
      </c>
      <c r="H8938" t="s">
        <v>18</v>
      </c>
      <c r="I8938" t="s">
        <v>41</v>
      </c>
      <c r="J8938" t="s">
        <v>10631</v>
      </c>
      <c r="K8938" t="s">
        <v>22858</v>
      </c>
      <c r="L8938" t="s">
        <v>10632</v>
      </c>
      <c r="M8938" t="s">
        <v>10633</v>
      </c>
      <c r="N8938" t="s">
        <v>10633</v>
      </c>
      <c r="O8938" t="s">
        <v>23</v>
      </c>
      <c r="P8938" t="s">
        <v>24</v>
      </c>
      <c r="Q8938" t="s">
        <v>6484</v>
      </c>
      <c r="R8938" t="s">
        <v>10109</v>
      </c>
    </row>
    <row r="8939" spans="1:18" x14ac:dyDescent="0.25">
      <c r="A8939" t="s">
        <v>17501</v>
      </c>
      <c r="B8939" t="s">
        <v>10642</v>
      </c>
      <c r="C8939" t="str">
        <f>HYPERLINK("https://nematode.unl.edu/prasc5.jpg")</f>
        <v>https://nematode.unl.edu/prasc5.jpg</v>
      </c>
      <c r="D8939" t="s">
        <v>43</v>
      </c>
      <c r="G8939" t="s">
        <v>28</v>
      </c>
      <c r="I8939" t="s">
        <v>41</v>
      </c>
      <c r="J8939" t="s">
        <v>10631</v>
      </c>
      <c r="K8939" t="s">
        <v>22858</v>
      </c>
      <c r="L8939" t="s">
        <v>10632</v>
      </c>
      <c r="M8939" t="s">
        <v>10633</v>
      </c>
      <c r="N8939" t="s">
        <v>10633</v>
      </c>
      <c r="O8939" t="s">
        <v>23</v>
      </c>
      <c r="P8939" t="s">
        <v>24</v>
      </c>
      <c r="Q8939" t="s">
        <v>6484</v>
      </c>
      <c r="R8939" t="s">
        <v>10109</v>
      </c>
    </row>
    <row r="8940" spans="1:18" x14ac:dyDescent="0.25">
      <c r="A8940" t="s">
        <v>17479</v>
      </c>
      <c r="B8940" t="s">
        <v>10643</v>
      </c>
      <c r="C8940" t="str">
        <f>HYPERLINK("https://nematode.unl.edu/prasc6.jpg")</f>
        <v>https://nematode.unl.edu/prasc6.jpg</v>
      </c>
      <c r="D8940" t="s">
        <v>43</v>
      </c>
      <c r="G8940" t="s">
        <v>53</v>
      </c>
      <c r="I8940" t="s">
        <v>41</v>
      </c>
      <c r="J8940" t="s">
        <v>10631</v>
      </c>
      <c r="K8940" t="s">
        <v>22858</v>
      </c>
      <c r="L8940" t="s">
        <v>10632</v>
      </c>
      <c r="M8940" t="s">
        <v>10633</v>
      </c>
      <c r="N8940" t="s">
        <v>10633</v>
      </c>
      <c r="O8940" t="s">
        <v>23</v>
      </c>
      <c r="P8940" t="s">
        <v>24</v>
      </c>
      <c r="Q8940" t="s">
        <v>6484</v>
      </c>
      <c r="R8940" t="s">
        <v>10109</v>
      </c>
    </row>
    <row r="8941" spans="1:18" x14ac:dyDescent="0.25">
      <c r="A8941" t="s">
        <v>17466</v>
      </c>
      <c r="B8941" t="s">
        <v>10644</v>
      </c>
      <c r="C8941" t="str">
        <f>HYPERLINK("https://nematode.unl.edu/prasc7.jpg")</f>
        <v>https://nematode.unl.edu/prasc7.jpg</v>
      </c>
      <c r="D8941" t="s">
        <v>77</v>
      </c>
      <c r="G8941" t="s">
        <v>44</v>
      </c>
      <c r="I8941" t="s">
        <v>45</v>
      </c>
      <c r="J8941" t="s">
        <v>10631</v>
      </c>
      <c r="K8941" t="s">
        <v>22858</v>
      </c>
      <c r="L8941" t="s">
        <v>10632</v>
      </c>
      <c r="M8941" t="s">
        <v>10633</v>
      </c>
      <c r="N8941" t="s">
        <v>10633</v>
      </c>
      <c r="O8941" t="s">
        <v>23</v>
      </c>
      <c r="P8941" t="s">
        <v>24</v>
      </c>
      <c r="Q8941" t="s">
        <v>6484</v>
      </c>
      <c r="R8941" t="s">
        <v>10109</v>
      </c>
    </row>
    <row r="8942" spans="1:18" x14ac:dyDescent="0.25">
      <c r="A8942" t="s">
        <v>17455</v>
      </c>
      <c r="B8942" t="s">
        <v>10645</v>
      </c>
      <c r="C8942" t="str">
        <f>HYPERLINK("https://nematode.unl.edu/prasc8.jpg")</f>
        <v>https://nematode.unl.edu/prasc8.jpg</v>
      </c>
      <c r="D8942" t="s">
        <v>43</v>
      </c>
      <c r="G8942" t="s">
        <v>34</v>
      </c>
      <c r="H8942" t="s">
        <v>18</v>
      </c>
      <c r="I8942" t="s">
        <v>19</v>
      </c>
      <c r="J8942" t="s">
        <v>10631</v>
      </c>
      <c r="K8942" t="s">
        <v>22858</v>
      </c>
      <c r="L8942" t="s">
        <v>10632</v>
      </c>
      <c r="M8942" t="s">
        <v>10633</v>
      </c>
      <c r="N8942" t="s">
        <v>10633</v>
      </c>
      <c r="O8942" t="s">
        <v>23</v>
      </c>
      <c r="P8942" t="s">
        <v>24</v>
      </c>
      <c r="Q8942" t="s">
        <v>6484</v>
      </c>
      <c r="R8942" t="s">
        <v>10109</v>
      </c>
    </row>
    <row r="8943" spans="1:18" x14ac:dyDescent="0.25">
      <c r="A8943" t="s">
        <v>17502</v>
      </c>
      <c r="B8943" t="s">
        <v>10646</v>
      </c>
      <c r="C8943" t="str">
        <f>HYPERLINK("https://nematode.unl.edu/prasc9.jpg")</f>
        <v>https://nematode.unl.edu/prasc9.jpg</v>
      </c>
      <c r="D8943" t="s">
        <v>43</v>
      </c>
      <c r="G8943" t="s">
        <v>28</v>
      </c>
      <c r="I8943" t="s">
        <v>19</v>
      </c>
      <c r="J8943" t="s">
        <v>10631</v>
      </c>
      <c r="K8943" t="s">
        <v>22858</v>
      </c>
      <c r="L8943" t="s">
        <v>10632</v>
      </c>
      <c r="M8943" t="s">
        <v>10633</v>
      </c>
      <c r="N8943" t="s">
        <v>10633</v>
      </c>
      <c r="O8943" t="s">
        <v>23</v>
      </c>
      <c r="P8943" t="s">
        <v>24</v>
      </c>
      <c r="Q8943" t="s">
        <v>6484</v>
      </c>
      <c r="R8943" t="s">
        <v>10109</v>
      </c>
    </row>
    <row r="8944" spans="1:18" x14ac:dyDescent="0.25">
      <c r="A8944" t="s">
        <v>17467</v>
      </c>
      <c r="B8944" t="s">
        <v>10647</v>
      </c>
      <c r="C8944" t="str">
        <f>HYPERLINK("https://nematode.unl.edu/prascrib1.jpg")</f>
        <v>https://nematode.unl.edu/prascrib1.jpg</v>
      </c>
      <c r="D8944" t="s">
        <v>43</v>
      </c>
      <c r="G8944" t="s">
        <v>44</v>
      </c>
      <c r="I8944" t="s">
        <v>45</v>
      </c>
      <c r="J8944" t="s">
        <v>10648</v>
      </c>
      <c r="L8944" t="s">
        <v>4481</v>
      </c>
      <c r="M8944" t="s">
        <v>10633</v>
      </c>
      <c r="N8944" t="s">
        <v>10633</v>
      </c>
      <c r="O8944" t="s">
        <v>23</v>
      </c>
      <c r="P8944" t="s">
        <v>24</v>
      </c>
      <c r="Q8944" t="s">
        <v>6484</v>
      </c>
      <c r="R8944" t="s">
        <v>10109</v>
      </c>
    </row>
    <row r="8945" spans="1:18" x14ac:dyDescent="0.25">
      <c r="A8945" t="s">
        <v>17512</v>
      </c>
      <c r="B8945" t="s">
        <v>10649</v>
      </c>
      <c r="C8945" t="str">
        <f>HYPERLINK("https://nematode.unl.edu/prascrib10.jpg")</f>
        <v>https://nematode.unl.edu/prascrib10.jpg</v>
      </c>
      <c r="D8945" t="s">
        <v>43</v>
      </c>
      <c r="G8945" t="s">
        <v>51</v>
      </c>
      <c r="I8945" t="s">
        <v>41</v>
      </c>
      <c r="J8945" t="s">
        <v>10648</v>
      </c>
      <c r="L8945" t="s">
        <v>4481</v>
      </c>
      <c r="M8945" t="s">
        <v>10633</v>
      </c>
      <c r="N8945" t="s">
        <v>10633</v>
      </c>
      <c r="O8945" t="s">
        <v>23</v>
      </c>
      <c r="P8945" t="s">
        <v>24</v>
      </c>
      <c r="Q8945" t="s">
        <v>6484</v>
      </c>
      <c r="R8945" t="s">
        <v>10109</v>
      </c>
    </row>
    <row r="8946" spans="1:18" x14ac:dyDescent="0.25">
      <c r="A8946" t="s">
        <v>17473</v>
      </c>
      <c r="B8946" t="s">
        <v>10650</v>
      </c>
      <c r="C8946" t="str">
        <f>HYPERLINK("https://nematode.unl.edu/prascrib11.jpg")</f>
        <v>https://nematode.unl.edu/prascrib11.jpg</v>
      </c>
      <c r="D8946" t="s">
        <v>43</v>
      </c>
      <c r="G8946" t="s">
        <v>3931</v>
      </c>
      <c r="I8946" t="s">
        <v>41</v>
      </c>
      <c r="J8946" t="s">
        <v>10648</v>
      </c>
      <c r="L8946" t="s">
        <v>4481</v>
      </c>
      <c r="M8946" t="s">
        <v>10633</v>
      </c>
      <c r="N8946" t="s">
        <v>10633</v>
      </c>
      <c r="O8946" t="s">
        <v>23</v>
      </c>
      <c r="P8946" t="s">
        <v>24</v>
      </c>
      <c r="Q8946" t="s">
        <v>6484</v>
      </c>
      <c r="R8946" t="s">
        <v>10109</v>
      </c>
    </row>
    <row r="8947" spans="1:18" x14ac:dyDescent="0.25">
      <c r="A8947" t="s">
        <v>17474</v>
      </c>
      <c r="B8947" t="s">
        <v>10651</v>
      </c>
      <c r="C8947" t="str">
        <f>HYPERLINK("https://nematode.unl.edu/prascrib12.jpg")</f>
        <v>https://nematode.unl.edu/prascrib12.jpg</v>
      </c>
      <c r="D8947" t="s">
        <v>43</v>
      </c>
      <c r="G8947" t="s">
        <v>10652</v>
      </c>
      <c r="I8947" t="s">
        <v>41</v>
      </c>
      <c r="J8947" t="s">
        <v>10648</v>
      </c>
      <c r="L8947" t="s">
        <v>4481</v>
      </c>
      <c r="M8947" t="s">
        <v>10633</v>
      </c>
      <c r="N8947" t="s">
        <v>10633</v>
      </c>
      <c r="O8947" t="s">
        <v>23</v>
      </c>
      <c r="P8947" t="s">
        <v>24</v>
      </c>
      <c r="Q8947" t="s">
        <v>6484</v>
      </c>
      <c r="R8947" t="s">
        <v>10109</v>
      </c>
    </row>
    <row r="8948" spans="1:18" x14ac:dyDescent="0.25">
      <c r="A8948" t="s">
        <v>17489</v>
      </c>
      <c r="B8948" t="s">
        <v>10653</v>
      </c>
      <c r="C8948" t="str">
        <f>HYPERLINK("https://nematode.unl.edu/prascrib13.jpg")</f>
        <v>https://nematode.unl.edu/prascrib13.jpg</v>
      </c>
      <c r="D8948" t="s">
        <v>43</v>
      </c>
      <c r="G8948" t="s">
        <v>414</v>
      </c>
      <c r="I8948" t="s">
        <v>41</v>
      </c>
      <c r="J8948" t="s">
        <v>10648</v>
      </c>
      <c r="L8948" t="s">
        <v>4481</v>
      </c>
      <c r="M8948" t="s">
        <v>10633</v>
      </c>
      <c r="N8948" t="s">
        <v>10633</v>
      </c>
      <c r="O8948" t="s">
        <v>23</v>
      </c>
      <c r="P8948" t="s">
        <v>24</v>
      </c>
      <c r="Q8948" t="s">
        <v>6484</v>
      </c>
      <c r="R8948" t="s">
        <v>10109</v>
      </c>
    </row>
    <row r="8949" spans="1:18" x14ac:dyDescent="0.25">
      <c r="A8949" t="s">
        <v>17475</v>
      </c>
      <c r="B8949" t="s">
        <v>10654</v>
      </c>
      <c r="C8949" t="str">
        <f>HYPERLINK("https://nematode.unl.edu/prascrib14.jpg")</f>
        <v>https://nematode.unl.edu/prascrib14.jpg</v>
      </c>
      <c r="D8949" t="s">
        <v>43</v>
      </c>
      <c r="G8949" t="s">
        <v>10655</v>
      </c>
      <c r="I8949" t="s">
        <v>41</v>
      </c>
      <c r="J8949" t="s">
        <v>10648</v>
      </c>
      <c r="L8949" t="s">
        <v>4481</v>
      </c>
      <c r="M8949" t="s">
        <v>10633</v>
      </c>
      <c r="N8949" t="s">
        <v>10633</v>
      </c>
      <c r="O8949" t="s">
        <v>23</v>
      </c>
      <c r="P8949" t="s">
        <v>24</v>
      </c>
      <c r="Q8949" t="s">
        <v>6484</v>
      </c>
      <c r="R8949" t="s">
        <v>10109</v>
      </c>
    </row>
    <row r="8950" spans="1:18" x14ac:dyDescent="0.25">
      <c r="A8950" t="s">
        <v>17464</v>
      </c>
      <c r="B8950" t="s">
        <v>10656</v>
      </c>
      <c r="C8950" t="str">
        <f>HYPERLINK("https://nematode.unl.edu/prascrib15.jpg")</f>
        <v>https://nematode.unl.edu/prascrib15.jpg</v>
      </c>
      <c r="D8950" t="s">
        <v>43</v>
      </c>
      <c r="G8950" t="s">
        <v>257</v>
      </c>
      <c r="H8950" t="s">
        <v>18</v>
      </c>
      <c r="I8950" t="s">
        <v>41</v>
      </c>
      <c r="J8950" t="s">
        <v>10648</v>
      </c>
      <c r="L8950" t="s">
        <v>4481</v>
      </c>
      <c r="M8950" t="s">
        <v>10633</v>
      </c>
      <c r="N8950" t="s">
        <v>10633</v>
      </c>
      <c r="O8950" t="s">
        <v>23</v>
      </c>
      <c r="P8950" t="s">
        <v>24</v>
      </c>
      <c r="Q8950" t="s">
        <v>6484</v>
      </c>
      <c r="R8950" t="s">
        <v>10109</v>
      </c>
    </row>
    <row r="8951" spans="1:18" x14ac:dyDescent="0.25">
      <c r="A8951" t="s">
        <v>17456</v>
      </c>
      <c r="B8951" t="s">
        <v>10657</v>
      </c>
      <c r="C8951" t="str">
        <f>HYPERLINK("https://nematode.unl.edu/prascrib16.jpg")</f>
        <v>https://nematode.unl.edu/prascrib16.jpg</v>
      </c>
      <c r="D8951" t="s">
        <v>43</v>
      </c>
      <c r="G8951" t="s">
        <v>34</v>
      </c>
      <c r="H8951" t="s">
        <v>18</v>
      </c>
      <c r="I8951" t="s">
        <v>41</v>
      </c>
      <c r="J8951" t="s">
        <v>10648</v>
      </c>
      <c r="L8951" t="s">
        <v>4481</v>
      </c>
      <c r="M8951" t="s">
        <v>10633</v>
      </c>
      <c r="N8951" t="s">
        <v>10633</v>
      </c>
      <c r="O8951" t="s">
        <v>23</v>
      </c>
      <c r="P8951" t="s">
        <v>24</v>
      </c>
      <c r="Q8951" t="s">
        <v>6484</v>
      </c>
      <c r="R8951" t="s">
        <v>10109</v>
      </c>
    </row>
    <row r="8952" spans="1:18" x14ac:dyDescent="0.25">
      <c r="A8952" t="s">
        <v>17457</v>
      </c>
      <c r="B8952" t="s">
        <v>10658</v>
      </c>
      <c r="C8952" t="str">
        <f>HYPERLINK("https://nematode.unl.edu/prascrib17.jpg")</f>
        <v>https://nematode.unl.edu/prascrib17.jpg</v>
      </c>
      <c r="D8952" t="s">
        <v>43</v>
      </c>
      <c r="G8952" t="s">
        <v>34</v>
      </c>
      <c r="H8952" t="s">
        <v>18</v>
      </c>
      <c r="I8952" t="s">
        <v>41</v>
      </c>
      <c r="J8952" t="s">
        <v>10648</v>
      </c>
      <c r="L8952" t="s">
        <v>4481</v>
      </c>
      <c r="M8952" t="s">
        <v>10633</v>
      </c>
      <c r="N8952" t="s">
        <v>10633</v>
      </c>
      <c r="O8952" t="s">
        <v>23</v>
      </c>
      <c r="P8952" t="s">
        <v>24</v>
      </c>
      <c r="Q8952" t="s">
        <v>6484</v>
      </c>
      <c r="R8952" t="s">
        <v>10109</v>
      </c>
    </row>
    <row r="8953" spans="1:18" x14ac:dyDescent="0.25">
      <c r="A8953" t="s">
        <v>17449</v>
      </c>
      <c r="B8953" t="s">
        <v>10659</v>
      </c>
      <c r="C8953" t="str">
        <f>HYPERLINK("https://nematode.unl.edu/prascrib18.jpg")</f>
        <v>https://nematode.unl.edu/prascrib18.jpg</v>
      </c>
      <c r="D8953" t="s">
        <v>43</v>
      </c>
      <c r="G8953" t="s">
        <v>96</v>
      </c>
      <c r="H8953" t="s">
        <v>18</v>
      </c>
      <c r="I8953" t="s">
        <v>41</v>
      </c>
      <c r="J8953" t="s">
        <v>10648</v>
      </c>
      <c r="L8953" t="s">
        <v>4481</v>
      </c>
      <c r="M8953" t="s">
        <v>10633</v>
      </c>
      <c r="N8953" t="s">
        <v>10633</v>
      </c>
      <c r="O8953" t="s">
        <v>23</v>
      </c>
      <c r="P8953" t="s">
        <v>24</v>
      </c>
      <c r="Q8953" t="s">
        <v>6484</v>
      </c>
      <c r="R8953" t="s">
        <v>10109</v>
      </c>
    </row>
    <row r="8954" spans="1:18" x14ac:dyDescent="0.25">
      <c r="A8954" t="s">
        <v>17480</v>
      </c>
      <c r="B8954" t="s">
        <v>10660</v>
      </c>
      <c r="C8954" t="str">
        <f>HYPERLINK("https://nematode.unl.edu/prascrib19.jpg")</f>
        <v>https://nematode.unl.edu/prascrib19.jpg</v>
      </c>
      <c r="D8954" t="s">
        <v>43</v>
      </c>
      <c r="G8954" t="s">
        <v>53</v>
      </c>
      <c r="J8954" t="s">
        <v>10648</v>
      </c>
      <c r="L8954" t="s">
        <v>4481</v>
      </c>
      <c r="M8954" t="s">
        <v>10633</v>
      </c>
      <c r="N8954" t="s">
        <v>10633</v>
      </c>
      <c r="O8954" t="s">
        <v>23</v>
      </c>
      <c r="P8954" t="s">
        <v>24</v>
      </c>
      <c r="Q8954" t="s">
        <v>6484</v>
      </c>
      <c r="R8954" t="s">
        <v>10109</v>
      </c>
    </row>
    <row r="8955" spans="1:18" x14ac:dyDescent="0.25">
      <c r="A8955" t="s">
        <v>17503</v>
      </c>
      <c r="B8955" t="s">
        <v>10661</v>
      </c>
      <c r="C8955" t="str">
        <f>HYPERLINK("https://nematode.unl.edu/prascrib2.jpg")</f>
        <v>https://nematode.unl.edu/prascrib2.jpg</v>
      </c>
      <c r="D8955" t="s">
        <v>43</v>
      </c>
      <c r="G8955" t="s">
        <v>28</v>
      </c>
      <c r="I8955" t="s">
        <v>19</v>
      </c>
      <c r="J8955" t="s">
        <v>10648</v>
      </c>
      <c r="L8955" t="s">
        <v>4481</v>
      </c>
      <c r="M8955" t="s">
        <v>10633</v>
      </c>
      <c r="N8955" t="s">
        <v>10633</v>
      </c>
      <c r="O8955" t="s">
        <v>23</v>
      </c>
      <c r="P8955" t="s">
        <v>24</v>
      </c>
      <c r="Q8955" t="s">
        <v>6484</v>
      </c>
      <c r="R8955" t="s">
        <v>10109</v>
      </c>
    </row>
    <row r="8956" spans="1:18" x14ac:dyDescent="0.25">
      <c r="A8956" t="s">
        <v>17497</v>
      </c>
      <c r="B8956" t="s">
        <v>10662</v>
      </c>
      <c r="C8956" t="str">
        <f>HYPERLINK("https://nematode.unl.edu/prascrib20.jpg")</f>
        <v>https://nematode.unl.edu/prascrib20.jpg</v>
      </c>
      <c r="D8956" t="s">
        <v>77</v>
      </c>
      <c r="G8956" t="s">
        <v>1404</v>
      </c>
      <c r="I8956" t="s">
        <v>41</v>
      </c>
      <c r="J8956" t="s">
        <v>10648</v>
      </c>
      <c r="L8956" t="s">
        <v>4481</v>
      </c>
      <c r="M8956" t="s">
        <v>10633</v>
      </c>
      <c r="N8956" t="s">
        <v>10633</v>
      </c>
      <c r="O8956" t="s">
        <v>23</v>
      </c>
      <c r="P8956" t="s">
        <v>24</v>
      </c>
      <c r="Q8956" t="s">
        <v>6484</v>
      </c>
      <c r="R8956" t="s">
        <v>10109</v>
      </c>
    </row>
    <row r="8957" spans="1:18" x14ac:dyDescent="0.25">
      <c r="A8957" t="s">
        <v>17472</v>
      </c>
      <c r="B8957" t="s">
        <v>10663</v>
      </c>
      <c r="C8957" t="str">
        <f>HYPERLINK("https://nematode.unl.edu/prascrib21.jpg")</f>
        <v>https://nematode.unl.edu/prascrib21.jpg</v>
      </c>
      <c r="D8957" t="s">
        <v>43</v>
      </c>
      <c r="G8957" t="s">
        <v>2964</v>
      </c>
      <c r="I8957" t="s">
        <v>41</v>
      </c>
      <c r="J8957" t="s">
        <v>10648</v>
      </c>
      <c r="L8957" t="s">
        <v>4481</v>
      </c>
      <c r="M8957" t="s">
        <v>10633</v>
      </c>
      <c r="N8957" t="s">
        <v>10633</v>
      </c>
      <c r="O8957" t="s">
        <v>23</v>
      </c>
      <c r="P8957" t="s">
        <v>24</v>
      </c>
      <c r="Q8957" t="s">
        <v>6484</v>
      </c>
      <c r="R8957" t="s">
        <v>10109</v>
      </c>
    </row>
    <row r="8958" spans="1:18" x14ac:dyDescent="0.25">
      <c r="A8958" t="s">
        <v>17490</v>
      </c>
      <c r="B8958" t="s">
        <v>10664</v>
      </c>
      <c r="C8958" t="str">
        <f>HYPERLINK("https://nematode.unl.edu/prascrib22.jpg")</f>
        <v>https://nematode.unl.edu/prascrib22.jpg</v>
      </c>
      <c r="D8958" t="s">
        <v>43</v>
      </c>
      <c r="G8958" t="s">
        <v>414</v>
      </c>
      <c r="I8958" t="s">
        <v>41</v>
      </c>
      <c r="J8958" t="s">
        <v>10648</v>
      </c>
      <c r="L8958" t="s">
        <v>4481</v>
      </c>
      <c r="M8958" t="s">
        <v>10633</v>
      </c>
      <c r="N8958" t="s">
        <v>10633</v>
      </c>
      <c r="O8958" t="s">
        <v>23</v>
      </c>
      <c r="P8958" t="s">
        <v>24</v>
      </c>
      <c r="Q8958" t="s">
        <v>6484</v>
      </c>
      <c r="R8958" t="s">
        <v>10109</v>
      </c>
    </row>
    <row r="8959" spans="1:18" x14ac:dyDescent="0.25">
      <c r="A8959" t="s">
        <v>17476</v>
      </c>
      <c r="B8959" t="s">
        <v>10665</v>
      </c>
      <c r="C8959" t="str">
        <f>HYPERLINK("https://nematode.unl.edu/prascrib23.jpg")</f>
        <v>https://nematode.unl.edu/prascrib23.jpg</v>
      </c>
      <c r="D8959" t="s">
        <v>43</v>
      </c>
      <c r="G8959" t="s">
        <v>10655</v>
      </c>
      <c r="I8959" t="s">
        <v>41</v>
      </c>
      <c r="J8959" t="s">
        <v>10648</v>
      </c>
      <c r="L8959" t="s">
        <v>4481</v>
      </c>
      <c r="M8959" t="s">
        <v>10633</v>
      </c>
      <c r="N8959" t="s">
        <v>10633</v>
      </c>
      <c r="O8959" t="s">
        <v>23</v>
      </c>
      <c r="P8959" t="s">
        <v>24</v>
      </c>
      <c r="Q8959" t="s">
        <v>6484</v>
      </c>
      <c r="R8959" t="s">
        <v>10109</v>
      </c>
    </row>
    <row r="8960" spans="1:18" x14ac:dyDescent="0.25">
      <c r="A8960" t="s">
        <v>17450</v>
      </c>
      <c r="B8960" t="s">
        <v>10666</v>
      </c>
      <c r="C8960" t="str">
        <f>HYPERLINK("https://nematode.unl.edu/prascrib24.jpg")</f>
        <v>https://nematode.unl.edu/prascrib24.jpg</v>
      </c>
      <c r="D8960" t="s">
        <v>43</v>
      </c>
      <c r="G8960" t="s">
        <v>96</v>
      </c>
      <c r="H8960" t="s">
        <v>18</v>
      </c>
      <c r="I8960" t="s">
        <v>41</v>
      </c>
      <c r="J8960" t="s">
        <v>10648</v>
      </c>
      <c r="L8960" t="s">
        <v>4481</v>
      </c>
      <c r="M8960" t="s">
        <v>10633</v>
      </c>
      <c r="N8960" t="s">
        <v>10633</v>
      </c>
      <c r="O8960" t="s">
        <v>23</v>
      </c>
      <c r="P8960" t="s">
        <v>24</v>
      </c>
      <c r="Q8960" t="s">
        <v>6484</v>
      </c>
      <c r="R8960" t="s">
        <v>10109</v>
      </c>
    </row>
    <row r="8961" spans="1:18" x14ac:dyDescent="0.25">
      <c r="A8961" t="s">
        <v>17513</v>
      </c>
      <c r="B8961" t="s">
        <v>10667</v>
      </c>
      <c r="C8961" t="str">
        <f>HYPERLINK("https://nematode.unl.edu/prascrib3.jpg")</f>
        <v>https://nematode.unl.edu/prascrib3.jpg</v>
      </c>
      <c r="D8961" t="s">
        <v>43</v>
      </c>
      <c r="G8961" t="s">
        <v>51</v>
      </c>
      <c r="J8961" t="s">
        <v>10648</v>
      </c>
      <c r="L8961" t="s">
        <v>4481</v>
      </c>
      <c r="M8961" t="s">
        <v>10633</v>
      </c>
      <c r="N8961" t="s">
        <v>10633</v>
      </c>
      <c r="O8961" t="s">
        <v>23</v>
      </c>
      <c r="P8961" t="s">
        <v>24</v>
      </c>
      <c r="Q8961" t="s">
        <v>6484</v>
      </c>
      <c r="R8961" t="s">
        <v>10109</v>
      </c>
    </row>
    <row r="8962" spans="1:18" x14ac:dyDescent="0.25">
      <c r="A8962" t="s">
        <v>17458</v>
      </c>
      <c r="B8962" t="s">
        <v>10668</v>
      </c>
      <c r="C8962" t="str">
        <f>HYPERLINK("https://nematode.unl.edu/prascrib4.jpg")</f>
        <v>https://nematode.unl.edu/prascrib4.jpg</v>
      </c>
      <c r="D8962" t="s">
        <v>43</v>
      </c>
      <c r="G8962" t="s">
        <v>34</v>
      </c>
      <c r="H8962" t="s">
        <v>18</v>
      </c>
      <c r="J8962" t="s">
        <v>10648</v>
      </c>
      <c r="L8962" t="s">
        <v>4481</v>
      </c>
      <c r="M8962" t="s">
        <v>10633</v>
      </c>
      <c r="N8962" t="s">
        <v>10633</v>
      </c>
      <c r="O8962" t="s">
        <v>23</v>
      </c>
      <c r="P8962" t="s">
        <v>24</v>
      </c>
      <c r="Q8962" t="s">
        <v>6484</v>
      </c>
      <c r="R8962" t="s">
        <v>10109</v>
      </c>
    </row>
    <row r="8963" spans="1:18" x14ac:dyDescent="0.25">
      <c r="A8963" t="s">
        <v>17451</v>
      </c>
      <c r="B8963" t="s">
        <v>10669</v>
      </c>
      <c r="C8963" t="str">
        <f>HYPERLINK("https://nematode.unl.edu/prascrib5.jpg")</f>
        <v>https://nematode.unl.edu/prascrib5.jpg</v>
      </c>
      <c r="D8963" t="s">
        <v>43</v>
      </c>
      <c r="G8963" t="s">
        <v>96</v>
      </c>
      <c r="H8963" t="s">
        <v>18</v>
      </c>
      <c r="I8963" t="s">
        <v>41</v>
      </c>
      <c r="J8963" t="s">
        <v>10648</v>
      </c>
      <c r="L8963" t="s">
        <v>4481</v>
      </c>
      <c r="M8963" t="s">
        <v>10633</v>
      </c>
      <c r="N8963" t="s">
        <v>10633</v>
      </c>
      <c r="O8963" t="s">
        <v>23</v>
      </c>
      <c r="P8963" t="s">
        <v>24</v>
      </c>
      <c r="Q8963" t="s">
        <v>6484</v>
      </c>
      <c r="R8963" t="s">
        <v>10109</v>
      </c>
    </row>
    <row r="8964" spans="1:18" x14ac:dyDescent="0.25">
      <c r="A8964" t="s">
        <v>17481</v>
      </c>
      <c r="B8964" t="s">
        <v>10670</v>
      </c>
      <c r="C8964" t="str">
        <f>HYPERLINK("https://nematode.unl.edu/prascrib6.jpg")</f>
        <v>https://nematode.unl.edu/prascrib6.jpg</v>
      </c>
      <c r="D8964" t="s">
        <v>43</v>
      </c>
      <c r="G8964" t="s">
        <v>53</v>
      </c>
      <c r="J8964" t="s">
        <v>10648</v>
      </c>
      <c r="L8964" t="s">
        <v>4481</v>
      </c>
      <c r="M8964" t="s">
        <v>10633</v>
      </c>
      <c r="N8964" t="s">
        <v>10633</v>
      </c>
      <c r="O8964" t="s">
        <v>23</v>
      </c>
      <c r="P8964" t="s">
        <v>24</v>
      </c>
      <c r="Q8964" t="s">
        <v>6484</v>
      </c>
      <c r="R8964" t="s">
        <v>10109</v>
      </c>
    </row>
    <row r="8965" spans="1:18" x14ac:dyDescent="0.25">
      <c r="A8965" t="s">
        <v>17504</v>
      </c>
      <c r="B8965" t="s">
        <v>10671</v>
      </c>
      <c r="C8965" t="str">
        <f>HYPERLINK("https://nematode.unl.edu/prascrib7.jpg")</f>
        <v>https://nematode.unl.edu/prascrib7.jpg</v>
      </c>
      <c r="D8965" t="s">
        <v>77</v>
      </c>
      <c r="G8965" t="s">
        <v>28</v>
      </c>
      <c r="I8965" t="s">
        <v>41</v>
      </c>
      <c r="J8965" t="s">
        <v>10648</v>
      </c>
      <c r="L8965" t="s">
        <v>4481</v>
      </c>
      <c r="M8965" t="s">
        <v>10633</v>
      </c>
      <c r="N8965" t="s">
        <v>10633</v>
      </c>
      <c r="O8965" t="s">
        <v>23</v>
      </c>
      <c r="P8965" t="s">
        <v>24</v>
      </c>
      <c r="Q8965" t="s">
        <v>6484</v>
      </c>
      <c r="R8965" t="s">
        <v>10109</v>
      </c>
    </row>
    <row r="8966" spans="1:18" x14ac:dyDescent="0.25">
      <c r="A8966" t="s">
        <v>17514</v>
      </c>
      <c r="B8966" t="s">
        <v>10672</v>
      </c>
      <c r="C8966" t="str">
        <f>HYPERLINK("https://nematode.unl.edu/prascrib8.jpg")</f>
        <v>https://nematode.unl.edu/prascrib8.jpg</v>
      </c>
      <c r="D8966" t="s">
        <v>43</v>
      </c>
      <c r="G8966" t="s">
        <v>51</v>
      </c>
      <c r="I8966" t="s">
        <v>41</v>
      </c>
      <c r="J8966" t="s">
        <v>10648</v>
      </c>
      <c r="L8966" t="s">
        <v>4481</v>
      </c>
      <c r="M8966" t="s">
        <v>10633</v>
      </c>
      <c r="N8966" t="s">
        <v>10633</v>
      </c>
      <c r="O8966" t="s">
        <v>23</v>
      </c>
      <c r="P8966" t="s">
        <v>24</v>
      </c>
      <c r="Q8966" t="s">
        <v>6484</v>
      </c>
      <c r="R8966" t="s">
        <v>10109</v>
      </c>
    </row>
    <row r="8967" spans="1:18" x14ac:dyDescent="0.25">
      <c r="A8967" t="s">
        <v>17498</v>
      </c>
      <c r="B8967" t="s">
        <v>10673</v>
      </c>
      <c r="C8967" t="str">
        <f>HYPERLINK("https://nematode.unl.edu/prascrib9.jpg")</f>
        <v>https://nematode.unl.edu/prascrib9.jpg</v>
      </c>
      <c r="D8967" t="s">
        <v>43</v>
      </c>
      <c r="G8967" t="s">
        <v>1404</v>
      </c>
      <c r="I8967" t="s">
        <v>41</v>
      </c>
      <c r="J8967" t="s">
        <v>10648</v>
      </c>
      <c r="L8967" t="s">
        <v>4481</v>
      </c>
      <c r="M8967" t="s">
        <v>10633</v>
      </c>
      <c r="N8967" t="s">
        <v>10633</v>
      </c>
      <c r="O8967" t="s">
        <v>23</v>
      </c>
      <c r="P8967" t="s">
        <v>24</v>
      </c>
      <c r="Q8967" t="s">
        <v>6484</v>
      </c>
      <c r="R8967" t="s">
        <v>10109</v>
      </c>
    </row>
    <row r="8968" spans="1:18" x14ac:dyDescent="0.25">
      <c r="A8968" t="s">
        <v>17306</v>
      </c>
      <c r="B8968" t="s">
        <v>10491</v>
      </c>
      <c r="C8968" t="str">
        <f>HYPERLINK("https://nematode.unl.edu/pratex1.jpg")</f>
        <v>https://nematode.unl.edu/pratex1.jpg</v>
      </c>
      <c r="D8968" t="s">
        <v>77</v>
      </c>
      <c r="G8968" t="s">
        <v>44</v>
      </c>
      <c r="I8968" t="s">
        <v>516</v>
      </c>
      <c r="J8968" t="s">
        <v>3679</v>
      </c>
      <c r="L8968" t="s">
        <v>4481</v>
      </c>
      <c r="M8968" t="s">
        <v>10466</v>
      </c>
      <c r="N8968" t="s">
        <v>10466</v>
      </c>
      <c r="O8968" t="s">
        <v>23</v>
      </c>
      <c r="P8968" t="s">
        <v>24</v>
      </c>
      <c r="Q8968" t="s">
        <v>6484</v>
      </c>
      <c r="R8968" t="s">
        <v>10109</v>
      </c>
    </row>
    <row r="8969" spans="1:18" x14ac:dyDescent="0.25">
      <c r="A8969" t="s">
        <v>17299</v>
      </c>
      <c r="B8969" t="s">
        <v>10492</v>
      </c>
      <c r="C8969" t="str">
        <f>HYPERLINK("https://nematode.unl.edu/pratex2.jpg")</f>
        <v>https://nematode.unl.edu/pratex2.jpg</v>
      </c>
      <c r="D8969" t="s">
        <v>43</v>
      </c>
      <c r="G8969" t="s">
        <v>34</v>
      </c>
      <c r="H8969" t="s">
        <v>18</v>
      </c>
      <c r="I8969" t="s">
        <v>41</v>
      </c>
      <c r="J8969" t="s">
        <v>3679</v>
      </c>
      <c r="L8969" t="s">
        <v>4481</v>
      </c>
      <c r="M8969" t="s">
        <v>10466</v>
      </c>
      <c r="N8969" t="s">
        <v>10466</v>
      </c>
      <c r="O8969" t="s">
        <v>23</v>
      </c>
      <c r="P8969" t="s">
        <v>24</v>
      </c>
      <c r="Q8969" t="s">
        <v>6484</v>
      </c>
      <c r="R8969" t="s">
        <v>10109</v>
      </c>
    </row>
    <row r="8970" spans="1:18" x14ac:dyDescent="0.25">
      <c r="A8970" t="s">
        <v>17310</v>
      </c>
      <c r="B8970" t="s">
        <v>10493</v>
      </c>
      <c r="C8970" t="str">
        <f>HYPERLINK("https://nematode.unl.edu/pratex3.jpg")</f>
        <v>https://nematode.unl.edu/pratex3.jpg</v>
      </c>
      <c r="D8970" t="s">
        <v>43</v>
      </c>
      <c r="G8970" t="s">
        <v>53</v>
      </c>
      <c r="J8970" t="s">
        <v>3679</v>
      </c>
      <c r="L8970" t="s">
        <v>4481</v>
      </c>
      <c r="M8970" t="s">
        <v>10466</v>
      </c>
      <c r="N8970" t="s">
        <v>10466</v>
      </c>
      <c r="O8970" t="s">
        <v>23</v>
      </c>
      <c r="P8970" t="s">
        <v>24</v>
      </c>
      <c r="Q8970" t="s">
        <v>6484</v>
      </c>
      <c r="R8970" t="s">
        <v>10109</v>
      </c>
    </row>
    <row r="8971" spans="1:18" x14ac:dyDescent="0.25">
      <c r="A8971" t="s">
        <v>17321</v>
      </c>
      <c r="B8971" t="s">
        <v>10494</v>
      </c>
      <c r="C8971" t="str">
        <f>HYPERLINK("https://nematode.unl.edu/pratex4.jpg")</f>
        <v>https://nematode.unl.edu/pratex4.jpg</v>
      </c>
      <c r="D8971" t="s">
        <v>43</v>
      </c>
      <c r="G8971" t="s">
        <v>28</v>
      </c>
      <c r="I8971" t="s">
        <v>41</v>
      </c>
      <c r="J8971" t="s">
        <v>3679</v>
      </c>
      <c r="L8971" t="s">
        <v>4481</v>
      </c>
      <c r="M8971" t="s">
        <v>10466</v>
      </c>
      <c r="N8971" t="s">
        <v>10466</v>
      </c>
      <c r="O8971" t="s">
        <v>23</v>
      </c>
      <c r="P8971" t="s">
        <v>24</v>
      </c>
      <c r="Q8971" t="s">
        <v>6484</v>
      </c>
      <c r="R8971" t="s">
        <v>10109</v>
      </c>
    </row>
    <row r="8972" spans="1:18" x14ac:dyDescent="0.25">
      <c r="A8972" t="s">
        <v>17118</v>
      </c>
      <c r="B8972" t="s">
        <v>10283</v>
      </c>
      <c r="C8972" t="str">
        <f>HYPERLINK("https://nematode.unl.edu/pratfall1.jpg")</f>
        <v>https://nematode.unl.edu/pratfall1.jpg</v>
      </c>
      <c r="D8972" t="s">
        <v>43</v>
      </c>
      <c r="G8972" t="s">
        <v>44</v>
      </c>
      <c r="I8972" t="s">
        <v>45</v>
      </c>
      <c r="J8972" t="s">
        <v>46</v>
      </c>
      <c r="L8972" t="s">
        <v>727</v>
      </c>
      <c r="M8972" t="s">
        <v>10284</v>
      </c>
      <c r="N8972" t="s">
        <v>10284</v>
      </c>
      <c r="O8972" t="s">
        <v>23</v>
      </c>
      <c r="P8972" t="s">
        <v>24</v>
      </c>
      <c r="Q8972" t="s">
        <v>6484</v>
      </c>
      <c r="R8972" t="s">
        <v>10109</v>
      </c>
    </row>
    <row r="8973" spans="1:18" x14ac:dyDescent="0.25">
      <c r="A8973" t="s">
        <v>17119</v>
      </c>
      <c r="B8973" t="s">
        <v>10285</v>
      </c>
      <c r="C8973" t="str">
        <f>HYPERLINK("https://nematode.unl.edu/pratfall2.jpg")</f>
        <v>https://nematode.unl.edu/pratfall2.jpg</v>
      </c>
      <c r="D8973" t="s">
        <v>77</v>
      </c>
      <c r="G8973" t="s">
        <v>1404</v>
      </c>
      <c r="I8973" t="s">
        <v>19</v>
      </c>
      <c r="J8973" t="s">
        <v>46</v>
      </c>
      <c r="L8973" t="s">
        <v>727</v>
      </c>
      <c r="M8973" t="s">
        <v>10284</v>
      </c>
      <c r="N8973" t="s">
        <v>10284</v>
      </c>
      <c r="O8973" t="s">
        <v>23</v>
      </c>
      <c r="P8973" t="s">
        <v>24</v>
      </c>
      <c r="Q8973" t="s">
        <v>6484</v>
      </c>
      <c r="R8973" t="s">
        <v>10109</v>
      </c>
    </row>
    <row r="8974" spans="1:18" x14ac:dyDescent="0.25">
      <c r="A8974" t="s">
        <v>17120</v>
      </c>
      <c r="B8974" t="s">
        <v>10286</v>
      </c>
      <c r="C8974" t="str">
        <f>HYPERLINK("https://nematode.unl.edu/pratfall3.jpg")</f>
        <v>https://nematode.unl.edu/pratfall3.jpg</v>
      </c>
      <c r="D8974" t="s">
        <v>43</v>
      </c>
      <c r="G8974" t="s">
        <v>28</v>
      </c>
      <c r="I8974" t="s">
        <v>516</v>
      </c>
      <c r="J8974" t="s">
        <v>46</v>
      </c>
      <c r="L8974" t="s">
        <v>727</v>
      </c>
      <c r="M8974" t="s">
        <v>10284</v>
      </c>
      <c r="N8974" t="s">
        <v>10284</v>
      </c>
      <c r="O8974" t="s">
        <v>23</v>
      </c>
      <c r="P8974" t="s">
        <v>24</v>
      </c>
      <c r="Q8974" t="s">
        <v>6484</v>
      </c>
      <c r="R8974" t="s">
        <v>10109</v>
      </c>
    </row>
    <row r="8975" spans="1:18" x14ac:dyDescent="0.25">
      <c r="A8975" t="s">
        <v>17117</v>
      </c>
      <c r="B8975" t="s">
        <v>10287</v>
      </c>
      <c r="C8975" t="str">
        <f>HYPERLINK("https://nematode.unl.edu/pratfall4.jpg")</f>
        <v>https://nematode.unl.edu/pratfall4.jpg</v>
      </c>
      <c r="D8975" t="s">
        <v>43</v>
      </c>
      <c r="G8975" t="s">
        <v>34</v>
      </c>
      <c r="H8975" t="s">
        <v>18</v>
      </c>
      <c r="J8975" t="s">
        <v>46</v>
      </c>
      <c r="L8975" t="s">
        <v>727</v>
      </c>
      <c r="M8975" t="s">
        <v>10284</v>
      </c>
      <c r="N8975" t="s">
        <v>10284</v>
      </c>
      <c r="O8975" t="s">
        <v>23</v>
      </c>
      <c r="P8975" t="s">
        <v>24</v>
      </c>
      <c r="Q8975" t="s">
        <v>6484</v>
      </c>
      <c r="R8975" t="s">
        <v>10109</v>
      </c>
    </row>
    <row r="8976" spans="1:18" x14ac:dyDescent="0.25">
      <c r="A8976" t="s">
        <v>16957</v>
      </c>
      <c r="B8976" t="s">
        <v>10117</v>
      </c>
      <c r="C8976" t="str">
        <f>HYPERLINK("https://nematode.unl.edu/prathm1.jpg")</f>
        <v>https://nematode.unl.edu/prathm1.jpg</v>
      </c>
      <c r="D8976" t="s">
        <v>43</v>
      </c>
      <c r="G8976" t="s">
        <v>34</v>
      </c>
      <c r="H8976" t="s">
        <v>18</v>
      </c>
      <c r="I8976" t="s">
        <v>41</v>
      </c>
      <c r="J8976" t="s">
        <v>116</v>
      </c>
      <c r="L8976" t="s">
        <v>85</v>
      </c>
      <c r="M8976" t="s">
        <v>10109</v>
      </c>
      <c r="N8976" t="s">
        <v>10109</v>
      </c>
      <c r="O8976" t="s">
        <v>23</v>
      </c>
      <c r="P8976" t="s">
        <v>24</v>
      </c>
      <c r="Q8976" t="s">
        <v>6484</v>
      </c>
      <c r="R8976" t="s">
        <v>10109</v>
      </c>
    </row>
    <row r="8977" spans="1:18" x14ac:dyDescent="0.25">
      <c r="A8977" t="s">
        <v>16958</v>
      </c>
      <c r="B8977" t="s">
        <v>10118</v>
      </c>
      <c r="C8977" t="str">
        <f>HYPERLINK("https://nematode.unl.edu/prathm2.jpg")</f>
        <v>https://nematode.unl.edu/prathm2.jpg</v>
      </c>
      <c r="D8977" t="s">
        <v>43</v>
      </c>
      <c r="G8977" t="s">
        <v>34</v>
      </c>
      <c r="H8977" t="s">
        <v>18</v>
      </c>
      <c r="I8977" t="s">
        <v>41</v>
      </c>
      <c r="J8977" t="s">
        <v>116</v>
      </c>
      <c r="L8977" t="s">
        <v>85</v>
      </c>
      <c r="M8977" t="s">
        <v>10109</v>
      </c>
      <c r="N8977" t="s">
        <v>10109</v>
      </c>
      <c r="O8977" t="s">
        <v>23</v>
      </c>
      <c r="P8977" t="s">
        <v>24</v>
      </c>
      <c r="Q8977" t="s">
        <v>6484</v>
      </c>
      <c r="R8977" t="s">
        <v>10109</v>
      </c>
    </row>
    <row r="8978" spans="1:18" x14ac:dyDescent="0.25">
      <c r="A8978" t="s">
        <v>16987</v>
      </c>
      <c r="B8978" t="s">
        <v>10119</v>
      </c>
      <c r="C8978" t="str">
        <f>HYPERLINK("https://nematode.unl.edu/prathom1.jpg")</f>
        <v>https://nematode.unl.edu/prathom1.jpg</v>
      </c>
      <c r="D8978" t="s">
        <v>43</v>
      </c>
      <c r="G8978" t="s">
        <v>44</v>
      </c>
      <c r="I8978" t="s">
        <v>499</v>
      </c>
      <c r="J8978" t="s">
        <v>116</v>
      </c>
      <c r="L8978" t="s">
        <v>85</v>
      </c>
      <c r="M8978" t="s">
        <v>10109</v>
      </c>
      <c r="N8978" t="s">
        <v>10109</v>
      </c>
      <c r="O8978" t="s">
        <v>23</v>
      </c>
      <c r="P8978" t="s">
        <v>24</v>
      </c>
      <c r="Q8978" t="s">
        <v>6484</v>
      </c>
      <c r="R8978" t="s">
        <v>10109</v>
      </c>
    </row>
    <row r="8979" spans="1:18" x14ac:dyDescent="0.25">
      <c r="A8979" t="s">
        <v>16959</v>
      </c>
      <c r="B8979" t="s">
        <v>10120</v>
      </c>
      <c r="C8979" t="str">
        <f>HYPERLINK("https://nematode.unl.edu/prathom2.jpg")</f>
        <v>https://nematode.unl.edu/prathom2.jpg</v>
      </c>
      <c r="G8979" t="s">
        <v>34</v>
      </c>
      <c r="H8979" t="s">
        <v>18</v>
      </c>
      <c r="J8979" t="s">
        <v>116</v>
      </c>
      <c r="L8979" t="s">
        <v>85</v>
      </c>
      <c r="M8979" t="s">
        <v>10109</v>
      </c>
      <c r="N8979" t="s">
        <v>10109</v>
      </c>
      <c r="O8979" t="s">
        <v>23</v>
      </c>
      <c r="P8979" t="s">
        <v>24</v>
      </c>
      <c r="Q8979" t="s">
        <v>6484</v>
      </c>
      <c r="R8979" t="s">
        <v>10109</v>
      </c>
    </row>
    <row r="8980" spans="1:18" x14ac:dyDescent="0.25">
      <c r="A8980" t="s">
        <v>17011</v>
      </c>
      <c r="B8980" t="s">
        <v>10121</v>
      </c>
      <c r="C8980" t="str">
        <f>HYPERLINK("https://nematode.unl.edu/prathom3.jpg")</f>
        <v>https://nematode.unl.edu/prathom3.jpg</v>
      </c>
      <c r="D8980" t="s">
        <v>43</v>
      </c>
      <c r="G8980" t="s">
        <v>28</v>
      </c>
      <c r="J8980" t="s">
        <v>116</v>
      </c>
      <c r="L8980" t="s">
        <v>85</v>
      </c>
      <c r="M8980" t="s">
        <v>10109</v>
      </c>
      <c r="N8980" t="s">
        <v>10109</v>
      </c>
      <c r="O8980" t="s">
        <v>23</v>
      </c>
      <c r="P8980" t="s">
        <v>24</v>
      </c>
      <c r="Q8980" t="s">
        <v>6484</v>
      </c>
      <c r="R8980" t="s">
        <v>10109</v>
      </c>
    </row>
    <row r="8981" spans="1:18" x14ac:dyDescent="0.25">
      <c r="A8981" t="s">
        <v>16960</v>
      </c>
      <c r="B8981" t="s">
        <v>10122</v>
      </c>
      <c r="C8981" t="str">
        <f>HYPERLINK("https://nematode.unl.edu/prathom4.jpg")</f>
        <v>https://nematode.unl.edu/prathom4.jpg</v>
      </c>
      <c r="D8981" t="s">
        <v>43</v>
      </c>
      <c r="G8981" t="s">
        <v>34</v>
      </c>
      <c r="H8981" t="s">
        <v>18</v>
      </c>
      <c r="I8981" t="s">
        <v>41</v>
      </c>
      <c r="J8981" t="s">
        <v>116</v>
      </c>
      <c r="L8981" t="s">
        <v>85</v>
      </c>
      <c r="M8981" t="s">
        <v>10109</v>
      </c>
      <c r="N8981" t="s">
        <v>10109</v>
      </c>
      <c r="O8981" t="s">
        <v>23</v>
      </c>
      <c r="P8981" t="s">
        <v>24</v>
      </c>
      <c r="Q8981" t="s">
        <v>6484</v>
      </c>
      <c r="R8981" t="s">
        <v>10109</v>
      </c>
    </row>
    <row r="8982" spans="1:18" x14ac:dyDescent="0.25">
      <c r="A8982" t="s">
        <v>16997</v>
      </c>
      <c r="B8982" t="s">
        <v>10123</v>
      </c>
      <c r="C8982" t="str">
        <f>HYPERLINK("https://nematode.unl.edu/prathom5.jpg")</f>
        <v>https://nematode.unl.edu/prathom5.jpg</v>
      </c>
      <c r="D8982" t="s">
        <v>43</v>
      </c>
      <c r="G8982" t="s">
        <v>53</v>
      </c>
      <c r="I8982" t="s">
        <v>41</v>
      </c>
      <c r="J8982" t="s">
        <v>116</v>
      </c>
      <c r="L8982" t="s">
        <v>85</v>
      </c>
      <c r="M8982" t="s">
        <v>10109</v>
      </c>
      <c r="N8982" t="s">
        <v>10109</v>
      </c>
      <c r="O8982" t="s">
        <v>23</v>
      </c>
      <c r="P8982" t="s">
        <v>24</v>
      </c>
      <c r="Q8982" t="s">
        <v>6484</v>
      </c>
      <c r="R8982" t="s">
        <v>10109</v>
      </c>
    </row>
    <row r="8983" spans="1:18" x14ac:dyDescent="0.25">
      <c r="A8983" t="s">
        <v>17516</v>
      </c>
      <c r="B8983" t="s">
        <v>10707</v>
      </c>
      <c r="C8983" t="str">
        <f>HYPERLINK("https://nematode.unl.edu/prathy1.jpg")</f>
        <v>https://nematode.unl.edu/prathy1.jpg</v>
      </c>
      <c r="D8983" t="s">
        <v>43</v>
      </c>
      <c r="G8983" t="s">
        <v>96</v>
      </c>
      <c r="H8983" t="s">
        <v>18</v>
      </c>
      <c r="I8983" t="s">
        <v>41</v>
      </c>
      <c r="J8983" t="s">
        <v>10259</v>
      </c>
      <c r="L8983" t="s">
        <v>1087</v>
      </c>
      <c r="M8983" t="s">
        <v>10708</v>
      </c>
      <c r="N8983" t="s">
        <v>10708</v>
      </c>
      <c r="O8983" t="s">
        <v>23</v>
      </c>
      <c r="P8983" t="s">
        <v>24</v>
      </c>
      <c r="Q8983" t="s">
        <v>6484</v>
      </c>
      <c r="R8983" t="s">
        <v>10109</v>
      </c>
    </row>
    <row r="8984" spans="1:18" x14ac:dyDescent="0.25">
      <c r="A8984" t="s">
        <v>17522</v>
      </c>
      <c r="B8984" t="s">
        <v>10709</v>
      </c>
      <c r="C8984" t="str">
        <f>HYPERLINK("https://nematode.unl.edu/prathy2.jpg")</f>
        <v>https://nematode.unl.edu/prathy2.jpg</v>
      </c>
      <c r="D8984" t="s">
        <v>43</v>
      </c>
      <c r="G8984" t="s">
        <v>28</v>
      </c>
      <c r="I8984" t="s">
        <v>41</v>
      </c>
      <c r="J8984" t="s">
        <v>10259</v>
      </c>
      <c r="L8984" t="s">
        <v>1087</v>
      </c>
      <c r="M8984" t="s">
        <v>10708</v>
      </c>
      <c r="N8984" t="s">
        <v>10708</v>
      </c>
      <c r="O8984" t="s">
        <v>23</v>
      </c>
      <c r="P8984" t="s">
        <v>24</v>
      </c>
      <c r="Q8984" t="s">
        <v>6484</v>
      </c>
      <c r="R8984" t="s">
        <v>10109</v>
      </c>
    </row>
    <row r="8985" spans="1:18" x14ac:dyDescent="0.25">
      <c r="A8985" t="s">
        <v>17518</v>
      </c>
      <c r="B8985" t="s">
        <v>10710</v>
      </c>
      <c r="C8985" t="str">
        <f>HYPERLINK("https://nematode.unl.edu/prathy3.jpg")</f>
        <v>https://nematode.unl.edu/prathy3.jpg</v>
      </c>
      <c r="D8985" t="s">
        <v>43</v>
      </c>
      <c r="G8985" t="s">
        <v>10711</v>
      </c>
      <c r="I8985" t="s">
        <v>41</v>
      </c>
      <c r="J8985" t="s">
        <v>10259</v>
      </c>
      <c r="L8985" t="s">
        <v>1087</v>
      </c>
      <c r="M8985" t="s">
        <v>10708</v>
      </c>
      <c r="N8985" t="s">
        <v>10708</v>
      </c>
      <c r="O8985" t="s">
        <v>23</v>
      </c>
      <c r="P8985" t="s">
        <v>24</v>
      </c>
      <c r="Q8985" t="s">
        <v>6484</v>
      </c>
      <c r="R8985" t="s">
        <v>10109</v>
      </c>
    </row>
    <row r="8986" spans="1:18" x14ac:dyDescent="0.25">
      <c r="A8986" t="s">
        <v>17521</v>
      </c>
      <c r="B8986" t="s">
        <v>10712</v>
      </c>
      <c r="C8986" t="str">
        <f>HYPERLINK("https://nematode.unl.edu/prathy4.jpg")</f>
        <v>https://nematode.unl.edu/prathy4.jpg</v>
      </c>
      <c r="D8986" t="s">
        <v>43</v>
      </c>
      <c r="G8986" t="s">
        <v>181</v>
      </c>
      <c r="I8986" t="s">
        <v>41</v>
      </c>
      <c r="J8986" t="s">
        <v>10259</v>
      </c>
      <c r="L8986" t="s">
        <v>1087</v>
      </c>
      <c r="M8986" t="s">
        <v>10708</v>
      </c>
      <c r="N8986" t="s">
        <v>10708</v>
      </c>
      <c r="O8986" t="s">
        <v>23</v>
      </c>
      <c r="P8986" t="s">
        <v>24</v>
      </c>
      <c r="Q8986" t="s">
        <v>6484</v>
      </c>
      <c r="R8986" t="s">
        <v>10109</v>
      </c>
    </row>
    <row r="8987" spans="1:18" x14ac:dyDescent="0.25">
      <c r="A8987" t="s">
        <v>17519</v>
      </c>
      <c r="B8987" t="s">
        <v>10713</v>
      </c>
      <c r="C8987" t="str">
        <f>HYPERLINK("https://nematode.unl.edu/prathy5.jpg")</f>
        <v>https://nematode.unl.edu/prathy5.jpg</v>
      </c>
      <c r="D8987" t="s">
        <v>43</v>
      </c>
      <c r="G8987" t="s">
        <v>53</v>
      </c>
      <c r="I8987" t="s">
        <v>41</v>
      </c>
      <c r="J8987" t="s">
        <v>10259</v>
      </c>
      <c r="L8987" t="s">
        <v>1087</v>
      </c>
      <c r="M8987" t="s">
        <v>10708</v>
      </c>
      <c r="N8987" t="s">
        <v>10708</v>
      </c>
      <c r="O8987" t="s">
        <v>23</v>
      </c>
      <c r="P8987" t="s">
        <v>24</v>
      </c>
      <c r="Q8987" t="s">
        <v>6484</v>
      </c>
      <c r="R8987" t="s">
        <v>10109</v>
      </c>
    </row>
    <row r="8988" spans="1:18" x14ac:dyDescent="0.25">
      <c r="A8988" t="s">
        <v>17520</v>
      </c>
      <c r="B8988" t="s">
        <v>10714</v>
      </c>
      <c r="C8988" t="str">
        <f>HYPERLINK("https://nematode.unl.edu/prathy6.jpg")</f>
        <v>https://nematode.unl.edu/prathy6.jpg</v>
      </c>
      <c r="D8988" t="s">
        <v>43</v>
      </c>
      <c r="G8988" t="s">
        <v>53</v>
      </c>
      <c r="I8988" t="s">
        <v>41</v>
      </c>
      <c r="J8988" t="s">
        <v>10259</v>
      </c>
      <c r="L8988" t="s">
        <v>1087</v>
      </c>
      <c r="M8988" t="s">
        <v>10708</v>
      </c>
      <c r="N8988" t="s">
        <v>10708</v>
      </c>
      <c r="O8988" t="s">
        <v>23</v>
      </c>
      <c r="P8988" t="s">
        <v>24</v>
      </c>
      <c r="Q8988" t="s">
        <v>6484</v>
      </c>
      <c r="R8988" t="s">
        <v>10109</v>
      </c>
    </row>
    <row r="8989" spans="1:18" x14ac:dyDescent="0.25">
      <c r="A8989" t="s">
        <v>17517</v>
      </c>
      <c r="B8989" t="s">
        <v>10715</v>
      </c>
      <c r="C8989" t="str">
        <f>HYPERLINK("https://nematode.unl.edu/prathy7.jpg")</f>
        <v>https://nematode.unl.edu/prathy7.jpg</v>
      </c>
      <c r="D8989" t="s">
        <v>43</v>
      </c>
      <c r="G8989" t="s">
        <v>34</v>
      </c>
      <c r="H8989" t="s">
        <v>18</v>
      </c>
      <c r="J8989" t="s">
        <v>10259</v>
      </c>
      <c r="L8989" t="s">
        <v>1087</v>
      </c>
      <c r="M8989" t="s">
        <v>10708</v>
      </c>
      <c r="N8989" t="s">
        <v>10708</v>
      </c>
      <c r="O8989" t="s">
        <v>23</v>
      </c>
      <c r="P8989" t="s">
        <v>24</v>
      </c>
      <c r="Q8989" t="s">
        <v>6484</v>
      </c>
      <c r="R8989" t="s">
        <v>10109</v>
      </c>
    </row>
    <row r="8990" spans="1:18" x14ac:dyDescent="0.25">
      <c r="A8990" t="s">
        <v>17523</v>
      </c>
      <c r="B8990" t="s">
        <v>10716</v>
      </c>
      <c r="C8990" t="str">
        <f>HYPERLINK("https://nematode.unl.edu/prathy8.jpg")</f>
        <v>https://nematode.unl.edu/prathy8.jpg</v>
      </c>
      <c r="G8990" t="s">
        <v>28</v>
      </c>
      <c r="I8990" t="s">
        <v>41</v>
      </c>
      <c r="J8990" t="s">
        <v>10259</v>
      </c>
      <c r="L8990" t="s">
        <v>1087</v>
      </c>
      <c r="M8990" t="s">
        <v>10708</v>
      </c>
      <c r="N8990" t="s">
        <v>10708</v>
      </c>
      <c r="O8990" t="s">
        <v>23</v>
      </c>
      <c r="P8990" t="s">
        <v>24</v>
      </c>
      <c r="Q8990" t="s">
        <v>6484</v>
      </c>
      <c r="R8990" t="s">
        <v>10109</v>
      </c>
    </row>
    <row r="8991" spans="1:18" x14ac:dyDescent="0.25">
      <c r="A8991" t="s">
        <v>17468</v>
      </c>
      <c r="B8991" t="s">
        <v>10674</v>
      </c>
      <c r="C8991" t="str">
        <f>HYPERLINK("https://nematode.unl.edu/prats1.jpg")</f>
        <v>https://nematode.unl.edu/prats1.jpg</v>
      </c>
      <c r="D8991" t="s">
        <v>77</v>
      </c>
      <c r="G8991" t="s">
        <v>44</v>
      </c>
      <c r="I8991" t="s">
        <v>45</v>
      </c>
      <c r="J8991" t="s">
        <v>10415</v>
      </c>
      <c r="L8991" t="s">
        <v>4481</v>
      </c>
      <c r="M8991" t="s">
        <v>10633</v>
      </c>
      <c r="N8991" t="s">
        <v>10633</v>
      </c>
      <c r="O8991" t="s">
        <v>23</v>
      </c>
      <c r="P8991" t="s">
        <v>24</v>
      </c>
      <c r="Q8991" t="s">
        <v>6484</v>
      </c>
      <c r="R8991" t="s">
        <v>10109</v>
      </c>
    </row>
    <row r="8992" spans="1:18" x14ac:dyDescent="0.25">
      <c r="A8992" t="s">
        <v>17469</v>
      </c>
      <c r="B8992" t="s">
        <v>10675</v>
      </c>
      <c r="C8992" t="str">
        <f>HYPERLINK("https://nematode.unl.edu/prats10.jpg")</f>
        <v>https://nematode.unl.edu/prats10.jpg</v>
      </c>
      <c r="D8992" t="s">
        <v>77</v>
      </c>
      <c r="G8992" t="s">
        <v>44</v>
      </c>
      <c r="I8992" t="s">
        <v>45</v>
      </c>
      <c r="J8992" t="s">
        <v>10415</v>
      </c>
      <c r="L8992" t="s">
        <v>4481</v>
      </c>
      <c r="M8992" t="s">
        <v>10633</v>
      </c>
      <c r="N8992" t="s">
        <v>10633</v>
      </c>
      <c r="O8992" t="s">
        <v>23</v>
      </c>
      <c r="P8992" t="s">
        <v>24</v>
      </c>
      <c r="Q8992" t="s">
        <v>6484</v>
      </c>
      <c r="R8992" t="s">
        <v>10109</v>
      </c>
    </row>
    <row r="8993" spans="1:18" x14ac:dyDescent="0.25">
      <c r="A8993" t="s">
        <v>17459</v>
      </c>
      <c r="B8993" t="s">
        <v>10676</v>
      </c>
      <c r="C8993" t="str">
        <f>HYPERLINK("https://nematode.unl.edu/prats11.jpg")</f>
        <v>https://nematode.unl.edu/prats11.jpg</v>
      </c>
      <c r="D8993" t="s">
        <v>43</v>
      </c>
      <c r="G8993" t="s">
        <v>34</v>
      </c>
      <c r="H8993" t="s">
        <v>18</v>
      </c>
      <c r="I8993" t="s">
        <v>41</v>
      </c>
      <c r="J8993" t="s">
        <v>10415</v>
      </c>
      <c r="L8993" t="s">
        <v>4481</v>
      </c>
      <c r="M8993" t="s">
        <v>10633</v>
      </c>
      <c r="N8993" t="s">
        <v>10633</v>
      </c>
      <c r="O8993" t="s">
        <v>23</v>
      </c>
      <c r="P8993" t="s">
        <v>24</v>
      </c>
      <c r="Q8993" t="s">
        <v>6484</v>
      </c>
      <c r="R8993" t="s">
        <v>10109</v>
      </c>
    </row>
    <row r="8994" spans="1:18" x14ac:dyDescent="0.25">
      <c r="A8994" t="s">
        <v>17515</v>
      </c>
      <c r="B8994" t="s">
        <v>10677</v>
      </c>
      <c r="C8994" t="str">
        <f>HYPERLINK("https://nematode.unl.edu/prats12.jpg")</f>
        <v>https://nematode.unl.edu/prats12.jpg</v>
      </c>
      <c r="D8994" t="s">
        <v>43</v>
      </c>
      <c r="G8994" t="s">
        <v>51</v>
      </c>
      <c r="I8994" t="s">
        <v>41</v>
      </c>
      <c r="J8994" t="s">
        <v>10415</v>
      </c>
      <c r="L8994" t="s">
        <v>4481</v>
      </c>
      <c r="M8994" t="s">
        <v>10633</v>
      </c>
      <c r="N8994" t="s">
        <v>10633</v>
      </c>
      <c r="O8994" t="s">
        <v>23</v>
      </c>
      <c r="P8994" t="s">
        <v>24</v>
      </c>
      <c r="Q8994" t="s">
        <v>6484</v>
      </c>
      <c r="R8994" t="s">
        <v>10109</v>
      </c>
    </row>
    <row r="8995" spans="1:18" x14ac:dyDescent="0.25">
      <c r="A8995" t="s">
        <v>17505</v>
      </c>
      <c r="B8995" t="s">
        <v>10678</v>
      </c>
      <c r="C8995" t="str">
        <f>HYPERLINK("https://nematode.unl.edu/prats13.jpg")</f>
        <v>https://nematode.unl.edu/prats13.jpg</v>
      </c>
      <c r="D8995" t="s">
        <v>43</v>
      </c>
      <c r="G8995" t="s">
        <v>28</v>
      </c>
      <c r="I8995" t="s">
        <v>41</v>
      </c>
      <c r="J8995" t="s">
        <v>10415</v>
      </c>
      <c r="L8995" t="s">
        <v>4481</v>
      </c>
      <c r="M8995" t="s">
        <v>10633</v>
      </c>
      <c r="N8995" t="s">
        <v>10633</v>
      </c>
      <c r="O8995" t="s">
        <v>23</v>
      </c>
      <c r="P8995" t="s">
        <v>24</v>
      </c>
      <c r="Q8995" t="s">
        <v>6484</v>
      </c>
      <c r="R8995" t="s">
        <v>10109</v>
      </c>
    </row>
    <row r="8996" spans="1:18" x14ac:dyDescent="0.25">
      <c r="A8996" t="s">
        <v>17470</v>
      </c>
      <c r="B8996" t="s">
        <v>10679</v>
      </c>
      <c r="C8996" t="str">
        <f>HYPERLINK("https://nematode.unl.edu/prats14.jpg")</f>
        <v>https://nematode.unl.edu/prats14.jpg</v>
      </c>
      <c r="D8996" t="s">
        <v>43</v>
      </c>
      <c r="G8996" t="s">
        <v>44</v>
      </c>
      <c r="J8996" t="s">
        <v>10415</v>
      </c>
      <c r="L8996" t="s">
        <v>4481</v>
      </c>
      <c r="M8996" t="s">
        <v>10633</v>
      </c>
      <c r="N8996" t="s">
        <v>10633</v>
      </c>
      <c r="O8996" t="s">
        <v>23</v>
      </c>
      <c r="P8996" t="s">
        <v>24</v>
      </c>
      <c r="Q8996" t="s">
        <v>6484</v>
      </c>
      <c r="R8996" t="s">
        <v>10109</v>
      </c>
    </row>
    <row r="8997" spans="1:18" x14ac:dyDescent="0.25">
      <c r="A8997" t="s">
        <v>17506</v>
      </c>
      <c r="B8997" t="s">
        <v>10680</v>
      </c>
      <c r="C8997" t="str">
        <f>HYPERLINK("https://nematode.unl.edu/prats15.jpg")</f>
        <v>https://nematode.unl.edu/prats15.jpg</v>
      </c>
      <c r="D8997" t="s">
        <v>43</v>
      </c>
      <c r="G8997" t="s">
        <v>28</v>
      </c>
      <c r="I8997" t="s">
        <v>41</v>
      </c>
      <c r="J8997" t="s">
        <v>10415</v>
      </c>
      <c r="L8997" t="s">
        <v>4481</v>
      </c>
      <c r="M8997" t="s">
        <v>10633</v>
      </c>
      <c r="N8997" t="s">
        <v>10633</v>
      </c>
      <c r="O8997" t="s">
        <v>23</v>
      </c>
      <c r="P8997" t="s">
        <v>24</v>
      </c>
      <c r="Q8997" t="s">
        <v>6484</v>
      </c>
      <c r="R8997" t="s">
        <v>10109</v>
      </c>
    </row>
    <row r="8998" spans="1:18" x14ac:dyDescent="0.25">
      <c r="A8998" t="s">
        <v>17495</v>
      </c>
      <c r="B8998" t="s">
        <v>10681</v>
      </c>
      <c r="C8998" t="str">
        <f>HYPERLINK("https://nematode.unl.edu/prats16.jpg")</f>
        <v>https://nematode.unl.edu/prats16.jpg</v>
      </c>
      <c r="D8998" t="s">
        <v>43</v>
      </c>
      <c r="G8998" t="s">
        <v>10682</v>
      </c>
      <c r="I8998" t="s">
        <v>41</v>
      </c>
      <c r="J8998" t="s">
        <v>10415</v>
      </c>
      <c r="L8998" t="s">
        <v>4481</v>
      </c>
      <c r="M8998" t="s">
        <v>10633</v>
      </c>
      <c r="N8998" t="s">
        <v>10633</v>
      </c>
      <c r="O8998" t="s">
        <v>23</v>
      </c>
      <c r="P8998" t="s">
        <v>24</v>
      </c>
      <c r="Q8998" t="s">
        <v>6484</v>
      </c>
      <c r="R8998" t="s">
        <v>10109</v>
      </c>
    </row>
    <row r="8999" spans="1:18" x14ac:dyDescent="0.25">
      <c r="A8999" t="s">
        <v>17482</v>
      </c>
      <c r="B8999" t="s">
        <v>10683</v>
      </c>
      <c r="C8999" t="str">
        <f>HYPERLINK("https://nematode.unl.edu/prats17.jpg")</f>
        <v>https://nematode.unl.edu/prats17.jpg</v>
      </c>
      <c r="D8999" t="s">
        <v>43</v>
      </c>
      <c r="G8999" t="s">
        <v>53</v>
      </c>
      <c r="I8999" t="s">
        <v>41</v>
      </c>
      <c r="J8999" t="s">
        <v>10415</v>
      </c>
      <c r="L8999" t="s">
        <v>4481</v>
      </c>
      <c r="M8999" t="s">
        <v>10633</v>
      </c>
      <c r="N8999" t="s">
        <v>10633</v>
      </c>
      <c r="O8999" t="s">
        <v>23</v>
      </c>
      <c r="P8999" t="s">
        <v>24</v>
      </c>
      <c r="Q8999" t="s">
        <v>6484</v>
      </c>
      <c r="R8999" t="s">
        <v>10109</v>
      </c>
    </row>
    <row r="9000" spans="1:18" x14ac:dyDescent="0.25">
      <c r="A9000" t="s">
        <v>17483</v>
      </c>
      <c r="B9000" t="s">
        <v>10684</v>
      </c>
      <c r="C9000" t="str">
        <f>HYPERLINK("https://nematode.unl.edu/prats18.jpg")</f>
        <v>https://nematode.unl.edu/prats18.jpg</v>
      </c>
      <c r="D9000" t="s">
        <v>43</v>
      </c>
      <c r="G9000" t="s">
        <v>53</v>
      </c>
      <c r="I9000" t="s">
        <v>41</v>
      </c>
      <c r="J9000" t="s">
        <v>10415</v>
      </c>
      <c r="L9000" t="s">
        <v>4481</v>
      </c>
      <c r="M9000" t="s">
        <v>10633</v>
      </c>
      <c r="N9000" t="s">
        <v>10633</v>
      </c>
      <c r="O9000" t="s">
        <v>23</v>
      </c>
      <c r="P9000" t="s">
        <v>24</v>
      </c>
      <c r="Q9000" t="s">
        <v>6484</v>
      </c>
      <c r="R9000" t="s">
        <v>10109</v>
      </c>
    </row>
    <row r="9001" spans="1:18" x14ac:dyDescent="0.25">
      <c r="A9001" t="s">
        <v>17460</v>
      </c>
      <c r="B9001" t="s">
        <v>10685</v>
      </c>
      <c r="C9001" t="str">
        <f>HYPERLINK("https://nematode.unl.edu/prats19.jpg")</f>
        <v>https://nematode.unl.edu/prats19.jpg</v>
      </c>
      <c r="G9001" t="s">
        <v>34</v>
      </c>
      <c r="H9001" t="s">
        <v>18</v>
      </c>
      <c r="J9001" t="s">
        <v>10415</v>
      </c>
      <c r="L9001" t="s">
        <v>4481</v>
      </c>
      <c r="M9001" t="s">
        <v>10633</v>
      </c>
      <c r="N9001" t="s">
        <v>10633</v>
      </c>
      <c r="O9001" t="s">
        <v>23</v>
      </c>
      <c r="P9001" t="s">
        <v>24</v>
      </c>
      <c r="Q9001" t="s">
        <v>6484</v>
      </c>
      <c r="R9001" t="s">
        <v>10109</v>
      </c>
    </row>
    <row r="9002" spans="1:18" x14ac:dyDescent="0.25">
      <c r="A9002" t="s">
        <v>17461</v>
      </c>
      <c r="B9002" t="s">
        <v>10686</v>
      </c>
      <c r="C9002" t="str">
        <f>HYPERLINK("https://nematode.unl.edu/prats2.jpg")</f>
        <v>https://nematode.unl.edu/prats2.jpg</v>
      </c>
      <c r="D9002" t="s">
        <v>43</v>
      </c>
      <c r="G9002" t="s">
        <v>34</v>
      </c>
      <c r="H9002" t="s">
        <v>18</v>
      </c>
      <c r="I9002" t="s">
        <v>19</v>
      </c>
      <c r="J9002" t="s">
        <v>10415</v>
      </c>
      <c r="L9002" t="s">
        <v>4481</v>
      </c>
      <c r="M9002" t="s">
        <v>10633</v>
      </c>
      <c r="N9002" t="s">
        <v>10633</v>
      </c>
      <c r="O9002" t="s">
        <v>23</v>
      </c>
      <c r="P9002" t="s">
        <v>24</v>
      </c>
      <c r="Q9002" t="s">
        <v>6484</v>
      </c>
      <c r="R9002" t="s">
        <v>10109</v>
      </c>
    </row>
    <row r="9003" spans="1:18" x14ac:dyDescent="0.25">
      <c r="A9003" t="s">
        <v>17484</v>
      </c>
      <c r="B9003" t="s">
        <v>10687</v>
      </c>
      <c r="C9003" t="str">
        <f>HYPERLINK("https://nematode.unl.edu/prats20.jpg")</f>
        <v>https://nematode.unl.edu/prats20.jpg</v>
      </c>
      <c r="D9003" t="s">
        <v>43</v>
      </c>
      <c r="G9003" t="s">
        <v>53</v>
      </c>
      <c r="I9003" t="s">
        <v>41</v>
      </c>
      <c r="J9003" t="s">
        <v>10415</v>
      </c>
      <c r="L9003" t="s">
        <v>4481</v>
      </c>
      <c r="M9003" t="s">
        <v>10633</v>
      </c>
      <c r="N9003" t="s">
        <v>10633</v>
      </c>
      <c r="O9003" t="s">
        <v>23</v>
      </c>
      <c r="P9003" t="s">
        <v>24</v>
      </c>
      <c r="Q9003" t="s">
        <v>6484</v>
      </c>
      <c r="R9003" t="s">
        <v>10109</v>
      </c>
    </row>
    <row r="9004" spans="1:18" x14ac:dyDescent="0.25">
      <c r="A9004" t="s">
        <v>17492</v>
      </c>
      <c r="B9004" t="s">
        <v>10688</v>
      </c>
      <c r="C9004" t="str">
        <f>HYPERLINK("https://nematode.unl.edu/prats21.jpg")</f>
        <v>https://nematode.unl.edu/prats21.jpg</v>
      </c>
      <c r="D9004" t="s">
        <v>43</v>
      </c>
      <c r="G9004" t="s">
        <v>10689</v>
      </c>
      <c r="I9004" t="s">
        <v>41</v>
      </c>
      <c r="J9004" t="s">
        <v>10415</v>
      </c>
      <c r="L9004" t="s">
        <v>4481</v>
      </c>
      <c r="M9004" t="s">
        <v>10633</v>
      </c>
      <c r="N9004" t="s">
        <v>10633</v>
      </c>
      <c r="O9004" t="s">
        <v>23</v>
      </c>
      <c r="P9004" t="s">
        <v>24</v>
      </c>
      <c r="Q9004" t="s">
        <v>6484</v>
      </c>
      <c r="R9004" t="s">
        <v>10109</v>
      </c>
    </row>
    <row r="9005" spans="1:18" x14ac:dyDescent="0.25">
      <c r="A9005" t="s">
        <v>17507</v>
      </c>
      <c r="B9005" t="s">
        <v>10690</v>
      </c>
      <c r="C9005" t="str">
        <f>HYPERLINK("https://nematode.unl.edu/prats3.jpg")</f>
        <v>https://nematode.unl.edu/prats3.jpg</v>
      </c>
      <c r="D9005" t="s">
        <v>43</v>
      </c>
      <c r="G9005" t="s">
        <v>28</v>
      </c>
      <c r="J9005" t="s">
        <v>10415</v>
      </c>
      <c r="L9005" t="s">
        <v>4481</v>
      </c>
      <c r="M9005" t="s">
        <v>10633</v>
      </c>
      <c r="N9005" t="s">
        <v>10633</v>
      </c>
      <c r="O9005" t="s">
        <v>23</v>
      </c>
      <c r="P9005" t="s">
        <v>24</v>
      </c>
      <c r="Q9005" t="s">
        <v>6484</v>
      </c>
      <c r="R9005" t="s">
        <v>10109</v>
      </c>
    </row>
    <row r="9006" spans="1:18" x14ac:dyDescent="0.25">
      <c r="A9006" t="s">
        <v>17462</v>
      </c>
      <c r="B9006" t="s">
        <v>10691</v>
      </c>
      <c r="C9006" t="str">
        <f>HYPERLINK("https://nematode.unl.edu/prats4.jpg")</f>
        <v>https://nematode.unl.edu/prats4.jpg</v>
      </c>
      <c r="D9006" t="s">
        <v>43</v>
      </c>
      <c r="G9006" t="s">
        <v>34</v>
      </c>
      <c r="H9006" t="s">
        <v>18</v>
      </c>
      <c r="I9006" t="s">
        <v>41</v>
      </c>
      <c r="J9006" t="s">
        <v>10415</v>
      </c>
      <c r="L9006" t="s">
        <v>4481</v>
      </c>
      <c r="M9006" t="s">
        <v>10633</v>
      </c>
      <c r="N9006" t="s">
        <v>10633</v>
      </c>
      <c r="O9006" t="s">
        <v>23</v>
      </c>
      <c r="P9006" t="s">
        <v>24</v>
      </c>
      <c r="Q9006" t="s">
        <v>6484</v>
      </c>
      <c r="R9006" t="s">
        <v>10109</v>
      </c>
    </row>
    <row r="9007" spans="1:18" x14ac:dyDescent="0.25">
      <c r="A9007" t="s">
        <v>17491</v>
      </c>
      <c r="B9007" t="s">
        <v>10692</v>
      </c>
      <c r="C9007" t="str">
        <f>HYPERLINK("https://nematode.unl.edu/prats5.jpg")</f>
        <v>https://nematode.unl.edu/prats5.jpg</v>
      </c>
      <c r="D9007" t="s">
        <v>43</v>
      </c>
      <c r="G9007" t="s">
        <v>414</v>
      </c>
      <c r="I9007" t="s">
        <v>41</v>
      </c>
      <c r="J9007" t="s">
        <v>10415</v>
      </c>
      <c r="L9007" t="s">
        <v>4481</v>
      </c>
      <c r="M9007" t="s">
        <v>10633</v>
      </c>
      <c r="N9007" t="s">
        <v>10633</v>
      </c>
      <c r="O9007" t="s">
        <v>23</v>
      </c>
      <c r="P9007" t="s">
        <v>24</v>
      </c>
      <c r="Q9007" t="s">
        <v>6484</v>
      </c>
      <c r="R9007" t="s">
        <v>10109</v>
      </c>
    </row>
    <row r="9008" spans="1:18" x14ac:dyDescent="0.25">
      <c r="A9008" t="s">
        <v>17485</v>
      </c>
      <c r="B9008" t="s">
        <v>10693</v>
      </c>
      <c r="C9008" t="str">
        <f>HYPERLINK("https://nematode.unl.edu/prats6.jpg")</f>
        <v>https://nematode.unl.edu/prats6.jpg</v>
      </c>
      <c r="D9008" t="s">
        <v>43</v>
      </c>
      <c r="G9008" t="s">
        <v>53</v>
      </c>
      <c r="I9008" t="s">
        <v>41</v>
      </c>
      <c r="J9008" t="s">
        <v>10415</v>
      </c>
      <c r="L9008" t="s">
        <v>4481</v>
      </c>
      <c r="M9008" t="s">
        <v>10633</v>
      </c>
      <c r="N9008" t="s">
        <v>10633</v>
      </c>
      <c r="O9008" t="s">
        <v>23</v>
      </c>
      <c r="P9008" t="s">
        <v>24</v>
      </c>
      <c r="Q9008" t="s">
        <v>6484</v>
      </c>
      <c r="R9008" t="s">
        <v>10109</v>
      </c>
    </row>
    <row r="9009" spans="1:18" x14ac:dyDescent="0.25">
      <c r="A9009" t="s">
        <v>17493</v>
      </c>
      <c r="B9009" t="s">
        <v>10694</v>
      </c>
      <c r="C9009" t="str">
        <f>HYPERLINK("https://nematode.unl.edu/prats7.jpg")</f>
        <v>https://nematode.unl.edu/prats7.jpg</v>
      </c>
      <c r="D9009" t="s">
        <v>529</v>
      </c>
      <c r="G9009" t="s">
        <v>10689</v>
      </c>
      <c r="I9009" t="s">
        <v>41</v>
      </c>
      <c r="J9009" t="s">
        <v>10415</v>
      </c>
      <c r="L9009" t="s">
        <v>4481</v>
      </c>
      <c r="M9009" t="s">
        <v>10633</v>
      </c>
      <c r="N9009" t="s">
        <v>10633</v>
      </c>
      <c r="O9009" t="s">
        <v>23</v>
      </c>
      <c r="P9009" t="s">
        <v>24</v>
      </c>
      <c r="Q9009" t="s">
        <v>6484</v>
      </c>
      <c r="R9009" t="s">
        <v>10109</v>
      </c>
    </row>
    <row r="9010" spans="1:18" x14ac:dyDescent="0.25">
      <c r="A9010" t="s">
        <v>17486</v>
      </c>
      <c r="B9010" t="s">
        <v>10695</v>
      </c>
      <c r="C9010" t="str">
        <f>HYPERLINK("https://nematode.unl.edu/prats8.jpg")</f>
        <v>https://nematode.unl.edu/prats8.jpg</v>
      </c>
      <c r="D9010" t="s">
        <v>43</v>
      </c>
      <c r="G9010" t="s">
        <v>53</v>
      </c>
      <c r="I9010" t="s">
        <v>41</v>
      </c>
      <c r="J9010" t="s">
        <v>10415</v>
      </c>
      <c r="L9010" t="s">
        <v>4481</v>
      </c>
      <c r="M9010" t="s">
        <v>10633</v>
      </c>
      <c r="N9010" t="s">
        <v>10633</v>
      </c>
      <c r="O9010" t="s">
        <v>23</v>
      </c>
      <c r="P9010" t="s">
        <v>24</v>
      </c>
      <c r="Q9010" t="s">
        <v>6484</v>
      </c>
      <c r="R9010" t="s">
        <v>10109</v>
      </c>
    </row>
    <row r="9011" spans="1:18" x14ac:dyDescent="0.25">
      <c r="A9011" t="s">
        <v>17508</v>
      </c>
      <c r="B9011" t="s">
        <v>10696</v>
      </c>
      <c r="C9011" t="str">
        <f>HYPERLINK("https://nematode.unl.edu/prats9.jpg")</f>
        <v>https://nematode.unl.edu/prats9.jpg</v>
      </c>
      <c r="D9011" t="s">
        <v>43</v>
      </c>
      <c r="G9011" t="s">
        <v>28</v>
      </c>
      <c r="I9011" t="s">
        <v>41</v>
      </c>
      <c r="J9011" t="s">
        <v>10415</v>
      </c>
      <c r="L9011" t="s">
        <v>4481</v>
      </c>
      <c r="M9011" t="s">
        <v>10633</v>
      </c>
      <c r="N9011" t="s">
        <v>10633</v>
      </c>
      <c r="O9011" t="s">
        <v>23</v>
      </c>
      <c r="P9011" t="s">
        <v>24</v>
      </c>
      <c r="Q9011" t="s">
        <v>6484</v>
      </c>
      <c r="R9011" t="s">
        <v>10109</v>
      </c>
    </row>
    <row r="9012" spans="1:18" x14ac:dyDescent="0.25">
      <c r="A9012" t="s">
        <v>17471</v>
      </c>
      <c r="B9012" t="s">
        <v>10697</v>
      </c>
      <c r="C9012" t="str">
        <f>HYPERLINK("https://nematode.unl.edu/pratser1.jpg")</f>
        <v>https://nematode.unl.edu/pratser1.jpg</v>
      </c>
      <c r="D9012" t="s">
        <v>43</v>
      </c>
      <c r="G9012" t="s">
        <v>44</v>
      </c>
      <c r="I9012" t="s">
        <v>137</v>
      </c>
      <c r="J9012" t="s">
        <v>10698</v>
      </c>
      <c r="M9012" t="s">
        <v>10633</v>
      </c>
      <c r="N9012" t="s">
        <v>10633</v>
      </c>
      <c r="O9012" t="s">
        <v>23</v>
      </c>
      <c r="P9012" t="s">
        <v>24</v>
      </c>
      <c r="Q9012" t="s">
        <v>6484</v>
      </c>
      <c r="R9012" t="s">
        <v>10109</v>
      </c>
    </row>
    <row r="9013" spans="1:18" x14ac:dyDescent="0.25">
      <c r="A9013" t="s">
        <v>17463</v>
      </c>
      <c r="B9013" t="s">
        <v>10699</v>
      </c>
      <c r="C9013" t="str">
        <f>HYPERLINK("https://nematode.unl.edu/pratser2.jpg")</f>
        <v>https://nematode.unl.edu/pratser2.jpg</v>
      </c>
      <c r="G9013" t="s">
        <v>34</v>
      </c>
      <c r="H9013" t="s">
        <v>18</v>
      </c>
      <c r="J9013" t="s">
        <v>10698</v>
      </c>
      <c r="M9013" t="s">
        <v>10633</v>
      </c>
      <c r="N9013" t="s">
        <v>10633</v>
      </c>
      <c r="O9013" t="s">
        <v>23</v>
      </c>
      <c r="P9013" t="s">
        <v>24</v>
      </c>
      <c r="Q9013" t="s">
        <v>6484</v>
      </c>
      <c r="R9013" t="s">
        <v>10109</v>
      </c>
    </row>
    <row r="9014" spans="1:18" x14ac:dyDescent="0.25">
      <c r="A9014" t="s">
        <v>17509</v>
      </c>
      <c r="B9014" t="s">
        <v>10700</v>
      </c>
      <c r="C9014" t="str">
        <f>HYPERLINK("https://nematode.unl.edu/pratser3.jpg")</f>
        <v>https://nematode.unl.edu/pratser3.jpg</v>
      </c>
      <c r="D9014" t="s">
        <v>43</v>
      </c>
      <c r="G9014" t="s">
        <v>28</v>
      </c>
      <c r="I9014" t="s">
        <v>19</v>
      </c>
      <c r="J9014" t="s">
        <v>10698</v>
      </c>
      <c r="M9014" t="s">
        <v>10633</v>
      </c>
      <c r="N9014" t="s">
        <v>10633</v>
      </c>
      <c r="O9014" t="s">
        <v>23</v>
      </c>
      <c r="P9014" t="s">
        <v>24</v>
      </c>
      <c r="Q9014" t="s">
        <v>6484</v>
      </c>
      <c r="R9014" t="s">
        <v>10109</v>
      </c>
    </row>
    <row r="9015" spans="1:18" x14ac:dyDescent="0.25">
      <c r="A9015" t="s">
        <v>17452</v>
      </c>
      <c r="B9015" t="s">
        <v>10701</v>
      </c>
      <c r="C9015" t="str">
        <f>HYPERLINK("https://nematode.unl.edu/pratser4.jpg")</f>
        <v>https://nematode.unl.edu/pratser4.jpg</v>
      </c>
      <c r="D9015" t="s">
        <v>77</v>
      </c>
      <c r="G9015" t="s">
        <v>96</v>
      </c>
      <c r="H9015" t="s">
        <v>18</v>
      </c>
      <c r="I9015" t="s">
        <v>41</v>
      </c>
      <c r="J9015" t="s">
        <v>10698</v>
      </c>
      <c r="M9015" t="s">
        <v>10633</v>
      </c>
      <c r="N9015" t="s">
        <v>10633</v>
      </c>
      <c r="O9015" t="s">
        <v>23</v>
      </c>
      <c r="P9015" t="s">
        <v>24</v>
      </c>
      <c r="Q9015" t="s">
        <v>6484</v>
      </c>
      <c r="R9015" t="s">
        <v>10109</v>
      </c>
    </row>
    <row r="9016" spans="1:18" x14ac:dyDescent="0.25">
      <c r="A9016" t="s">
        <v>17487</v>
      </c>
      <c r="B9016" t="s">
        <v>10702</v>
      </c>
      <c r="C9016" t="str">
        <f>HYPERLINK("https://nematode.unl.edu/pratser5.jpg")</f>
        <v>https://nematode.unl.edu/pratser5.jpg</v>
      </c>
      <c r="D9016" t="s">
        <v>43</v>
      </c>
      <c r="G9016" t="s">
        <v>53</v>
      </c>
      <c r="I9016" t="s">
        <v>41</v>
      </c>
      <c r="J9016" t="s">
        <v>10698</v>
      </c>
      <c r="M9016" t="s">
        <v>10633</v>
      </c>
      <c r="N9016" t="s">
        <v>10633</v>
      </c>
      <c r="O9016" t="s">
        <v>23</v>
      </c>
      <c r="P9016" t="s">
        <v>24</v>
      </c>
      <c r="Q9016" t="s">
        <v>6484</v>
      </c>
      <c r="R9016" t="s">
        <v>10109</v>
      </c>
    </row>
    <row r="9017" spans="1:18" x14ac:dyDescent="0.25">
      <c r="A9017" t="s">
        <v>17488</v>
      </c>
      <c r="B9017" t="s">
        <v>10703</v>
      </c>
      <c r="C9017" t="str">
        <f>HYPERLINK("https://nematode.unl.edu/pratser6.jpg")</f>
        <v>https://nematode.unl.edu/pratser6.jpg</v>
      </c>
      <c r="D9017" t="s">
        <v>43</v>
      </c>
      <c r="G9017" t="s">
        <v>53</v>
      </c>
      <c r="I9017" t="s">
        <v>41</v>
      </c>
      <c r="J9017" t="s">
        <v>10698</v>
      </c>
      <c r="M9017" t="s">
        <v>10633</v>
      </c>
      <c r="N9017" t="s">
        <v>10633</v>
      </c>
      <c r="O9017" t="s">
        <v>23</v>
      </c>
      <c r="P9017" t="s">
        <v>24</v>
      </c>
      <c r="Q9017" t="s">
        <v>6484</v>
      </c>
      <c r="R9017" t="s">
        <v>10109</v>
      </c>
    </row>
    <row r="9018" spans="1:18" x14ac:dyDescent="0.25">
      <c r="A9018" t="s">
        <v>17499</v>
      </c>
      <c r="B9018" t="s">
        <v>10704</v>
      </c>
      <c r="C9018" t="str">
        <f>HYPERLINK("https://nematode.unl.edu/pratser7.jpg")</f>
        <v>https://nematode.unl.edu/pratser7.jpg</v>
      </c>
      <c r="G9018" t="s">
        <v>1404</v>
      </c>
      <c r="J9018" t="s">
        <v>10698</v>
      </c>
      <c r="M9018" t="s">
        <v>10633</v>
      </c>
      <c r="N9018" t="s">
        <v>10633</v>
      </c>
      <c r="O9018" t="s">
        <v>23</v>
      </c>
      <c r="P9018" t="s">
        <v>24</v>
      </c>
      <c r="Q9018" t="s">
        <v>6484</v>
      </c>
      <c r="R9018" t="s">
        <v>10109</v>
      </c>
    </row>
    <row r="9019" spans="1:18" x14ac:dyDescent="0.25">
      <c r="A9019" t="s">
        <v>17510</v>
      </c>
      <c r="B9019" t="s">
        <v>10705</v>
      </c>
      <c r="C9019" t="str">
        <f>HYPERLINK("https://nematode.unl.edu/pratser8.jpg")</f>
        <v>https://nematode.unl.edu/pratser8.jpg</v>
      </c>
      <c r="D9019" t="s">
        <v>43</v>
      </c>
      <c r="G9019" t="s">
        <v>28</v>
      </c>
      <c r="I9019" t="s">
        <v>41</v>
      </c>
      <c r="J9019" t="s">
        <v>10698</v>
      </c>
      <c r="M9019" t="s">
        <v>10633</v>
      </c>
      <c r="N9019" t="s">
        <v>10633</v>
      </c>
      <c r="O9019" t="s">
        <v>23</v>
      </c>
      <c r="P9019" t="s">
        <v>24</v>
      </c>
      <c r="Q9019" t="s">
        <v>6484</v>
      </c>
      <c r="R9019" t="s">
        <v>10109</v>
      </c>
    </row>
    <row r="9020" spans="1:18" x14ac:dyDescent="0.25">
      <c r="A9020" t="s">
        <v>16985</v>
      </c>
      <c r="B9020" t="s">
        <v>10107</v>
      </c>
      <c r="C9020" t="str">
        <f>HYPERLINK("https://nematode.unl.edu/pratycan1.jpg")</f>
        <v>https://nematode.unl.edu/pratycan1.jpg</v>
      </c>
      <c r="D9020" t="s">
        <v>43</v>
      </c>
      <c r="G9020" t="s">
        <v>44</v>
      </c>
      <c r="I9020" t="s">
        <v>499</v>
      </c>
      <c r="J9020" t="s">
        <v>10108</v>
      </c>
      <c r="L9020" t="s">
        <v>4481</v>
      </c>
      <c r="M9020" t="s">
        <v>10109</v>
      </c>
      <c r="N9020" t="s">
        <v>10109</v>
      </c>
      <c r="O9020" t="s">
        <v>23</v>
      </c>
      <c r="P9020" t="s">
        <v>24</v>
      </c>
      <c r="Q9020" t="s">
        <v>6484</v>
      </c>
      <c r="R9020" t="s">
        <v>10109</v>
      </c>
    </row>
    <row r="9021" spans="1:18" x14ac:dyDescent="0.25">
      <c r="A9021" t="s">
        <v>16954</v>
      </c>
      <c r="B9021" t="s">
        <v>10110</v>
      </c>
      <c r="C9021" t="str">
        <f>HYPERLINK("https://nematode.unl.edu/pratycan2.jpg")</f>
        <v>https://nematode.unl.edu/pratycan2.jpg</v>
      </c>
      <c r="D9021" t="s">
        <v>16</v>
      </c>
      <c r="G9021" t="s">
        <v>34</v>
      </c>
      <c r="H9021" t="s">
        <v>18</v>
      </c>
      <c r="J9021" t="s">
        <v>10108</v>
      </c>
      <c r="L9021" t="s">
        <v>4481</v>
      </c>
      <c r="M9021" t="s">
        <v>10109</v>
      </c>
      <c r="N9021" t="s">
        <v>10109</v>
      </c>
      <c r="O9021" t="s">
        <v>23</v>
      </c>
      <c r="P9021" t="s">
        <v>24</v>
      </c>
      <c r="Q9021" t="s">
        <v>6484</v>
      </c>
      <c r="R9021" t="s">
        <v>10109</v>
      </c>
    </row>
    <row r="9022" spans="1:18" x14ac:dyDescent="0.25">
      <c r="A9022" t="s">
        <v>16955</v>
      </c>
      <c r="B9022" t="s">
        <v>10111</v>
      </c>
      <c r="C9022" t="str">
        <f>HYPERLINK("https://nematode.unl.edu/pratycan3.jpg")</f>
        <v>https://nematode.unl.edu/pratycan3.jpg</v>
      </c>
      <c r="D9022" t="s">
        <v>43</v>
      </c>
      <c r="G9022" t="s">
        <v>34</v>
      </c>
      <c r="H9022" t="s">
        <v>18</v>
      </c>
      <c r="I9022" t="s">
        <v>19</v>
      </c>
      <c r="J9022" t="s">
        <v>10108</v>
      </c>
      <c r="L9022" t="s">
        <v>4481</v>
      </c>
      <c r="M9022" t="s">
        <v>10109</v>
      </c>
      <c r="N9022" t="s">
        <v>10109</v>
      </c>
      <c r="O9022" t="s">
        <v>23</v>
      </c>
      <c r="P9022" t="s">
        <v>24</v>
      </c>
      <c r="Q9022" t="s">
        <v>6484</v>
      </c>
      <c r="R9022" t="s">
        <v>10109</v>
      </c>
    </row>
    <row r="9023" spans="1:18" x14ac:dyDescent="0.25">
      <c r="A9023" t="s">
        <v>17010</v>
      </c>
      <c r="B9023" t="s">
        <v>10112</v>
      </c>
      <c r="C9023" t="str">
        <f>HYPERLINK("https://nematode.unl.edu/pratycan4.jpg")</f>
        <v>https://nematode.unl.edu/pratycan4.jpg</v>
      </c>
      <c r="D9023" t="s">
        <v>77</v>
      </c>
      <c r="G9023" t="s">
        <v>28</v>
      </c>
      <c r="J9023" t="s">
        <v>10108</v>
      </c>
      <c r="L9023" t="s">
        <v>4481</v>
      </c>
      <c r="M9023" t="s">
        <v>10109</v>
      </c>
      <c r="N9023" t="s">
        <v>10109</v>
      </c>
      <c r="O9023" t="s">
        <v>23</v>
      </c>
      <c r="P9023" t="s">
        <v>24</v>
      </c>
      <c r="Q9023" t="s">
        <v>6484</v>
      </c>
      <c r="R9023" t="s">
        <v>10109</v>
      </c>
    </row>
    <row r="9024" spans="1:18" x14ac:dyDescent="0.25">
      <c r="A9024" t="s">
        <v>17030</v>
      </c>
      <c r="B9024" t="s">
        <v>10113</v>
      </c>
      <c r="C9024" t="str">
        <f>HYPERLINK("https://nematode.unl.edu/pratycan5.jpg")</f>
        <v>https://nematode.unl.edu/pratycan5.jpg</v>
      </c>
      <c r="D9024" t="s">
        <v>43</v>
      </c>
      <c r="G9024" t="s">
        <v>51</v>
      </c>
      <c r="J9024" t="s">
        <v>10108</v>
      </c>
      <c r="L9024" t="s">
        <v>4481</v>
      </c>
      <c r="M9024" t="s">
        <v>10109</v>
      </c>
      <c r="N9024" t="s">
        <v>10109</v>
      </c>
      <c r="O9024" t="s">
        <v>23</v>
      </c>
      <c r="P9024" t="s">
        <v>24</v>
      </c>
      <c r="Q9024" t="s">
        <v>6484</v>
      </c>
      <c r="R9024" t="s">
        <v>10109</v>
      </c>
    </row>
    <row r="9025" spans="1:18" x14ac:dyDescent="0.25">
      <c r="A9025" t="s">
        <v>16986</v>
      </c>
      <c r="B9025" t="s">
        <v>10114</v>
      </c>
      <c r="C9025" t="str">
        <f>HYPERLINK("https://nematode.unl.edu/pratycan6.jpg")</f>
        <v>https://nematode.unl.edu/pratycan6.jpg</v>
      </c>
      <c r="G9025" t="s">
        <v>44</v>
      </c>
      <c r="J9025" t="s">
        <v>10108</v>
      </c>
      <c r="L9025" t="s">
        <v>4481</v>
      </c>
      <c r="M9025" t="s">
        <v>10109</v>
      </c>
      <c r="N9025" t="s">
        <v>10109</v>
      </c>
      <c r="O9025" t="s">
        <v>23</v>
      </c>
      <c r="P9025" t="s">
        <v>24</v>
      </c>
      <c r="Q9025" t="s">
        <v>6484</v>
      </c>
      <c r="R9025" t="s">
        <v>10109</v>
      </c>
    </row>
    <row r="9026" spans="1:18" x14ac:dyDescent="0.25">
      <c r="A9026" t="s">
        <v>16956</v>
      </c>
      <c r="B9026" t="s">
        <v>10115</v>
      </c>
      <c r="C9026" t="str">
        <f>HYPERLINK("https://nematode.unl.edu/pratycan7.jpg")</f>
        <v>https://nematode.unl.edu/pratycan7.jpg</v>
      </c>
      <c r="G9026" t="s">
        <v>34</v>
      </c>
      <c r="H9026" t="s">
        <v>18</v>
      </c>
      <c r="J9026" t="s">
        <v>10108</v>
      </c>
      <c r="L9026" t="s">
        <v>4481</v>
      </c>
      <c r="M9026" t="s">
        <v>10109</v>
      </c>
      <c r="N9026" t="s">
        <v>10109</v>
      </c>
      <c r="O9026" t="s">
        <v>23</v>
      </c>
      <c r="P9026" t="s">
        <v>24</v>
      </c>
      <c r="Q9026" t="s">
        <v>6484</v>
      </c>
      <c r="R9026" t="s">
        <v>10109</v>
      </c>
    </row>
    <row r="9027" spans="1:18" x14ac:dyDescent="0.25">
      <c r="A9027" t="s">
        <v>16996</v>
      </c>
      <c r="B9027" t="s">
        <v>10116</v>
      </c>
      <c r="C9027" t="str">
        <f>HYPERLINK("https://nematode.unl.edu/pratycan8.jpg")</f>
        <v>https://nematode.unl.edu/pratycan8.jpg</v>
      </c>
      <c r="D9027" t="s">
        <v>16</v>
      </c>
      <c r="G9027" t="s">
        <v>53</v>
      </c>
      <c r="I9027" t="s">
        <v>516</v>
      </c>
      <c r="J9027" t="s">
        <v>10108</v>
      </c>
      <c r="L9027" t="s">
        <v>4481</v>
      </c>
      <c r="M9027" t="s">
        <v>10109</v>
      </c>
      <c r="N9027" t="s">
        <v>10109</v>
      </c>
      <c r="O9027" t="s">
        <v>23</v>
      </c>
      <c r="P9027" t="s">
        <v>24</v>
      </c>
      <c r="Q9027" t="s">
        <v>6484</v>
      </c>
      <c r="R9027" t="s">
        <v>10109</v>
      </c>
    </row>
    <row r="9028" spans="1:18" x14ac:dyDescent="0.25">
      <c r="A9028" t="s">
        <v>17374</v>
      </c>
      <c r="B9028" t="s">
        <v>10533</v>
      </c>
      <c r="C9028" t="str">
        <f>HYPERLINK("https://nematode.unl.edu/pratypen1.jpg")</f>
        <v>https://nematode.unl.edu/pratypen1.jpg</v>
      </c>
      <c r="D9028" t="s">
        <v>43</v>
      </c>
      <c r="G9028" t="s">
        <v>44</v>
      </c>
      <c r="J9028" t="s">
        <v>10136</v>
      </c>
      <c r="L9028" t="s">
        <v>10534</v>
      </c>
      <c r="M9028" t="s">
        <v>10503</v>
      </c>
      <c r="N9028" t="s">
        <v>10503</v>
      </c>
      <c r="O9028" t="s">
        <v>23</v>
      </c>
      <c r="P9028" t="s">
        <v>24</v>
      </c>
      <c r="Q9028" t="s">
        <v>6484</v>
      </c>
      <c r="R9028" t="s">
        <v>10109</v>
      </c>
    </row>
    <row r="9029" spans="1:18" x14ac:dyDescent="0.25">
      <c r="A9029" t="s">
        <v>17390</v>
      </c>
      <c r="B9029" t="s">
        <v>10535</v>
      </c>
      <c r="C9029" t="str">
        <f>HYPERLINK("https://nematode.unl.edu/pratypen10.jpg")</f>
        <v>https://nematode.unl.edu/pratypen10.jpg</v>
      </c>
      <c r="D9029" t="s">
        <v>77</v>
      </c>
      <c r="G9029" t="s">
        <v>181</v>
      </c>
      <c r="I9029" t="s">
        <v>19</v>
      </c>
      <c r="J9029" t="s">
        <v>10136</v>
      </c>
      <c r="L9029" t="s">
        <v>10534</v>
      </c>
      <c r="M9029" t="s">
        <v>10503</v>
      </c>
      <c r="N9029" t="s">
        <v>10503</v>
      </c>
      <c r="O9029" t="s">
        <v>23</v>
      </c>
      <c r="P9029" t="s">
        <v>24</v>
      </c>
      <c r="Q9029" t="s">
        <v>6484</v>
      </c>
      <c r="R9029" t="s">
        <v>10109</v>
      </c>
    </row>
    <row r="9030" spans="1:18" x14ac:dyDescent="0.25">
      <c r="A9030" t="s">
        <v>17346</v>
      </c>
      <c r="B9030" t="s">
        <v>10536</v>
      </c>
      <c r="C9030" t="str">
        <f>HYPERLINK("https://nematode.unl.edu/pratypen11.jpg")</f>
        <v>https://nematode.unl.edu/pratypen11.jpg</v>
      </c>
      <c r="D9030" t="s">
        <v>77</v>
      </c>
      <c r="G9030" t="s">
        <v>34</v>
      </c>
      <c r="H9030" t="s">
        <v>18</v>
      </c>
      <c r="I9030" t="s">
        <v>41</v>
      </c>
      <c r="J9030" t="s">
        <v>10136</v>
      </c>
      <c r="L9030" t="s">
        <v>10534</v>
      </c>
      <c r="M9030" t="s">
        <v>10503</v>
      </c>
      <c r="N9030" t="s">
        <v>10503</v>
      </c>
      <c r="O9030" t="s">
        <v>23</v>
      </c>
      <c r="P9030" t="s">
        <v>24</v>
      </c>
      <c r="Q9030" t="s">
        <v>6484</v>
      </c>
      <c r="R9030" t="s">
        <v>10109</v>
      </c>
    </row>
    <row r="9031" spans="1:18" x14ac:dyDescent="0.25">
      <c r="A9031" t="s">
        <v>17416</v>
      </c>
      <c r="B9031" t="s">
        <v>10537</v>
      </c>
      <c r="C9031" t="str">
        <f>HYPERLINK("https://nematode.unl.edu/pratypen12.jpg")</f>
        <v>https://nematode.unl.edu/pratypen12.jpg</v>
      </c>
      <c r="D9031" t="s">
        <v>77</v>
      </c>
      <c r="G9031" t="s">
        <v>28</v>
      </c>
      <c r="J9031" t="s">
        <v>10136</v>
      </c>
      <c r="L9031" t="s">
        <v>10534</v>
      </c>
      <c r="M9031" t="s">
        <v>10503</v>
      </c>
      <c r="N9031" t="s">
        <v>10503</v>
      </c>
      <c r="O9031" t="s">
        <v>23</v>
      </c>
      <c r="P9031" t="s">
        <v>24</v>
      </c>
      <c r="Q9031" t="s">
        <v>6484</v>
      </c>
      <c r="R9031" t="s">
        <v>10109</v>
      </c>
    </row>
    <row r="9032" spans="1:18" x14ac:dyDescent="0.25">
      <c r="A9032" t="s">
        <v>17375</v>
      </c>
      <c r="B9032" t="s">
        <v>10538</v>
      </c>
      <c r="C9032" t="str">
        <f>HYPERLINK("https://nematode.unl.edu/pratypen13.jpg")</f>
        <v>https://nematode.unl.edu/pratypen13.jpg</v>
      </c>
      <c r="D9032" t="s">
        <v>77</v>
      </c>
      <c r="G9032" t="s">
        <v>44</v>
      </c>
      <c r="I9032" t="s">
        <v>45</v>
      </c>
      <c r="J9032" t="s">
        <v>10136</v>
      </c>
      <c r="L9032" t="s">
        <v>10534</v>
      </c>
      <c r="M9032" t="s">
        <v>10503</v>
      </c>
      <c r="N9032" t="s">
        <v>10503</v>
      </c>
      <c r="O9032" t="s">
        <v>23</v>
      </c>
      <c r="P9032" t="s">
        <v>24</v>
      </c>
      <c r="Q9032" t="s">
        <v>6484</v>
      </c>
      <c r="R9032" t="s">
        <v>10109</v>
      </c>
    </row>
    <row r="9033" spans="1:18" x14ac:dyDescent="0.25">
      <c r="A9033" t="s">
        <v>17327</v>
      </c>
      <c r="B9033" t="s">
        <v>10539</v>
      </c>
      <c r="C9033" t="str">
        <f>HYPERLINK("https://nematode.unl.edu/pratypen14.jpg")</f>
        <v>https://nematode.unl.edu/pratypen14.jpg</v>
      </c>
      <c r="D9033" t="s">
        <v>43</v>
      </c>
      <c r="G9033" t="s">
        <v>96</v>
      </c>
      <c r="H9033" t="s">
        <v>18</v>
      </c>
      <c r="I9033" t="s">
        <v>19</v>
      </c>
      <c r="J9033" t="s">
        <v>10136</v>
      </c>
      <c r="L9033" t="s">
        <v>10534</v>
      </c>
      <c r="M9033" t="s">
        <v>10503</v>
      </c>
      <c r="N9033" t="s">
        <v>10503</v>
      </c>
      <c r="O9033" t="s">
        <v>23</v>
      </c>
      <c r="P9033" t="s">
        <v>24</v>
      </c>
      <c r="Q9033" t="s">
        <v>6484</v>
      </c>
      <c r="R9033" t="s">
        <v>10109</v>
      </c>
    </row>
    <row r="9034" spans="1:18" x14ac:dyDescent="0.25">
      <c r="A9034" t="s">
        <v>17391</v>
      </c>
      <c r="B9034" t="s">
        <v>10540</v>
      </c>
      <c r="C9034" t="str">
        <f>HYPERLINK("https://nematode.unl.edu/pratypen15.jpg")</f>
        <v>https://nematode.unl.edu/pratypen15.jpg</v>
      </c>
      <c r="D9034" t="s">
        <v>43</v>
      </c>
      <c r="G9034" t="s">
        <v>181</v>
      </c>
      <c r="J9034" t="s">
        <v>10136</v>
      </c>
      <c r="L9034" t="s">
        <v>10534</v>
      </c>
      <c r="M9034" t="s">
        <v>10503</v>
      </c>
      <c r="N9034" t="s">
        <v>10503</v>
      </c>
      <c r="O9034" t="s">
        <v>23</v>
      </c>
      <c r="P9034" t="s">
        <v>24</v>
      </c>
      <c r="Q9034" t="s">
        <v>6484</v>
      </c>
      <c r="R9034" t="s">
        <v>10109</v>
      </c>
    </row>
    <row r="9035" spans="1:18" x14ac:dyDescent="0.25">
      <c r="A9035" t="s">
        <v>17347</v>
      </c>
      <c r="B9035" t="s">
        <v>10541</v>
      </c>
      <c r="C9035" t="str">
        <f>HYPERLINK("https://nematode.unl.edu/pratypen16.jpg")</f>
        <v>https://nematode.unl.edu/pratypen16.jpg</v>
      </c>
      <c r="D9035" t="s">
        <v>43</v>
      </c>
      <c r="G9035" t="s">
        <v>34</v>
      </c>
      <c r="H9035" t="s">
        <v>18</v>
      </c>
      <c r="J9035" t="s">
        <v>10136</v>
      </c>
      <c r="L9035" t="s">
        <v>10534</v>
      </c>
      <c r="M9035" t="s">
        <v>10503</v>
      </c>
      <c r="N9035" t="s">
        <v>10503</v>
      </c>
      <c r="O9035" t="s">
        <v>23</v>
      </c>
      <c r="P9035" t="s">
        <v>24</v>
      </c>
      <c r="Q9035" t="s">
        <v>6484</v>
      </c>
      <c r="R9035" t="s">
        <v>10109</v>
      </c>
    </row>
    <row r="9036" spans="1:18" x14ac:dyDescent="0.25">
      <c r="A9036" t="s">
        <v>17400</v>
      </c>
      <c r="B9036" t="s">
        <v>10542</v>
      </c>
      <c r="C9036" t="str">
        <f>HYPERLINK("https://nematode.unl.edu/pratypen17.jpg")</f>
        <v>https://nematode.unl.edu/pratypen17.jpg</v>
      </c>
      <c r="G9036" t="s">
        <v>1404</v>
      </c>
      <c r="J9036" t="s">
        <v>10136</v>
      </c>
      <c r="L9036" t="s">
        <v>10534</v>
      </c>
      <c r="M9036" t="s">
        <v>10503</v>
      </c>
      <c r="N9036" t="s">
        <v>10503</v>
      </c>
      <c r="O9036" t="s">
        <v>23</v>
      </c>
      <c r="P9036" t="s">
        <v>24</v>
      </c>
      <c r="Q9036" t="s">
        <v>6484</v>
      </c>
      <c r="R9036" t="s">
        <v>10109</v>
      </c>
    </row>
    <row r="9037" spans="1:18" x14ac:dyDescent="0.25">
      <c r="A9037" t="s">
        <v>17417</v>
      </c>
      <c r="B9037" t="s">
        <v>10543</v>
      </c>
      <c r="C9037" t="str">
        <f>HYPERLINK("https://nematode.unl.edu/pratypen18.jpg")</f>
        <v>https://nematode.unl.edu/pratypen18.jpg</v>
      </c>
      <c r="D9037" t="s">
        <v>43</v>
      </c>
      <c r="G9037" t="s">
        <v>28</v>
      </c>
      <c r="I9037" t="s">
        <v>41</v>
      </c>
      <c r="J9037" t="s">
        <v>10136</v>
      </c>
      <c r="L9037" t="s">
        <v>10534</v>
      </c>
      <c r="M9037" t="s">
        <v>10503</v>
      </c>
      <c r="N9037" t="s">
        <v>10503</v>
      </c>
      <c r="O9037" t="s">
        <v>23</v>
      </c>
      <c r="P9037" t="s">
        <v>24</v>
      </c>
      <c r="Q9037" t="s">
        <v>6484</v>
      </c>
      <c r="R9037" t="s">
        <v>10109</v>
      </c>
    </row>
    <row r="9038" spans="1:18" x14ac:dyDescent="0.25">
      <c r="A9038" t="s">
        <v>17328</v>
      </c>
      <c r="B9038" t="s">
        <v>10544</v>
      </c>
      <c r="C9038" t="str">
        <f>HYPERLINK("https://nematode.unl.edu/pratypen19.jpg")</f>
        <v>https://nematode.unl.edu/pratypen19.jpg</v>
      </c>
      <c r="D9038" t="s">
        <v>43</v>
      </c>
      <c r="G9038" t="s">
        <v>96</v>
      </c>
      <c r="H9038" t="s">
        <v>18</v>
      </c>
      <c r="J9038" t="s">
        <v>10136</v>
      </c>
      <c r="L9038" t="s">
        <v>10534</v>
      </c>
      <c r="M9038" t="s">
        <v>10503</v>
      </c>
      <c r="N9038" t="s">
        <v>10503</v>
      </c>
      <c r="O9038" t="s">
        <v>23</v>
      </c>
      <c r="P9038" t="s">
        <v>24</v>
      </c>
      <c r="Q9038" t="s">
        <v>6484</v>
      </c>
      <c r="R9038" t="s">
        <v>10109</v>
      </c>
    </row>
    <row r="9039" spans="1:18" x14ac:dyDescent="0.25">
      <c r="A9039" t="s">
        <v>17329</v>
      </c>
      <c r="B9039" t="s">
        <v>10545</v>
      </c>
      <c r="C9039" t="str">
        <f>HYPERLINK("https://nematode.unl.edu/pratypen2.jpg")</f>
        <v>https://nematode.unl.edu/pratypen2.jpg</v>
      </c>
      <c r="D9039" t="s">
        <v>43</v>
      </c>
      <c r="G9039" t="s">
        <v>96</v>
      </c>
      <c r="H9039" t="s">
        <v>18</v>
      </c>
      <c r="I9039" t="s">
        <v>19</v>
      </c>
      <c r="J9039" t="s">
        <v>10136</v>
      </c>
      <c r="L9039" t="s">
        <v>10534</v>
      </c>
      <c r="M9039" t="s">
        <v>10503</v>
      </c>
      <c r="N9039" t="s">
        <v>10503</v>
      </c>
      <c r="O9039" t="s">
        <v>23</v>
      </c>
      <c r="P9039" t="s">
        <v>24</v>
      </c>
      <c r="Q9039" t="s">
        <v>6484</v>
      </c>
      <c r="R9039" t="s">
        <v>10109</v>
      </c>
    </row>
    <row r="9040" spans="1:18" x14ac:dyDescent="0.25">
      <c r="A9040" t="s">
        <v>17392</v>
      </c>
      <c r="B9040" t="s">
        <v>10546</v>
      </c>
      <c r="C9040" t="str">
        <f>HYPERLINK("https://nematode.unl.edu/pratypen20.jpg")</f>
        <v>https://nematode.unl.edu/pratypen20.jpg</v>
      </c>
      <c r="D9040" t="s">
        <v>43</v>
      </c>
      <c r="G9040" t="s">
        <v>181</v>
      </c>
      <c r="J9040" t="s">
        <v>10136</v>
      </c>
      <c r="L9040" t="s">
        <v>10534</v>
      </c>
      <c r="M9040" t="s">
        <v>10503</v>
      </c>
      <c r="N9040" t="s">
        <v>10503</v>
      </c>
      <c r="O9040" t="s">
        <v>23</v>
      </c>
      <c r="P9040" t="s">
        <v>24</v>
      </c>
      <c r="Q9040" t="s">
        <v>6484</v>
      </c>
      <c r="R9040" t="s">
        <v>10109</v>
      </c>
    </row>
    <row r="9041" spans="1:18" x14ac:dyDescent="0.25">
      <c r="A9041" t="s">
        <v>17348</v>
      </c>
      <c r="B9041" t="s">
        <v>10547</v>
      </c>
      <c r="C9041" t="str">
        <f>HYPERLINK("https://nematode.unl.edu/pratypen21.jpg")</f>
        <v>https://nematode.unl.edu/pratypen21.jpg</v>
      </c>
      <c r="D9041" t="s">
        <v>43</v>
      </c>
      <c r="G9041" t="s">
        <v>34</v>
      </c>
      <c r="H9041" t="s">
        <v>18</v>
      </c>
      <c r="I9041" t="s">
        <v>41</v>
      </c>
      <c r="J9041" t="s">
        <v>10136</v>
      </c>
      <c r="L9041" t="s">
        <v>10534</v>
      </c>
      <c r="M9041" t="s">
        <v>10503</v>
      </c>
      <c r="N9041" t="s">
        <v>10503</v>
      </c>
      <c r="O9041" t="s">
        <v>23</v>
      </c>
      <c r="P9041" t="s">
        <v>24</v>
      </c>
      <c r="Q9041" t="s">
        <v>6484</v>
      </c>
      <c r="R9041" t="s">
        <v>10109</v>
      </c>
    </row>
    <row r="9042" spans="1:18" x14ac:dyDescent="0.25">
      <c r="A9042" t="s">
        <v>17401</v>
      </c>
      <c r="B9042" t="s">
        <v>10548</v>
      </c>
      <c r="C9042" t="str">
        <f>HYPERLINK("https://nematode.unl.edu/pratypen22.jpg")</f>
        <v>https://nematode.unl.edu/pratypen22.jpg</v>
      </c>
      <c r="G9042" t="s">
        <v>1404</v>
      </c>
      <c r="I9042" t="s">
        <v>41</v>
      </c>
      <c r="J9042" t="s">
        <v>10136</v>
      </c>
      <c r="L9042" t="s">
        <v>10534</v>
      </c>
      <c r="M9042" t="s">
        <v>10503</v>
      </c>
      <c r="N9042" t="s">
        <v>10503</v>
      </c>
      <c r="O9042" t="s">
        <v>23</v>
      </c>
      <c r="P9042" t="s">
        <v>24</v>
      </c>
      <c r="Q9042" t="s">
        <v>6484</v>
      </c>
      <c r="R9042" t="s">
        <v>10109</v>
      </c>
    </row>
    <row r="9043" spans="1:18" x14ac:dyDescent="0.25">
      <c r="A9043" t="s">
        <v>17418</v>
      </c>
      <c r="B9043" t="s">
        <v>10549</v>
      </c>
      <c r="C9043" t="str">
        <f>HYPERLINK("https://nematode.unl.edu/pratypen23.jpg")</f>
        <v>https://nematode.unl.edu/pratypen23.jpg</v>
      </c>
      <c r="D9043" t="s">
        <v>43</v>
      </c>
      <c r="G9043" t="s">
        <v>28</v>
      </c>
      <c r="I9043" t="s">
        <v>41</v>
      </c>
      <c r="J9043" t="s">
        <v>10136</v>
      </c>
      <c r="L9043" t="s">
        <v>10534</v>
      </c>
      <c r="M9043" t="s">
        <v>10503</v>
      </c>
      <c r="N9043" t="s">
        <v>10503</v>
      </c>
      <c r="O9043" t="s">
        <v>23</v>
      </c>
      <c r="P9043" t="s">
        <v>24</v>
      </c>
      <c r="Q9043" t="s">
        <v>6484</v>
      </c>
      <c r="R9043" t="s">
        <v>10109</v>
      </c>
    </row>
    <row r="9044" spans="1:18" x14ac:dyDescent="0.25">
      <c r="A9044" t="s">
        <v>17376</v>
      </c>
      <c r="B9044" t="s">
        <v>10550</v>
      </c>
      <c r="C9044" t="str">
        <f>HYPERLINK("https://nematode.unl.edu/pratypen24.jpg")</f>
        <v>https://nematode.unl.edu/pratypen24.jpg</v>
      </c>
      <c r="D9044" t="s">
        <v>43</v>
      </c>
      <c r="G9044" t="s">
        <v>44</v>
      </c>
      <c r="J9044" t="s">
        <v>10136</v>
      </c>
      <c r="L9044" t="s">
        <v>10534</v>
      </c>
      <c r="M9044" t="s">
        <v>10503</v>
      </c>
      <c r="N9044" t="s">
        <v>10503</v>
      </c>
      <c r="O9044" t="s">
        <v>23</v>
      </c>
      <c r="P9044" t="s">
        <v>24</v>
      </c>
      <c r="Q9044" t="s">
        <v>6484</v>
      </c>
      <c r="R9044" t="s">
        <v>10109</v>
      </c>
    </row>
    <row r="9045" spans="1:18" x14ac:dyDescent="0.25">
      <c r="A9045" t="s">
        <v>17330</v>
      </c>
      <c r="B9045" t="s">
        <v>10551</v>
      </c>
      <c r="C9045" t="str">
        <f>HYPERLINK("https://nematode.unl.edu/pratypen25.jpg")</f>
        <v>https://nematode.unl.edu/pratypen25.jpg</v>
      </c>
      <c r="D9045" t="s">
        <v>43</v>
      </c>
      <c r="G9045" t="s">
        <v>96</v>
      </c>
      <c r="H9045" t="s">
        <v>18</v>
      </c>
      <c r="I9045" t="s">
        <v>19</v>
      </c>
      <c r="J9045" t="s">
        <v>10136</v>
      </c>
      <c r="L9045" t="s">
        <v>10534</v>
      </c>
      <c r="M9045" t="s">
        <v>10503</v>
      </c>
      <c r="N9045" t="s">
        <v>10503</v>
      </c>
      <c r="O9045" t="s">
        <v>23</v>
      </c>
      <c r="P9045" t="s">
        <v>24</v>
      </c>
      <c r="Q9045" t="s">
        <v>6484</v>
      </c>
      <c r="R9045" t="s">
        <v>10109</v>
      </c>
    </row>
    <row r="9046" spans="1:18" x14ac:dyDescent="0.25">
      <c r="A9046" t="s">
        <v>17393</v>
      </c>
      <c r="B9046" t="s">
        <v>10552</v>
      </c>
      <c r="C9046" t="str">
        <f>HYPERLINK("https://nematode.unl.edu/pratypen26.jpg")</f>
        <v>https://nematode.unl.edu/pratypen26.jpg</v>
      </c>
      <c r="D9046" t="s">
        <v>43</v>
      </c>
      <c r="G9046" t="s">
        <v>181</v>
      </c>
      <c r="I9046" t="s">
        <v>19</v>
      </c>
      <c r="J9046" t="s">
        <v>10136</v>
      </c>
      <c r="L9046" t="s">
        <v>10534</v>
      </c>
      <c r="M9046" t="s">
        <v>10503</v>
      </c>
      <c r="N9046" t="s">
        <v>10503</v>
      </c>
      <c r="O9046" t="s">
        <v>23</v>
      </c>
      <c r="P9046" t="s">
        <v>24</v>
      </c>
      <c r="Q9046" t="s">
        <v>6484</v>
      </c>
      <c r="R9046" t="s">
        <v>10109</v>
      </c>
    </row>
    <row r="9047" spans="1:18" x14ac:dyDescent="0.25">
      <c r="A9047" t="s">
        <v>17349</v>
      </c>
      <c r="B9047" t="s">
        <v>10553</v>
      </c>
      <c r="C9047" t="str">
        <f>HYPERLINK("https://nematode.unl.edu/pratypen27.jpg")</f>
        <v>https://nematode.unl.edu/pratypen27.jpg</v>
      </c>
      <c r="D9047" t="s">
        <v>43</v>
      </c>
      <c r="G9047" t="s">
        <v>34</v>
      </c>
      <c r="H9047" t="s">
        <v>18</v>
      </c>
      <c r="I9047" t="s">
        <v>41</v>
      </c>
      <c r="J9047" t="s">
        <v>10136</v>
      </c>
      <c r="L9047" t="s">
        <v>10534</v>
      </c>
      <c r="M9047" t="s">
        <v>10503</v>
      </c>
      <c r="N9047" t="s">
        <v>10503</v>
      </c>
      <c r="O9047" t="s">
        <v>23</v>
      </c>
      <c r="P9047" t="s">
        <v>24</v>
      </c>
      <c r="Q9047" t="s">
        <v>6484</v>
      </c>
      <c r="R9047" t="s">
        <v>10109</v>
      </c>
    </row>
    <row r="9048" spans="1:18" x14ac:dyDescent="0.25">
      <c r="A9048" t="s">
        <v>17384</v>
      </c>
      <c r="B9048" t="s">
        <v>10554</v>
      </c>
      <c r="C9048" t="str">
        <f>HYPERLINK("https://nematode.unl.edu/pratypen28.jpg")</f>
        <v>https://nematode.unl.edu/pratypen28.jpg</v>
      </c>
      <c r="D9048" t="s">
        <v>43</v>
      </c>
      <c r="G9048" t="s">
        <v>53</v>
      </c>
      <c r="J9048" t="s">
        <v>10136</v>
      </c>
      <c r="L9048" t="s">
        <v>10534</v>
      </c>
      <c r="M9048" t="s">
        <v>10503</v>
      </c>
      <c r="N9048" t="s">
        <v>10503</v>
      </c>
      <c r="O9048" t="s">
        <v>23</v>
      </c>
      <c r="P9048" t="s">
        <v>24</v>
      </c>
      <c r="Q9048" t="s">
        <v>6484</v>
      </c>
      <c r="R9048" t="s">
        <v>10109</v>
      </c>
    </row>
    <row r="9049" spans="1:18" x14ac:dyDescent="0.25">
      <c r="A9049" t="s">
        <v>17419</v>
      </c>
      <c r="B9049" t="s">
        <v>10555</v>
      </c>
      <c r="C9049" t="str">
        <f>HYPERLINK("https://nematode.unl.edu/pratypen29.jpg")</f>
        <v>https://nematode.unl.edu/pratypen29.jpg</v>
      </c>
      <c r="D9049" t="s">
        <v>43</v>
      </c>
      <c r="G9049" t="s">
        <v>28</v>
      </c>
      <c r="I9049" t="s">
        <v>41</v>
      </c>
      <c r="J9049" t="s">
        <v>10136</v>
      </c>
      <c r="L9049" t="s">
        <v>10534</v>
      </c>
      <c r="M9049" t="s">
        <v>10503</v>
      </c>
      <c r="N9049" t="s">
        <v>10503</v>
      </c>
      <c r="O9049" t="s">
        <v>23</v>
      </c>
      <c r="P9049" t="s">
        <v>24</v>
      </c>
      <c r="Q9049" t="s">
        <v>6484</v>
      </c>
      <c r="R9049" t="s">
        <v>10109</v>
      </c>
    </row>
    <row r="9050" spans="1:18" x14ac:dyDescent="0.25">
      <c r="A9050" t="s">
        <v>17394</v>
      </c>
      <c r="B9050" t="s">
        <v>10556</v>
      </c>
      <c r="C9050" t="str">
        <f>HYPERLINK("https://nematode.unl.edu/pratypen3.jpg")</f>
        <v>https://nematode.unl.edu/pratypen3.jpg</v>
      </c>
      <c r="D9050" t="s">
        <v>43</v>
      </c>
      <c r="G9050" t="s">
        <v>181</v>
      </c>
      <c r="I9050" t="s">
        <v>19</v>
      </c>
      <c r="J9050" t="s">
        <v>10136</v>
      </c>
      <c r="L9050" t="s">
        <v>10534</v>
      </c>
      <c r="M9050" t="s">
        <v>10503</v>
      </c>
      <c r="N9050" t="s">
        <v>10503</v>
      </c>
      <c r="O9050" t="s">
        <v>23</v>
      </c>
      <c r="P9050" t="s">
        <v>24</v>
      </c>
      <c r="Q9050" t="s">
        <v>6484</v>
      </c>
      <c r="R9050" t="s">
        <v>10109</v>
      </c>
    </row>
    <row r="9051" spans="1:18" x14ac:dyDescent="0.25">
      <c r="A9051" t="s">
        <v>17331</v>
      </c>
      <c r="B9051" t="s">
        <v>10557</v>
      </c>
      <c r="C9051" t="str">
        <f>HYPERLINK("https://nematode.unl.edu/pratypen30.jpg")</f>
        <v>https://nematode.unl.edu/pratypen30.jpg</v>
      </c>
      <c r="G9051" t="s">
        <v>96</v>
      </c>
      <c r="H9051" t="s">
        <v>18</v>
      </c>
      <c r="J9051" t="s">
        <v>10136</v>
      </c>
      <c r="L9051" t="s">
        <v>10534</v>
      </c>
      <c r="M9051" t="s">
        <v>10503</v>
      </c>
      <c r="N9051" t="s">
        <v>10503</v>
      </c>
      <c r="O9051" t="s">
        <v>23</v>
      </c>
      <c r="P9051" t="s">
        <v>24</v>
      </c>
      <c r="Q9051" t="s">
        <v>6484</v>
      </c>
      <c r="R9051" t="s">
        <v>10109</v>
      </c>
    </row>
    <row r="9052" spans="1:18" x14ac:dyDescent="0.25">
      <c r="A9052" t="s">
        <v>17350</v>
      </c>
      <c r="B9052" t="s">
        <v>10558</v>
      </c>
      <c r="C9052" t="str">
        <f>HYPERLINK("https://nematode.unl.edu/pratypen31.jpg")</f>
        <v>https://nematode.unl.edu/pratypen31.jpg</v>
      </c>
      <c r="D9052" t="s">
        <v>77</v>
      </c>
      <c r="G9052" t="s">
        <v>34</v>
      </c>
      <c r="H9052" t="s">
        <v>18</v>
      </c>
      <c r="I9052" t="s">
        <v>41</v>
      </c>
      <c r="J9052" t="s">
        <v>10136</v>
      </c>
      <c r="L9052" t="s">
        <v>10534</v>
      </c>
      <c r="M9052" t="s">
        <v>10503</v>
      </c>
      <c r="N9052" t="s">
        <v>10503</v>
      </c>
      <c r="O9052" t="s">
        <v>23</v>
      </c>
      <c r="P9052" t="s">
        <v>24</v>
      </c>
      <c r="Q9052" t="s">
        <v>6484</v>
      </c>
      <c r="R9052" t="s">
        <v>10109</v>
      </c>
    </row>
    <row r="9053" spans="1:18" x14ac:dyDescent="0.25">
      <c r="A9053" t="s">
        <v>17402</v>
      </c>
      <c r="B9053" t="s">
        <v>10559</v>
      </c>
      <c r="C9053" t="str">
        <f>HYPERLINK("https://nematode.unl.edu/pratypen32.jpg")</f>
        <v>https://nematode.unl.edu/pratypen32.jpg</v>
      </c>
      <c r="G9053" t="s">
        <v>1404</v>
      </c>
      <c r="I9053" t="s">
        <v>41</v>
      </c>
      <c r="J9053" t="s">
        <v>10136</v>
      </c>
      <c r="L9053" t="s">
        <v>10534</v>
      </c>
      <c r="M9053" t="s">
        <v>10503</v>
      </c>
      <c r="N9053" t="s">
        <v>10503</v>
      </c>
      <c r="O9053" t="s">
        <v>23</v>
      </c>
      <c r="P9053" t="s">
        <v>24</v>
      </c>
      <c r="Q9053" t="s">
        <v>6484</v>
      </c>
      <c r="R9053" t="s">
        <v>10109</v>
      </c>
    </row>
    <row r="9054" spans="1:18" x14ac:dyDescent="0.25">
      <c r="A9054" t="s">
        <v>17385</v>
      </c>
      <c r="B9054" t="s">
        <v>10560</v>
      </c>
      <c r="C9054" t="str">
        <f>HYPERLINK("https://nematode.unl.edu/pratypen33.jpg")</f>
        <v>https://nematode.unl.edu/pratypen33.jpg</v>
      </c>
      <c r="G9054" t="s">
        <v>53</v>
      </c>
      <c r="I9054" t="s">
        <v>41</v>
      </c>
      <c r="J9054" t="s">
        <v>10136</v>
      </c>
      <c r="L9054" t="s">
        <v>10534</v>
      </c>
      <c r="M9054" t="s">
        <v>10503</v>
      </c>
      <c r="N9054" t="s">
        <v>10503</v>
      </c>
      <c r="O9054" t="s">
        <v>23</v>
      </c>
      <c r="P9054" t="s">
        <v>24</v>
      </c>
      <c r="Q9054" t="s">
        <v>6484</v>
      </c>
      <c r="R9054" t="s">
        <v>10109</v>
      </c>
    </row>
    <row r="9055" spans="1:18" x14ac:dyDescent="0.25">
      <c r="A9055" t="s">
        <v>17420</v>
      </c>
      <c r="B9055" t="s">
        <v>10561</v>
      </c>
      <c r="C9055" t="str">
        <f>HYPERLINK("https://nematode.unl.edu/pratypen34.jpg")</f>
        <v>https://nematode.unl.edu/pratypen34.jpg</v>
      </c>
      <c r="D9055" t="s">
        <v>43</v>
      </c>
      <c r="G9055" t="s">
        <v>28</v>
      </c>
      <c r="I9055" t="s">
        <v>41</v>
      </c>
      <c r="J9055" t="s">
        <v>10136</v>
      </c>
      <c r="L9055" t="s">
        <v>10534</v>
      </c>
      <c r="M9055" t="s">
        <v>10503</v>
      </c>
      <c r="N9055" t="s">
        <v>10503</v>
      </c>
      <c r="O9055" t="s">
        <v>23</v>
      </c>
      <c r="P9055" t="s">
        <v>24</v>
      </c>
      <c r="Q9055" t="s">
        <v>6484</v>
      </c>
      <c r="R9055" t="s">
        <v>10109</v>
      </c>
    </row>
    <row r="9056" spans="1:18" x14ac:dyDescent="0.25">
      <c r="A9056" t="s">
        <v>17421</v>
      </c>
      <c r="B9056" t="s">
        <v>10562</v>
      </c>
      <c r="C9056" t="str">
        <f>HYPERLINK("https://nematode.unl.edu/pratypen35.jpg")</f>
        <v>https://nematode.unl.edu/pratypen35.jpg</v>
      </c>
      <c r="D9056" t="s">
        <v>43</v>
      </c>
      <c r="G9056" t="s">
        <v>28</v>
      </c>
      <c r="I9056" t="s">
        <v>41</v>
      </c>
      <c r="J9056" t="s">
        <v>10136</v>
      </c>
      <c r="L9056" t="s">
        <v>10534</v>
      </c>
      <c r="M9056" t="s">
        <v>10503</v>
      </c>
      <c r="N9056" t="s">
        <v>10503</v>
      </c>
      <c r="O9056" t="s">
        <v>23</v>
      </c>
      <c r="P9056" t="s">
        <v>24</v>
      </c>
      <c r="Q9056" t="s">
        <v>6484</v>
      </c>
      <c r="R9056" t="s">
        <v>10109</v>
      </c>
    </row>
    <row r="9057" spans="1:18" x14ac:dyDescent="0.25">
      <c r="A9057" t="s">
        <v>17422</v>
      </c>
      <c r="B9057" t="s">
        <v>10563</v>
      </c>
      <c r="C9057" t="str">
        <f>HYPERLINK("https://nematode.unl.edu/pratypen36.jpg")</f>
        <v>https://nematode.unl.edu/pratypen36.jpg</v>
      </c>
      <c r="D9057" t="s">
        <v>77</v>
      </c>
      <c r="G9057" t="s">
        <v>28</v>
      </c>
      <c r="J9057" t="s">
        <v>10136</v>
      </c>
      <c r="L9057" t="s">
        <v>10534</v>
      </c>
      <c r="M9057" t="s">
        <v>10503</v>
      </c>
      <c r="N9057" t="s">
        <v>10503</v>
      </c>
      <c r="O9057" t="s">
        <v>23</v>
      </c>
      <c r="P9057" t="s">
        <v>24</v>
      </c>
      <c r="Q9057" t="s">
        <v>6484</v>
      </c>
      <c r="R9057" t="s">
        <v>10109</v>
      </c>
    </row>
    <row r="9058" spans="1:18" x14ac:dyDescent="0.25">
      <c r="A9058" t="s">
        <v>17423</v>
      </c>
      <c r="B9058" t="s">
        <v>10564</v>
      </c>
      <c r="C9058" t="str">
        <f>HYPERLINK("https://nematode.unl.edu/pratypen37.jpg")</f>
        <v>https://nematode.unl.edu/pratypen37.jpg</v>
      </c>
      <c r="D9058" t="s">
        <v>77</v>
      </c>
      <c r="G9058" t="s">
        <v>28</v>
      </c>
      <c r="I9058" t="s">
        <v>19</v>
      </c>
      <c r="J9058" t="s">
        <v>10136</v>
      </c>
      <c r="L9058" t="s">
        <v>10534</v>
      </c>
      <c r="M9058" t="s">
        <v>10503</v>
      </c>
      <c r="N9058" t="s">
        <v>10503</v>
      </c>
      <c r="O9058" t="s">
        <v>23</v>
      </c>
      <c r="P9058" t="s">
        <v>24</v>
      </c>
      <c r="Q9058" t="s">
        <v>6484</v>
      </c>
      <c r="R9058" t="s">
        <v>10109</v>
      </c>
    </row>
    <row r="9059" spans="1:18" x14ac:dyDescent="0.25">
      <c r="A9059" t="s">
        <v>17351</v>
      </c>
      <c r="B9059" t="s">
        <v>10565</v>
      </c>
      <c r="C9059" t="str">
        <f>HYPERLINK("https://nematode.unl.edu/pratypen38.jpg")</f>
        <v>https://nematode.unl.edu/pratypen38.jpg</v>
      </c>
      <c r="D9059" t="s">
        <v>77</v>
      </c>
      <c r="G9059" t="s">
        <v>34</v>
      </c>
      <c r="H9059" t="s">
        <v>18</v>
      </c>
      <c r="I9059" t="s">
        <v>41</v>
      </c>
      <c r="J9059" t="s">
        <v>10136</v>
      </c>
      <c r="L9059" t="s">
        <v>10534</v>
      </c>
      <c r="M9059" t="s">
        <v>10503</v>
      </c>
      <c r="N9059" t="s">
        <v>10503</v>
      </c>
      <c r="O9059" t="s">
        <v>23</v>
      </c>
      <c r="P9059" t="s">
        <v>24</v>
      </c>
      <c r="Q9059" t="s">
        <v>6484</v>
      </c>
      <c r="R9059" t="s">
        <v>10109</v>
      </c>
    </row>
    <row r="9060" spans="1:18" x14ac:dyDescent="0.25">
      <c r="A9060" t="s">
        <v>17424</v>
      </c>
      <c r="B9060" t="s">
        <v>10566</v>
      </c>
      <c r="C9060" t="str">
        <f>HYPERLINK("https://nematode.unl.edu/pratypen39.jpg")</f>
        <v>https://nematode.unl.edu/pratypen39.jpg</v>
      </c>
      <c r="D9060" t="s">
        <v>77</v>
      </c>
      <c r="G9060" t="s">
        <v>28</v>
      </c>
      <c r="I9060" t="s">
        <v>41</v>
      </c>
      <c r="J9060" t="s">
        <v>10136</v>
      </c>
      <c r="L9060" t="s">
        <v>10534</v>
      </c>
      <c r="M9060" t="s">
        <v>10503</v>
      </c>
      <c r="N9060" t="s">
        <v>10503</v>
      </c>
      <c r="O9060" t="s">
        <v>23</v>
      </c>
      <c r="P9060" t="s">
        <v>24</v>
      </c>
      <c r="Q9060" t="s">
        <v>6484</v>
      </c>
      <c r="R9060" t="s">
        <v>10109</v>
      </c>
    </row>
    <row r="9061" spans="1:18" x14ac:dyDescent="0.25">
      <c r="A9061" t="s">
        <v>17332</v>
      </c>
      <c r="B9061" t="s">
        <v>10567</v>
      </c>
      <c r="C9061" t="str">
        <f>HYPERLINK("https://nematode.unl.edu/pratypen4.jpg")</f>
        <v>https://nematode.unl.edu/pratypen4.jpg</v>
      </c>
      <c r="D9061" t="s">
        <v>43</v>
      </c>
      <c r="G9061" t="s">
        <v>96</v>
      </c>
      <c r="H9061" t="s">
        <v>18</v>
      </c>
      <c r="I9061" t="s">
        <v>529</v>
      </c>
      <c r="J9061" t="s">
        <v>10136</v>
      </c>
      <c r="L9061" t="s">
        <v>10534</v>
      </c>
      <c r="M9061" t="s">
        <v>10503</v>
      </c>
      <c r="N9061" t="s">
        <v>10503</v>
      </c>
      <c r="O9061" t="s">
        <v>23</v>
      </c>
      <c r="P9061" t="s">
        <v>24</v>
      </c>
      <c r="Q9061" t="s">
        <v>6484</v>
      </c>
      <c r="R9061" t="s">
        <v>10109</v>
      </c>
    </row>
    <row r="9062" spans="1:18" x14ac:dyDescent="0.25">
      <c r="A9062" t="s">
        <v>17377</v>
      </c>
      <c r="B9062" t="s">
        <v>10568</v>
      </c>
      <c r="C9062" t="str">
        <f>HYPERLINK("https://nematode.unl.edu/pratypen40.jpg")</f>
        <v>https://nematode.unl.edu/pratypen40.jpg</v>
      </c>
      <c r="D9062" t="s">
        <v>43</v>
      </c>
      <c r="G9062" t="s">
        <v>44</v>
      </c>
      <c r="J9062" t="s">
        <v>10136</v>
      </c>
      <c r="L9062" t="s">
        <v>10534</v>
      </c>
      <c r="M9062" t="s">
        <v>10503</v>
      </c>
      <c r="N9062" t="s">
        <v>10503</v>
      </c>
      <c r="O9062" t="s">
        <v>23</v>
      </c>
      <c r="P9062" t="s">
        <v>24</v>
      </c>
      <c r="Q9062" t="s">
        <v>6484</v>
      </c>
      <c r="R9062" t="s">
        <v>10109</v>
      </c>
    </row>
    <row r="9063" spans="1:18" x14ac:dyDescent="0.25">
      <c r="A9063" t="s">
        <v>17352</v>
      </c>
      <c r="B9063" t="s">
        <v>10569</v>
      </c>
      <c r="C9063" t="str">
        <f>HYPERLINK("https://nematode.unl.edu/pratypen41.jpg")</f>
        <v>https://nematode.unl.edu/pratypen41.jpg</v>
      </c>
      <c r="D9063" t="s">
        <v>77</v>
      </c>
      <c r="G9063" t="s">
        <v>34</v>
      </c>
      <c r="H9063" t="s">
        <v>18</v>
      </c>
      <c r="I9063" t="s">
        <v>19</v>
      </c>
      <c r="J9063" t="s">
        <v>10136</v>
      </c>
      <c r="L9063" t="s">
        <v>10534</v>
      </c>
      <c r="M9063" t="s">
        <v>10503</v>
      </c>
      <c r="N9063" t="s">
        <v>10503</v>
      </c>
      <c r="O9063" t="s">
        <v>23</v>
      </c>
      <c r="P9063" t="s">
        <v>24</v>
      </c>
      <c r="Q9063" t="s">
        <v>6484</v>
      </c>
      <c r="R9063" t="s">
        <v>10109</v>
      </c>
    </row>
    <row r="9064" spans="1:18" x14ac:dyDescent="0.25">
      <c r="A9064" t="s">
        <v>17443</v>
      </c>
      <c r="B9064" t="s">
        <v>10570</v>
      </c>
      <c r="C9064" t="str">
        <f>HYPERLINK("https://nematode.unl.edu/pratypen42.jpg")</f>
        <v>https://nematode.unl.edu/pratypen42.jpg</v>
      </c>
      <c r="D9064" t="s">
        <v>43</v>
      </c>
      <c r="G9064" t="s">
        <v>10571</v>
      </c>
      <c r="J9064" t="s">
        <v>10136</v>
      </c>
      <c r="L9064" t="s">
        <v>10534</v>
      </c>
      <c r="M9064" t="s">
        <v>10503</v>
      </c>
      <c r="N9064" t="s">
        <v>10503</v>
      </c>
      <c r="O9064" t="s">
        <v>23</v>
      </c>
      <c r="P9064" t="s">
        <v>24</v>
      </c>
      <c r="Q9064" t="s">
        <v>6484</v>
      </c>
      <c r="R9064" t="s">
        <v>10109</v>
      </c>
    </row>
    <row r="9065" spans="1:18" x14ac:dyDescent="0.25">
      <c r="A9065" t="s">
        <v>17425</v>
      </c>
      <c r="B9065" t="s">
        <v>10572</v>
      </c>
      <c r="C9065" t="str">
        <f>HYPERLINK("https://nematode.unl.edu/pratypen43.jpg")</f>
        <v>https://nematode.unl.edu/pratypen43.jpg</v>
      </c>
      <c r="D9065" t="s">
        <v>43</v>
      </c>
      <c r="G9065" t="s">
        <v>28</v>
      </c>
      <c r="I9065" t="s">
        <v>19</v>
      </c>
      <c r="J9065" t="s">
        <v>10136</v>
      </c>
      <c r="L9065" t="s">
        <v>10534</v>
      </c>
      <c r="M9065" t="s">
        <v>10503</v>
      </c>
      <c r="N9065" t="s">
        <v>10503</v>
      </c>
      <c r="O9065" t="s">
        <v>23</v>
      </c>
      <c r="P9065" t="s">
        <v>24</v>
      </c>
      <c r="Q9065" t="s">
        <v>6484</v>
      </c>
      <c r="R9065" t="s">
        <v>10109</v>
      </c>
    </row>
    <row r="9066" spans="1:18" x14ac:dyDescent="0.25">
      <c r="A9066" t="s">
        <v>17353</v>
      </c>
      <c r="B9066" t="s">
        <v>10573</v>
      </c>
      <c r="C9066" t="str">
        <f>HYPERLINK("https://nematode.unl.edu/pratypen44.jpg")</f>
        <v>https://nematode.unl.edu/pratypen44.jpg</v>
      </c>
      <c r="D9066" t="s">
        <v>43</v>
      </c>
      <c r="G9066" t="s">
        <v>34</v>
      </c>
      <c r="H9066" t="s">
        <v>18</v>
      </c>
      <c r="I9066" t="s">
        <v>41</v>
      </c>
      <c r="J9066" t="s">
        <v>10136</v>
      </c>
      <c r="L9066" t="s">
        <v>10534</v>
      </c>
      <c r="M9066" t="s">
        <v>10503</v>
      </c>
      <c r="N9066" t="s">
        <v>10503</v>
      </c>
      <c r="O9066" t="s">
        <v>23</v>
      </c>
      <c r="P9066" t="s">
        <v>24</v>
      </c>
      <c r="Q9066" t="s">
        <v>6484</v>
      </c>
      <c r="R9066" t="s">
        <v>10109</v>
      </c>
    </row>
    <row r="9067" spans="1:18" x14ac:dyDescent="0.25">
      <c r="A9067" t="s">
        <v>17354</v>
      </c>
      <c r="B9067" t="s">
        <v>10574</v>
      </c>
      <c r="C9067" t="str">
        <f>HYPERLINK("https://nematode.unl.edu/pratypen45.jpg")</f>
        <v>https://nematode.unl.edu/pratypen45.jpg</v>
      </c>
      <c r="D9067" t="s">
        <v>43</v>
      </c>
      <c r="G9067" t="s">
        <v>34</v>
      </c>
      <c r="H9067" t="s">
        <v>18</v>
      </c>
      <c r="I9067" t="s">
        <v>41</v>
      </c>
      <c r="J9067" t="s">
        <v>10136</v>
      </c>
      <c r="L9067" t="s">
        <v>10534</v>
      </c>
      <c r="M9067" t="s">
        <v>10503</v>
      </c>
      <c r="N9067" t="s">
        <v>10503</v>
      </c>
      <c r="O9067" t="s">
        <v>23</v>
      </c>
      <c r="P9067" t="s">
        <v>24</v>
      </c>
      <c r="Q9067" t="s">
        <v>6484</v>
      </c>
      <c r="R9067" t="s">
        <v>10109</v>
      </c>
    </row>
    <row r="9068" spans="1:18" x14ac:dyDescent="0.25">
      <c r="A9068" t="s">
        <v>17355</v>
      </c>
      <c r="B9068" t="s">
        <v>10575</v>
      </c>
      <c r="C9068" t="str">
        <f>HYPERLINK("https://nematode.unl.edu/pratypen46.jpg")</f>
        <v>https://nematode.unl.edu/pratypen46.jpg</v>
      </c>
      <c r="D9068" t="s">
        <v>43</v>
      </c>
      <c r="G9068" t="s">
        <v>34</v>
      </c>
      <c r="H9068" t="s">
        <v>18</v>
      </c>
      <c r="I9068" t="s">
        <v>41</v>
      </c>
      <c r="J9068" t="s">
        <v>10136</v>
      </c>
      <c r="L9068" t="s">
        <v>10534</v>
      </c>
      <c r="M9068" t="s">
        <v>10503</v>
      </c>
      <c r="N9068" t="s">
        <v>10503</v>
      </c>
      <c r="O9068" t="s">
        <v>23</v>
      </c>
      <c r="P9068" t="s">
        <v>24</v>
      </c>
      <c r="Q9068" t="s">
        <v>6484</v>
      </c>
      <c r="R9068" t="s">
        <v>10109</v>
      </c>
    </row>
    <row r="9069" spans="1:18" x14ac:dyDescent="0.25">
      <c r="A9069" t="s">
        <v>17403</v>
      </c>
      <c r="B9069" t="s">
        <v>10576</v>
      </c>
      <c r="C9069" t="str">
        <f>HYPERLINK("https://nematode.unl.edu/pratypen47.jpg")</f>
        <v>https://nematode.unl.edu/pratypen47.jpg</v>
      </c>
      <c r="G9069" t="s">
        <v>1404</v>
      </c>
      <c r="I9069" t="s">
        <v>41</v>
      </c>
      <c r="J9069" t="s">
        <v>10136</v>
      </c>
      <c r="L9069" t="s">
        <v>10534</v>
      </c>
      <c r="M9069" t="s">
        <v>10503</v>
      </c>
      <c r="N9069" t="s">
        <v>10503</v>
      </c>
      <c r="O9069" t="s">
        <v>23</v>
      </c>
      <c r="P9069" t="s">
        <v>24</v>
      </c>
      <c r="Q9069" t="s">
        <v>6484</v>
      </c>
      <c r="R9069" t="s">
        <v>10109</v>
      </c>
    </row>
    <row r="9070" spans="1:18" x14ac:dyDescent="0.25">
      <c r="A9070" t="s">
        <v>17426</v>
      </c>
      <c r="B9070" t="s">
        <v>10577</v>
      </c>
      <c r="C9070" t="str">
        <f>HYPERLINK("https://nematode.unl.edu/pratypen48.jpg")</f>
        <v>https://nematode.unl.edu/pratypen48.jpg</v>
      </c>
      <c r="D9070" t="s">
        <v>43</v>
      </c>
      <c r="G9070" t="s">
        <v>28</v>
      </c>
      <c r="I9070" t="s">
        <v>41</v>
      </c>
      <c r="J9070" t="s">
        <v>10136</v>
      </c>
      <c r="L9070" t="s">
        <v>10534</v>
      </c>
      <c r="M9070" t="s">
        <v>10503</v>
      </c>
      <c r="N9070" t="s">
        <v>10503</v>
      </c>
      <c r="O9070" t="s">
        <v>23</v>
      </c>
      <c r="P9070" t="s">
        <v>24</v>
      </c>
      <c r="Q9070" t="s">
        <v>6484</v>
      </c>
      <c r="R9070" t="s">
        <v>10109</v>
      </c>
    </row>
    <row r="9071" spans="1:18" x14ac:dyDescent="0.25">
      <c r="A9071" t="s">
        <v>17356</v>
      </c>
      <c r="B9071" t="s">
        <v>10578</v>
      </c>
      <c r="C9071" t="str">
        <f>HYPERLINK("https://nematode.unl.edu/pratypen49.jpg")</f>
        <v>https://nematode.unl.edu/pratypen49.jpg</v>
      </c>
      <c r="D9071" t="s">
        <v>77</v>
      </c>
      <c r="G9071" t="s">
        <v>34</v>
      </c>
      <c r="H9071" t="s">
        <v>18</v>
      </c>
      <c r="I9071" t="s">
        <v>19</v>
      </c>
      <c r="J9071" t="s">
        <v>10136</v>
      </c>
      <c r="L9071" t="s">
        <v>10534</v>
      </c>
      <c r="M9071" t="s">
        <v>10503</v>
      </c>
      <c r="N9071" t="s">
        <v>10503</v>
      </c>
      <c r="O9071" t="s">
        <v>23</v>
      </c>
      <c r="P9071" t="s">
        <v>24</v>
      </c>
      <c r="Q9071" t="s">
        <v>6484</v>
      </c>
      <c r="R9071" t="s">
        <v>10109</v>
      </c>
    </row>
    <row r="9072" spans="1:18" x14ac:dyDescent="0.25">
      <c r="A9072" t="s">
        <v>17404</v>
      </c>
      <c r="B9072" t="s">
        <v>10579</v>
      </c>
      <c r="C9072" t="str">
        <f>HYPERLINK("https://nematode.unl.edu/pratypen5.jpg")</f>
        <v>https://nematode.unl.edu/pratypen5.jpg</v>
      </c>
      <c r="G9072" t="s">
        <v>1404</v>
      </c>
      <c r="I9072" t="s">
        <v>41</v>
      </c>
      <c r="J9072" t="s">
        <v>10136</v>
      </c>
      <c r="L9072" t="s">
        <v>10534</v>
      </c>
      <c r="M9072" t="s">
        <v>10503</v>
      </c>
      <c r="N9072" t="s">
        <v>10503</v>
      </c>
      <c r="O9072" t="s">
        <v>23</v>
      </c>
      <c r="P9072" t="s">
        <v>24</v>
      </c>
      <c r="Q9072" t="s">
        <v>6484</v>
      </c>
      <c r="R9072" t="s">
        <v>10109</v>
      </c>
    </row>
    <row r="9073" spans="1:18" x14ac:dyDescent="0.25">
      <c r="A9073" t="s">
        <v>17427</v>
      </c>
      <c r="B9073" t="s">
        <v>10580</v>
      </c>
      <c r="C9073" t="str">
        <f>HYPERLINK("https://nematode.unl.edu/pratypen50.jpg")</f>
        <v>https://nematode.unl.edu/pratypen50.jpg</v>
      </c>
      <c r="D9073" t="s">
        <v>77</v>
      </c>
      <c r="G9073" t="s">
        <v>28</v>
      </c>
      <c r="I9073" t="s">
        <v>19</v>
      </c>
      <c r="J9073" t="s">
        <v>10136</v>
      </c>
      <c r="L9073" t="s">
        <v>10534</v>
      </c>
      <c r="M9073" t="s">
        <v>10503</v>
      </c>
      <c r="N9073" t="s">
        <v>10503</v>
      </c>
      <c r="O9073" t="s">
        <v>23</v>
      </c>
      <c r="P9073" t="s">
        <v>24</v>
      </c>
      <c r="Q9073" t="s">
        <v>6484</v>
      </c>
      <c r="R9073" t="s">
        <v>10109</v>
      </c>
    </row>
    <row r="9074" spans="1:18" x14ac:dyDescent="0.25">
      <c r="A9074" t="s">
        <v>17357</v>
      </c>
      <c r="B9074" t="s">
        <v>10581</v>
      </c>
      <c r="C9074" t="str">
        <f>HYPERLINK("https://nematode.unl.edu/pratypen51.jpg")</f>
        <v>https://nematode.unl.edu/pratypen51.jpg</v>
      </c>
      <c r="D9074" t="s">
        <v>77</v>
      </c>
      <c r="G9074" t="s">
        <v>34</v>
      </c>
      <c r="H9074" t="s">
        <v>18</v>
      </c>
      <c r="I9074" t="s">
        <v>41</v>
      </c>
      <c r="J9074" t="s">
        <v>10136</v>
      </c>
      <c r="L9074" t="s">
        <v>10534</v>
      </c>
      <c r="M9074" t="s">
        <v>10503</v>
      </c>
      <c r="N9074" t="s">
        <v>10503</v>
      </c>
      <c r="O9074" t="s">
        <v>23</v>
      </c>
      <c r="P9074" t="s">
        <v>24</v>
      </c>
      <c r="Q9074" t="s">
        <v>6484</v>
      </c>
      <c r="R9074" t="s">
        <v>10109</v>
      </c>
    </row>
    <row r="9075" spans="1:18" x14ac:dyDescent="0.25">
      <c r="A9075" t="s">
        <v>17428</v>
      </c>
      <c r="B9075" t="s">
        <v>10582</v>
      </c>
      <c r="C9075" t="str">
        <f>HYPERLINK("https://nematode.unl.edu/pratypen52.jpg")</f>
        <v>https://nematode.unl.edu/pratypen52.jpg</v>
      </c>
      <c r="D9075" t="s">
        <v>77</v>
      </c>
      <c r="G9075" t="s">
        <v>28</v>
      </c>
      <c r="I9075" t="s">
        <v>41</v>
      </c>
      <c r="J9075" t="s">
        <v>10136</v>
      </c>
      <c r="L9075" t="s">
        <v>10534</v>
      </c>
      <c r="M9075" t="s">
        <v>10503</v>
      </c>
      <c r="N9075" t="s">
        <v>10503</v>
      </c>
      <c r="O9075" t="s">
        <v>23</v>
      </c>
      <c r="P9075" t="s">
        <v>24</v>
      </c>
      <c r="Q9075" t="s">
        <v>6484</v>
      </c>
      <c r="R9075" t="s">
        <v>10109</v>
      </c>
    </row>
    <row r="9076" spans="1:18" x14ac:dyDescent="0.25">
      <c r="A9076" t="s">
        <v>17333</v>
      </c>
      <c r="B9076" t="s">
        <v>10583</v>
      </c>
      <c r="C9076" t="str">
        <f>HYPERLINK("https://nematode.unl.edu/pratypen53.jpg")</f>
        <v>https://nematode.unl.edu/pratypen53.jpg</v>
      </c>
      <c r="D9076" t="s">
        <v>43</v>
      </c>
      <c r="G9076" t="s">
        <v>96</v>
      </c>
      <c r="H9076" t="s">
        <v>18</v>
      </c>
      <c r="I9076" t="s">
        <v>19</v>
      </c>
      <c r="J9076" t="s">
        <v>10136</v>
      </c>
      <c r="L9076" t="s">
        <v>10534</v>
      </c>
      <c r="M9076" t="s">
        <v>10503</v>
      </c>
      <c r="N9076" t="s">
        <v>10503</v>
      </c>
      <c r="O9076" t="s">
        <v>23</v>
      </c>
      <c r="P9076" t="s">
        <v>24</v>
      </c>
      <c r="Q9076" t="s">
        <v>6484</v>
      </c>
      <c r="R9076" t="s">
        <v>10109</v>
      </c>
    </row>
    <row r="9077" spans="1:18" x14ac:dyDescent="0.25">
      <c r="A9077" t="s">
        <v>17395</v>
      </c>
      <c r="B9077" t="s">
        <v>10584</v>
      </c>
      <c r="C9077" t="str">
        <f>HYPERLINK("https://nematode.unl.edu/pratypen54.jpg")</f>
        <v>https://nematode.unl.edu/pratypen54.jpg</v>
      </c>
      <c r="D9077" t="s">
        <v>43</v>
      </c>
      <c r="G9077" t="s">
        <v>181</v>
      </c>
      <c r="I9077" t="s">
        <v>19</v>
      </c>
      <c r="J9077" t="s">
        <v>10136</v>
      </c>
      <c r="L9077" t="s">
        <v>10534</v>
      </c>
      <c r="M9077" t="s">
        <v>10503</v>
      </c>
      <c r="N9077" t="s">
        <v>10503</v>
      </c>
      <c r="O9077" t="s">
        <v>23</v>
      </c>
      <c r="P9077" t="s">
        <v>24</v>
      </c>
      <c r="Q9077" t="s">
        <v>6484</v>
      </c>
      <c r="R9077" t="s">
        <v>10109</v>
      </c>
    </row>
    <row r="9078" spans="1:18" x14ac:dyDescent="0.25">
      <c r="A9078" t="s">
        <v>17358</v>
      </c>
      <c r="B9078" t="s">
        <v>10585</v>
      </c>
      <c r="C9078" t="str">
        <f>HYPERLINK("https://nematode.unl.edu/pratypen55.jpg")</f>
        <v>https://nematode.unl.edu/pratypen55.jpg</v>
      </c>
      <c r="D9078" t="s">
        <v>43</v>
      </c>
      <c r="G9078" t="s">
        <v>34</v>
      </c>
      <c r="H9078" t="s">
        <v>18</v>
      </c>
      <c r="I9078" t="s">
        <v>41</v>
      </c>
      <c r="J9078" t="s">
        <v>10136</v>
      </c>
      <c r="L9078" t="s">
        <v>10534</v>
      </c>
      <c r="M9078" t="s">
        <v>10503</v>
      </c>
      <c r="N9078" t="s">
        <v>10503</v>
      </c>
      <c r="O9078" t="s">
        <v>23</v>
      </c>
      <c r="P9078" t="s">
        <v>24</v>
      </c>
      <c r="Q9078" t="s">
        <v>6484</v>
      </c>
      <c r="R9078" t="s">
        <v>10109</v>
      </c>
    </row>
    <row r="9079" spans="1:18" x14ac:dyDescent="0.25">
      <c r="A9079" t="s">
        <v>17405</v>
      </c>
      <c r="B9079" t="s">
        <v>10586</v>
      </c>
      <c r="C9079" t="str">
        <f>HYPERLINK("https://nematode.unl.edu/pratypen56.jpg")</f>
        <v>https://nematode.unl.edu/pratypen56.jpg</v>
      </c>
      <c r="G9079" t="s">
        <v>1404</v>
      </c>
      <c r="J9079" t="s">
        <v>10136</v>
      </c>
      <c r="L9079" t="s">
        <v>10534</v>
      </c>
      <c r="M9079" t="s">
        <v>10503</v>
      </c>
      <c r="N9079" t="s">
        <v>10503</v>
      </c>
      <c r="O9079" t="s">
        <v>23</v>
      </c>
      <c r="P9079" t="s">
        <v>24</v>
      </c>
      <c r="Q9079" t="s">
        <v>6484</v>
      </c>
      <c r="R9079" t="s">
        <v>10109</v>
      </c>
    </row>
    <row r="9080" spans="1:18" x14ac:dyDescent="0.25">
      <c r="A9080" t="s">
        <v>17429</v>
      </c>
      <c r="B9080" t="s">
        <v>10587</v>
      </c>
      <c r="C9080" t="str">
        <f>HYPERLINK("https://nematode.unl.edu/pratypen57.jpg")</f>
        <v>https://nematode.unl.edu/pratypen57.jpg</v>
      </c>
      <c r="D9080" t="s">
        <v>43</v>
      </c>
      <c r="G9080" t="s">
        <v>28</v>
      </c>
      <c r="I9080" t="s">
        <v>41</v>
      </c>
      <c r="J9080" t="s">
        <v>10136</v>
      </c>
      <c r="L9080" t="s">
        <v>10534</v>
      </c>
      <c r="M9080" t="s">
        <v>10503</v>
      </c>
      <c r="N9080" t="s">
        <v>10503</v>
      </c>
      <c r="O9080" t="s">
        <v>23</v>
      </c>
      <c r="P9080" t="s">
        <v>24</v>
      </c>
      <c r="Q9080" t="s">
        <v>6484</v>
      </c>
      <c r="R9080" t="s">
        <v>10109</v>
      </c>
    </row>
    <row r="9081" spans="1:18" x14ac:dyDescent="0.25">
      <c r="A9081" t="s">
        <v>17334</v>
      </c>
      <c r="B9081" t="s">
        <v>10588</v>
      </c>
      <c r="C9081" t="str">
        <f>HYPERLINK("https://nematode.unl.edu/pratypen58.jpg")</f>
        <v>https://nematode.unl.edu/pratypen58.jpg</v>
      </c>
      <c r="D9081" t="s">
        <v>43</v>
      </c>
      <c r="G9081" t="s">
        <v>96</v>
      </c>
      <c r="H9081" t="s">
        <v>18</v>
      </c>
      <c r="I9081" t="s">
        <v>19</v>
      </c>
      <c r="J9081" t="s">
        <v>10136</v>
      </c>
      <c r="L9081" t="s">
        <v>10534</v>
      </c>
      <c r="M9081" t="s">
        <v>10503</v>
      </c>
      <c r="N9081" t="s">
        <v>10503</v>
      </c>
      <c r="O9081" t="s">
        <v>23</v>
      </c>
      <c r="P9081" t="s">
        <v>24</v>
      </c>
      <c r="Q9081" t="s">
        <v>6484</v>
      </c>
      <c r="R9081" t="s">
        <v>10109</v>
      </c>
    </row>
    <row r="9082" spans="1:18" x14ac:dyDescent="0.25">
      <c r="A9082" t="s">
        <v>17396</v>
      </c>
      <c r="B9082" t="s">
        <v>10589</v>
      </c>
      <c r="C9082" t="str">
        <f>HYPERLINK("https://nematode.unl.edu/pratypen59.jpg")</f>
        <v>https://nematode.unl.edu/pratypen59.jpg</v>
      </c>
      <c r="D9082" t="s">
        <v>43</v>
      </c>
      <c r="G9082" t="s">
        <v>181</v>
      </c>
      <c r="I9082" t="s">
        <v>19</v>
      </c>
      <c r="J9082" t="s">
        <v>10136</v>
      </c>
      <c r="L9082" t="s">
        <v>10534</v>
      </c>
      <c r="M9082" t="s">
        <v>10503</v>
      </c>
      <c r="N9082" t="s">
        <v>10503</v>
      </c>
      <c r="O9082" t="s">
        <v>23</v>
      </c>
      <c r="P9082" t="s">
        <v>24</v>
      </c>
      <c r="Q9082" t="s">
        <v>6484</v>
      </c>
      <c r="R9082" t="s">
        <v>10109</v>
      </c>
    </row>
    <row r="9083" spans="1:18" x14ac:dyDescent="0.25">
      <c r="A9083" t="s">
        <v>17430</v>
      </c>
      <c r="B9083" t="s">
        <v>10590</v>
      </c>
      <c r="C9083" t="str">
        <f>HYPERLINK("https://nematode.unl.edu/pratypen6.jpg")</f>
        <v>https://nematode.unl.edu/pratypen6.jpg</v>
      </c>
      <c r="D9083" t="s">
        <v>77</v>
      </c>
      <c r="G9083" t="s">
        <v>28</v>
      </c>
      <c r="I9083" t="s">
        <v>41</v>
      </c>
      <c r="J9083" t="s">
        <v>10136</v>
      </c>
      <c r="L9083" t="s">
        <v>10534</v>
      </c>
      <c r="M9083" t="s">
        <v>10503</v>
      </c>
      <c r="N9083" t="s">
        <v>10503</v>
      </c>
      <c r="O9083" t="s">
        <v>23</v>
      </c>
      <c r="P9083" t="s">
        <v>24</v>
      </c>
      <c r="Q9083" t="s">
        <v>6484</v>
      </c>
      <c r="R9083" t="s">
        <v>10109</v>
      </c>
    </row>
    <row r="9084" spans="1:18" x14ac:dyDescent="0.25">
      <c r="A9084" t="s">
        <v>17359</v>
      </c>
      <c r="B9084" t="s">
        <v>10591</v>
      </c>
      <c r="C9084" t="str">
        <f>HYPERLINK("https://nematode.unl.edu/pratypen60.jpg")</f>
        <v>https://nematode.unl.edu/pratypen60.jpg</v>
      </c>
      <c r="D9084" t="s">
        <v>43</v>
      </c>
      <c r="G9084" t="s">
        <v>34</v>
      </c>
      <c r="H9084" t="s">
        <v>18</v>
      </c>
      <c r="J9084" t="s">
        <v>10136</v>
      </c>
      <c r="L9084" t="s">
        <v>10534</v>
      </c>
      <c r="M9084" t="s">
        <v>10503</v>
      </c>
      <c r="N9084" t="s">
        <v>10503</v>
      </c>
      <c r="O9084" t="s">
        <v>23</v>
      </c>
      <c r="P9084" t="s">
        <v>24</v>
      </c>
      <c r="Q9084" t="s">
        <v>6484</v>
      </c>
      <c r="R9084" t="s">
        <v>10109</v>
      </c>
    </row>
    <row r="9085" spans="1:18" x14ac:dyDescent="0.25">
      <c r="A9085" t="s">
        <v>17406</v>
      </c>
      <c r="B9085" t="s">
        <v>10592</v>
      </c>
      <c r="C9085" t="str">
        <f>HYPERLINK("https://nematode.unl.edu/pratypen61.jpg")</f>
        <v>https://nematode.unl.edu/pratypen61.jpg</v>
      </c>
      <c r="G9085" t="s">
        <v>1404</v>
      </c>
      <c r="J9085" t="s">
        <v>10136</v>
      </c>
      <c r="L9085" t="s">
        <v>10534</v>
      </c>
      <c r="M9085" t="s">
        <v>10503</v>
      </c>
      <c r="N9085" t="s">
        <v>10503</v>
      </c>
      <c r="O9085" t="s">
        <v>23</v>
      </c>
      <c r="P9085" t="s">
        <v>24</v>
      </c>
      <c r="Q9085" t="s">
        <v>6484</v>
      </c>
      <c r="R9085" t="s">
        <v>10109</v>
      </c>
    </row>
    <row r="9086" spans="1:18" x14ac:dyDescent="0.25">
      <c r="A9086" t="s">
        <v>17431</v>
      </c>
      <c r="B9086" t="s">
        <v>10593</v>
      </c>
      <c r="C9086" t="str">
        <f>HYPERLINK("https://nematode.unl.edu/pratypen62.jpg")</f>
        <v>https://nematode.unl.edu/pratypen62.jpg</v>
      </c>
      <c r="D9086" t="s">
        <v>43</v>
      </c>
      <c r="G9086" t="s">
        <v>28</v>
      </c>
      <c r="I9086" t="s">
        <v>41</v>
      </c>
      <c r="J9086" t="s">
        <v>10136</v>
      </c>
      <c r="L9086" t="s">
        <v>10534</v>
      </c>
      <c r="M9086" t="s">
        <v>10503</v>
      </c>
      <c r="N9086" t="s">
        <v>10503</v>
      </c>
      <c r="O9086" t="s">
        <v>23</v>
      </c>
      <c r="P9086" t="s">
        <v>24</v>
      </c>
      <c r="Q9086" t="s">
        <v>6484</v>
      </c>
      <c r="R9086" t="s">
        <v>10109</v>
      </c>
    </row>
    <row r="9087" spans="1:18" x14ac:dyDescent="0.25">
      <c r="A9087" t="s">
        <v>17360</v>
      </c>
      <c r="B9087" t="s">
        <v>10594</v>
      </c>
      <c r="C9087" t="str">
        <f>HYPERLINK("https://nematode.unl.edu/pratypen63.jpg")</f>
        <v>https://nematode.unl.edu/pratypen63.jpg</v>
      </c>
      <c r="D9087" t="s">
        <v>77</v>
      </c>
      <c r="G9087" t="s">
        <v>34</v>
      </c>
      <c r="H9087" t="s">
        <v>18</v>
      </c>
      <c r="I9087" t="s">
        <v>19</v>
      </c>
      <c r="J9087" t="s">
        <v>10136</v>
      </c>
      <c r="L9087" t="s">
        <v>10534</v>
      </c>
      <c r="M9087" t="s">
        <v>10503</v>
      </c>
      <c r="N9087" t="s">
        <v>10503</v>
      </c>
      <c r="O9087" t="s">
        <v>23</v>
      </c>
      <c r="P9087" t="s">
        <v>24</v>
      </c>
      <c r="Q9087" t="s">
        <v>6484</v>
      </c>
      <c r="R9087" t="s">
        <v>10109</v>
      </c>
    </row>
    <row r="9088" spans="1:18" x14ac:dyDescent="0.25">
      <c r="A9088" t="s">
        <v>17432</v>
      </c>
      <c r="B9088" t="s">
        <v>10595</v>
      </c>
      <c r="C9088" t="str">
        <f>HYPERLINK("https://nematode.unl.edu/pratypen64.jpg")</f>
        <v>https://nematode.unl.edu/pratypen64.jpg</v>
      </c>
      <c r="D9088" t="s">
        <v>77</v>
      </c>
      <c r="G9088" t="s">
        <v>28</v>
      </c>
      <c r="I9088" t="s">
        <v>19</v>
      </c>
      <c r="J9088" t="s">
        <v>10136</v>
      </c>
      <c r="L9088" t="s">
        <v>10534</v>
      </c>
      <c r="M9088" t="s">
        <v>10503</v>
      </c>
      <c r="N9088" t="s">
        <v>10503</v>
      </c>
      <c r="O9088" t="s">
        <v>23</v>
      </c>
      <c r="P9088" t="s">
        <v>24</v>
      </c>
      <c r="Q9088" t="s">
        <v>6484</v>
      </c>
      <c r="R9088" t="s">
        <v>10109</v>
      </c>
    </row>
    <row r="9089" spans="1:18" x14ac:dyDescent="0.25">
      <c r="A9089" t="s">
        <v>17361</v>
      </c>
      <c r="B9089" t="s">
        <v>10596</v>
      </c>
      <c r="C9089" t="str">
        <f>HYPERLINK("https://nematode.unl.edu/pratypen65.jpg")</f>
        <v>https://nematode.unl.edu/pratypen65.jpg</v>
      </c>
      <c r="D9089" t="s">
        <v>77</v>
      </c>
      <c r="G9089" t="s">
        <v>34</v>
      </c>
      <c r="H9089" t="s">
        <v>18</v>
      </c>
      <c r="I9089" t="s">
        <v>41</v>
      </c>
      <c r="J9089" t="s">
        <v>10136</v>
      </c>
      <c r="L9089" t="s">
        <v>10534</v>
      </c>
      <c r="M9089" t="s">
        <v>10503</v>
      </c>
      <c r="N9089" t="s">
        <v>10503</v>
      </c>
      <c r="O9089" t="s">
        <v>23</v>
      </c>
      <c r="P9089" t="s">
        <v>24</v>
      </c>
      <c r="Q9089" t="s">
        <v>6484</v>
      </c>
      <c r="R9089" t="s">
        <v>10109</v>
      </c>
    </row>
    <row r="9090" spans="1:18" x14ac:dyDescent="0.25">
      <c r="A9090" t="s">
        <v>17433</v>
      </c>
      <c r="B9090" t="s">
        <v>10597</v>
      </c>
      <c r="C9090" t="str">
        <f>HYPERLINK("https://nematode.unl.edu/pratypen66.jpg")</f>
        <v>https://nematode.unl.edu/pratypen66.jpg</v>
      </c>
      <c r="D9090" t="s">
        <v>77</v>
      </c>
      <c r="G9090" t="s">
        <v>28</v>
      </c>
      <c r="I9090" t="s">
        <v>41</v>
      </c>
      <c r="J9090" t="s">
        <v>10136</v>
      </c>
      <c r="L9090" t="s">
        <v>10534</v>
      </c>
      <c r="M9090" t="s">
        <v>10503</v>
      </c>
      <c r="N9090" t="s">
        <v>10503</v>
      </c>
      <c r="O9090" t="s">
        <v>23</v>
      </c>
      <c r="P9090" t="s">
        <v>24</v>
      </c>
      <c r="Q9090" t="s">
        <v>6484</v>
      </c>
      <c r="R9090" t="s">
        <v>10109</v>
      </c>
    </row>
    <row r="9091" spans="1:18" x14ac:dyDescent="0.25">
      <c r="A9091" t="s">
        <v>17434</v>
      </c>
      <c r="B9091" t="s">
        <v>10598</v>
      </c>
      <c r="C9091" t="str">
        <f>HYPERLINK("https://nematode.unl.edu/pratypen67.jpg")</f>
        <v>https://nematode.unl.edu/pratypen67.jpg</v>
      </c>
      <c r="D9091" t="s">
        <v>77</v>
      </c>
      <c r="G9091" t="s">
        <v>28</v>
      </c>
      <c r="I9091" t="s">
        <v>41</v>
      </c>
      <c r="J9091" t="s">
        <v>10136</v>
      </c>
      <c r="L9091" t="s">
        <v>10534</v>
      </c>
      <c r="M9091" t="s">
        <v>10503</v>
      </c>
      <c r="N9091" t="s">
        <v>10503</v>
      </c>
      <c r="O9091" t="s">
        <v>23</v>
      </c>
      <c r="P9091" t="s">
        <v>24</v>
      </c>
      <c r="Q9091" t="s">
        <v>6484</v>
      </c>
      <c r="R9091" t="s">
        <v>10109</v>
      </c>
    </row>
    <row r="9092" spans="1:18" x14ac:dyDescent="0.25">
      <c r="A9092" t="s">
        <v>17378</v>
      </c>
      <c r="B9092" t="s">
        <v>10599</v>
      </c>
      <c r="C9092" t="str">
        <f>HYPERLINK("https://nematode.unl.edu/pratypen68.jpg")</f>
        <v>https://nematode.unl.edu/pratypen68.jpg</v>
      </c>
      <c r="D9092" t="s">
        <v>43</v>
      </c>
      <c r="G9092" t="s">
        <v>44</v>
      </c>
      <c r="I9092" t="s">
        <v>19</v>
      </c>
      <c r="J9092" t="s">
        <v>10136</v>
      </c>
      <c r="L9092" t="s">
        <v>10534</v>
      </c>
      <c r="M9092" t="s">
        <v>10503</v>
      </c>
      <c r="N9092" t="s">
        <v>10503</v>
      </c>
      <c r="O9092" t="s">
        <v>23</v>
      </c>
      <c r="P9092" t="s">
        <v>24</v>
      </c>
      <c r="Q9092" t="s">
        <v>6484</v>
      </c>
      <c r="R9092" t="s">
        <v>10109</v>
      </c>
    </row>
    <row r="9093" spans="1:18" x14ac:dyDescent="0.25">
      <c r="A9093" t="s">
        <v>17362</v>
      </c>
      <c r="B9093" t="s">
        <v>10600</v>
      </c>
      <c r="C9093" t="str">
        <f>HYPERLINK("https://nematode.unl.edu/pratypen69.jpg")</f>
        <v>https://nematode.unl.edu/pratypen69.jpg</v>
      </c>
      <c r="D9093" t="s">
        <v>43</v>
      </c>
      <c r="G9093" t="s">
        <v>34</v>
      </c>
      <c r="H9093" t="s">
        <v>18</v>
      </c>
      <c r="I9093" t="s">
        <v>41</v>
      </c>
      <c r="J9093" t="s">
        <v>10136</v>
      </c>
      <c r="L9093" t="s">
        <v>10534</v>
      </c>
      <c r="M9093" t="s">
        <v>10503</v>
      </c>
      <c r="N9093" t="s">
        <v>10503</v>
      </c>
      <c r="O9093" t="s">
        <v>23</v>
      </c>
      <c r="P9093" t="s">
        <v>24</v>
      </c>
      <c r="Q9093" t="s">
        <v>6484</v>
      </c>
      <c r="R9093" t="s">
        <v>10109</v>
      </c>
    </row>
    <row r="9094" spans="1:18" x14ac:dyDescent="0.25">
      <c r="A9094" t="s">
        <v>17386</v>
      </c>
      <c r="B9094" t="s">
        <v>10601</v>
      </c>
      <c r="C9094" t="str">
        <f>HYPERLINK("https://nematode.unl.edu/pratypen7.jpg")</f>
        <v>https://nematode.unl.edu/pratypen7.jpg</v>
      </c>
      <c r="D9094" t="s">
        <v>43</v>
      </c>
      <c r="G9094" t="s">
        <v>53</v>
      </c>
      <c r="I9094" t="s">
        <v>41</v>
      </c>
      <c r="J9094" t="s">
        <v>10136</v>
      </c>
      <c r="L9094" t="s">
        <v>10534</v>
      </c>
      <c r="M9094" t="s">
        <v>10503</v>
      </c>
      <c r="N9094" t="s">
        <v>10503</v>
      </c>
      <c r="O9094" t="s">
        <v>23</v>
      </c>
      <c r="P9094" t="s">
        <v>24</v>
      </c>
      <c r="Q9094" t="s">
        <v>6484</v>
      </c>
      <c r="R9094" t="s">
        <v>10109</v>
      </c>
    </row>
    <row r="9095" spans="1:18" x14ac:dyDescent="0.25">
      <c r="A9095" t="s">
        <v>17407</v>
      </c>
      <c r="B9095" t="s">
        <v>10602</v>
      </c>
      <c r="C9095" t="str">
        <f>HYPERLINK("https://nematode.unl.edu/pratypen70.jpg")</f>
        <v>https://nematode.unl.edu/pratypen70.jpg</v>
      </c>
      <c r="G9095" t="s">
        <v>1404</v>
      </c>
      <c r="I9095" t="s">
        <v>41</v>
      </c>
      <c r="J9095" t="s">
        <v>10136</v>
      </c>
      <c r="L9095" t="s">
        <v>10534</v>
      </c>
      <c r="M9095" t="s">
        <v>10503</v>
      </c>
      <c r="N9095" t="s">
        <v>10503</v>
      </c>
      <c r="O9095" t="s">
        <v>23</v>
      </c>
      <c r="P9095" t="s">
        <v>24</v>
      </c>
      <c r="Q9095" t="s">
        <v>6484</v>
      </c>
      <c r="R9095" t="s">
        <v>10109</v>
      </c>
    </row>
    <row r="9096" spans="1:18" x14ac:dyDescent="0.25">
      <c r="A9096" t="s">
        <v>17363</v>
      </c>
      <c r="B9096" t="s">
        <v>10603</v>
      </c>
      <c r="C9096" t="str">
        <f>HYPERLINK("https://nematode.unl.edu/pratypen71.jpg")</f>
        <v>https://nematode.unl.edu/pratypen71.jpg</v>
      </c>
      <c r="D9096" t="s">
        <v>43</v>
      </c>
      <c r="G9096" t="s">
        <v>34</v>
      </c>
      <c r="H9096" t="s">
        <v>18</v>
      </c>
      <c r="I9096" t="s">
        <v>19</v>
      </c>
      <c r="J9096" t="s">
        <v>10136</v>
      </c>
      <c r="L9096" t="s">
        <v>10534</v>
      </c>
      <c r="M9096" t="s">
        <v>10503</v>
      </c>
      <c r="N9096" t="s">
        <v>10503</v>
      </c>
      <c r="O9096" t="s">
        <v>23</v>
      </c>
      <c r="P9096" t="s">
        <v>24</v>
      </c>
      <c r="Q9096" t="s">
        <v>6484</v>
      </c>
      <c r="R9096" t="s">
        <v>10109</v>
      </c>
    </row>
    <row r="9097" spans="1:18" x14ac:dyDescent="0.25">
      <c r="A9097" t="s">
        <v>17435</v>
      </c>
      <c r="B9097" t="s">
        <v>10604</v>
      </c>
      <c r="C9097" t="str">
        <f>HYPERLINK("https://nematode.unl.edu/pratypen72.jpg")</f>
        <v>https://nematode.unl.edu/pratypen72.jpg</v>
      </c>
      <c r="D9097" t="s">
        <v>43</v>
      </c>
      <c r="G9097" t="s">
        <v>28</v>
      </c>
      <c r="I9097" t="s">
        <v>19</v>
      </c>
      <c r="J9097" t="s">
        <v>10136</v>
      </c>
      <c r="L9097" t="s">
        <v>10534</v>
      </c>
      <c r="M9097" t="s">
        <v>10503</v>
      </c>
      <c r="N9097" t="s">
        <v>10503</v>
      </c>
      <c r="O9097" t="s">
        <v>23</v>
      </c>
      <c r="P9097" t="s">
        <v>24</v>
      </c>
      <c r="Q9097" t="s">
        <v>6484</v>
      </c>
      <c r="R9097" t="s">
        <v>10109</v>
      </c>
    </row>
    <row r="9098" spans="1:18" x14ac:dyDescent="0.25">
      <c r="A9098" t="s">
        <v>17364</v>
      </c>
      <c r="B9098" t="s">
        <v>10605</v>
      </c>
      <c r="C9098" t="str">
        <f>HYPERLINK("https://nematode.unl.edu/pratypen73.jpg")</f>
        <v>https://nematode.unl.edu/pratypen73.jpg</v>
      </c>
      <c r="D9098" t="s">
        <v>43</v>
      </c>
      <c r="G9098" t="s">
        <v>34</v>
      </c>
      <c r="H9098" t="s">
        <v>18</v>
      </c>
      <c r="I9098" t="s">
        <v>41</v>
      </c>
      <c r="J9098" t="s">
        <v>10136</v>
      </c>
      <c r="L9098" t="s">
        <v>10534</v>
      </c>
      <c r="M9098" t="s">
        <v>10503</v>
      </c>
      <c r="N9098" t="s">
        <v>10503</v>
      </c>
      <c r="O9098" t="s">
        <v>23</v>
      </c>
      <c r="P9098" t="s">
        <v>24</v>
      </c>
      <c r="Q9098" t="s">
        <v>6484</v>
      </c>
      <c r="R9098" t="s">
        <v>10109</v>
      </c>
    </row>
    <row r="9099" spans="1:18" x14ac:dyDescent="0.25">
      <c r="A9099" t="s">
        <v>17408</v>
      </c>
      <c r="B9099" t="s">
        <v>10606</v>
      </c>
      <c r="C9099" t="str">
        <f>HYPERLINK("https://nematode.unl.edu/pratypen74.jpg")</f>
        <v>https://nematode.unl.edu/pratypen74.jpg</v>
      </c>
      <c r="G9099" t="s">
        <v>1404</v>
      </c>
      <c r="I9099" t="s">
        <v>41</v>
      </c>
      <c r="J9099" t="s">
        <v>10136</v>
      </c>
      <c r="L9099" t="s">
        <v>10534</v>
      </c>
      <c r="M9099" t="s">
        <v>10503</v>
      </c>
      <c r="N9099" t="s">
        <v>10503</v>
      </c>
      <c r="O9099" t="s">
        <v>23</v>
      </c>
      <c r="P9099" t="s">
        <v>24</v>
      </c>
      <c r="Q9099" t="s">
        <v>6484</v>
      </c>
      <c r="R9099" t="s">
        <v>10109</v>
      </c>
    </row>
    <row r="9100" spans="1:18" x14ac:dyDescent="0.25">
      <c r="A9100" t="s">
        <v>17436</v>
      </c>
      <c r="B9100" t="s">
        <v>10607</v>
      </c>
      <c r="C9100" t="str">
        <f>HYPERLINK("https://nematode.unl.edu/pratypen75.jpg")</f>
        <v>https://nematode.unl.edu/pratypen75.jpg</v>
      </c>
      <c r="D9100" t="s">
        <v>43</v>
      </c>
      <c r="G9100" t="s">
        <v>28</v>
      </c>
      <c r="J9100" t="s">
        <v>10136</v>
      </c>
      <c r="L9100" t="s">
        <v>10534</v>
      </c>
      <c r="M9100" t="s">
        <v>10503</v>
      </c>
      <c r="N9100" t="s">
        <v>10503</v>
      </c>
      <c r="O9100" t="s">
        <v>23</v>
      </c>
      <c r="P9100" t="s">
        <v>24</v>
      </c>
      <c r="Q9100" t="s">
        <v>6484</v>
      </c>
      <c r="R9100" t="s">
        <v>10109</v>
      </c>
    </row>
    <row r="9101" spans="1:18" x14ac:dyDescent="0.25">
      <c r="A9101" t="s">
        <v>17335</v>
      </c>
      <c r="B9101" t="s">
        <v>10608</v>
      </c>
      <c r="C9101" t="str">
        <f>HYPERLINK("https://nematode.unl.edu/pratypen76.jpg")</f>
        <v>https://nematode.unl.edu/pratypen76.jpg</v>
      </c>
      <c r="D9101" t="s">
        <v>43</v>
      </c>
      <c r="G9101" t="s">
        <v>96</v>
      </c>
      <c r="H9101" t="s">
        <v>18</v>
      </c>
      <c r="J9101" t="s">
        <v>10136</v>
      </c>
      <c r="L9101" t="s">
        <v>10534</v>
      </c>
      <c r="M9101" t="s">
        <v>10503</v>
      </c>
      <c r="N9101" t="s">
        <v>10503</v>
      </c>
      <c r="O9101" t="s">
        <v>23</v>
      </c>
      <c r="P9101" t="s">
        <v>24</v>
      </c>
      <c r="Q9101" t="s">
        <v>6484</v>
      </c>
      <c r="R9101" t="s">
        <v>10109</v>
      </c>
    </row>
    <row r="9102" spans="1:18" x14ac:dyDescent="0.25">
      <c r="A9102" t="s">
        <v>17397</v>
      </c>
      <c r="B9102" t="s">
        <v>10609</v>
      </c>
      <c r="C9102" t="str">
        <f>HYPERLINK("https://nematode.unl.edu/pratypen77.jpg")</f>
        <v>https://nematode.unl.edu/pratypen77.jpg</v>
      </c>
      <c r="G9102" t="s">
        <v>181</v>
      </c>
      <c r="J9102" t="s">
        <v>10136</v>
      </c>
      <c r="L9102" t="s">
        <v>10534</v>
      </c>
      <c r="M9102" t="s">
        <v>10503</v>
      </c>
      <c r="N9102" t="s">
        <v>10503</v>
      </c>
      <c r="O9102" t="s">
        <v>23</v>
      </c>
      <c r="P9102" t="s">
        <v>24</v>
      </c>
      <c r="Q9102" t="s">
        <v>6484</v>
      </c>
      <c r="R9102" t="s">
        <v>10109</v>
      </c>
    </row>
    <row r="9103" spans="1:18" x14ac:dyDescent="0.25">
      <c r="A9103" t="s">
        <v>17365</v>
      </c>
      <c r="B9103" t="s">
        <v>10610</v>
      </c>
      <c r="C9103" t="str">
        <f>HYPERLINK("https://nematode.unl.edu/pratypen78.jpg")</f>
        <v>https://nematode.unl.edu/pratypen78.jpg</v>
      </c>
      <c r="D9103" t="s">
        <v>43</v>
      </c>
      <c r="G9103" t="s">
        <v>34</v>
      </c>
      <c r="H9103" t="s">
        <v>18</v>
      </c>
      <c r="J9103" t="s">
        <v>10136</v>
      </c>
      <c r="L9103" t="s">
        <v>10534</v>
      </c>
      <c r="M9103" t="s">
        <v>10503</v>
      </c>
      <c r="N9103" t="s">
        <v>10503</v>
      </c>
      <c r="O9103" t="s">
        <v>23</v>
      </c>
      <c r="P9103" t="s">
        <v>24</v>
      </c>
      <c r="Q9103" t="s">
        <v>6484</v>
      </c>
      <c r="R9103" t="s">
        <v>10109</v>
      </c>
    </row>
    <row r="9104" spans="1:18" x14ac:dyDescent="0.25">
      <c r="A9104" t="s">
        <v>17409</v>
      </c>
      <c r="B9104" t="s">
        <v>10611</v>
      </c>
      <c r="C9104" t="str">
        <f>HYPERLINK("https://nematode.unl.edu/pratypen79.jpg")</f>
        <v>https://nematode.unl.edu/pratypen79.jpg</v>
      </c>
      <c r="G9104" t="s">
        <v>1404</v>
      </c>
      <c r="I9104" t="s">
        <v>41</v>
      </c>
      <c r="J9104" t="s">
        <v>10136</v>
      </c>
      <c r="L9104" t="s">
        <v>10534</v>
      </c>
      <c r="M9104" t="s">
        <v>10503</v>
      </c>
      <c r="N9104" t="s">
        <v>10503</v>
      </c>
      <c r="O9104" t="s">
        <v>23</v>
      </c>
      <c r="P9104" t="s">
        <v>24</v>
      </c>
      <c r="Q9104" t="s">
        <v>6484</v>
      </c>
      <c r="R9104" t="s">
        <v>10109</v>
      </c>
    </row>
    <row r="9105" spans="1:18" x14ac:dyDescent="0.25">
      <c r="A9105" t="s">
        <v>17379</v>
      </c>
      <c r="B9105" t="s">
        <v>10612</v>
      </c>
      <c r="C9105" t="str">
        <f>HYPERLINK("https://nematode.unl.edu/pratypen8.jpg")</f>
        <v>https://nematode.unl.edu/pratypen8.jpg</v>
      </c>
      <c r="D9105" t="s">
        <v>77</v>
      </c>
      <c r="G9105" t="s">
        <v>44</v>
      </c>
      <c r="I9105" t="s">
        <v>45</v>
      </c>
      <c r="J9105" t="s">
        <v>10136</v>
      </c>
      <c r="L9105" t="s">
        <v>10534</v>
      </c>
      <c r="M9105" t="s">
        <v>10503</v>
      </c>
      <c r="N9105" t="s">
        <v>10503</v>
      </c>
      <c r="O9105" t="s">
        <v>23</v>
      </c>
      <c r="P9105" t="s">
        <v>24</v>
      </c>
      <c r="Q9105" t="s">
        <v>6484</v>
      </c>
      <c r="R9105" t="s">
        <v>10109</v>
      </c>
    </row>
    <row r="9106" spans="1:18" x14ac:dyDescent="0.25">
      <c r="A9106" t="s">
        <v>17437</v>
      </c>
      <c r="B9106" t="s">
        <v>10613</v>
      </c>
      <c r="C9106" t="str">
        <f>HYPERLINK("https://nematode.unl.edu/pratypen80.jpg")</f>
        <v>https://nematode.unl.edu/pratypen80.jpg</v>
      </c>
      <c r="D9106" t="s">
        <v>43</v>
      </c>
      <c r="G9106" t="s">
        <v>28</v>
      </c>
      <c r="I9106" t="s">
        <v>41</v>
      </c>
      <c r="J9106" t="s">
        <v>10136</v>
      </c>
      <c r="L9106" t="s">
        <v>10534</v>
      </c>
      <c r="M9106" t="s">
        <v>10503</v>
      </c>
      <c r="N9106" t="s">
        <v>10503</v>
      </c>
      <c r="O9106" t="s">
        <v>23</v>
      </c>
      <c r="P9106" t="s">
        <v>24</v>
      </c>
      <c r="Q9106" t="s">
        <v>6484</v>
      </c>
      <c r="R9106" t="s">
        <v>10109</v>
      </c>
    </row>
    <row r="9107" spans="1:18" x14ac:dyDescent="0.25">
      <c r="A9107" t="s">
        <v>17336</v>
      </c>
      <c r="B9107" t="s">
        <v>10614</v>
      </c>
      <c r="C9107" t="str">
        <f>HYPERLINK("https://nematode.unl.edu/pratypen81.jpg")</f>
        <v>https://nematode.unl.edu/pratypen81.jpg</v>
      </c>
      <c r="D9107" t="s">
        <v>43</v>
      </c>
      <c r="G9107" t="s">
        <v>96</v>
      </c>
      <c r="H9107" t="s">
        <v>18</v>
      </c>
      <c r="J9107" t="s">
        <v>10136</v>
      </c>
      <c r="L9107" t="s">
        <v>10534</v>
      </c>
      <c r="M9107" t="s">
        <v>10503</v>
      </c>
      <c r="N9107" t="s">
        <v>10503</v>
      </c>
      <c r="O9107" t="s">
        <v>23</v>
      </c>
      <c r="P9107" t="s">
        <v>24</v>
      </c>
      <c r="Q9107" t="s">
        <v>6484</v>
      </c>
      <c r="R9107" t="s">
        <v>10109</v>
      </c>
    </row>
    <row r="9108" spans="1:18" x14ac:dyDescent="0.25">
      <c r="A9108" t="s">
        <v>17398</v>
      </c>
      <c r="B9108" t="s">
        <v>10615</v>
      </c>
      <c r="C9108" t="str">
        <f>HYPERLINK("https://nematode.unl.edu/pratypen82.jpg")</f>
        <v>https://nematode.unl.edu/pratypen82.jpg</v>
      </c>
      <c r="D9108" t="s">
        <v>43</v>
      </c>
      <c r="G9108" t="s">
        <v>181</v>
      </c>
      <c r="J9108" t="s">
        <v>10136</v>
      </c>
      <c r="L9108" t="s">
        <v>10534</v>
      </c>
      <c r="M9108" t="s">
        <v>10503</v>
      </c>
      <c r="N9108" t="s">
        <v>10503</v>
      </c>
      <c r="O9108" t="s">
        <v>23</v>
      </c>
      <c r="P9108" t="s">
        <v>24</v>
      </c>
      <c r="Q9108" t="s">
        <v>6484</v>
      </c>
      <c r="R9108" t="s">
        <v>10109</v>
      </c>
    </row>
    <row r="9109" spans="1:18" x14ac:dyDescent="0.25">
      <c r="A9109" t="s">
        <v>17366</v>
      </c>
      <c r="B9109" t="s">
        <v>10616</v>
      </c>
      <c r="C9109" t="str">
        <f>HYPERLINK("https://nematode.unl.edu/pratypen83.jpg")</f>
        <v>https://nematode.unl.edu/pratypen83.jpg</v>
      </c>
      <c r="D9109" t="s">
        <v>43</v>
      </c>
      <c r="G9109" t="s">
        <v>34</v>
      </c>
      <c r="H9109" t="s">
        <v>18</v>
      </c>
      <c r="I9109" t="s">
        <v>41</v>
      </c>
      <c r="J9109" t="s">
        <v>10136</v>
      </c>
      <c r="L9109" t="s">
        <v>10534</v>
      </c>
      <c r="M9109" t="s">
        <v>10503</v>
      </c>
      <c r="N9109" t="s">
        <v>10503</v>
      </c>
      <c r="O9109" t="s">
        <v>23</v>
      </c>
      <c r="P9109" t="s">
        <v>24</v>
      </c>
      <c r="Q9109" t="s">
        <v>6484</v>
      </c>
      <c r="R9109" t="s">
        <v>10109</v>
      </c>
    </row>
    <row r="9110" spans="1:18" x14ac:dyDescent="0.25">
      <c r="A9110" t="s">
        <v>17410</v>
      </c>
      <c r="B9110" t="s">
        <v>10617</v>
      </c>
      <c r="C9110" t="str">
        <f>HYPERLINK("https://nematode.unl.edu/pratypen84.jpg")</f>
        <v>https://nematode.unl.edu/pratypen84.jpg</v>
      </c>
      <c r="G9110" t="s">
        <v>1404</v>
      </c>
      <c r="I9110" t="s">
        <v>41</v>
      </c>
      <c r="J9110" t="s">
        <v>10136</v>
      </c>
      <c r="L9110" t="s">
        <v>10534</v>
      </c>
      <c r="M9110" t="s">
        <v>10503</v>
      </c>
      <c r="N9110" t="s">
        <v>10503</v>
      </c>
      <c r="O9110" t="s">
        <v>23</v>
      </c>
      <c r="P9110" t="s">
        <v>24</v>
      </c>
      <c r="Q9110" t="s">
        <v>6484</v>
      </c>
      <c r="R9110" t="s">
        <v>10109</v>
      </c>
    </row>
    <row r="9111" spans="1:18" x14ac:dyDescent="0.25">
      <c r="A9111" t="s">
        <v>17438</v>
      </c>
      <c r="B9111" t="s">
        <v>10618</v>
      </c>
      <c r="C9111" t="str">
        <f>HYPERLINK("https://nematode.unl.edu/pratypen85.jpg")</f>
        <v>https://nematode.unl.edu/pratypen85.jpg</v>
      </c>
      <c r="D9111" t="s">
        <v>43</v>
      </c>
      <c r="G9111" t="s">
        <v>28</v>
      </c>
      <c r="I9111" t="s">
        <v>41</v>
      </c>
      <c r="J9111" t="s">
        <v>10136</v>
      </c>
      <c r="L9111" t="s">
        <v>10534</v>
      </c>
      <c r="M9111" t="s">
        <v>10503</v>
      </c>
      <c r="N9111" t="s">
        <v>10503</v>
      </c>
      <c r="O9111" t="s">
        <v>23</v>
      </c>
      <c r="P9111" t="s">
        <v>24</v>
      </c>
      <c r="Q9111" t="s">
        <v>6484</v>
      </c>
      <c r="R9111" t="s">
        <v>10109</v>
      </c>
    </row>
    <row r="9112" spans="1:18" x14ac:dyDescent="0.25">
      <c r="A9112" t="s">
        <v>17380</v>
      </c>
      <c r="B9112" t="s">
        <v>10619</v>
      </c>
      <c r="C9112" t="str">
        <f>HYPERLINK("https://nematode.unl.edu/pratypen86.jpg")</f>
        <v>https://nematode.unl.edu/pratypen86.jpg</v>
      </c>
      <c r="G9112" t="s">
        <v>44</v>
      </c>
      <c r="J9112" t="s">
        <v>10136</v>
      </c>
      <c r="L9112" t="s">
        <v>10534</v>
      </c>
      <c r="M9112" t="s">
        <v>10503</v>
      </c>
      <c r="N9112" t="s">
        <v>10503</v>
      </c>
      <c r="O9112" t="s">
        <v>23</v>
      </c>
      <c r="P9112" t="s">
        <v>24</v>
      </c>
      <c r="Q9112" t="s">
        <v>6484</v>
      </c>
      <c r="R9112" t="s">
        <v>10109</v>
      </c>
    </row>
    <row r="9113" spans="1:18" x14ac:dyDescent="0.25">
      <c r="A9113" t="s">
        <v>17367</v>
      </c>
      <c r="B9113" t="s">
        <v>10620</v>
      </c>
      <c r="C9113" t="str">
        <f>HYPERLINK("https://nematode.unl.edu/pratypen87.jpg")</f>
        <v>https://nematode.unl.edu/pratypen87.jpg</v>
      </c>
      <c r="D9113" t="s">
        <v>77</v>
      </c>
      <c r="G9113" t="s">
        <v>34</v>
      </c>
      <c r="H9113" t="s">
        <v>18</v>
      </c>
      <c r="J9113" t="s">
        <v>10136</v>
      </c>
      <c r="L9113" t="s">
        <v>10534</v>
      </c>
      <c r="M9113" t="s">
        <v>10503</v>
      </c>
      <c r="N9113" t="s">
        <v>10503</v>
      </c>
      <c r="O9113" t="s">
        <v>23</v>
      </c>
      <c r="P9113" t="s">
        <v>24</v>
      </c>
      <c r="Q9113" t="s">
        <v>6484</v>
      </c>
      <c r="R9113" t="s">
        <v>10109</v>
      </c>
    </row>
    <row r="9114" spans="1:18" x14ac:dyDescent="0.25">
      <c r="A9114" t="s">
        <v>17439</v>
      </c>
      <c r="B9114" t="s">
        <v>10621</v>
      </c>
      <c r="C9114" t="str">
        <f>HYPERLINK("https://nematode.unl.edu/pratypen88.jpg")</f>
        <v>https://nematode.unl.edu/pratypen88.jpg</v>
      </c>
      <c r="D9114" t="s">
        <v>77</v>
      </c>
      <c r="G9114" t="s">
        <v>28</v>
      </c>
      <c r="J9114" t="s">
        <v>10136</v>
      </c>
      <c r="L9114" t="s">
        <v>10534</v>
      </c>
      <c r="M9114" t="s">
        <v>10503</v>
      </c>
      <c r="N9114" t="s">
        <v>10503</v>
      </c>
      <c r="O9114" t="s">
        <v>23</v>
      </c>
      <c r="P9114" t="s">
        <v>24</v>
      </c>
      <c r="Q9114" t="s">
        <v>6484</v>
      </c>
      <c r="R9114" t="s">
        <v>10109</v>
      </c>
    </row>
    <row r="9115" spans="1:18" x14ac:dyDescent="0.25">
      <c r="A9115" t="s">
        <v>17368</v>
      </c>
      <c r="B9115" t="s">
        <v>10622</v>
      </c>
      <c r="C9115" t="str">
        <f>HYPERLINK("https://nematode.unl.edu/pratypen89.jpg")</f>
        <v>https://nematode.unl.edu/pratypen89.jpg</v>
      </c>
      <c r="G9115" t="s">
        <v>34</v>
      </c>
      <c r="H9115" t="s">
        <v>18</v>
      </c>
      <c r="J9115" t="s">
        <v>10136</v>
      </c>
      <c r="L9115" t="s">
        <v>10534</v>
      </c>
      <c r="M9115" t="s">
        <v>10503</v>
      </c>
      <c r="N9115" t="s">
        <v>10503</v>
      </c>
      <c r="O9115" t="s">
        <v>23</v>
      </c>
      <c r="P9115" t="s">
        <v>24</v>
      </c>
      <c r="Q9115" t="s">
        <v>6484</v>
      </c>
      <c r="R9115" t="s">
        <v>10109</v>
      </c>
    </row>
    <row r="9116" spans="1:18" x14ac:dyDescent="0.25">
      <c r="A9116" t="s">
        <v>17337</v>
      </c>
      <c r="B9116" t="s">
        <v>10623</v>
      </c>
      <c r="C9116" t="str">
        <f>HYPERLINK("https://nematode.unl.edu/pratypen9.jpg")</f>
        <v>https://nematode.unl.edu/pratypen9.jpg</v>
      </c>
      <c r="D9116" t="s">
        <v>77</v>
      </c>
      <c r="G9116" t="s">
        <v>96</v>
      </c>
      <c r="H9116" t="s">
        <v>18</v>
      </c>
      <c r="J9116" t="s">
        <v>10136</v>
      </c>
      <c r="L9116" t="s">
        <v>10534</v>
      </c>
      <c r="M9116" t="s">
        <v>10503</v>
      </c>
      <c r="N9116" t="s">
        <v>10503</v>
      </c>
      <c r="O9116" t="s">
        <v>23</v>
      </c>
      <c r="P9116" t="s">
        <v>24</v>
      </c>
      <c r="Q9116" t="s">
        <v>6484</v>
      </c>
      <c r="R9116" t="s">
        <v>10109</v>
      </c>
    </row>
    <row r="9117" spans="1:18" x14ac:dyDescent="0.25">
      <c r="A9117" t="s">
        <v>17440</v>
      </c>
      <c r="B9117" t="s">
        <v>10624</v>
      </c>
      <c r="C9117" t="str">
        <f>HYPERLINK("https://nematode.unl.edu/pratypen90.jpg")</f>
        <v>https://nematode.unl.edu/pratypen90.jpg</v>
      </c>
      <c r="D9117" t="s">
        <v>77</v>
      </c>
      <c r="G9117" t="s">
        <v>28</v>
      </c>
      <c r="I9117" t="s">
        <v>41</v>
      </c>
      <c r="J9117" t="s">
        <v>10136</v>
      </c>
      <c r="L9117" t="s">
        <v>10534</v>
      </c>
      <c r="M9117" t="s">
        <v>10503</v>
      </c>
      <c r="N9117" t="s">
        <v>10503</v>
      </c>
      <c r="O9117" t="s">
        <v>23</v>
      </c>
      <c r="P9117" t="s">
        <v>24</v>
      </c>
      <c r="Q9117" t="s">
        <v>6484</v>
      </c>
      <c r="R9117" t="s">
        <v>10109</v>
      </c>
    </row>
    <row r="9118" spans="1:18" x14ac:dyDescent="0.25">
      <c r="A9118" t="s">
        <v>16953</v>
      </c>
      <c r="B9118" t="s">
        <v>10124</v>
      </c>
      <c r="C9118" t="str">
        <f>HYPERLINK("https://nematode.unl.edu/pratyque1.jpg")</f>
        <v>https://nematode.unl.edu/pratyque1.jpg</v>
      </c>
      <c r="D9118" t="s">
        <v>43</v>
      </c>
      <c r="G9118" t="s">
        <v>96</v>
      </c>
      <c r="H9118" t="s">
        <v>18</v>
      </c>
      <c r="I9118" t="s">
        <v>41</v>
      </c>
      <c r="M9118" t="s">
        <v>10109</v>
      </c>
      <c r="N9118" t="s">
        <v>10109</v>
      </c>
      <c r="O9118" t="s">
        <v>23</v>
      </c>
      <c r="P9118" t="s">
        <v>24</v>
      </c>
      <c r="Q9118" t="s">
        <v>6484</v>
      </c>
      <c r="R9118" t="s">
        <v>10109</v>
      </c>
    </row>
    <row r="9119" spans="1:18" x14ac:dyDescent="0.25">
      <c r="A9119" t="s">
        <v>16988</v>
      </c>
      <c r="B9119" t="s">
        <v>10125</v>
      </c>
      <c r="C9119" t="str">
        <f>HYPERLINK("https://nematode.unl.edu/pratys1.jpg")</f>
        <v>https://nematode.unl.edu/pratys1.jpg</v>
      </c>
      <c r="D9119" t="s">
        <v>43</v>
      </c>
      <c r="G9119" t="s">
        <v>44</v>
      </c>
      <c r="I9119" t="s">
        <v>499</v>
      </c>
      <c r="J9119" t="s">
        <v>46</v>
      </c>
      <c r="L9119" t="s">
        <v>105</v>
      </c>
      <c r="M9119" t="s">
        <v>10109</v>
      </c>
      <c r="N9119" t="s">
        <v>10109</v>
      </c>
      <c r="O9119" t="s">
        <v>23</v>
      </c>
      <c r="P9119" t="s">
        <v>24</v>
      </c>
      <c r="Q9119" t="s">
        <v>6484</v>
      </c>
      <c r="R9119" t="s">
        <v>10109</v>
      </c>
    </row>
    <row r="9120" spans="1:18" x14ac:dyDescent="0.25">
      <c r="A9120" t="s">
        <v>16961</v>
      </c>
      <c r="B9120" t="s">
        <v>10126</v>
      </c>
      <c r="C9120" t="str">
        <f>HYPERLINK("https://nematode.unl.edu/pratys10.jpg")</f>
        <v>https://nematode.unl.edu/pratys10.jpg</v>
      </c>
      <c r="D9120" t="s">
        <v>43</v>
      </c>
      <c r="G9120" t="s">
        <v>34</v>
      </c>
      <c r="H9120" t="s">
        <v>18</v>
      </c>
      <c r="I9120" t="s">
        <v>41</v>
      </c>
      <c r="J9120" t="s">
        <v>46</v>
      </c>
      <c r="L9120" t="s">
        <v>105</v>
      </c>
      <c r="M9120" t="s">
        <v>10109</v>
      </c>
      <c r="N9120" t="s">
        <v>10109</v>
      </c>
      <c r="O9120" t="s">
        <v>23</v>
      </c>
      <c r="P9120" t="s">
        <v>24</v>
      </c>
      <c r="Q9120" t="s">
        <v>6484</v>
      </c>
      <c r="R9120" t="s">
        <v>10109</v>
      </c>
    </row>
    <row r="9121" spans="1:18" x14ac:dyDescent="0.25">
      <c r="A9121" t="s">
        <v>16962</v>
      </c>
      <c r="B9121" t="s">
        <v>10127</v>
      </c>
      <c r="C9121" t="str">
        <f>HYPERLINK("https://nematode.unl.edu/pratys2.jpg")</f>
        <v>https://nematode.unl.edu/pratys2.jpg</v>
      </c>
      <c r="G9121" t="s">
        <v>34</v>
      </c>
      <c r="H9121" t="s">
        <v>18</v>
      </c>
      <c r="I9121" t="s">
        <v>19</v>
      </c>
      <c r="J9121" t="s">
        <v>46</v>
      </c>
      <c r="L9121" t="s">
        <v>105</v>
      </c>
      <c r="M9121" t="s">
        <v>10109</v>
      </c>
      <c r="N9121" t="s">
        <v>10109</v>
      </c>
      <c r="O9121" t="s">
        <v>23</v>
      </c>
      <c r="P9121" t="s">
        <v>24</v>
      </c>
      <c r="Q9121" t="s">
        <v>6484</v>
      </c>
      <c r="R9121" t="s">
        <v>10109</v>
      </c>
    </row>
    <row r="9122" spans="1:18" x14ac:dyDescent="0.25">
      <c r="A9122" t="s">
        <v>17012</v>
      </c>
      <c r="B9122" t="s">
        <v>10128</v>
      </c>
      <c r="C9122" t="str">
        <f>HYPERLINK("https://nematode.unl.edu/pratys3.jpg")</f>
        <v>https://nematode.unl.edu/pratys3.jpg</v>
      </c>
      <c r="D9122" t="s">
        <v>43</v>
      </c>
      <c r="G9122" t="s">
        <v>28</v>
      </c>
      <c r="J9122" t="s">
        <v>46</v>
      </c>
      <c r="L9122" t="s">
        <v>105</v>
      </c>
      <c r="M9122" t="s">
        <v>10109</v>
      </c>
      <c r="N9122" t="s">
        <v>10109</v>
      </c>
      <c r="O9122" t="s">
        <v>23</v>
      </c>
      <c r="P9122" t="s">
        <v>24</v>
      </c>
      <c r="Q9122" t="s">
        <v>6484</v>
      </c>
      <c r="R9122" t="s">
        <v>10109</v>
      </c>
    </row>
    <row r="9123" spans="1:18" x14ac:dyDescent="0.25">
      <c r="A9123" t="s">
        <v>16963</v>
      </c>
      <c r="B9123" t="s">
        <v>10129</v>
      </c>
      <c r="C9123" t="str">
        <f>HYPERLINK("https://nematode.unl.edu/pratys4.jpg")</f>
        <v>https://nematode.unl.edu/pratys4.jpg</v>
      </c>
      <c r="G9123" t="s">
        <v>34</v>
      </c>
      <c r="H9123" t="s">
        <v>18</v>
      </c>
      <c r="J9123" t="s">
        <v>46</v>
      </c>
      <c r="L9123" t="s">
        <v>105</v>
      </c>
      <c r="M9123" t="s">
        <v>10109</v>
      </c>
      <c r="N9123" t="s">
        <v>10109</v>
      </c>
      <c r="O9123" t="s">
        <v>23</v>
      </c>
      <c r="P9123" t="s">
        <v>24</v>
      </c>
      <c r="Q9123" t="s">
        <v>6484</v>
      </c>
      <c r="R9123" t="s">
        <v>10109</v>
      </c>
    </row>
    <row r="9124" spans="1:18" x14ac:dyDescent="0.25">
      <c r="A9124" t="s">
        <v>17013</v>
      </c>
      <c r="B9124" t="s">
        <v>10130</v>
      </c>
      <c r="C9124" t="str">
        <f>HYPERLINK("https://nematode.unl.edu/pratys5.jpg")</f>
        <v>https://nematode.unl.edu/pratys5.jpg</v>
      </c>
      <c r="D9124" t="s">
        <v>43</v>
      </c>
      <c r="G9124" t="s">
        <v>28</v>
      </c>
      <c r="J9124" t="s">
        <v>46</v>
      </c>
      <c r="L9124" t="s">
        <v>105</v>
      </c>
      <c r="M9124" t="s">
        <v>10109</v>
      </c>
      <c r="N9124" t="s">
        <v>10109</v>
      </c>
      <c r="O9124" t="s">
        <v>23</v>
      </c>
      <c r="P9124" t="s">
        <v>24</v>
      </c>
      <c r="Q9124" t="s">
        <v>6484</v>
      </c>
      <c r="R9124" t="s">
        <v>10109</v>
      </c>
    </row>
    <row r="9125" spans="1:18" x14ac:dyDescent="0.25">
      <c r="A9125" t="s">
        <v>16989</v>
      </c>
      <c r="B9125" t="s">
        <v>10131</v>
      </c>
      <c r="C9125" t="str">
        <f>HYPERLINK("https://nematode.unl.edu/pratys6.jpg")</f>
        <v>https://nematode.unl.edu/pratys6.jpg</v>
      </c>
      <c r="D9125" t="s">
        <v>43</v>
      </c>
      <c r="G9125" t="s">
        <v>44</v>
      </c>
      <c r="J9125" t="s">
        <v>46</v>
      </c>
      <c r="L9125" t="s">
        <v>105</v>
      </c>
      <c r="M9125" t="s">
        <v>10109</v>
      </c>
      <c r="N9125" t="s">
        <v>10109</v>
      </c>
      <c r="O9125" t="s">
        <v>23</v>
      </c>
      <c r="P9125" t="s">
        <v>24</v>
      </c>
      <c r="Q9125" t="s">
        <v>6484</v>
      </c>
      <c r="R9125" t="s">
        <v>10109</v>
      </c>
    </row>
    <row r="9126" spans="1:18" x14ac:dyDescent="0.25">
      <c r="A9126" t="s">
        <v>16964</v>
      </c>
      <c r="B9126" t="s">
        <v>10132</v>
      </c>
      <c r="C9126" t="str">
        <f>HYPERLINK("https://nematode.unl.edu/pratys7.jpg")</f>
        <v>https://nematode.unl.edu/pratys7.jpg</v>
      </c>
      <c r="D9126" t="s">
        <v>43</v>
      </c>
      <c r="G9126" t="s">
        <v>34</v>
      </c>
      <c r="H9126" t="s">
        <v>18</v>
      </c>
      <c r="I9126" t="s">
        <v>19</v>
      </c>
      <c r="J9126" t="s">
        <v>46</v>
      </c>
      <c r="L9126" t="s">
        <v>105</v>
      </c>
      <c r="M9126" t="s">
        <v>10109</v>
      </c>
      <c r="N9126" t="s">
        <v>10109</v>
      </c>
      <c r="O9126" t="s">
        <v>23</v>
      </c>
      <c r="P9126" t="s">
        <v>24</v>
      </c>
      <c r="Q9126" t="s">
        <v>6484</v>
      </c>
      <c r="R9126" t="s">
        <v>10109</v>
      </c>
    </row>
    <row r="9127" spans="1:18" x14ac:dyDescent="0.25">
      <c r="A9127" t="s">
        <v>17031</v>
      </c>
      <c r="B9127" t="s">
        <v>10133</v>
      </c>
      <c r="C9127" t="str">
        <f>HYPERLINK("https://nematode.unl.edu/pratys8.jpg")</f>
        <v>https://nematode.unl.edu/pratys8.jpg</v>
      </c>
      <c r="D9127" t="s">
        <v>43</v>
      </c>
      <c r="G9127" t="s">
        <v>51</v>
      </c>
      <c r="J9127" t="s">
        <v>46</v>
      </c>
      <c r="L9127" t="s">
        <v>105</v>
      </c>
      <c r="M9127" t="s">
        <v>10109</v>
      </c>
      <c r="N9127" t="s">
        <v>10109</v>
      </c>
      <c r="O9127" t="s">
        <v>23</v>
      </c>
      <c r="P9127" t="s">
        <v>24</v>
      </c>
      <c r="Q9127" t="s">
        <v>6484</v>
      </c>
      <c r="R9127" t="s">
        <v>10109</v>
      </c>
    </row>
    <row r="9128" spans="1:18" x14ac:dyDescent="0.25">
      <c r="A9128" t="s">
        <v>17014</v>
      </c>
      <c r="B9128" t="s">
        <v>10134</v>
      </c>
      <c r="C9128" t="str">
        <f>HYPERLINK("https://nematode.unl.edu/pratys9.jpg")</f>
        <v>https://nematode.unl.edu/pratys9.jpg</v>
      </c>
      <c r="G9128" t="s">
        <v>28</v>
      </c>
      <c r="J9128" t="s">
        <v>46</v>
      </c>
      <c r="L9128" t="s">
        <v>105</v>
      </c>
      <c r="M9128" t="s">
        <v>10109</v>
      </c>
      <c r="N9128" t="s">
        <v>10109</v>
      </c>
      <c r="O9128" t="s">
        <v>23</v>
      </c>
      <c r="P9128" t="s">
        <v>24</v>
      </c>
      <c r="Q9128" t="s">
        <v>6484</v>
      </c>
      <c r="R9128" t="s">
        <v>10109</v>
      </c>
    </row>
    <row r="9129" spans="1:18" x14ac:dyDescent="0.25">
      <c r="A9129" t="s">
        <v>16990</v>
      </c>
      <c r="B9129" t="s">
        <v>10135</v>
      </c>
      <c r="C9129" t="str">
        <f>HYPERLINK("https://nematode.unl.edu/pratywis1.jpg")</f>
        <v>https://nematode.unl.edu/pratywis1.jpg</v>
      </c>
      <c r="D9129" t="s">
        <v>43</v>
      </c>
      <c r="G9129" t="s">
        <v>44</v>
      </c>
      <c r="I9129" t="s">
        <v>499</v>
      </c>
      <c r="J9129" t="s">
        <v>10136</v>
      </c>
      <c r="L9129" t="s">
        <v>10137</v>
      </c>
      <c r="M9129" t="s">
        <v>10109</v>
      </c>
      <c r="N9129" t="s">
        <v>10109</v>
      </c>
      <c r="O9129" t="s">
        <v>23</v>
      </c>
      <c r="P9129" t="s">
        <v>24</v>
      </c>
      <c r="Q9129" t="s">
        <v>6484</v>
      </c>
      <c r="R9129" t="s">
        <v>10109</v>
      </c>
    </row>
    <row r="9130" spans="1:18" x14ac:dyDescent="0.25">
      <c r="A9130" t="s">
        <v>16965</v>
      </c>
      <c r="B9130" t="s">
        <v>10138</v>
      </c>
      <c r="C9130" t="str">
        <f>HYPERLINK("https://nematode.unl.edu/pratywis10.jpg")</f>
        <v>https://nematode.unl.edu/pratywis10.jpg</v>
      </c>
      <c r="D9130" t="s">
        <v>43</v>
      </c>
      <c r="G9130" t="s">
        <v>34</v>
      </c>
      <c r="H9130" t="s">
        <v>18</v>
      </c>
      <c r="I9130" t="s">
        <v>41</v>
      </c>
      <c r="J9130" t="s">
        <v>10136</v>
      </c>
      <c r="L9130" t="s">
        <v>10137</v>
      </c>
      <c r="M9130" t="s">
        <v>10109</v>
      </c>
      <c r="N9130" t="s">
        <v>10109</v>
      </c>
      <c r="O9130" t="s">
        <v>23</v>
      </c>
      <c r="P9130" t="s">
        <v>24</v>
      </c>
      <c r="Q9130" t="s">
        <v>6484</v>
      </c>
      <c r="R9130" t="s">
        <v>10109</v>
      </c>
    </row>
    <row r="9131" spans="1:18" x14ac:dyDescent="0.25">
      <c r="A9131" t="s">
        <v>16998</v>
      </c>
      <c r="B9131" t="s">
        <v>10139</v>
      </c>
      <c r="C9131" t="str">
        <f>HYPERLINK("https://nematode.unl.edu/pratywis11.jpg")</f>
        <v>https://nematode.unl.edu/pratywis11.jpg</v>
      </c>
      <c r="D9131" t="s">
        <v>43</v>
      </c>
      <c r="G9131" t="s">
        <v>53</v>
      </c>
      <c r="I9131" t="s">
        <v>41</v>
      </c>
      <c r="J9131" t="s">
        <v>10136</v>
      </c>
      <c r="L9131" t="s">
        <v>10137</v>
      </c>
      <c r="M9131" t="s">
        <v>10109</v>
      </c>
      <c r="N9131" t="s">
        <v>10109</v>
      </c>
      <c r="O9131" t="s">
        <v>23</v>
      </c>
      <c r="P9131" t="s">
        <v>24</v>
      </c>
      <c r="Q9131" t="s">
        <v>6484</v>
      </c>
      <c r="R9131" t="s">
        <v>10109</v>
      </c>
    </row>
    <row r="9132" spans="1:18" x14ac:dyDescent="0.25">
      <c r="A9132" t="s">
        <v>17005</v>
      </c>
      <c r="B9132" t="s">
        <v>10140</v>
      </c>
      <c r="C9132" t="str">
        <f>HYPERLINK("https://nematode.unl.edu/pratywis12.jpg")</f>
        <v>https://nematode.unl.edu/pratywis12.jpg</v>
      </c>
      <c r="G9132" t="s">
        <v>1404</v>
      </c>
      <c r="I9132" t="s">
        <v>41</v>
      </c>
      <c r="J9132" t="s">
        <v>10136</v>
      </c>
      <c r="L9132" t="s">
        <v>10137</v>
      </c>
      <c r="M9132" t="s">
        <v>10109</v>
      </c>
      <c r="N9132" t="s">
        <v>10109</v>
      </c>
      <c r="O9132" t="s">
        <v>23</v>
      </c>
      <c r="P9132" t="s">
        <v>24</v>
      </c>
      <c r="Q9132" t="s">
        <v>6484</v>
      </c>
      <c r="R9132" t="s">
        <v>10109</v>
      </c>
    </row>
    <row r="9133" spans="1:18" x14ac:dyDescent="0.25">
      <c r="A9133" t="s">
        <v>17015</v>
      </c>
      <c r="B9133" t="s">
        <v>10141</v>
      </c>
      <c r="C9133" t="str">
        <f>HYPERLINK("https://nematode.unl.edu/pratywis13.jpg")</f>
        <v>https://nematode.unl.edu/pratywis13.jpg</v>
      </c>
      <c r="D9133" t="s">
        <v>43</v>
      </c>
      <c r="G9133" t="s">
        <v>28</v>
      </c>
      <c r="I9133" t="s">
        <v>41</v>
      </c>
      <c r="J9133" t="s">
        <v>10136</v>
      </c>
      <c r="L9133" t="s">
        <v>10137</v>
      </c>
      <c r="M9133" t="s">
        <v>10109</v>
      </c>
      <c r="N9133" t="s">
        <v>10109</v>
      </c>
      <c r="O9133" t="s">
        <v>23</v>
      </c>
      <c r="P9133" t="s">
        <v>24</v>
      </c>
      <c r="Q9133" t="s">
        <v>6484</v>
      </c>
      <c r="R9133" t="s">
        <v>10109</v>
      </c>
    </row>
    <row r="9134" spans="1:18" x14ac:dyDescent="0.25">
      <c r="A9134" t="s">
        <v>16966</v>
      </c>
      <c r="B9134" t="s">
        <v>10142</v>
      </c>
      <c r="C9134" t="str">
        <f>HYPERLINK("https://nematode.unl.edu/pratywis14.jpg")</f>
        <v>https://nematode.unl.edu/pratywis14.jpg</v>
      </c>
      <c r="D9134" t="s">
        <v>77</v>
      </c>
      <c r="G9134" t="s">
        <v>34</v>
      </c>
      <c r="H9134" t="s">
        <v>18</v>
      </c>
      <c r="I9134" t="s">
        <v>19</v>
      </c>
      <c r="J9134" t="s">
        <v>10136</v>
      </c>
      <c r="L9134" t="s">
        <v>10137</v>
      </c>
      <c r="M9134" t="s">
        <v>10109</v>
      </c>
      <c r="N9134" t="s">
        <v>10109</v>
      </c>
      <c r="O9134" t="s">
        <v>23</v>
      </c>
      <c r="P9134" t="s">
        <v>24</v>
      </c>
      <c r="Q9134" t="s">
        <v>6484</v>
      </c>
      <c r="R9134" t="s">
        <v>10109</v>
      </c>
    </row>
    <row r="9135" spans="1:18" x14ac:dyDescent="0.25">
      <c r="A9135" t="s">
        <v>17016</v>
      </c>
      <c r="B9135" t="s">
        <v>10143</v>
      </c>
      <c r="C9135" t="str">
        <f>HYPERLINK("https://nematode.unl.edu/pratywis15.jpg")</f>
        <v>https://nematode.unl.edu/pratywis15.jpg</v>
      </c>
      <c r="D9135" t="s">
        <v>77</v>
      </c>
      <c r="G9135" t="s">
        <v>28</v>
      </c>
      <c r="I9135" t="s">
        <v>19</v>
      </c>
      <c r="J9135" t="s">
        <v>10136</v>
      </c>
      <c r="L9135" t="s">
        <v>10137</v>
      </c>
      <c r="M9135" t="s">
        <v>10109</v>
      </c>
      <c r="N9135" t="s">
        <v>10109</v>
      </c>
      <c r="O9135" t="s">
        <v>23</v>
      </c>
      <c r="P9135" t="s">
        <v>24</v>
      </c>
      <c r="Q9135" t="s">
        <v>6484</v>
      </c>
      <c r="R9135" t="s">
        <v>10109</v>
      </c>
    </row>
    <row r="9136" spans="1:18" x14ac:dyDescent="0.25">
      <c r="A9136" t="s">
        <v>16967</v>
      </c>
      <c r="B9136" t="s">
        <v>10144</v>
      </c>
      <c r="C9136" t="str">
        <f>HYPERLINK("https://nematode.unl.edu/pratywis16.jpg")</f>
        <v>https://nematode.unl.edu/pratywis16.jpg</v>
      </c>
      <c r="D9136" t="s">
        <v>77</v>
      </c>
      <c r="G9136" t="s">
        <v>34</v>
      </c>
      <c r="H9136" t="s">
        <v>18</v>
      </c>
      <c r="I9136" t="s">
        <v>41</v>
      </c>
      <c r="J9136" t="s">
        <v>10136</v>
      </c>
      <c r="L9136" t="s">
        <v>10137</v>
      </c>
      <c r="M9136" t="s">
        <v>10109</v>
      </c>
      <c r="N9136" t="s">
        <v>10109</v>
      </c>
      <c r="O9136" t="s">
        <v>23</v>
      </c>
      <c r="P9136" t="s">
        <v>24</v>
      </c>
      <c r="Q9136" t="s">
        <v>6484</v>
      </c>
      <c r="R9136" t="s">
        <v>10109</v>
      </c>
    </row>
    <row r="9137" spans="1:18" x14ac:dyDescent="0.25">
      <c r="A9137" t="s">
        <v>17017</v>
      </c>
      <c r="B9137" t="s">
        <v>10145</v>
      </c>
      <c r="C9137" t="str">
        <f>HYPERLINK("https://nematode.unl.edu/pratywis17.jpg")</f>
        <v>https://nematode.unl.edu/pratywis17.jpg</v>
      </c>
      <c r="D9137" t="s">
        <v>77</v>
      </c>
      <c r="G9137" t="s">
        <v>28</v>
      </c>
      <c r="I9137" t="s">
        <v>41</v>
      </c>
      <c r="J9137" t="s">
        <v>10136</v>
      </c>
      <c r="L9137" t="s">
        <v>10137</v>
      </c>
      <c r="M9137" t="s">
        <v>10109</v>
      </c>
      <c r="N9137" t="s">
        <v>10109</v>
      </c>
      <c r="O9137" t="s">
        <v>23</v>
      </c>
      <c r="P9137" t="s">
        <v>24</v>
      </c>
      <c r="Q9137" t="s">
        <v>6484</v>
      </c>
      <c r="R9137" t="s">
        <v>10109</v>
      </c>
    </row>
    <row r="9138" spans="1:18" x14ac:dyDescent="0.25">
      <c r="A9138" t="s">
        <v>16968</v>
      </c>
      <c r="B9138" t="s">
        <v>10146</v>
      </c>
      <c r="C9138" t="str">
        <f>HYPERLINK("https://nematode.unl.edu/pratywis18.jpg")</f>
        <v>https://nematode.unl.edu/pratywis18.jpg</v>
      </c>
      <c r="D9138" t="s">
        <v>16</v>
      </c>
      <c r="G9138" t="s">
        <v>34</v>
      </c>
      <c r="H9138" t="s">
        <v>18</v>
      </c>
      <c r="I9138" t="s">
        <v>19</v>
      </c>
      <c r="J9138" t="s">
        <v>10136</v>
      </c>
      <c r="L9138" t="s">
        <v>10137</v>
      </c>
      <c r="M9138" t="s">
        <v>10109</v>
      </c>
      <c r="N9138" t="s">
        <v>10109</v>
      </c>
      <c r="O9138" t="s">
        <v>23</v>
      </c>
      <c r="P9138" t="s">
        <v>24</v>
      </c>
      <c r="Q9138" t="s">
        <v>6484</v>
      </c>
      <c r="R9138" t="s">
        <v>10109</v>
      </c>
    </row>
    <row r="9139" spans="1:18" x14ac:dyDescent="0.25">
      <c r="A9139" t="s">
        <v>17018</v>
      </c>
      <c r="B9139" t="s">
        <v>10147</v>
      </c>
      <c r="C9139" t="str">
        <f>HYPERLINK("https://nematode.unl.edu/pratywis19.jpg")</f>
        <v>https://nematode.unl.edu/pratywis19.jpg</v>
      </c>
      <c r="D9139" t="s">
        <v>16</v>
      </c>
      <c r="G9139" t="s">
        <v>28</v>
      </c>
      <c r="I9139" t="s">
        <v>19</v>
      </c>
      <c r="J9139" t="s">
        <v>10136</v>
      </c>
      <c r="L9139" t="s">
        <v>10137</v>
      </c>
      <c r="M9139" t="s">
        <v>10109</v>
      </c>
      <c r="N9139" t="s">
        <v>10109</v>
      </c>
      <c r="O9139" t="s">
        <v>23</v>
      </c>
      <c r="P9139" t="s">
        <v>24</v>
      </c>
      <c r="Q9139" t="s">
        <v>6484</v>
      </c>
      <c r="R9139" t="s">
        <v>10109</v>
      </c>
    </row>
    <row r="9140" spans="1:18" x14ac:dyDescent="0.25">
      <c r="A9140" t="s">
        <v>16969</v>
      </c>
      <c r="B9140" t="s">
        <v>10148</v>
      </c>
      <c r="C9140" t="str">
        <f>HYPERLINK("https://nematode.unl.edu/pratywis2.jpg")</f>
        <v>https://nematode.unl.edu/pratywis2.jpg</v>
      </c>
      <c r="D9140" t="s">
        <v>43</v>
      </c>
      <c r="G9140" t="s">
        <v>34</v>
      </c>
      <c r="H9140" t="s">
        <v>18</v>
      </c>
      <c r="I9140" t="s">
        <v>19</v>
      </c>
      <c r="J9140" t="s">
        <v>10136</v>
      </c>
      <c r="L9140" t="s">
        <v>10137</v>
      </c>
      <c r="M9140" t="s">
        <v>10109</v>
      </c>
      <c r="N9140" t="s">
        <v>10109</v>
      </c>
      <c r="O9140" t="s">
        <v>23</v>
      </c>
      <c r="P9140" t="s">
        <v>24</v>
      </c>
      <c r="Q9140" t="s">
        <v>6484</v>
      </c>
      <c r="R9140" t="s">
        <v>10109</v>
      </c>
    </row>
    <row r="9141" spans="1:18" x14ac:dyDescent="0.25">
      <c r="A9141" t="s">
        <v>16970</v>
      </c>
      <c r="B9141" t="s">
        <v>10149</v>
      </c>
      <c r="C9141" t="str">
        <f>HYPERLINK("https://nematode.unl.edu/pratywis20.jpg")</f>
        <v>https://nematode.unl.edu/pratywis20.jpg</v>
      </c>
      <c r="D9141" t="s">
        <v>16</v>
      </c>
      <c r="G9141" t="s">
        <v>34</v>
      </c>
      <c r="H9141" t="s">
        <v>18</v>
      </c>
      <c r="I9141" t="s">
        <v>41</v>
      </c>
      <c r="J9141" t="s">
        <v>10136</v>
      </c>
      <c r="L9141" t="s">
        <v>10137</v>
      </c>
      <c r="M9141" t="s">
        <v>10109</v>
      </c>
      <c r="N9141" t="s">
        <v>10109</v>
      </c>
      <c r="O9141" t="s">
        <v>23</v>
      </c>
      <c r="P9141" t="s">
        <v>24</v>
      </c>
      <c r="Q9141" t="s">
        <v>6484</v>
      </c>
      <c r="R9141" t="s">
        <v>10109</v>
      </c>
    </row>
    <row r="9142" spans="1:18" x14ac:dyDescent="0.25">
      <c r="A9142" t="s">
        <v>17019</v>
      </c>
      <c r="B9142" t="s">
        <v>10150</v>
      </c>
      <c r="C9142" t="str">
        <f>HYPERLINK("https://nematode.unl.edu/pratywis21.jpg")</f>
        <v>https://nematode.unl.edu/pratywis21.jpg</v>
      </c>
      <c r="D9142" t="s">
        <v>16</v>
      </c>
      <c r="G9142" t="s">
        <v>28</v>
      </c>
      <c r="I9142" t="s">
        <v>41</v>
      </c>
      <c r="J9142" t="s">
        <v>10136</v>
      </c>
      <c r="L9142" t="s">
        <v>10137</v>
      </c>
      <c r="M9142" t="s">
        <v>10109</v>
      </c>
      <c r="N9142" t="s">
        <v>10109</v>
      </c>
      <c r="O9142" t="s">
        <v>23</v>
      </c>
      <c r="P9142" t="s">
        <v>24</v>
      </c>
      <c r="Q9142" t="s">
        <v>6484</v>
      </c>
      <c r="R9142" t="s">
        <v>10109</v>
      </c>
    </row>
    <row r="9143" spans="1:18" x14ac:dyDescent="0.25">
      <c r="A9143" t="s">
        <v>16991</v>
      </c>
      <c r="B9143" t="s">
        <v>10151</v>
      </c>
      <c r="C9143" t="str">
        <f>HYPERLINK("https://nematode.unl.edu/pratywis22.jpg")</f>
        <v>https://nematode.unl.edu/pratywis22.jpg</v>
      </c>
      <c r="D9143" t="s">
        <v>77</v>
      </c>
      <c r="G9143" t="s">
        <v>44</v>
      </c>
      <c r="I9143" t="s">
        <v>516</v>
      </c>
      <c r="J9143" t="s">
        <v>10136</v>
      </c>
      <c r="L9143" t="s">
        <v>10137</v>
      </c>
      <c r="M9143" t="s">
        <v>10109</v>
      </c>
      <c r="N9143" t="s">
        <v>10109</v>
      </c>
      <c r="O9143" t="s">
        <v>23</v>
      </c>
      <c r="P9143" t="s">
        <v>24</v>
      </c>
      <c r="Q9143" t="s">
        <v>6484</v>
      </c>
      <c r="R9143" t="s">
        <v>10109</v>
      </c>
    </row>
    <row r="9144" spans="1:18" x14ac:dyDescent="0.25">
      <c r="A9144" t="s">
        <v>16971</v>
      </c>
      <c r="B9144" t="s">
        <v>10152</v>
      </c>
      <c r="C9144" t="str">
        <f>HYPERLINK("https://nematode.unl.edu/pratywis23.jpg")</f>
        <v>https://nematode.unl.edu/pratywis23.jpg</v>
      </c>
      <c r="D9144" t="s">
        <v>77</v>
      </c>
      <c r="G9144" t="s">
        <v>34</v>
      </c>
      <c r="H9144" t="s">
        <v>18</v>
      </c>
      <c r="I9144" t="s">
        <v>41</v>
      </c>
      <c r="J9144" t="s">
        <v>10136</v>
      </c>
      <c r="L9144" t="s">
        <v>10137</v>
      </c>
      <c r="M9144" t="s">
        <v>10109</v>
      </c>
      <c r="N9144" t="s">
        <v>10109</v>
      </c>
      <c r="O9144" t="s">
        <v>23</v>
      </c>
      <c r="P9144" t="s">
        <v>24</v>
      </c>
      <c r="Q9144" t="s">
        <v>6484</v>
      </c>
      <c r="R9144" t="s">
        <v>10109</v>
      </c>
    </row>
    <row r="9145" spans="1:18" x14ac:dyDescent="0.25">
      <c r="A9145" t="s">
        <v>16999</v>
      </c>
      <c r="B9145" t="s">
        <v>10153</v>
      </c>
      <c r="C9145" t="str">
        <f>HYPERLINK("https://nematode.unl.edu/pratywis24.jpg")</f>
        <v>https://nematode.unl.edu/pratywis24.jpg</v>
      </c>
      <c r="D9145" t="s">
        <v>77</v>
      </c>
      <c r="G9145" t="s">
        <v>53</v>
      </c>
      <c r="I9145" t="s">
        <v>41</v>
      </c>
      <c r="J9145" t="s">
        <v>10136</v>
      </c>
      <c r="L9145" t="s">
        <v>10137</v>
      </c>
      <c r="M9145" t="s">
        <v>10109</v>
      </c>
      <c r="N9145" t="s">
        <v>10109</v>
      </c>
      <c r="O9145" t="s">
        <v>23</v>
      </c>
      <c r="P9145" t="s">
        <v>24</v>
      </c>
      <c r="Q9145" t="s">
        <v>6484</v>
      </c>
      <c r="R9145" t="s">
        <v>10109</v>
      </c>
    </row>
    <row r="9146" spans="1:18" x14ac:dyDescent="0.25">
      <c r="A9146" t="s">
        <v>17020</v>
      </c>
      <c r="B9146" t="s">
        <v>10154</v>
      </c>
      <c r="C9146" t="str">
        <f>HYPERLINK("https://nematode.unl.edu/pratywis25.jpg")</f>
        <v>https://nematode.unl.edu/pratywis25.jpg</v>
      </c>
      <c r="D9146" t="s">
        <v>77</v>
      </c>
      <c r="G9146" t="s">
        <v>28</v>
      </c>
      <c r="I9146" t="s">
        <v>41</v>
      </c>
      <c r="J9146" t="s">
        <v>10136</v>
      </c>
      <c r="L9146" t="s">
        <v>10137</v>
      </c>
      <c r="M9146" t="s">
        <v>10109</v>
      </c>
      <c r="N9146" t="s">
        <v>10109</v>
      </c>
      <c r="O9146" t="s">
        <v>23</v>
      </c>
      <c r="P9146" t="s">
        <v>24</v>
      </c>
      <c r="Q9146" t="s">
        <v>6484</v>
      </c>
      <c r="R9146" t="s">
        <v>10109</v>
      </c>
    </row>
    <row r="9147" spans="1:18" x14ac:dyDescent="0.25">
      <c r="A9147" t="s">
        <v>16992</v>
      </c>
      <c r="B9147" t="s">
        <v>10155</v>
      </c>
      <c r="C9147" t="str">
        <f>HYPERLINK("https://nematode.unl.edu/pratywis26.jpg")</f>
        <v>https://nematode.unl.edu/pratywis26.jpg</v>
      </c>
      <c r="D9147" t="s">
        <v>43</v>
      </c>
      <c r="G9147" t="s">
        <v>44</v>
      </c>
      <c r="J9147" t="s">
        <v>10136</v>
      </c>
      <c r="L9147" t="s">
        <v>10137</v>
      </c>
      <c r="M9147" t="s">
        <v>10109</v>
      </c>
      <c r="N9147" t="s">
        <v>10109</v>
      </c>
      <c r="O9147" t="s">
        <v>23</v>
      </c>
      <c r="P9147" t="s">
        <v>24</v>
      </c>
      <c r="Q9147" t="s">
        <v>6484</v>
      </c>
      <c r="R9147" t="s">
        <v>10109</v>
      </c>
    </row>
    <row r="9148" spans="1:18" x14ac:dyDescent="0.25">
      <c r="A9148" t="s">
        <v>16972</v>
      </c>
      <c r="B9148" t="s">
        <v>10156</v>
      </c>
      <c r="C9148" t="str">
        <f>HYPERLINK("https://nematode.unl.edu/pratywis27.jpg")</f>
        <v>https://nematode.unl.edu/pratywis27.jpg</v>
      </c>
      <c r="D9148" t="s">
        <v>43</v>
      </c>
      <c r="G9148" t="s">
        <v>34</v>
      </c>
      <c r="H9148" t="s">
        <v>18</v>
      </c>
      <c r="I9148" t="s">
        <v>41</v>
      </c>
      <c r="J9148" t="s">
        <v>10136</v>
      </c>
      <c r="L9148" t="s">
        <v>10137</v>
      </c>
      <c r="M9148" t="s">
        <v>10109</v>
      </c>
      <c r="N9148" t="s">
        <v>10109</v>
      </c>
      <c r="O9148" t="s">
        <v>23</v>
      </c>
      <c r="P9148" t="s">
        <v>24</v>
      </c>
      <c r="Q9148" t="s">
        <v>6484</v>
      </c>
      <c r="R9148" t="s">
        <v>10109</v>
      </c>
    </row>
    <row r="9149" spans="1:18" x14ac:dyDescent="0.25">
      <c r="A9149" t="s">
        <v>17006</v>
      </c>
      <c r="B9149" t="s">
        <v>10157</v>
      </c>
      <c r="C9149" t="str">
        <f>HYPERLINK("https://nematode.unl.edu/pratywis28.jpg")</f>
        <v>https://nematode.unl.edu/pratywis28.jpg</v>
      </c>
      <c r="D9149" t="s">
        <v>77</v>
      </c>
      <c r="G9149" t="s">
        <v>1404</v>
      </c>
      <c r="I9149" t="s">
        <v>529</v>
      </c>
      <c r="J9149" t="s">
        <v>10136</v>
      </c>
      <c r="L9149" t="s">
        <v>10137</v>
      </c>
      <c r="M9149" t="s">
        <v>10109</v>
      </c>
      <c r="N9149" t="s">
        <v>10109</v>
      </c>
      <c r="O9149" t="s">
        <v>23</v>
      </c>
      <c r="P9149" t="s">
        <v>24</v>
      </c>
      <c r="Q9149" t="s">
        <v>6484</v>
      </c>
      <c r="R9149" t="s">
        <v>10109</v>
      </c>
    </row>
    <row r="9150" spans="1:18" x14ac:dyDescent="0.25">
      <c r="A9150" t="s">
        <v>17000</v>
      </c>
      <c r="B9150" t="s">
        <v>10158</v>
      </c>
      <c r="C9150" t="str">
        <f>HYPERLINK("https://nematode.unl.edu/pratywis29.jpg")</f>
        <v>https://nematode.unl.edu/pratywis29.jpg</v>
      </c>
      <c r="D9150" t="s">
        <v>43</v>
      </c>
      <c r="G9150" t="s">
        <v>53</v>
      </c>
      <c r="I9150" t="s">
        <v>41</v>
      </c>
      <c r="J9150" t="s">
        <v>10136</v>
      </c>
      <c r="L9150" t="s">
        <v>10137</v>
      </c>
      <c r="M9150" t="s">
        <v>10109</v>
      </c>
      <c r="N9150" t="s">
        <v>10109</v>
      </c>
      <c r="O9150" t="s">
        <v>23</v>
      </c>
      <c r="P9150" t="s">
        <v>24</v>
      </c>
      <c r="Q9150" t="s">
        <v>6484</v>
      </c>
      <c r="R9150" t="s">
        <v>10109</v>
      </c>
    </row>
    <row r="9151" spans="1:18" x14ac:dyDescent="0.25">
      <c r="A9151" t="s">
        <v>17021</v>
      </c>
      <c r="B9151" t="s">
        <v>10159</v>
      </c>
      <c r="C9151" t="str">
        <f>HYPERLINK("https://nematode.unl.edu/pratywis3.jpg")</f>
        <v>https://nematode.unl.edu/pratywis3.jpg</v>
      </c>
      <c r="D9151" t="s">
        <v>43</v>
      </c>
      <c r="G9151" t="s">
        <v>28</v>
      </c>
      <c r="I9151" t="s">
        <v>19</v>
      </c>
      <c r="J9151" t="s">
        <v>10136</v>
      </c>
      <c r="L9151" t="s">
        <v>10137</v>
      </c>
      <c r="M9151" t="s">
        <v>10109</v>
      </c>
      <c r="N9151" t="s">
        <v>10109</v>
      </c>
      <c r="O9151" t="s">
        <v>23</v>
      </c>
      <c r="P9151" t="s">
        <v>24</v>
      </c>
      <c r="Q9151" t="s">
        <v>6484</v>
      </c>
      <c r="R9151" t="s">
        <v>10109</v>
      </c>
    </row>
    <row r="9152" spans="1:18" x14ac:dyDescent="0.25">
      <c r="A9152" t="s">
        <v>17022</v>
      </c>
      <c r="B9152" t="s">
        <v>10160</v>
      </c>
      <c r="C9152" t="str">
        <f>HYPERLINK("https://nematode.unl.edu/pratywis30.jpg")</f>
        <v>https://nematode.unl.edu/pratywis30.jpg</v>
      </c>
      <c r="D9152" t="s">
        <v>43</v>
      </c>
      <c r="G9152" t="s">
        <v>28</v>
      </c>
      <c r="I9152" t="s">
        <v>41</v>
      </c>
      <c r="J9152" t="s">
        <v>10136</v>
      </c>
      <c r="L9152" t="s">
        <v>10137</v>
      </c>
      <c r="M9152" t="s">
        <v>10109</v>
      </c>
      <c r="N9152" t="s">
        <v>10109</v>
      </c>
      <c r="O9152" t="s">
        <v>23</v>
      </c>
      <c r="P9152" t="s">
        <v>24</v>
      </c>
      <c r="Q9152" t="s">
        <v>6484</v>
      </c>
      <c r="R9152" t="s">
        <v>10109</v>
      </c>
    </row>
    <row r="9153" spans="1:18" x14ac:dyDescent="0.25">
      <c r="A9153" t="s">
        <v>16973</v>
      </c>
      <c r="B9153" t="s">
        <v>10161</v>
      </c>
      <c r="C9153" t="str">
        <f>HYPERLINK("https://nematode.unl.edu/pratywis4.jpg")</f>
        <v>https://nematode.unl.edu/pratywis4.jpg</v>
      </c>
      <c r="D9153" t="s">
        <v>43</v>
      </c>
      <c r="G9153" t="s">
        <v>34</v>
      </c>
      <c r="H9153" t="s">
        <v>18</v>
      </c>
      <c r="I9153" t="s">
        <v>41</v>
      </c>
      <c r="J9153" t="s">
        <v>10136</v>
      </c>
      <c r="L9153" t="s">
        <v>10137</v>
      </c>
      <c r="M9153" t="s">
        <v>10109</v>
      </c>
      <c r="N9153" t="s">
        <v>10109</v>
      </c>
      <c r="O9153" t="s">
        <v>23</v>
      </c>
      <c r="P9153" t="s">
        <v>24</v>
      </c>
      <c r="Q9153" t="s">
        <v>6484</v>
      </c>
      <c r="R9153" t="s">
        <v>10109</v>
      </c>
    </row>
    <row r="9154" spans="1:18" x14ac:dyDescent="0.25">
      <c r="A9154" t="s">
        <v>17007</v>
      </c>
      <c r="B9154" t="s">
        <v>10162</v>
      </c>
      <c r="C9154" t="str">
        <f>HYPERLINK("https://nematode.unl.edu/pratywis5.jpg")</f>
        <v>https://nematode.unl.edu/pratywis5.jpg</v>
      </c>
      <c r="G9154" t="s">
        <v>1404</v>
      </c>
      <c r="I9154" t="s">
        <v>41</v>
      </c>
      <c r="J9154" t="s">
        <v>10136</v>
      </c>
      <c r="L9154" t="s">
        <v>10137</v>
      </c>
      <c r="M9154" t="s">
        <v>10109</v>
      </c>
      <c r="N9154" t="s">
        <v>10109</v>
      </c>
      <c r="O9154" t="s">
        <v>23</v>
      </c>
      <c r="P9154" t="s">
        <v>24</v>
      </c>
      <c r="Q9154" t="s">
        <v>6484</v>
      </c>
      <c r="R9154" t="s">
        <v>10109</v>
      </c>
    </row>
    <row r="9155" spans="1:18" x14ac:dyDescent="0.25">
      <c r="A9155" t="s">
        <v>17023</v>
      </c>
      <c r="B9155" t="s">
        <v>10163</v>
      </c>
      <c r="C9155" t="str">
        <f>HYPERLINK("https://nematode.unl.edu/pratywis6.jpg")</f>
        <v>https://nematode.unl.edu/pratywis6.jpg</v>
      </c>
      <c r="D9155" t="s">
        <v>43</v>
      </c>
      <c r="G9155" t="s">
        <v>28</v>
      </c>
      <c r="I9155" t="s">
        <v>41</v>
      </c>
      <c r="J9155" t="s">
        <v>10136</v>
      </c>
      <c r="L9155" t="s">
        <v>10137</v>
      </c>
      <c r="M9155" t="s">
        <v>10109</v>
      </c>
      <c r="N9155" t="s">
        <v>10109</v>
      </c>
      <c r="O9155" t="s">
        <v>23</v>
      </c>
      <c r="P9155" t="s">
        <v>24</v>
      </c>
      <c r="Q9155" t="s">
        <v>6484</v>
      </c>
      <c r="R9155" t="s">
        <v>10109</v>
      </c>
    </row>
    <row r="9156" spans="1:18" x14ac:dyDescent="0.25">
      <c r="A9156" t="s">
        <v>16993</v>
      </c>
      <c r="B9156" t="s">
        <v>10164</v>
      </c>
      <c r="C9156" t="str">
        <f>HYPERLINK("https://nematode.unl.edu/pratywis7.jpg")</f>
        <v>https://nematode.unl.edu/pratywis7.jpg</v>
      </c>
      <c r="D9156" t="s">
        <v>77</v>
      </c>
      <c r="G9156" t="s">
        <v>44</v>
      </c>
      <c r="J9156" t="s">
        <v>10136</v>
      </c>
      <c r="L9156" t="s">
        <v>10137</v>
      </c>
      <c r="M9156" t="s">
        <v>10109</v>
      </c>
      <c r="N9156" t="s">
        <v>10109</v>
      </c>
      <c r="O9156" t="s">
        <v>23</v>
      </c>
      <c r="P9156" t="s">
        <v>24</v>
      </c>
      <c r="Q9156" t="s">
        <v>6484</v>
      </c>
      <c r="R9156" t="s">
        <v>10109</v>
      </c>
    </row>
    <row r="9157" spans="1:18" x14ac:dyDescent="0.25">
      <c r="A9157" t="s">
        <v>16974</v>
      </c>
      <c r="B9157" t="s">
        <v>10165</v>
      </c>
      <c r="C9157" t="str">
        <f>HYPERLINK("https://nematode.unl.edu/pratywis8.jpg")</f>
        <v>https://nematode.unl.edu/pratywis8.jpg</v>
      </c>
      <c r="D9157" t="s">
        <v>43</v>
      </c>
      <c r="G9157" t="s">
        <v>34</v>
      </c>
      <c r="H9157" t="s">
        <v>18</v>
      </c>
      <c r="J9157" t="s">
        <v>10136</v>
      </c>
      <c r="L9157" t="s">
        <v>10137</v>
      </c>
      <c r="M9157" t="s">
        <v>10109</v>
      </c>
      <c r="N9157" t="s">
        <v>10109</v>
      </c>
      <c r="O9157" t="s">
        <v>23</v>
      </c>
      <c r="P9157" t="s">
        <v>24</v>
      </c>
      <c r="Q9157" t="s">
        <v>6484</v>
      </c>
      <c r="R9157" t="s">
        <v>10109</v>
      </c>
    </row>
    <row r="9158" spans="1:18" x14ac:dyDescent="0.25">
      <c r="A9158" t="s">
        <v>17024</v>
      </c>
      <c r="B9158" t="s">
        <v>10166</v>
      </c>
      <c r="C9158" t="str">
        <f>HYPERLINK("https://nematode.unl.edu/pratywis9.jpg")</f>
        <v>https://nematode.unl.edu/pratywis9.jpg</v>
      </c>
      <c r="D9158" t="s">
        <v>43</v>
      </c>
      <c r="G9158" t="s">
        <v>28</v>
      </c>
      <c r="J9158" t="s">
        <v>10136</v>
      </c>
      <c r="L9158" t="s">
        <v>10137</v>
      </c>
      <c r="M9158" t="s">
        <v>10109</v>
      </c>
      <c r="N9158" t="s">
        <v>10109</v>
      </c>
      <c r="O9158" t="s">
        <v>23</v>
      </c>
      <c r="P9158" t="s">
        <v>24</v>
      </c>
      <c r="Q9158" t="s">
        <v>6484</v>
      </c>
      <c r="R9158" t="s">
        <v>10109</v>
      </c>
    </row>
    <row r="9159" spans="1:18" x14ac:dyDescent="0.25">
      <c r="A9159" t="s">
        <v>22435</v>
      </c>
      <c r="B9159" t="s">
        <v>10726</v>
      </c>
      <c r="C9159" t="str">
        <f>HYPERLINK("https://nematode.unl.edu/primu1.jpg")</f>
        <v>https://nematode.unl.edu/primu1.jpg</v>
      </c>
      <c r="D9159" t="s">
        <v>43</v>
      </c>
      <c r="G9159" t="s">
        <v>34</v>
      </c>
      <c r="H9159" t="s">
        <v>18</v>
      </c>
      <c r="M9159" t="s">
        <v>10727</v>
      </c>
      <c r="N9159" t="s">
        <v>10727</v>
      </c>
      <c r="O9159" t="s">
        <v>73</v>
      </c>
      <c r="P9159" t="s">
        <v>1268</v>
      </c>
      <c r="Q9159" t="s">
        <v>3811</v>
      </c>
      <c r="R9159" t="s">
        <v>10718</v>
      </c>
    </row>
    <row r="9160" spans="1:18" x14ac:dyDescent="0.25">
      <c r="A9160" t="s">
        <v>22438</v>
      </c>
      <c r="B9160" t="s">
        <v>10728</v>
      </c>
      <c r="C9160" t="str">
        <f>HYPERLINK("https://nematode.unl.edu/primu2.jpg")</f>
        <v>https://nematode.unl.edu/primu2.jpg</v>
      </c>
      <c r="D9160" t="s">
        <v>43</v>
      </c>
      <c r="G9160" t="s">
        <v>28</v>
      </c>
      <c r="J9160" t="s">
        <v>20</v>
      </c>
      <c r="L9160" t="s">
        <v>727</v>
      </c>
      <c r="M9160" t="s">
        <v>10727</v>
      </c>
      <c r="N9160" t="s">
        <v>10727</v>
      </c>
      <c r="O9160" t="s">
        <v>73</v>
      </c>
      <c r="P9160" t="s">
        <v>1268</v>
      </c>
      <c r="Q9160" t="s">
        <v>3811</v>
      </c>
      <c r="R9160" t="s">
        <v>10718</v>
      </c>
    </row>
    <row r="9161" spans="1:18" x14ac:dyDescent="0.25">
      <c r="A9161" t="s">
        <v>22434</v>
      </c>
      <c r="B9161" t="s">
        <v>10729</v>
      </c>
      <c r="C9161" t="str">
        <f>HYPERLINK("https://nematode.unl.edu/primu3.jpg")</f>
        <v>https://nematode.unl.edu/primu3.jpg</v>
      </c>
      <c r="D9161" t="s">
        <v>43</v>
      </c>
      <c r="G9161" t="s">
        <v>96</v>
      </c>
      <c r="H9161" t="s">
        <v>18</v>
      </c>
      <c r="I9161" t="s">
        <v>19</v>
      </c>
      <c r="J9161" t="s">
        <v>20</v>
      </c>
      <c r="L9161" t="s">
        <v>727</v>
      </c>
      <c r="M9161" t="s">
        <v>10727</v>
      </c>
      <c r="N9161" t="s">
        <v>10727</v>
      </c>
      <c r="O9161" t="s">
        <v>73</v>
      </c>
      <c r="P9161" t="s">
        <v>1268</v>
      </c>
      <c r="Q9161" t="s">
        <v>3811</v>
      </c>
      <c r="R9161" t="s">
        <v>10718</v>
      </c>
    </row>
    <row r="9162" spans="1:18" x14ac:dyDescent="0.25">
      <c r="A9162" t="s">
        <v>22437</v>
      </c>
      <c r="B9162" t="s">
        <v>10730</v>
      </c>
      <c r="C9162" t="str">
        <f>HYPERLINK("https://nematode.unl.edu/primu4.jpg")</f>
        <v>https://nematode.unl.edu/primu4.jpg</v>
      </c>
      <c r="D9162" t="s">
        <v>43</v>
      </c>
      <c r="G9162" t="s">
        <v>44</v>
      </c>
      <c r="I9162" t="s">
        <v>19</v>
      </c>
      <c r="J9162" t="s">
        <v>20</v>
      </c>
      <c r="L9162" t="s">
        <v>727</v>
      </c>
      <c r="M9162" t="s">
        <v>10727</v>
      </c>
      <c r="N9162" t="s">
        <v>10727</v>
      </c>
      <c r="O9162" t="s">
        <v>73</v>
      </c>
      <c r="P9162" t="s">
        <v>1268</v>
      </c>
      <c r="Q9162" t="s">
        <v>3811</v>
      </c>
      <c r="R9162" t="s">
        <v>10718</v>
      </c>
    </row>
    <row r="9163" spans="1:18" x14ac:dyDescent="0.25">
      <c r="A9163" t="s">
        <v>22436</v>
      </c>
      <c r="B9163" t="s">
        <v>10731</v>
      </c>
      <c r="C9163" t="str">
        <f>HYPERLINK("https://nematode.unl.edu/primu5.jpg")</f>
        <v>https://nematode.unl.edu/primu5.jpg</v>
      </c>
      <c r="D9163" t="s">
        <v>43</v>
      </c>
      <c r="G9163" t="s">
        <v>905</v>
      </c>
      <c r="M9163" t="s">
        <v>10727</v>
      </c>
      <c r="N9163" t="s">
        <v>10727</v>
      </c>
      <c r="O9163" t="s">
        <v>73</v>
      </c>
      <c r="P9163" t="s">
        <v>1268</v>
      </c>
      <c r="Q9163" t="s">
        <v>3811</v>
      </c>
      <c r="R9163" t="s">
        <v>10718</v>
      </c>
    </row>
    <row r="9164" spans="1:18" x14ac:dyDescent="0.25">
      <c r="A9164" t="s">
        <v>22439</v>
      </c>
      <c r="B9164" t="s">
        <v>10732</v>
      </c>
      <c r="C9164" t="str">
        <f>HYPERLINK("https://nematode.unl.edu/primucmp.jpg")</f>
        <v>https://nematode.unl.edu/primucmp.jpg</v>
      </c>
      <c r="D9164" t="s">
        <v>43</v>
      </c>
      <c r="G9164" t="s">
        <v>28</v>
      </c>
      <c r="M9164" t="s">
        <v>10727</v>
      </c>
      <c r="N9164" t="s">
        <v>10727</v>
      </c>
      <c r="O9164" t="s">
        <v>73</v>
      </c>
      <c r="P9164" t="s">
        <v>1268</v>
      </c>
      <c r="Q9164" t="s">
        <v>3811</v>
      </c>
      <c r="R9164" t="s">
        <v>10718</v>
      </c>
    </row>
    <row r="9165" spans="1:18" x14ac:dyDescent="0.25">
      <c r="A9165" t="s">
        <v>22433</v>
      </c>
      <c r="B9165" t="s">
        <v>10724</v>
      </c>
      <c r="C9165" t="str">
        <f>HYPERLINK("https://nematode.unl.edu/priol.jpg")</f>
        <v>https://nematode.unl.edu/priol.jpg</v>
      </c>
      <c r="G9165" t="s">
        <v>108</v>
      </c>
      <c r="J9165" t="s">
        <v>482</v>
      </c>
      <c r="M9165" t="s">
        <v>10725</v>
      </c>
      <c r="N9165" t="s">
        <v>10725</v>
      </c>
      <c r="O9165" t="s">
        <v>73</v>
      </c>
      <c r="P9165" t="s">
        <v>1268</v>
      </c>
      <c r="Q9165" t="s">
        <v>3811</v>
      </c>
      <c r="R9165" t="s">
        <v>10718</v>
      </c>
    </row>
    <row r="9166" spans="1:18" x14ac:dyDescent="0.25">
      <c r="A9166" t="s">
        <v>22429</v>
      </c>
      <c r="B9166" t="s">
        <v>10717</v>
      </c>
      <c r="C9166" t="str">
        <f>HYPERLINK("https://nematode.unl.edu/priongs1.jpg")</f>
        <v>https://nematode.unl.edu/priongs1.jpg</v>
      </c>
      <c r="D9166" t="s">
        <v>16</v>
      </c>
      <c r="G9166" t="s">
        <v>44</v>
      </c>
      <c r="I9166" t="s">
        <v>19</v>
      </c>
      <c r="J9166" t="s">
        <v>2350</v>
      </c>
      <c r="M9166" t="s">
        <v>10718</v>
      </c>
      <c r="N9166" t="s">
        <v>10718</v>
      </c>
      <c r="O9166" t="s">
        <v>73</v>
      </c>
      <c r="P9166" t="s">
        <v>1268</v>
      </c>
      <c r="Q9166" t="s">
        <v>3811</v>
      </c>
      <c r="R9166" t="s">
        <v>10718</v>
      </c>
    </row>
    <row r="9167" spans="1:18" x14ac:dyDescent="0.25">
      <c r="A9167" t="s">
        <v>22428</v>
      </c>
      <c r="B9167" t="s">
        <v>10719</v>
      </c>
      <c r="C9167" t="str">
        <f>HYPERLINK("https://nematode.unl.edu/priongs2.jpg")</f>
        <v>https://nematode.unl.edu/priongs2.jpg</v>
      </c>
      <c r="D9167" t="s">
        <v>16</v>
      </c>
      <c r="G9167" t="s">
        <v>34</v>
      </c>
      <c r="H9167" t="s">
        <v>18</v>
      </c>
      <c r="J9167" t="s">
        <v>2350</v>
      </c>
      <c r="M9167" t="s">
        <v>10718</v>
      </c>
      <c r="N9167" t="s">
        <v>10718</v>
      </c>
      <c r="O9167" t="s">
        <v>73</v>
      </c>
      <c r="P9167" t="s">
        <v>1268</v>
      </c>
      <c r="Q9167" t="s">
        <v>3811</v>
      </c>
      <c r="R9167" t="s">
        <v>10718</v>
      </c>
    </row>
    <row r="9168" spans="1:18" x14ac:dyDescent="0.25">
      <c r="A9168" t="s">
        <v>22432</v>
      </c>
      <c r="B9168" t="s">
        <v>10720</v>
      </c>
      <c r="C9168" t="str">
        <f>HYPERLINK("https://nematode.unl.edu/priongs3.jpg")</f>
        <v>https://nematode.unl.edu/priongs3.jpg</v>
      </c>
      <c r="D9168" t="s">
        <v>16</v>
      </c>
      <c r="G9168" t="s">
        <v>10721</v>
      </c>
      <c r="I9168" t="s">
        <v>41</v>
      </c>
      <c r="J9168" t="s">
        <v>2350</v>
      </c>
      <c r="M9168" t="s">
        <v>10718</v>
      </c>
      <c r="N9168" t="s">
        <v>10718</v>
      </c>
      <c r="O9168" t="s">
        <v>73</v>
      </c>
      <c r="P9168" t="s">
        <v>1268</v>
      </c>
      <c r="Q9168" t="s">
        <v>3811</v>
      </c>
      <c r="R9168" t="s">
        <v>10718</v>
      </c>
    </row>
    <row r="9169" spans="1:18" x14ac:dyDescent="0.25">
      <c r="A9169" t="s">
        <v>22430</v>
      </c>
      <c r="B9169" t="s">
        <v>10722</v>
      </c>
      <c r="C9169" t="str">
        <f>HYPERLINK("https://nematode.unl.edu/priongs4.jpg")</f>
        <v>https://nematode.unl.edu/priongs4.jpg</v>
      </c>
      <c r="D9169" t="s">
        <v>16</v>
      </c>
      <c r="G9169" t="s">
        <v>2345</v>
      </c>
      <c r="I9169" t="s">
        <v>41</v>
      </c>
      <c r="J9169" t="s">
        <v>2350</v>
      </c>
      <c r="M9169" t="s">
        <v>10718</v>
      </c>
      <c r="N9169" t="s">
        <v>10718</v>
      </c>
      <c r="O9169" t="s">
        <v>73</v>
      </c>
      <c r="P9169" t="s">
        <v>1268</v>
      </c>
      <c r="Q9169" t="s">
        <v>3811</v>
      </c>
      <c r="R9169" t="s">
        <v>10718</v>
      </c>
    </row>
    <row r="9170" spans="1:18" x14ac:dyDescent="0.25">
      <c r="A9170" t="s">
        <v>22431</v>
      </c>
      <c r="B9170" t="s">
        <v>10723</v>
      </c>
      <c r="C9170" t="str">
        <f>HYPERLINK("https://nematode.unl.edu/priongs5.jpg")</f>
        <v>https://nematode.unl.edu/priongs5.jpg</v>
      </c>
      <c r="D9170" t="s">
        <v>16</v>
      </c>
      <c r="G9170" t="s">
        <v>28</v>
      </c>
      <c r="I9170" t="s">
        <v>41</v>
      </c>
      <c r="J9170" t="s">
        <v>2350</v>
      </c>
      <c r="M9170" t="s">
        <v>10718</v>
      </c>
      <c r="N9170" t="s">
        <v>10718</v>
      </c>
      <c r="O9170" t="s">
        <v>73</v>
      </c>
      <c r="P9170" t="s">
        <v>1268</v>
      </c>
      <c r="Q9170" t="s">
        <v>3811</v>
      </c>
      <c r="R9170" t="s">
        <v>10718</v>
      </c>
    </row>
    <row r="9171" spans="1:18" x14ac:dyDescent="0.25">
      <c r="A9171" t="s">
        <v>22448</v>
      </c>
      <c r="B9171" t="s">
        <v>10733</v>
      </c>
      <c r="C9171" t="str">
        <f>HYPERLINK("https://nematode.unl.edu/priopunc1.jpg")</f>
        <v>https://nematode.unl.edu/priopunc1.jpg</v>
      </c>
      <c r="G9171" t="s">
        <v>10734</v>
      </c>
      <c r="M9171" t="s">
        <v>10735</v>
      </c>
      <c r="N9171" t="s">
        <v>10735</v>
      </c>
      <c r="O9171" t="s">
        <v>73</v>
      </c>
      <c r="P9171" t="s">
        <v>1268</v>
      </c>
      <c r="Q9171" t="s">
        <v>3811</v>
      </c>
      <c r="R9171" t="s">
        <v>10718</v>
      </c>
    </row>
    <row r="9172" spans="1:18" x14ac:dyDescent="0.25">
      <c r="A9172" t="s">
        <v>22447</v>
      </c>
      <c r="B9172" t="s">
        <v>10736</v>
      </c>
      <c r="C9172" t="str">
        <f>HYPERLINK("https://nematode.unl.edu/priotatus1.jpg")</f>
        <v>https://nematode.unl.edu/priotatus1.jpg</v>
      </c>
      <c r="D9172" t="s">
        <v>16</v>
      </c>
      <c r="G9172" t="s">
        <v>44</v>
      </c>
      <c r="I9172" t="s">
        <v>45</v>
      </c>
      <c r="J9172" t="s">
        <v>3662</v>
      </c>
      <c r="M9172" t="s">
        <v>10735</v>
      </c>
      <c r="N9172" t="s">
        <v>10735</v>
      </c>
      <c r="O9172" t="s">
        <v>73</v>
      </c>
      <c r="P9172" t="s">
        <v>1268</v>
      </c>
      <c r="Q9172" t="s">
        <v>3811</v>
      </c>
      <c r="R9172" t="s">
        <v>10718</v>
      </c>
    </row>
    <row r="9173" spans="1:18" x14ac:dyDescent="0.25">
      <c r="A9173" t="s">
        <v>22441</v>
      </c>
      <c r="B9173" t="s">
        <v>10737</v>
      </c>
      <c r="C9173" t="str">
        <f>HYPERLINK("https://nematode.unl.edu/priotatus2.jpg")</f>
        <v>https://nematode.unl.edu/priotatus2.jpg</v>
      </c>
      <c r="D9173" t="s">
        <v>16</v>
      </c>
      <c r="G9173" t="s">
        <v>34</v>
      </c>
      <c r="H9173" t="s">
        <v>18</v>
      </c>
      <c r="I9173" t="s">
        <v>19</v>
      </c>
      <c r="J9173" t="s">
        <v>3662</v>
      </c>
      <c r="M9173" t="s">
        <v>10735</v>
      </c>
      <c r="N9173" t="s">
        <v>10735</v>
      </c>
      <c r="O9173" t="s">
        <v>73</v>
      </c>
      <c r="P9173" t="s">
        <v>1268</v>
      </c>
      <c r="Q9173" t="s">
        <v>3811</v>
      </c>
      <c r="R9173" t="s">
        <v>10718</v>
      </c>
    </row>
    <row r="9174" spans="1:18" x14ac:dyDescent="0.25">
      <c r="A9174" t="s">
        <v>22446</v>
      </c>
      <c r="B9174" t="s">
        <v>10738</v>
      </c>
      <c r="C9174" t="str">
        <f>HYPERLINK("https://nematode.unl.edu/priotatus3.jpg")</f>
        <v>https://nematode.unl.edu/priotatus3.jpg</v>
      </c>
      <c r="D9174" t="s">
        <v>16</v>
      </c>
      <c r="G9174" t="s">
        <v>87</v>
      </c>
      <c r="I9174" t="s">
        <v>516</v>
      </c>
      <c r="J9174" t="s">
        <v>3662</v>
      </c>
      <c r="M9174" t="s">
        <v>10735</v>
      </c>
      <c r="N9174" t="s">
        <v>10735</v>
      </c>
      <c r="O9174" t="s">
        <v>73</v>
      </c>
      <c r="P9174" t="s">
        <v>1268</v>
      </c>
      <c r="Q9174" t="s">
        <v>3811</v>
      </c>
      <c r="R9174" t="s">
        <v>10718</v>
      </c>
    </row>
    <row r="9175" spans="1:18" x14ac:dyDescent="0.25">
      <c r="A9175" t="s">
        <v>22449</v>
      </c>
      <c r="B9175" t="s">
        <v>10739</v>
      </c>
      <c r="C9175" t="str">
        <f>HYPERLINK("https://nematode.unl.edu/priotatus4.jpg")</f>
        <v>https://nematode.unl.edu/priotatus4.jpg</v>
      </c>
      <c r="D9175" t="s">
        <v>16</v>
      </c>
      <c r="G9175" t="s">
        <v>28</v>
      </c>
      <c r="I9175" t="s">
        <v>19</v>
      </c>
      <c r="J9175" t="s">
        <v>3662</v>
      </c>
      <c r="M9175" t="s">
        <v>10735</v>
      </c>
      <c r="N9175" t="s">
        <v>10735</v>
      </c>
      <c r="O9175" t="s">
        <v>73</v>
      </c>
      <c r="P9175" t="s">
        <v>1268</v>
      </c>
      <c r="Q9175" t="s">
        <v>3811</v>
      </c>
      <c r="R9175" t="s">
        <v>10718</v>
      </c>
    </row>
    <row r="9176" spans="1:18" x14ac:dyDescent="0.25">
      <c r="A9176" t="s">
        <v>22442</v>
      </c>
      <c r="B9176" t="s">
        <v>10740</v>
      </c>
      <c r="C9176" t="str">
        <f>HYPERLINK("https://nematode.unl.edu/priotatus5.jpg")</f>
        <v>https://nematode.unl.edu/priotatus5.jpg</v>
      </c>
      <c r="D9176" t="s">
        <v>16</v>
      </c>
      <c r="G9176" t="s">
        <v>34</v>
      </c>
      <c r="H9176" t="s">
        <v>18</v>
      </c>
      <c r="I9176" t="s">
        <v>41</v>
      </c>
      <c r="J9176" t="s">
        <v>3662</v>
      </c>
      <c r="M9176" t="s">
        <v>10735</v>
      </c>
      <c r="N9176" t="s">
        <v>10735</v>
      </c>
      <c r="O9176" t="s">
        <v>73</v>
      </c>
      <c r="P9176" t="s">
        <v>1268</v>
      </c>
      <c r="Q9176" t="s">
        <v>3811</v>
      </c>
      <c r="R9176" t="s">
        <v>10718</v>
      </c>
    </row>
    <row r="9177" spans="1:18" x14ac:dyDescent="0.25">
      <c r="A9177" t="s">
        <v>22443</v>
      </c>
      <c r="B9177" t="s">
        <v>10741</v>
      </c>
      <c r="C9177" t="str">
        <f>HYPERLINK("https://nematode.unl.edu/pripunc1.jpg")</f>
        <v>https://nematode.unl.edu/pripunc1.jpg</v>
      </c>
      <c r="D9177" t="s">
        <v>16</v>
      </c>
      <c r="G9177" t="s">
        <v>34</v>
      </c>
      <c r="H9177" t="s">
        <v>18</v>
      </c>
      <c r="I9177" t="s">
        <v>19</v>
      </c>
      <c r="J9177" t="s">
        <v>1292</v>
      </c>
      <c r="M9177" t="s">
        <v>10735</v>
      </c>
      <c r="N9177" t="s">
        <v>10735</v>
      </c>
      <c r="O9177" t="s">
        <v>73</v>
      </c>
      <c r="P9177" t="s">
        <v>1268</v>
      </c>
      <c r="Q9177" t="s">
        <v>3811</v>
      </c>
      <c r="R9177" t="s">
        <v>10718</v>
      </c>
    </row>
    <row r="9178" spans="1:18" x14ac:dyDescent="0.25">
      <c r="A9178" t="s">
        <v>22440</v>
      </c>
      <c r="B9178" t="s">
        <v>10742</v>
      </c>
      <c r="C9178" t="str">
        <f>HYPERLINK("https://nematode.unl.edu/pripunc2.jpg")</f>
        <v>https://nematode.unl.edu/pripunc2.jpg</v>
      </c>
      <c r="D9178" t="s">
        <v>16</v>
      </c>
      <c r="G9178" t="s">
        <v>17</v>
      </c>
      <c r="H9178" t="s">
        <v>18</v>
      </c>
      <c r="I9178" t="s">
        <v>19</v>
      </c>
      <c r="J9178" t="s">
        <v>1292</v>
      </c>
      <c r="M9178" t="s">
        <v>10735</v>
      </c>
      <c r="N9178" t="s">
        <v>10735</v>
      </c>
      <c r="O9178" t="s">
        <v>73</v>
      </c>
      <c r="P9178" t="s">
        <v>1268</v>
      </c>
      <c r="Q9178" t="s">
        <v>3811</v>
      </c>
      <c r="R9178" t="s">
        <v>10718</v>
      </c>
    </row>
    <row r="9179" spans="1:18" x14ac:dyDescent="0.25">
      <c r="A9179" t="s">
        <v>22450</v>
      </c>
      <c r="B9179" t="s">
        <v>10743</v>
      </c>
      <c r="C9179" t="str">
        <f>HYPERLINK("https://nematode.unl.edu/pripunc3.jpg")</f>
        <v>https://nematode.unl.edu/pripunc3.jpg</v>
      </c>
      <c r="D9179" t="s">
        <v>16</v>
      </c>
      <c r="G9179" t="s">
        <v>28</v>
      </c>
      <c r="I9179" t="s">
        <v>19</v>
      </c>
      <c r="J9179" t="s">
        <v>1292</v>
      </c>
      <c r="M9179" t="s">
        <v>10735</v>
      </c>
      <c r="N9179" t="s">
        <v>10735</v>
      </c>
      <c r="O9179" t="s">
        <v>73</v>
      </c>
      <c r="P9179" t="s">
        <v>1268</v>
      </c>
      <c r="Q9179" t="s">
        <v>3811</v>
      </c>
      <c r="R9179" t="s">
        <v>10718</v>
      </c>
    </row>
    <row r="9180" spans="1:18" x14ac:dyDescent="0.25">
      <c r="A9180" t="s">
        <v>22444</v>
      </c>
      <c r="B9180" t="s">
        <v>10744</v>
      </c>
      <c r="C9180" t="str">
        <f>HYPERLINK("https://nematode.unl.edu/pripunc4.jpg")</f>
        <v>https://nematode.unl.edu/pripunc4.jpg</v>
      </c>
      <c r="D9180" t="s">
        <v>16</v>
      </c>
      <c r="G9180" t="s">
        <v>34</v>
      </c>
      <c r="H9180" t="s">
        <v>18</v>
      </c>
      <c r="I9180" t="s">
        <v>41</v>
      </c>
      <c r="J9180" t="s">
        <v>1292</v>
      </c>
      <c r="M9180" t="s">
        <v>10735</v>
      </c>
      <c r="N9180" t="s">
        <v>10735</v>
      </c>
      <c r="O9180" t="s">
        <v>73</v>
      </c>
      <c r="P9180" t="s">
        <v>1268</v>
      </c>
      <c r="Q9180" t="s">
        <v>3811</v>
      </c>
      <c r="R9180" t="s">
        <v>10718</v>
      </c>
    </row>
    <row r="9181" spans="1:18" x14ac:dyDescent="0.25">
      <c r="A9181" t="s">
        <v>22445</v>
      </c>
      <c r="B9181" t="s">
        <v>10745</v>
      </c>
      <c r="C9181" t="str">
        <f>HYPERLINK("https://nematode.unl.edu/pripunc5.jpg")</f>
        <v>https://nematode.unl.edu/pripunc5.jpg</v>
      </c>
      <c r="D9181" t="s">
        <v>16</v>
      </c>
      <c r="G9181" t="s">
        <v>905</v>
      </c>
      <c r="I9181" t="s">
        <v>41</v>
      </c>
      <c r="J9181" t="s">
        <v>1292</v>
      </c>
      <c r="M9181" t="s">
        <v>10735</v>
      </c>
      <c r="N9181" t="s">
        <v>10735</v>
      </c>
      <c r="O9181" t="s">
        <v>73</v>
      </c>
      <c r="P9181" t="s">
        <v>1268</v>
      </c>
      <c r="Q9181" t="s">
        <v>3811</v>
      </c>
      <c r="R9181" t="s">
        <v>10718</v>
      </c>
    </row>
    <row r="9182" spans="1:18" x14ac:dyDescent="0.25">
      <c r="A9182" t="s">
        <v>22715</v>
      </c>
      <c r="B9182" t="s">
        <v>10746</v>
      </c>
      <c r="C9182" t="str">
        <f>HYPERLINK("https://nematode.unl.edu/prism1.jpg")</f>
        <v>https://nematode.unl.edu/prism1.jpg</v>
      </c>
      <c r="G9182" t="s">
        <v>34</v>
      </c>
      <c r="H9182" t="s">
        <v>18</v>
      </c>
      <c r="J9182" t="s">
        <v>482</v>
      </c>
      <c r="M9182" t="s">
        <v>10747</v>
      </c>
      <c r="N9182" t="s">
        <v>10747</v>
      </c>
      <c r="O9182" t="s">
        <v>73</v>
      </c>
      <c r="P9182" t="s">
        <v>1806</v>
      </c>
      <c r="Q9182" t="s">
        <v>10748</v>
      </c>
      <c r="R9182" t="s">
        <v>10747</v>
      </c>
    </row>
    <row r="9183" spans="1:18" x14ac:dyDescent="0.25">
      <c r="A9183" t="s">
        <v>22732</v>
      </c>
      <c r="B9183" t="s">
        <v>10749</v>
      </c>
      <c r="C9183" t="str">
        <f>HYPERLINK("https://nematode.unl.edu/prism2.jpg")</f>
        <v>https://nematode.unl.edu/prism2.jpg</v>
      </c>
      <c r="D9183" t="s">
        <v>16</v>
      </c>
      <c r="G9183" t="s">
        <v>28</v>
      </c>
      <c r="J9183" t="s">
        <v>482</v>
      </c>
      <c r="M9183" t="s">
        <v>10747</v>
      </c>
      <c r="N9183" t="s">
        <v>10747</v>
      </c>
      <c r="O9183" t="s">
        <v>73</v>
      </c>
      <c r="P9183" t="s">
        <v>1806</v>
      </c>
      <c r="Q9183" t="s">
        <v>10748</v>
      </c>
      <c r="R9183" t="s">
        <v>10747</v>
      </c>
    </row>
    <row r="9184" spans="1:18" x14ac:dyDescent="0.25">
      <c r="A9184" t="s">
        <v>22716</v>
      </c>
      <c r="B9184" t="s">
        <v>10750</v>
      </c>
      <c r="C9184" t="str">
        <f>HYPERLINK("https://nematode.unl.edu/prism3.jpg")</f>
        <v>https://nematode.unl.edu/prism3.jpg</v>
      </c>
      <c r="D9184" t="s">
        <v>16</v>
      </c>
      <c r="G9184" t="s">
        <v>34</v>
      </c>
      <c r="H9184" t="s">
        <v>18</v>
      </c>
      <c r="J9184" t="s">
        <v>482</v>
      </c>
      <c r="M9184" t="s">
        <v>10747</v>
      </c>
      <c r="N9184" t="s">
        <v>10747</v>
      </c>
      <c r="O9184" t="s">
        <v>73</v>
      </c>
      <c r="P9184" t="s">
        <v>1806</v>
      </c>
      <c r="Q9184" t="s">
        <v>10748</v>
      </c>
      <c r="R9184" t="s">
        <v>10747</v>
      </c>
    </row>
    <row r="9185" spans="1:18" x14ac:dyDescent="0.25">
      <c r="A9185" t="s">
        <v>22726</v>
      </c>
      <c r="B9185" t="s">
        <v>10751</v>
      </c>
      <c r="C9185" t="str">
        <f>HYPERLINK("https://nematode.unl.edu/prism4.jpg")</f>
        <v>https://nematode.unl.edu/prism4.jpg</v>
      </c>
      <c r="D9185" t="s">
        <v>16</v>
      </c>
      <c r="G9185" t="s">
        <v>87</v>
      </c>
      <c r="I9185" t="s">
        <v>41</v>
      </c>
      <c r="J9185" t="s">
        <v>482</v>
      </c>
      <c r="M9185" t="s">
        <v>10747</v>
      </c>
      <c r="N9185" t="s">
        <v>10747</v>
      </c>
      <c r="O9185" t="s">
        <v>73</v>
      </c>
      <c r="P9185" t="s">
        <v>1806</v>
      </c>
      <c r="Q9185" t="s">
        <v>10748</v>
      </c>
      <c r="R9185" t="s">
        <v>10747</v>
      </c>
    </row>
    <row r="9186" spans="1:18" x14ac:dyDescent="0.25">
      <c r="A9186" t="s">
        <v>22717</v>
      </c>
      <c r="B9186" t="s">
        <v>10752</v>
      </c>
      <c r="C9186" t="str">
        <f>HYPERLINK("https://nematode.unl.edu/prism5.jpg")</f>
        <v>https://nematode.unl.edu/prism5.jpg</v>
      </c>
      <c r="D9186" t="s">
        <v>16</v>
      </c>
      <c r="G9186" t="s">
        <v>34</v>
      </c>
      <c r="H9186" t="s">
        <v>18</v>
      </c>
      <c r="J9186" t="s">
        <v>482</v>
      </c>
      <c r="M9186" t="s">
        <v>10747</v>
      </c>
      <c r="N9186" t="s">
        <v>10747</v>
      </c>
      <c r="O9186" t="s">
        <v>73</v>
      </c>
      <c r="P9186" t="s">
        <v>1806</v>
      </c>
      <c r="Q9186" t="s">
        <v>10748</v>
      </c>
      <c r="R9186" t="s">
        <v>10747</v>
      </c>
    </row>
    <row r="9187" spans="1:18" x14ac:dyDescent="0.25">
      <c r="A9187" t="s">
        <v>22733</v>
      </c>
      <c r="B9187" t="s">
        <v>10753</v>
      </c>
      <c r="C9187" t="str">
        <f>HYPERLINK("https://nematode.unl.edu/prism6.jpg")</f>
        <v>https://nematode.unl.edu/prism6.jpg</v>
      </c>
      <c r="D9187" t="s">
        <v>16</v>
      </c>
      <c r="G9187" t="s">
        <v>28</v>
      </c>
      <c r="I9187" t="s">
        <v>19</v>
      </c>
      <c r="J9187" t="s">
        <v>482</v>
      </c>
      <c r="M9187" t="s">
        <v>10747</v>
      </c>
      <c r="N9187" t="s">
        <v>10747</v>
      </c>
      <c r="O9187" t="s">
        <v>73</v>
      </c>
      <c r="P9187" t="s">
        <v>1806</v>
      </c>
      <c r="Q9187" t="s">
        <v>10748</v>
      </c>
      <c r="R9187" t="s">
        <v>10747</v>
      </c>
    </row>
    <row r="9188" spans="1:18" x14ac:dyDescent="0.25">
      <c r="A9188" t="s">
        <v>22718</v>
      </c>
      <c r="B9188" t="s">
        <v>10754</v>
      </c>
      <c r="C9188" t="str">
        <f>HYPERLINK("https://nematode.unl.edu/prism7.jpg")</f>
        <v>https://nematode.unl.edu/prism7.jpg</v>
      </c>
      <c r="D9188" t="s">
        <v>16</v>
      </c>
      <c r="G9188" t="s">
        <v>34</v>
      </c>
      <c r="H9188" t="s">
        <v>18</v>
      </c>
      <c r="J9188" t="s">
        <v>482</v>
      </c>
      <c r="M9188" t="s">
        <v>10747</v>
      </c>
      <c r="N9188" t="s">
        <v>10747</v>
      </c>
      <c r="O9188" t="s">
        <v>73</v>
      </c>
      <c r="P9188" t="s">
        <v>1806</v>
      </c>
      <c r="Q9188" t="s">
        <v>10748</v>
      </c>
      <c r="R9188" t="s">
        <v>10747</v>
      </c>
    </row>
    <row r="9189" spans="1:18" x14ac:dyDescent="0.25">
      <c r="A9189" t="s">
        <v>22719</v>
      </c>
      <c r="B9189" t="s">
        <v>10755</v>
      </c>
      <c r="C9189" t="str">
        <f>HYPERLINK("https://nematode.unl.edu/prisma1.jpg")</f>
        <v>https://nematode.unl.edu/prisma1.jpg</v>
      </c>
      <c r="D9189" t="s">
        <v>16</v>
      </c>
      <c r="G9189" t="s">
        <v>34</v>
      </c>
      <c r="H9189" t="s">
        <v>18</v>
      </c>
      <c r="J9189" t="s">
        <v>20</v>
      </c>
      <c r="L9189" t="s">
        <v>29</v>
      </c>
      <c r="M9189" t="s">
        <v>10747</v>
      </c>
      <c r="N9189" t="s">
        <v>10747</v>
      </c>
      <c r="O9189" t="s">
        <v>73</v>
      </c>
      <c r="P9189" t="s">
        <v>1806</v>
      </c>
      <c r="Q9189" t="s">
        <v>10748</v>
      </c>
      <c r="R9189" t="s">
        <v>10747</v>
      </c>
    </row>
    <row r="9190" spans="1:18" x14ac:dyDescent="0.25">
      <c r="A9190" t="s">
        <v>22737</v>
      </c>
      <c r="B9190" t="s">
        <v>10756</v>
      </c>
      <c r="C9190" t="str">
        <f>HYPERLINK("https://nematode.unl.edu/prisma10.jpg")</f>
        <v>https://nematode.unl.edu/prisma10.jpg</v>
      </c>
      <c r="D9190" t="s">
        <v>43</v>
      </c>
      <c r="G9190" t="s">
        <v>10757</v>
      </c>
      <c r="I9190" t="s">
        <v>516</v>
      </c>
      <c r="J9190" t="s">
        <v>20</v>
      </c>
      <c r="L9190" t="s">
        <v>141</v>
      </c>
      <c r="M9190" t="s">
        <v>10747</v>
      </c>
      <c r="N9190" t="s">
        <v>10747</v>
      </c>
      <c r="O9190" t="s">
        <v>73</v>
      </c>
      <c r="P9190" t="s">
        <v>1806</v>
      </c>
      <c r="Q9190" t="s">
        <v>10748</v>
      </c>
      <c r="R9190" t="s">
        <v>10747</v>
      </c>
    </row>
    <row r="9191" spans="1:18" x14ac:dyDescent="0.25">
      <c r="A9191" t="s">
        <v>22729</v>
      </c>
      <c r="B9191" t="s">
        <v>10758</v>
      </c>
      <c r="C9191" t="str">
        <f>HYPERLINK("https://nematode.unl.edu/prisma11.jpg")</f>
        <v>https://nematode.unl.edu/prisma11.jpg</v>
      </c>
      <c r="D9191" t="s">
        <v>43</v>
      </c>
      <c r="G9191" t="s">
        <v>44</v>
      </c>
      <c r="I9191" t="s">
        <v>499</v>
      </c>
      <c r="J9191" t="s">
        <v>20</v>
      </c>
      <c r="L9191" t="s">
        <v>141</v>
      </c>
      <c r="M9191" t="s">
        <v>10747</v>
      </c>
      <c r="N9191" t="s">
        <v>10747</v>
      </c>
      <c r="O9191" t="s">
        <v>73</v>
      </c>
      <c r="P9191" t="s">
        <v>1806</v>
      </c>
      <c r="Q9191" t="s">
        <v>10748</v>
      </c>
      <c r="R9191" t="s">
        <v>10747</v>
      </c>
    </row>
    <row r="9192" spans="1:18" x14ac:dyDescent="0.25">
      <c r="A9192" t="s">
        <v>22712</v>
      </c>
      <c r="B9192" t="s">
        <v>10759</v>
      </c>
      <c r="C9192" t="str">
        <f>HYPERLINK("https://nematode.unl.edu/prisma12.jpg")</f>
        <v>https://nematode.unl.edu/prisma12.jpg</v>
      </c>
      <c r="D9192" t="s">
        <v>16</v>
      </c>
      <c r="G9192" t="s">
        <v>96</v>
      </c>
      <c r="H9192" t="s">
        <v>18</v>
      </c>
      <c r="I9192" t="s">
        <v>19</v>
      </c>
      <c r="J9192" t="s">
        <v>20</v>
      </c>
      <c r="L9192" t="s">
        <v>85</v>
      </c>
      <c r="M9192" t="s">
        <v>10747</v>
      </c>
      <c r="N9192" t="s">
        <v>10747</v>
      </c>
      <c r="O9192" t="s">
        <v>73</v>
      </c>
      <c r="P9192" t="s">
        <v>1806</v>
      </c>
      <c r="Q9192" t="s">
        <v>10748</v>
      </c>
      <c r="R9192" t="s">
        <v>10747</v>
      </c>
    </row>
    <row r="9193" spans="1:18" x14ac:dyDescent="0.25">
      <c r="A9193" t="s">
        <v>22730</v>
      </c>
      <c r="B9193" t="s">
        <v>10760</v>
      </c>
      <c r="C9193" t="str">
        <f>HYPERLINK("https://nematode.unl.edu/prisma13.jpg")</f>
        <v>https://nematode.unl.edu/prisma13.jpg</v>
      </c>
      <c r="D9193" t="s">
        <v>43</v>
      </c>
      <c r="G9193" t="s">
        <v>44</v>
      </c>
      <c r="I9193" t="s">
        <v>45</v>
      </c>
      <c r="J9193" t="s">
        <v>20</v>
      </c>
      <c r="L9193" t="s">
        <v>456</v>
      </c>
      <c r="M9193" t="s">
        <v>10747</v>
      </c>
      <c r="N9193" t="s">
        <v>10747</v>
      </c>
      <c r="O9193" t="s">
        <v>73</v>
      </c>
      <c r="P9193" t="s">
        <v>1806</v>
      </c>
      <c r="Q9193" t="s">
        <v>10748</v>
      </c>
      <c r="R9193" t="s">
        <v>10747</v>
      </c>
    </row>
    <row r="9194" spans="1:18" x14ac:dyDescent="0.25">
      <c r="A9194" t="s">
        <v>22720</v>
      </c>
      <c r="B9194" t="s">
        <v>10761</v>
      </c>
      <c r="C9194" t="str">
        <f>HYPERLINK("https://nematode.unl.edu/prisma14.jpg")</f>
        <v>https://nematode.unl.edu/prisma14.jpg</v>
      </c>
      <c r="D9194" t="s">
        <v>43</v>
      </c>
      <c r="G9194" t="s">
        <v>34</v>
      </c>
      <c r="H9194" t="s">
        <v>18</v>
      </c>
      <c r="M9194" t="s">
        <v>10747</v>
      </c>
      <c r="N9194" t="s">
        <v>10747</v>
      </c>
      <c r="O9194" t="s">
        <v>73</v>
      </c>
      <c r="P9194" t="s">
        <v>1806</v>
      </c>
      <c r="Q9194" t="s">
        <v>10748</v>
      </c>
      <c r="R9194" t="s">
        <v>10747</v>
      </c>
    </row>
    <row r="9195" spans="1:18" x14ac:dyDescent="0.25">
      <c r="A9195" t="s">
        <v>22727</v>
      </c>
      <c r="B9195" t="s">
        <v>10762</v>
      </c>
      <c r="C9195" t="str">
        <f>HYPERLINK("https://nematode.unl.edu/prisma15.jpg")</f>
        <v>https://nematode.unl.edu/prisma15.jpg</v>
      </c>
      <c r="D9195" t="s">
        <v>43</v>
      </c>
      <c r="G9195" t="s">
        <v>87</v>
      </c>
      <c r="J9195" t="s">
        <v>20</v>
      </c>
      <c r="M9195" t="s">
        <v>10747</v>
      </c>
      <c r="N9195" t="s">
        <v>10747</v>
      </c>
      <c r="O9195" t="s">
        <v>73</v>
      </c>
      <c r="P9195" t="s">
        <v>1806</v>
      </c>
      <c r="Q9195" t="s">
        <v>10748</v>
      </c>
      <c r="R9195" t="s">
        <v>10747</v>
      </c>
    </row>
    <row r="9196" spans="1:18" x14ac:dyDescent="0.25">
      <c r="A9196" t="s">
        <v>22721</v>
      </c>
      <c r="B9196" t="s">
        <v>10763</v>
      </c>
      <c r="C9196" t="str">
        <f>HYPERLINK("https://nematode.unl.edu/prisma16.jpg")</f>
        <v>https://nematode.unl.edu/prisma16.jpg</v>
      </c>
      <c r="D9196" t="s">
        <v>43</v>
      </c>
      <c r="G9196" t="s">
        <v>34</v>
      </c>
      <c r="H9196" t="s">
        <v>18</v>
      </c>
      <c r="M9196" t="s">
        <v>10747</v>
      </c>
      <c r="N9196" t="s">
        <v>10747</v>
      </c>
      <c r="O9196" t="s">
        <v>73</v>
      </c>
      <c r="P9196" t="s">
        <v>1806</v>
      </c>
      <c r="Q9196" t="s">
        <v>10748</v>
      </c>
      <c r="R9196" t="s">
        <v>10747</v>
      </c>
    </row>
    <row r="9197" spans="1:18" x14ac:dyDescent="0.25">
      <c r="A9197" t="s">
        <v>22728</v>
      </c>
      <c r="B9197" t="s">
        <v>10764</v>
      </c>
      <c r="C9197" t="str">
        <f>HYPERLINK("https://nematode.unl.edu/prisma17.jpg")</f>
        <v>https://nematode.unl.edu/prisma17.jpg</v>
      </c>
      <c r="D9197" t="s">
        <v>43</v>
      </c>
      <c r="G9197" t="s">
        <v>87</v>
      </c>
      <c r="I9197" t="s">
        <v>41</v>
      </c>
      <c r="M9197" t="s">
        <v>10747</v>
      </c>
      <c r="N9197" t="s">
        <v>10747</v>
      </c>
      <c r="O9197" t="s">
        <v>73</v>
      </c>
      <c r="P9197" t="s">
        <v>1806</v>
      </c>
      <c r="Q9197" t="s">
        <v>10748</v>
      </c>
      <c r="R9197" t="s">
        <v>10747</v>
      </c>
    </row>
    <row r="9198" spans="1:18" x14ac:dyDescent="0.25">
      <c r="A9198" t="s">
        <v>22713</v>
      </c>
      <c r="B9198" t="s">
        <v>10765</v>
      </c>
      <c r="C9198" t="str">
        <f>HYPERLINK("https://nematode.unl.edu/prisma2.jpg")</f>
        <v>https://nematode.unl.edu/prisma2.jpg</v>
      </c>
      <c r="D9198" t="s">
        <v>43</v>
      </c>
      <c r="G9198" t="s">
        <v>96</v>
      </c>
      <c r="H9198" t="s">
        <v>18</v>
      </c>
      <c r="J9198" t="s">
        <v>20</v>
      </c>
      <c r="M9198" t="s">
        <v>10747</v>
      </c>
      <c r="N9198" t="s">
        <v>10747</v>
      </c>
      <c r="O9198" t="s">
        <v>73</v>
      </c>
      <c r="P9198" t="s">
        <v>1806</v>
      </c>
      <c r="Q9198" t="s">
        <v>10748</v>
      </c>
      <c r="R9198" t="s">
        <v>10747</v>
      </c>
    </row>
    <row r="9199" spans="1:18" x14ac:dyDescent="0.25">
      <c r="A9199" t="s">
        <v>22725</v>
      </c>
      <c r="B9199" t="s">
        <v>10766</v>
      </c>
      <c r="C9199" t="str">
        <f>HYPERLINK("https://nematode.unl.edu/prisma3.jpg")</f>
        <v>https://nematode.unl.edu/prisma3.jpg</v>
      </c>
      <c r="D9199" t="s">
        <v>43</v>
      </c>
      <c r="G9199" t="s">
        <v>905</v>
      </c>
      <c r="I9199" t="s">
        <v>19</v>
      </c>
      <c r="J9199" t="s">
        <v>20</v>
      </c>
      <c r="L9199" t="s">
        <v>85</v>
      </c>
      <c r="M9199" t="s">
        <v>10747</v>
      </c>
      <c r="N9199" t="s">
        <v>10747</v>
      </c>
      <c r="O9199" t="s">
        <v>73</v>
      </c>
      <c r="P9199" t="s">
        <v>1806</v>
      </c>
      <c r="Q9199" t="s">
        <v>10748</v>
      </c>
      <c r="R9199" t="s">
        <v>10747</v>
      </c>
    </row>
    <row r="9200" spans="1:18" x14ac:dyDescent="0.25">
      <c r="A9200" t="s">
        <v>22722</v>
      </c>
      <c r="B9200" t="s">
        <v>10767</v>
      </c>
      <c r="C9200" t="str">
        <f>HYPERLINK("https://nematode.unl.edu/prisma4.jpg")</f>
        <v>https://nematode.unl.edu/prisma4.jpg</v>
      </c>
      <c r="D9200" t="s">
        <v>43</v>
      </c>
      <c r="G9200" t="s">
        <v>34</v>
      </c>
      <c r="H9200" t="s">
        <v>18</v>
      </c>
      <c r="J9200" t="s">
        <v>20</v>
      </c>
      <c r="L9200" t="s">
        <v>64</v>
      </c>
      <c r="M9200" t="s">
        <v>10747</v>
      </c>
      <c r="N9200" t="s">
        <v>10747</v>
      </c>
      <c r="O9200" t="s">
        <v>73</v>
      </c>
      <c r="P9200" t="s">
        <v>1806</v>
      </c>
      <c r="Q9200" t="s">
        <v>10748</v>
      </c>
      <c r="R9200" t="s">
        <v>10747</v>
      </c>
    </row>
    <row r="9201" spans="1:18" x14ac:dyDescent="0.25">
      <c r="A9201" t="s">
        <v>22714</v>
      </c>
      <c r="B9201" t="s">
        <v>10768</v>
      </c>
      <c r="C9201" t="str">
        <f>HYPERLINK("https://nematode.unl.edu/prisma5.jpg")</f>
        <v>https://nematode.unl.edu/prisma5.jpg</v>
      </c>
      <c r="D9201" t="s">
        <v>43</v>
      </c>
      <c r="G9201" t="s">
        <v>17</v>
      </c>
      <c r="H9201" t="s">
        <v>18</v>
      </c>
      <c r="I9201" t="s">
        <v>19</v>
      </c>
      <c r="M9201" t="s">
        <v>10747</v>
      </c>
      <c r="N9201" t="s">
        <v>10747</v>
      </c>
      <c r="O9201" t="s">
        <v>73</v>
      </c>
      <c r="P9201" t="s">
        <v>1806</v>
      </c>
      <c r="Q9201" t="s">
        <v>10748</v>
      </c>
      <c r="R9201" t="s">
        <v>10747</v>
      </c>
    </row>
    <row r="9202" spans="1:18" x14ac:dyDescent="0.25">
      <c r="A9202" t="s">
        <v>22736</v>
      </c>
      <c r="B9202" t="s">
        <v>10769</v>
      </c>
      <c r="C9202" t="str">
        <f>HYPERLINK("https://nematode.unl.edu/prisma6.jpg")</f>
        <v>https://nematode.unl.edu/prisma6.jpg</v>
      </c>
      <c r="D9202" t="s">
        <v>43</v>
      </c>
      <c r="G9202" t="s">
        <v>51</v>
      </c>
      <c r="I9202" t="s">
        <v>19</v>
      </c>
      <c r="M9202" t="s">
        <v>10747</v>
      </c>
      <c r="N9202" t="s">
        <v>10747</v>
      </c>
      <c r="O9202" t="s">
        <v>73</v>
      </c>
      <c r="P9202" t="s">
        <v>1806</v>
      </c>
      <c r="Q9202" t="s">
        <v>10748</v>
      </c>
      <c r="R9202" t="s">
        <v>10747</v>
      </c>
    </row>
    <row r="9203" spans="1:18" x14ac:dyDescent="0.25">
      <c r="A9203" t="s">
        <v>22734</v>
      </c>
      <c r="B9203" t="s">
        <v>10770</v>
      </c>
      <c r="C9203" t="str">
        <f>HYPERLINK("https://nematode.unl.edu/prisma7.jpg")</f>
        <v>https://nematode.unl.edu/prisma7.jpg</v>
      </c>
      <c r="D9203" t="s">
        <v>43</v>
      </c>
      <c r="G9203" t="s">
        <v>28</v>
      </c>
      <c r="J9203" t="s">
        <v>20</v>
      </c>
      <c r="M9203" t="s">
        <v>10747</v>
      </c>
      <c r="N9203" t="s">
        <v>10747</v>
      </c>
      <c r="O9203" t="s">
        <v>73</v>
      </c>
      <c r="P9203" t="s">
        <v>1806</v>
      </c>
      <c r="Q9203" t="s">
        <v>10748</v>
      </c>
      <c r="R9203" t="s">
        <v>10747</v>
      </c>
    </row>
    <row r="9204" spans="1:18" x14ac:dyDescent="0.25">
      <c r="A9204" t="s">
        <v>22731</v>
      </c>
      <c r="B9204" t="s">
        <v>10771</v>
      </c>
      <c r="C9204" t="str">
        <f>HYPERLINK("https://nematode.unl.edu/prisma8.jpg")</f>
        <v>https://nematode.unl.edu/prisma8.jpg</v>
      </c>
      <c r="D9204" t="s">
        <v>43</v>
      </c>
      <c r="G9204" t="s">
        <v>44</v>
      </c>
      <c r="I9204" t="s">
        <v>499</v>
      </c>
      <c r="J9204" t="s">
        <v>20</v>
      </c>
      <c r="L9204" t="s">
        <v>5685</v>
      </c>
      <c r="M9204" t="s">
        <v>10747</v>
      </c>
      <c r="N9204" t="s">
        <v>10747</v>
      </c>
      <c r="O9204" t="s">
        <v>73</v>
      </c>
      <c r="P9204" t="s">
        <v>1806</v>
      </c>
      <c r="Q9204" t="s">
        <v>10748</v>
      </c>
      <c r="R9204" t="s">
        <v>10747</v>
      </c>
    </row>
    <row r="9205" spans="1:18" x14ac:dyDescent="0.25">
      <c r="A9205" t="s">
        <v>22723</v>
      </c>
      <c r="B9205" t="s">
        <v>10772</v>
      </c>
      <c r="C9205" t="str">
        <f>HYPERLINK("https://nematode.unl.edu/prisma9.jpg")</f>
        <v>https://nematode.unl.edu/prisma9.jpg</v>
      </c>
      <c r="D9205" t="s">
        <v>43</v>
      </c>
      <c r="G9205" t="s">
        <v>34</v>
      </c>
      <c r="H9205" t="s">
        <v>18</v>
      </c>
      <c r="I9205" t="s">
        <v>19</v>
      </c>
      <c r="J9205" t="s">
        <v>20</v>
      </c>
      <c r="L9205" t="s">
        <v>141</v>
      </c>
      <c r="M9205" t="s">
        <v>10747</v>
      </c>
      <c r="N9205" t="s">
        <v>10747</v>
      </c>
      <c r="O9205" t="s">
        <v>73</v>
      </c>
      <c r="P9205" t="s">
        <v>1806</v>
      </c>
      <c r="Q9205" t="s">
        <v>10748</v>
      </c>
      <c r="R9205" t="s">
        <v>10747</v>
      </c>
    </row>
    <row r="9206" spans="1:18" x14ac:dyDescent="0.25">
      <c r="A9206" t="s">
        <v>22735</v>
      </c>
      <c r="B9206" t="s">
        <v>10773</v>
      </c>
      <c r="C9206" t="str">
        <f>HYPERLINK("https://nematode.unl.edu/prismat1.jpg")</f>
        <v>https://nematode.unl.edu/prismat1.jpg</v>
      </c>
      <c r="D9206" t="s">
        <v>43</v>
      </c>
      <c r="G9206" t="s">
        <v>28</v>
      </c>
      <c r="J9206" t="s">
        <v>46</v>
      </c>
      <c r="M9206" t="s">
        <v>10747</v>
      </c>
      <c r="N9206" t="s">
        <v>10747</v>
      </c>
      <c r="O9206" t="s">
        <v>73</v>
      </c>
      <c r="P9206" t="s">
        <v>1806</v>
      </c>
      <c r="Q9206" t="s">
        <v>10748</v>
      </c>
      <c r="R9206" t="s">
        <v>10747</v>
      </c>
    </row>
    <row r="9207" spans="1:18" x14ac:dyDescent="0.25">
      <c r="A9207" t="s">
        <v>22724</v>
      </c>
      <c r="B9207" t="s">
        <v>10774</v>
      </c>
      <c r="C9207" t="str">
        <f>HYPERLINK("https://nematode.unl.edu/prismat2.jpg")</f>
        <v>https://nematode.unl.edu/prismat2.jpg</v>
      </c>
      <c r="D9207" t="s">
        <v>43</v>
      </c>
      <c r="G9207" t="s">
        <v>34</v>
      </c>
      <c r="H9207" t="s">
        <v>18</v>
      </c>
      <c r="I9207" t="s">
        <v>19</v>
      </c>
      <c r="J9207" t="s">
        <v>46</v>
      </c>
      <c r="L9207" t="s">
        <v>105</v>
      </c>
      <c r="M9207" t="s">
        <v>10747</v>
      </c>
      <c r="N9207" t="s">
        <v>10747</v>
      </c>
      <c r="O9207" t="s">
        <v>73</v>
      </c>
      <c r="P9207" t="s">
        <v>1806</v>
      </c>
      <c r="Q9207" t="s">
        <v>10748</v>
      </c>
      <c r="R9207" t="s">
        <v>10747</v>
      </c>
    </row>
    <row r="9208" spans="1:18" x14ac:dyDescent="0.25">
      <c r="A9208" t="s">
        <v>22740</v>
      </c>
      <c r="B9208" t="s">
        <v>10775</v>
      </c>
      <c r="C9208" t="str">
        <f>HYPERLINK("https://nematode.unl.edu/prismin1.jpg")</f>
        <v>https://nematode.unl.edu/prismin1.jpg</v>
      </c>
      <c r="D9208" t="s">
        <v>43</v>
      </c>
      <c r="G9208" t="s">
        <v>44</v>
      </c>
      <c r="I9208" t="s">
        <v>45</v>
      </c>
      <c r="J9208" t="s">
        <v>20</v>
      </c>
      <c r="L9208" t="s">
        <v>5685</v>
      </c>
      <c r="M9208" t="s">
        <v>10776</v>
      </c>
      <c r="N9208" t="s">
        <v>10776</v>
      </c>
      <c r="O9208" t="s">
        <v>73</v>
      </c>
      <c r="P9208" t="s">
        <v>1806</v>
      </c>
      <c r="Q9208" t="s">
        <v>10748</v>
      </c>
      <c r="R9208" t="s">
        <v>10747</v>
      </c>
    </row>
    <row r="9209" spans="1:18" x14ac:dyDescent="0.25">
      <c r="A9209" t="s">
        <v>22738</v>
      </c>
      <c r="B9209" t="s">
        <v>10777</v>
      </c>
      <c r="C9209" t="str">
        <f>HYPERLINK("https://nematode.unl.edu/prismin2.jpg")</f>
        <v>https://nematode.unl.edu/prismin2.jpg</v>
      </c>
      <c r="D9209" t="s">
        <v>43</v>
      </c>
      <c r="G9209" t="s">
        <v>34</v>
      </c>
      <c r="H9209" t="s">
        <v>18</v>
      </c>
      <c r="J9209" t="s">
        <v>20</v>
      </c>
      <c r="L9209" t="s">
        <v>141</v>
      </c>
      <c r="M9209" t="s">
        <v>10776</v>
      </c>
      <c r="N9209" t="s">
        <v>10776</v>
      </c>
      <c r="O9209" t="s">
        <v>73</v>
      </c>
      <c r="P9209" t="s">
        <v>1806</v>
      </c>
      <c r="Q9209" t="s">
        <v>10748</v>
      </c>
      <c r="R9209" t="s">
        <v>10747</v>
      </c>
    </row>
    <row r="9210" spans="1:18" x14ac:dyDescent="0.25">
      <c r="A9210" t="s">
        <v>22739</v>
      </c>
      <c r="B9210" t="s">
        <v>10778</v>
      </c>
      <c r="C9210" t="str">
        <f>HYPERLINK("https://nematode.unl.edu/prismin3.jpg")</f>
        <v>https://nematode.unl.edu/prismin3.jpg</v>
      </c>
      <c r="D9210" t="s">
        <v>43</v>
      </c>
      <c r="G9210" t="s">
        <v>905</v>
      </c>
      <c r="J9210" t="s">
        <v>20</v>
      </c>
      <c r="L9210" t="s">
        <v>141</v>
      </c>
      <c r="M9210" t="s">
        <v>10776</v>
      </c>
      <c r="N9210" t="s">
        <v>10776</v>
      </c>
      <c r="O9210" t="s">
        <v>73</v>
      </c>
      <c r="P9210" t="s">
        <v>1806</v>
      </c>
      <c r="Q9210" t="s">
        <v>10748</v>
      </c>
      <c r="R9210" t="s">
        <v>10747</v>
      </c>
    </row>
    <row r="9211" spans="1:18" x14ac:dyDescent="0.25">
      <c r="A9211" t="s">
        <v>15753</v>
      </c>
      <c r="B9211" t="s">
        <v>10779</v>
      </c>
      <c r="C9211" t="str">
        <f>HYPERLINK("https://nematode.unl.edu/pristi1.jpg")</f>
        <v>https://nematode.unl.edu/pristi1.jpg</v>
      </c>
      <c r="D9211" t="s">
        <v>77</v>
      </c>
      <c r="G9211" t="s">
        <v>34</v>
      </c>
      <c r="H9211" t="s">
        <v>18</v>
      </c>
      <c r="I9211" t="s">
        <v>19</v>
      </c>
      <c r="J9211" t="s">
        <v>20</v>
      </c>
      <c r="M9211" t="s">
        <v>10780</v>
      </c>
      <c r="N9211" t="s">
        <v>10780</v>
      </c>
      <c r="O9211" t="s">
        <v>23</v>
      </c>
      <c r="P9211" t="s">
        <v>24</v>
      </c>
      <c r="Q9211" t="s">
        <v>2091</v>
      </c>
      <c r="R9211" t="s">
        <v>10780</v>
      </c>
    </row>
    <row r="9212" spans="1:18" x14ac:dyDescent="0.25">
      <c r="A9212" t="s">
        <v>15754</v>
      </c>
      <c r="B9212" t="s">
        <v>10781</v>
      </c>
      <c r="C9212" t="str">
        <f>HYPERLINK("https://nematode.unl.edu/pristi10.jpg")</f>
        <v>https://nematode.unl.edu/pristi10.jpg</v>
      </c>
      <c r="D9212" t="s">
        <v>77</v>
      </c>
      <c r="G9212" t="s">
        <v>34</v>
      </c>
      <c r="H9212" t="s">
        <v>18</v>
      </c>
      <c r="J9212" t="s">
        <v>20</v>
      </c>
      <c r="L9212" t="s">
        <v>141</v>
      </c>
      <c r="M9212" t="s">
        <v>10780</v>
      </c>
      <c r="N9212" t="s">
        <v>10780</v>
      </c>
      <c r="O9212" t="s">
        <v>23</v>
      </c>
      <c r="P9212" t="s">
        <v>24</v>
      </c>
      <c r="Q9212" t="s">
        <v>2091</v>
      </c>
      <c r="R9212" t="s">
        <v>10780</v>
      </c>
    </row>
    <row r="9213" spans="1:18" x14ac:dyDescent="0.25">
      <c r="A9213" t="s">
        <v>15792</v>
      </c>
      <c r="B9213" t="s">
        <v>10782</v>
      </c>
      <c r="C9213" t="str">
        <f>HYPERLINK("https://nematode.unl.edu/pristi11.jpg")</f>
        <v>https://nematode.unl.edu/pristi11.jpg</v>
      </c>
      <c r="D9213" t="s">
        <v>77</v>
      </c>
      <c r="G9213" t="s">
        <v>28</v>
      </c>
      <c r="J9213" t="s">
        <v>20</v>
      </c>
      <c r="M9213" t="s">
        <v>10780</v>
      </c>
      <c r="N9213" t="s">
        <v>10780</v>
      </c>
      <c r="O9213" t="s">
        <v>23</v>
      </c>
      <c r="P9213" t="s">
        <v>24</v>
      </c>
      <c r="Q9213" t="s">
        <v>2091</v>
      </c>
      <c r="R9213" t="s">
        <v>10780</v>
      </c>
    </row>
    <row r="9214" spans="1:18" x14ac:dyDescent="0.25">
      <c r="A9214" t="s">
        <v>15777</v>
      </c>
      <c r="B9214" t="s">
        <v>10783</v>
      </c>
      <c r="C9214" t="str">
        <f>HYPERLINK("https://nematode.unl.edu/pristi12.jpg")</f>
        <v>https://nematode.unl.edu/pristi12.jpg</v>
      </c>
      <c r="D9214" t="s">
        <v>43</v>
      </c>
      <c r="G9214" t="s">
        <v>44</v>
      </c>
      <c r="I9214" t="s">
        <v>45</v>
      </c>
      <c r="J9214" t="s">
        <v>20</v>
      </c>
      <c r="L9214" t="s">
        <v>29</v>
      </c>
      <c r="M9214" t="s">
        <v>10780</v>
      </c>
      <c r="N9214" t="s">
        <v>10780</v>
      </c>
      <c r="O9214" t="s">
        <v>23</v>
      </c>
      <c r="P9214" t="s">
        <v>24</v>
      </c>
      <c r="Q9214" t="s">
        <v>2091</v>
      </c>
      <c r="R9214" t="s">
        <v>10780</v>
      </c>
    </row>
    <row r="9215" spans="1:18" x14ac:dyDescent="0.25">
      <c r="A9215" t="s">
        <v>15755</v>
      </c>
      <c r="B9215" t="s">
        <v>10784</v>
      </c>
      <c r="C9215" t="str">
        <f>HYPERLINK("https://nematode.unl.edu/pristi13.jpg")</f>
        <v>https://nematode.unl.edu/pristi13.jpg</v>
      </c>
      <c r="D9215" t="s">
        <v>43</v>
      </c>
      <c r="G9215" t="s">
        <v>34</v>
      </c>
      <c r="H9215" t="s">
        <v>18</v>
      </c>
      <c r="J9215" t="s">
        <v>20</v>
      </c>
      <c r="L9215" t="s">
        <v>29</v>
      </c>
      <c r="M9215" t="s">
        <v>10780</v>
      </c>
      <c r="N9215" t="s">
        <v>10780</v>
      </c>
      <c r="O9215" t="s">
        <v>23</v>
      </c>
      <c r="P9215" t="s">
        <v>24</v>
      </c>
      <c r="Q9215" t="s">
        <v>2091</v>
      </c>
      <c r="R9215" t="s">
        <v>10780</v>
      </c>
    </row>
    <row r="9216" spans="1:18" x14ac:dyDescent="0.25">
      <c r="A9216" t="s">
        <v>15756</v>
      </c>
      <c r="B9216" t="s">
        <v>10785</v>
      </c>
      <c r="C9216" t="str">
        <f>HYPERLINK("https://nematode.unl.edu/pristi14.jpg")</f>
        <v>https://nematode.unl.edu/pristi14.jpg</v>
      </c>
      <c r="D9216" t="s">
        <v>43</v>
      </c>
      <c r="G9216" t="s">
        <v>34</v>
      </c>
      <c r="H9216" t="s">
        <v>18</v>
      </c>
      <c r="I9216" t="s">
        <v>41</v>
      </c>
      <c r="J9216" t="s">
        <v>20</v>
      </c>
      <c r="M9216" t="s">
        <v>10780</v>
      </c>
      <c r="N9216" t="s">
        <v>10780</v>
      </c>
      <c r="O9216" t="s">
        <v>23</v>
      </c>
      <c r="P9216" t="s">
        <v>24</v>
      </c>
      <c r="Q9216" t="s">
        <v>2091</v>
      </c>
      <c r="R9216" t="s">
        <v>10780</v>
      </c>
    </row>
    <row r="9217" spans="1:18" x14ac:dyDescent="0.25">
      <c r="A9217" t="s">
        <v>15787</v>
      </c>
      <c r="B9217" t="s">
        <v>10786</v>
      </c>
      <c r="C9217" t="str">
        <f>HYPERLINK("https://nematode.unl.edu/pristi15.jpg")</f>
        <v>https://nematode.unl.edu/pristi15.jpg</v>
      </c>
      <c r="D9217" t="s">
        <v>77</v>
      </c>
      <c r="G9217" t="s">
        <v>1906</v>
      </c>
      <c r="I9217" t="s">
        <v>19</v>
      </c>
      <c r="J9217" t="s">
        <v>20</v>
      </c>
      <c r="L9217" t="s">
        <v>29</v>
      </c>
      <c r="M9217" t="s">
        <v>10780</v>
      </c>
      <c r="N9217" t="s">
        <v>10780</v>
      </c>
      <c r="O9217" t="s">
        <v>23</v>
      </c>
      <c r="P9217" t="s">
        <v>24</v>
      </c>
      <c r="Q9217" t="s">
        <v>2091</v>
      </c>
      <c r="R9217" t="s">
        <v>10780</v>
      </c>
    </row>
    <row r="9218" spans="1:18" x14ac:dyDescent="0.25">
      <c r="A9218" t="s">
        <v>15778</v>
      </c>
      <c r="B9218" t="s">
        <v>10787</v>
      </c>
      <c r="C9218" t="str">
        <f>HYPERLINK("https://nematode.unl.edu/pristi16.jpg")</f>
        <v>https://nematode.unl.edu/pristi16.jpg</v>
      </c>
      <c r="D9218" t="s">
        <v>43</v>
      </c>
      <c r="G9218" t="s">
        <v>44</v>
      </c>
      <c r="I9218" t="s">
        <v>45</v>
      </c>
      <c r="J9218" t="s">
        <v>20</v>
      </c>
      <c r="L9218" t="s">
        <v>206</v>
      </c>
      <c r="M9218" t="s">
        <v>10780</v>
      </c>
      <c r="N9218" t="s">
        <v>10780</v>
      </c>
      <c r="O9218" t="s">
        <v>23</v>
      </c>
      <c r="P9218" t="s">
        <v>24</v>
      </c>
      <c r="Q9218" t="s">
        <v>2091</v>
      </c>
      <c r="R9218" t="s">
        <v>10780</v>
      </c>
    </row>
    <row r="9219" spans="1:18" x14ac:dyDescent="0.25">
      <c r="A9219" t="s">
        <v>15757</v>
      </c>
      <c r="B9219" t="s">
        <v>10788</v>
      </c>
      <c r="C9219" t="str">
        <f>HYPERLINK("https://nematode.unl.edu/pristi17.jpg")</f>
        <v>https://nematode.unl.edu/pristi17.jpg</v>
      </c>
      <c r="D9219" t="s">
        <v>43</v>
      </c>
      <c r="G9219" t="s">
        <v>34</v>
      </c>
      <c r="H9219" t="s">
        <v>18</v>
      </c>
      <c r="I9219" t="s">
        <v>19</v>
      </c>
      <c r="J9219" t="s">
        <v>20</v>
      </c>
      <c r="L9219" t="s">
        <v>206</v>
      </c>
      <c r="M9219" t="s">
        <v>10780</v>
      </c>
      <c r="N9219" t="s">
        <v>10780</v>
      </c>
      <c r="O9219" t="s">
        <v>23</v>
      </c>
      <c r="P9219" t="s">
        <v>24</v>
      </c>
      <c r="Q9219" t="s">
        <v>2091</v>
      </c>
      <c r="R9219" t="s">
        <v>10780</v>
      </c>
    </row>
    <row r="9220" spans="1:18" x14ac:dyDescent="0.25">
      <c r="A9220" t="s">
        <v>15793</v>
      </c>
      <c r="B9220" t="s">
        <v>10789</v>
      </c>
      <c r="C9220" t="str">
        <f>HYPERLINK("https://nematode.unl.edu/pristi18.jpg")</f>
        <v>https://nematode.unl.edu/pristi18.jpg</v>
      </c>
      <c r="D9220" t="s">
        <v>43</v>
      </c>
      <c r="G9220" t="s">
        <v>28</v>
      </c>
      <c r="I9220" t="s">
        <v>516</v>
      </c>
      <c r="J9220" t="s">
        <v>20</v>
      </c>
      <c r="L9220" t="s">
        <v>206</v>
      </c>
      <c r="M9220" t="s">
        <v>10780</v>
      </c>
      <c r="N9220" t="s">
        <v>10780</v>
      </c>
      <c r="O9220" t="s">
        <v>23</v>
      </c>
      <c r="P9220" t="s">
        <v>24</v>
      </c>
      <c r="Q9220" t="s">
        <v>2091</v>
      </c>
      <c r="R9220" t="s">
        <v>10780</v>
      </c>
    </row>
    <row r="9221" spans="1:18" x14ac:dyDescent="0.25">
      <c r="A9221" t="s">
        <v>15758</v>
      </c>
      <c r="B9221" t="s">
        <v>10790</v>
      </c>
      <c r="C9221" t="str">
        <f>HYPERLINK("https://nematode.unl.edu/pristi19.jpg")</f>
        <v>https://nematode.unl.edu/pristi19.jpg</v>
      </c>
      <c r="D9221" t="s">
        <v>43</v>
      </c>
      <c r="G9221" t="s">
        <v>34</v>
      </c>
      <c r="H9221" t="s">
        <v>18</v>
      </c>
      <c r="I9221" t="s">
        <v>41</v>
      </c>
      <c r="J9221" t="s">
        <v>20</v>
      </c>
      <c r="L9221" t="s">
        <v>206</v>
      </c>
      <c r="M9221" t="s">
        <v>10780</v>
      </c>
      <c r="N9221" t="s">
        <v>10780</v>
      </c>
      <c r="O9221" t="s">
        <v>23</v>
      </c>
      <c r="P9221" t="s">
        <v>24</v>
      </c>
      <c r="Q9221" t="s">
        <v>2091</v>
      </c>
      <c r="R9221" t="s">
        <v>10780</v>
      </c>
    </row>
    <row r="9222" spans="1:18" x14ac:dyDescent="0.25">
      <c r="A9222" t="s">
        <v>15759</v>
      </c>
      <c r="B9222" t="s">
        <v>10791</v>
      </c>
      <c r="C9222" t="str">
        <f>HYPERLINK("https://nematode.unl.edu/pristi2.jpg")</f>
        <v>https://nematode.unl.edu/pristi2.jpg</v>
      </c>
      <c r="D9222" t="s">
        <v>43</v>
      </c>
      <c r="G9222" t="s">
        <v>34</v>
      </c>
      <c r="H9222" t="s">
        <v>18</v>
      </c>
      <c r="I9222" t="s">
        <v>41</v>
      </c>
      <c r="J9222" t="s">
        <v>20</v>
      </c>
      <c r="M9222" t="s">
        <v>10780</v>
      </c>
      <c r="N9222" t="s">
        <v>10780</v>
      </c>
      <c r="O9222" t="s">
        <v>23</v>
      </c>
      <c r="P9222" t="s">
        <v>24</v>
      </c>
      <c r="Q9222" t="s">
        <v>2091</v>
      </c>
      <c r="R9222" t="s">
        <v>10780</v>
      </c>
    </row>
    <row r="9223" spans="1:18" x14ac:dyDescent="0.25">
      <c r="A9223" t="s">
        <v>15760</v>
      </c>
      <c r="B9223" t="s">
        <v>10792</v>
      </c>
      <c r="C9223" t="str">
        <f>HYPERLINK("https://nematode.unl.edu/pristi20.jpg")</f>
        <v>https://nematode.unl.edu/pristi20.jpg</v>
      </c>
      <c r="D9223" t="s">
        <v>43</v>
      </c>
      <c r="G9223" t="s">
        <v>34</v>
      </c>
      <c r="H9223" t="s">
        <v>18</v>
      </c>
      <c r="I9223" t="s">
        <v>19</v>
      </c>
      <c r="J9223" t="s">
        <v>20</v>
      </c>
      <c r="L9223" t="s">
        <v>29</v>
      </c>
      <c r="M9223" t="s">
        <v>10780</v>
      </c>
      <c r="N9223" t="s">
        <v>10780</v>
      </c>
      <c r="O9223" t="s">
        <v>23</v>
      </c>
      <c r="P9223" t="s">
        <v>24</v>
      </c>
      <c r="Q9223" t="s">
        <v>2091</v>
      </c>
      <c r="R9223" t="s">
        <v>10780</v>
      </c>
    </row>
    <row r="9224" spans="1:18" x14ac:dyDescent="0.25">
      <c r="A9224" t="s">
        <v>15761</v>
      </c>
      <c r="B9224" t="s">
        <v>10793</v>
      </c>
      <c r="C9224" t="str">
        <f>HYPERLINK("https://nematode.unl.edu/pristi21.jpg")</f>
        <v>https://nematode.unl.edu/pristi21.jpg</v>
      </c>
      <c r="D9224" t="s">
        <v>43</v>
      </c>
      <c r="G9224" t="s">
        <v>34</v>
      </c>
      <c r="H9224" t="s">
        <v>18</v>
      </c>
      <c r="I9224" t="s">
        <v>41</v>
      </c>
      <c r="J9224" t="s">
        <v>20</v>
      </c>
      <c r="L9224" t="s">
        <v>29</v>
      </c>
      <c r="M9224" t="s">
        <v>10780</v>
      </c>
      <c r="N9224" t="s">
        <v>10780</v>
      </c>
      <c r="O9224" t="s">
        <v>23</v>
      </c>
      <c r="P9224" t="s">
        <v>24</v>
      </c>
      <c r="Q9224" t="s">
        <v>2091</v>
      </c>
      <c r="R9224" t="s">
        <v>10780</v>
      </c>
    </row>
    <row r="9225" spans="1:18" x14ac:dyDescent="0.25">
      <c r="A9225" t="s">
        <v>15762</v>
      </c>
      <c r="B9225" t="s">
        <v>10794</v>
      </c>
      <c r="C9225" t="str">
        <f>HYPERLINK("https://nematode.unl.edu/pristi22.jpg")</f>
        <v>https://nematode.unl.edu/pristi22.jpg</v>
      </c>
      <c r="D9225" t="s">
        <v>43</v>
      </c>
      <c r="G9225" t="s">
        <v>34</v>
      </c>
      <c r="H9225" t="s">
        <v>18</v>
      </c>
      <c r="I9225" t="s">
        <v>41</v>
      </c>
      <c r="J9225" t="s">
        <v>20</v>
      </c>
      <c r="M9225" t="s">
        <v>10780</v>
      </c>
      <c r="N9225" t="s">
        <v>10780</v>
      </c>
      <c r="O9225" t="s">
        <v>23</v>
      </c>
      <c r="P9225" t="s">
        <v>24</v>
      </c>
      <c r="Q9225" t="s">
        <v>2091</v>
      </c>
      <c r="R9225" t="s">
        <v>10780</v>
      </c>
    </row>
    <row r="9226" spans="1:18" x14ac:dyDescent="0.25">
      <c r="A9226" t="s">
        <v>15779</v>
      </c>
      <c r="B9226" t="s">
        <v>10795</v>
      </c>
      <c r="C9226" t="str">
        <f>HYPERLINK("https://nematode.unl.edu/pristi23.jpg")</f>
        <v>https://nematode.unl.edu/pristi23.jpg</v>
      </c>
      <c r="D9226" t="s">
        <v>77</v>
      </c>
      <c r="G9226" t="s">
        <v>44</v>
      </c>
      <c r="I9226" t="s">
        <v>45</v>
      </c>
      <c r="J9226" t="s">
        <v>20</v>
      </c>
      <c r="L9226" t="s">
        <v>141</v>
      </c>
      <c r="M9226" t="s">
        <v>10780</v>
      </c>
      <c r="N9226" t="s">
        <v>10780</v>
      </c>
      <c r="O9226" t="s">
        <v>23</v>
      </c>
      <c r="P9226" t="s">
        <v>24</v>
      </c>
      <c r="Q9226" t="s">
        <v>2091</v>
      </c>
      <c r="R9226" t="s">
        <v>10780</v>
      </c>
    </row>
    <row r="9227" spans="1:18" x14ac:dyDescent="0.25">
      <c r="A9227" t="s">
        <v>15794</v>
      </c>
      <c r="B9227" t="s">
        <v>10796</v>
      </c>
      <c r="C9227" t="str">
        <f>HYPERLINK("https://nematode.unl.edu/pristi24.jpg")</f>
        <v>https://nematode.unl.edu/pristi24.jpg</v>
      </c>
      <c r="D9227" t="s">
        <v>77</v>
      </c>
      <c r="G9227" t="s">
        <v>28</v>
      </c>
      <c r="I9227" t="s">
        <v>19</v>
      </c>
      <c r="J9227" t="s">
        <v>20</v>
      </c>
      <c r="M9227" t="s">
        <v>10780</v>
      </c>
      <c r="N9227" t="s">
        <v>10780</v>
      </c>
      <c r="O9227" t="s">
        <v>23</v>
      </c>
      <c r="P9227" t="s">
        <v>24</v>
      </c>
      <c r="Q9227" t="s">
        <v>2091</v>
      </c>
      <c r="R9227" t="s">
        <v>10780</v>
      </c>
    </row>
    <row r="9228" spans="1:18" x14ac:dyDescent="0.25">
      <c r="A9228" t="s">
        <v>15791</v>
      </c>
      <c r="B9228" t="s">
        <v>10797</v>
      </c>
      <c r="C9228" t="str">
        <f>HYPERLINK("https://nematode.unl.edu/pristi25.jpg")</f>
        <v>https://nematode.unl.edu/pristi25.jpg</v>
      </c>
      <c r="D9228" t="s">
        <v>77</v>
      </c>
      <c r="G9228" t="s">
        <v>112</v>
      </c>
      <c r="I9228" t="s">
        <v>19</v>
      </c>
      <c r="J9228" t="s">
        <v>20</v>
      </c>
      <c r="M9228" t="s">
        <v>10780</v>
      </c>
      <c r="N9228" t="s">
        <v>10780</v>
      </c>
      <c r="O9228" t="s">
        <v>23</v>
      </c>
      <c r="P9228" t="s">
        <v>24</v>
      </c>
      <c r="Q9228" t="s">
        <v>2091</v>
      </c>
      <c r="R9228" t="s">
        <v>10780</v>
      </c>
    </row>
    <row r="9229" spans="1:18" x14ac:dyDescent="0.25">
      <c r="A9229" t="s">
        <v>15780</v>
      </c>
      <c r="B9229" t="s">
        <v>10798</v>
      </c>
      <c r="C9229" t="str">
        <f>HYPERLINK("https://nematode.unl.edu/pristi26.jpg")</f>
        <v>https://nematode.unl.edu/pristi26.jpg</v>
      </c>
      <c r="D9229" t="s">
        <v>16</v>
      </c>
      <c r="G9229" t="s">
        <v>44</v>
      </c>
      <c r="I9229" t="s">
        <v>45</v>
      </c>
      <c r="J9229" t="s">
        <v>20</v>
      </c>
      <c r="L9229" t="s">
        <v>64</v>
      </c>
      <c r="M9229" t="s">
        <v>10780</v>
      </c>
      <c r="N9229" t="s">
        <v>10780</v>
      </c>
      <c r="O9229" t="s">
        <v>23</v>
      </c>
      <c r="P9229" t="s">
        <v>24</v>
      </c>
      <c r="Q9229" t="s">
        <v>2091</v>
      </c>
      <c r="R9229" t="s">
        <v>10780</v>
      </c>
    </row>
    <row r="9230" spans="1:18" x14ac:dyDescent="0.25">
      <c r="A9230" t="s">
        <v>15763</v>
      </c>
      <c r="B9230" t="s">
        <v>10799</v>
      </c>
      <c r="C9230" t="str">
        <f>HYPERLINK("https://nematode.unl.edu/pristi27.jpg")</f>
        <v>https://nematode.unl.edu/pristi27.jpg</v>
      </c>
      <c r="D9230" t="s">
        <v>16</v>
      </c>
      <c r="G9230" t="s">
        <v>34</v>
      </c>
      <c r="H9230" t="s">
        <v>18</v>
      </c>
      <c r="I9230" t="s">
        <v>19</v>
      </c>
      <c r="J9230" t="s">
        <v>20</v>
      </c>
      <c r="L9230" t="s">
        <v>64</v>
      </c>
      <c r="M9230" t="s">
        <v>10780</v>
      </c>
      <c r="N9230" t="s">
        <v>10780</v>
      </c>
      <c r="O9230" t="s">
        <v>23</v>
      </c>
      <c r="P9230" t="s">
        <v>24</v>
      </c>
      <c r="Q9230" t="s">
        <v>2091</v>
      </c>
      <c r="R9230" t="s">
        <v>10780</v>
      </c>
    </row>
    <row r="9231" spans="1:18" x14ac:dyDescent="0.25">
      <c r="A9231" t="s">
        <v>15795</v>
      </c>
      <c r="B9231" t="s">
        <v>10800</v>
      </c>
      <c r="C9231" t="str">
        <f>HYPERLINK("https://nematode.unl.edu/pristi28.jpg")</f>
        <v>https://nematode.unl.edu/pristi28.jpg</v>
      </c>
      <c r="D9231" t="s">
        <v>16</v>
      </c>
      <c r="G9231" t="s">
        <v>28</v>
      </c>
      <c r="J9231" t="s">
        <v>20</v>
      </c>
      <c r="L9231" t="s">
        <v>64</v>
      </c>
      <c r="M9231" t="s">
        <v>10780</v>
      </c>
      <c r="N9231" t="s">
        <v>10780</v>
      </c>
      <c r="O9231" t="s">
        <v>23</v>
      </c>
      <c r="P9231" t="s">
        <v>24</v>
      </c>
      <c r="Q9231" t="s">
        <v>2091</v>
      </c>
      <c r="R9231" t="s">
        <v>10780</v>
      </c>
    </row>
    <row r="9232" spans="1:18" x14ac:dyDescent="0.25">
      <c r="A9232" t="s">
        <v>15764</v>
      </c>
      <c r="B9232" t="s">
        <v>10801</v>
      </c>
      <c r="C9232" t="str">
        <f>HYPERLINK("https://nematode.unl.edu/pristi29.jpg")</f>
        <v>https://nematode.unl.edu/pristi29.jpg</v>
      </c>
      <c r="D9232" t="s">
        <v>16</v>
      </c>
      <c r="G9232" t="s">
        <v>34</v>
      </c>
      <c r="H9232" t="s">
        <v>18</v>
      </c>
      <c r="I9232" t="s">
        <v>41</v>
      </c>
      <c r="J9232" t="s">
        <v>20</v>
      </c>
      <c r="L9232" t="s">
        <v>64</v>
      </c>
      <c r="M9232" t="s">
        <v>10780</v>
      </c>
      <c r="N9232" t="s">
        <v>10780</v>
      </c>
      <c r="O9232" t="s">
        <v>23</v>
      </c>
      <c r="P9232" t="s">
        <v>24</v>
      </c>
      <c r="Q9232" t="s">
        <v>2091</v>
      </c>
      <c r="R9232" t="s">
        <v>10780</v>
      </c>
    </row>
    <row r="9233" spans="1:18" x14ac:dyDescent="0.25">
      <c r="A9233" t="s">
        <v>15781</v>
      </c>
      <c r="B9233" t="s">
        <v>10802</v>
      </c>
      <c r="C9233" t="str">
        <f>HYPERLINK("https://nematode.unl.edu/pristi3.jpg")</f>
        <v>https://nematode.unl.edu/pristi3.jpg</v>
      </c>
      <c r="D9233" t="s">
        <v>77</v>
      </c>
      <c r="G9233" t="s">
        <v>44</v>
      </c>
      <c r="I9233" t="s">
        <v>45</v>
      </c>
      <c r="J9233" t="s">
        <v>20</v>
      </c>
      <c r="L9233" t="s">
        <v>38</v>
      </c>
      <c r="M9233" t="s">
        <v>10780</v>
      </c>
      <c r="N9233" t="s">
        <v>10780</v>
      </c>
      <c r="O9233" t="s">
        <v>23</v>
      </c>
      <c r="P9233" t="s">
        <v>24</v>
      </c>
      <c r="Q9233" t="s">
        <v>2091</v>
      </c>
      <c r="R9233" t="s">
        <v>10780</v>
      </c>
    </row>
    <row r="9234" spans="1:18" x14ac:dyDescent="0.25">
      <c r="A9234" t="s">
        <v>15765</v>
      </c>
      <c r="B9234" t="s">
        <v>10803</v>
      </c>
      <c r="C9234" t="str">
        <f>HYPERLINK("https://nematode.unl.edu/pristi30.jpg")</f>
        <v>https://nematode.unl.edu/pristi30.jpg</v>
      </c>
      <c r="G9234" t="s">
        <v>34</v>
      </c>
      <c r="H9234" t="s">
        <v>18</v>
      </c>
      <c r="I9234" t="s">
        <v>19</v>
      </c>
      <c r="J9234" t="s">
        <v>20</v>
      </c>
      <c r="M9234" t="s">
        <v>10780</v>
      </c>
      <c r="N9234" t="s">
        <v>10780</v>
      </c>
      <c r="O9234" t="s">
        <v>23</v>
      </c>
      <c r="P9234" t="s">
        <v>24</v>
      </c>
      <c r="Q9234" t="s">
        <v>2091</v>
      </c>
      <c r="R9234" t="s">
        <v>10780</v>
      </c>
    </row>
    <row r="9235" spans="1:18" x14ac:dyDescent="0.25">
      <c r="A9235" t="s">
        <v>15775</v>
      </c>
      <c r="B9235" t="s">
        <v>10804</v>
      </c>
      <c r="C9235" t="str">
        <f>HYPERLINK("https://nematode.unl.edu/pristi31.jpg")</f>
        <v>https://nematode.unl.edu/pristi31.jpg</v>
      </c>
      <c r="D9235" t="s">
        <v>16</v>
      </c>
      <c r="G9235" t="s">
        <v>384</v>
      </c>
      <c r="I9235" t="s">
        <v>41</v>
      </c>
      <c r="J9235" t="s">
        <v>20</v>
      </c>
      <c r="M9235" t="s">
        <v>10780</v>
      </c>
      <c r="N9235" t="s">
        <v>10780</v>
      </c>
      <c r="O9235" t="s">
        <v>23</v>
      </c>
      <c r="P9235" t="s">
        <v>24</v>
      </c>
      <c r="Q9235" t="s">
        <v>2091</v>
      </c>
      <c r="R9235" t="s">
        <v>10780</v>
      </c>
    </row>
    <row r="9236" spans="1:18" x14ac:dyDescent="0.25">
      <c r="A9236" t="s">
        <v>15766</v>
      </c>
      <c r="B9236" t="s">
        <v>10805</v>
      </c>
      <c r="C9236" t="str">
        <f>HYPERLINK("https://nematode.unl.edu/pristi32.jpg")</f>
        <v>https://nematode.unl.edu/pristi32.jpg</v>
      </c>
      <c r="G9236" t="s">
        <v>34</v>
      </c>
      <c r="H9236" t="s">
        <v>18</v>
      </c>
      <c r="I9236" t="s">
        <v>41</v>
      </c>
      <c r="J9236" t="s">
        <v>20</v>
      </c>
      <c r="M9236" t="s">
        <v>10780</v>
      </c>
      <c r="N9236" t="s">
        <v>10780</v>
      </c>
      <c r="O9236" t="s">
        <v>23</v>
      </c>
      <c r="P9236" t="s">
        <v>24</v>
      </c>
      <c r="Q9236" t="s">
        <v>2091</v>
      </c>
      <c r="R9236" t="s">
        <v>10780</v>
      </c>
    </row>
    <row r="9237" spans="1:18" x14ac:dyDescent="0.25">
      <c r="A9237" t="s">
        <v>15789</v>
      </c>
      <c r="B9237" t="s">
        <v>10806</v>
      </c>
      <c r="C9237" t="str">
        <f>HYPERLINK("https://nematode.unl.edu/pristi33.jpg")</f>
        <v>https://nematode.unl.edu/pristi33.jpg</v>
      </c>
      <c r="G9237" t="s">
        <v>1000</v>
      </c>
      <c r="I9237" t="s">
        <v>41</v>
      </c>
      <c r="J9237" t="s">
        <v>20</v>
      </c>
      <c r="M9237" t="s">
        <v>10780</v>
      </c>
      <c r="N9237" t="s">
        <v>10780</v>
      </c>
      <c r="O9237" t="s">
        <v>23</v>
      </c>
      <c r="P9237" t="s">
        <v>24</v>
      </c>
      <c r="Q9237" t="s">
        <v>2091</v>
      </c>
      <c r="R9237" t="s">
        <v>10780</v>
      </c>
    </row>
    <row r="9238" spans="1:18" x14ac:dyDescent="0.25">
      <c r="A9238" t="s">
        <v>15796</v>
      </c>
      <c r="B9238" t="s">
        <v>10807</v>
      </c>
      <c r="C9238" t="str">
        <f>HYPERLINK("https://nematode.unl.edu/pristi34.jpg")</f>
        <v>https://nematode.unl.edu/pristi34.jpg</v>
      </c>
      <c r="G9238" t="s">
        <v>28</v>
      </c>
      <c r="I9238" t="s">
        <v>41</v>
      </c>
      <c r="J9238" t="s">
        <v>20</v>
      </c>
      <c r="L9238" t="s">
        <v>85</v>
      </c>
      <c r="M9238" t="s">
        <v>10780</v>
      </c>
      <c r="N9238" t="s">
        <v>10780</v>
      </c>
      <c r="O9238" t="s">
        <v>23</v>
      </c>
      <c r="P9238" t="s">
        <v>24</v>
      </c>
      <c r="Q9238" t="s">
        <v>2091</v>
      </c>
      <c r="R9238" t="s">
        <v>10780</v>
      </c>
    </row>
    <row r="9239" spans="1:18" x14ac:dyDescent="0.25">
      <c r="A9239" t="s">
        <v>15782</v>
      </c>
      <c r="B9239" t="s">
        <v>10808</v>
      </c>
      <c r="C9239" t="str">
        <f>HYPERLINK("https://nematode.unl.edu/pristi35.jpg")</f>
        <v>https://nematode.unl.edu/pristi35.jpg</v>
      </c>
      <c r="D9239" t="s">
        <v>10809</v>
      </c>
      <c r="G9239" t="s">
        <v>44</v>
      </c>
      <c r="I9239" t="s">
        <v>45</v>
      </c>
      <c r="J9239" t="s">
        <v>20</v>
      </c>
      <c r="L9239" t="s">
        <v>752</v>
      </c>
      <c r="M9239" t="s">
        <v>10780</v>
      </c>
      <c r="N9239" t="s">
        <v>10780</v>
      </c>
      <c r="O9239" t="s">
        <v>23</v>
      </c>
      <c r="P9239" t="s">
        <v>24</v>
      </c>
      <c r="Q9239" t="s">
        <v>2091</v>
      </c>
      <c r="R9239" t="s">
        <v>10780</v>
      </c>
    </row>
    <row r="9240" spans="1:18" x14ac:dyDescent="0.25">
      <c r="A9240" t="s">
        <v>15783</v>
      </c>
      <c r="B9240" t="s">
        <v>10810</v>
      </c>
      <c r="C9240" t="str">
        <f>HYPERLINK("https://nematode.unl.edu/pristi36.jpg")</f>
        <v>https://nematode.unl.edu/pristi36.jpg</v>
      </c>
      <c r="D9240" t="s">
        <v>10809</v>
      </c>
      <c r="G9240" t="s">
        <v>44</v>
      </c>
      <c r="I9240" t="s">
        <v>45</v>
      </c>
      <c r="J9240" t="s">
        <v>20</v>
      </c>
      <c r="L9240" t="s">
        <v>752</v>
      </c>
      <c r="M9240" t="s">
        <v>10780</v>
      </c>
      <c r="N9240" t="s">
        <v>10780</v>
      </c>
      <c r="O9240" t="s">
        <v>23</v>
      </c>
      <c r="P9240" t="s">
        <v>24</v>
      </c>
      <c r="Q9240" t="s">
        <v>2091</v>
      </c>
      <c r="R9240" t="s">
        <v>10780</v>
      </c>
    </row>
    <row r="9241" spans="1:18" x14ac:dyDescent="0.25">
      <c r="A9241" t="s">
        <v>15797</v>
      </c>
      <c r="B9241" t="s">
        <v>10811</v>
      </c>
      <c r="C9241" t="str">
        <f>HYPERLINK("https://nematode.unl.edu/pristi37.jpg")</f>
        <v>https://nematode.unl.edu/pristi37.jpg</v>
      </c>
      <c r="G9241" t="s">
        <v>28</v>
      </c>
      <c r="J9241" t="s">
        <v>20</v>
      </c>
      <c r="L9241" t="s">
        <v>752</v>
      </c>
      <c r="M9241" t="s">
        <v>10780</v>
      </c>
      <c r="N9241" t="s">
        <v>10780</v>
      </c>
      <c r="O9241" t="s">
        <v>23</v>
      </c>
      <c r="P9241" t="s">
        <v>24</v>
      </c>
      <c r="Q9241" t="s">
        <v>2091</v>
      </c>
      <c r="R9241" t="s">
        <v>10780</v>
      </c>
    </row>
    <row r="9242" spans="1:18" x14ac:dyDescent="0.25">
      <c r="A9242" t="s">
        <v>15767</v>
      </c>
      <c r="B9242" t="s">
        <v>10812</v>
      </c>
      <c r="C9242" t="str">
        <f>HYPERLINK("https://nematode.unl.edu/pristi38.jpg")</f>
        <v>https://nematode.unl.edu/pristi38.jpg</v>
      </c>
      <c r="G9242" t="s">
        <v>34</v>
      </c>
      <c r="H9242" t="s">
        <v>18</v>
      </c>
      <c r="I9242" t="s">
        <v>19</v>
      </c>
      <c r="J9242" t="s">
        <v>20</v>
      </c>
      <c r="L9242" t="s">
        <v>752</v>
      </c>
      <c r="M9242" t="s">
        <v>10780</v>
      </c>
      <c r="N9242" t="s">
        <v>10780</v>
      </c>
      <c r="O9242" t="s">
        <v>23</v>
      </c>
      <c r="P9242" t="s">
        <v>24</v>
      </c>
      <c r="Q9242" t="s">
        <v>2091</v>
      </c>
      <c r="R9242" t="s">
        <v>10780</v>
      </c>
    </row>
    <row r="9243" spans="1:18" x14ac:dyDescent="0.25">
      <c r="A9243" t="s">
        <v>15768</v>
      </c>
      <c r="B9243" t="s">
        <v>10813</v>
      </c>
      <c r="C9243" t="str">
        <f>HYPERLINK("https://nematode.unl.edu/pristi39.jpg")</f>
        <v>https://nematode.unl.edu/pristi39.jpg</v>
      </c>
      <c r="D9243" t="s">
        <v>16</v>
      </c>
      <c r="G9243" t="s">
        <v>34</v>
      </c>
      <c r="H9243" t="s">
        <v>18</v>
      </c>
      <c r="J9243" t="s">
        <v>20</v>
      </c>
      <c r="L9243" t="s">
        <v>752</v>
      </c>
      <c r="M9243" t="s">
        <v>10780</v>
      </c>
      <c r="N9243" t="s">
        <v>10780</v>
      </c>
      <c r="O9243" t="s">
        <v>23</v>
      </c>
      <c r="P9243" t="s">
        <v>24</v>
      </c>
      <c r="Q9243" t="s">
        <v>2091</v>
      </c>
      <c r="R9243" t="s">
        <v>10780</v>
      </c>
    </row>
    <row r="9244" spans="1:18" x14ac:dyDescent="0.25">
      <c r="A9244" t="s">
        <v>15769</v>
      </c>
      <c r="B9244" t="s">
        <v>10814</v>
      </c>
      <c r="C9244" t="str">
        <f>HYPERLINK("https://nematode.unl.edu/pristi4.jpg")</f>
        <v>https://nematode.unl.edu/pristi4.jpg</v>
      </c>
      <c r="D9244" t="s">
        <v>77</v>
      </c>
      <c r="G9244" t="s">
        <v>34</v>
      </c>
      <c r="H9244" t="s">
        <v>18</v>
      </c>
      <c r="I9244" t="s">
        <v>19</v>
      </c>
      <c r="J9244" t="s">
        <v>20</v>
      </c>
      <c r="L9244" t="s">
        <v>38</v>
      </c>
      <c r="M9244" t="s">
        <v>10780</v>
      </c>
      <c r="N9244" t="s">
        <v>10780</v>
      </c>
      <c r="O9244" t="s">
        <v>23</v>
      </c>
      <c r="P9244" t="s">
        <v>24</v>
      </c>
      <c r="Q9244" t="s">
        <v>2091</v>
      </c>
      <c r="R9244" t="s">
        <v>10780</v>
      </c>
    </row>
    <row r="9245" spans="1:18" x14ac:dyDescent="0.25">
      <c r="A9245" t="s">
        <v>15798</v>
      </c>
      <c r="B9245" t="s">
        <v>10815</v>
      </c>
      <c r="C9245" t="str">
        <f>HYPERLINK("https://nematode.unl.edu/pristi40.jpg")</f>
        <v>https://nematode.unl.edu/pristi40.jpg</v>
      </c>
      <c r="D9245" t="s">
        <v>16</v>
      </c>
      <c r="G9245" t="s">
        <v>28</v>
      </c>
      <c r="J9245" t="s">
        <v>20</v>
      </c>
      <c r="L9245" t="s">
        <v>752</v>
      </c>
      <c r="M9245" t="s">
        <v>10780</v>
      </c>
      <c r="N9245" t="s">
        <v>10780</v>
      </c>
      <c r="O9245" t="s">
        <v>23</v>
      </c>
      <c r="P9245" t="s">
        <v>24</v>
      </c>
      <c r="Q9245" t="s">
        <v>2091</v>
      </c>
      <c r="R9245" t="s">
        <v>10780</v>
      </c>
    </row>
    <row r="9246" spans="1:18" x14ac:dyDescent="0.25">
      <c r="A9246" t="s">
        <v>15770</v>
      </c>
      <c r="B9246" t="s">
        <v>10816</v>
      </c>
      <c r="C9246" t="str">
        <f>HYPERLINK("https://nematode.unl.edu/pristi41.jpg")</f>
        <v>https://nematode.unl.edu/pristi41.jpg</v>
      </c>
      <c r="G9246" t="s">
        <v>34</v>
      </c>
      <c r="H9246" t="s">
        <v>18</v>
      </c>
      <c r="I9246" t="s">
        <v>41</v>
      </c>
      <c r="J9246" t="s">
        <v>20</v>
      </c>
      <c r="L9246" t="s">
        <v>752</v>
      </c>
      <c r="M9246" t="s">
        <v>10780</v>
      </c>
      <c r="N9246" t="s">
        <v>10780</v>
      </c>
      <c r="O9246" t="s">
        <v>23</v>
      </c>
      <c r="P9246" t="s">
        <v>24</v>
      </c>
      <c r="Q9246" t="s">
        <v>2091</v>
      </c>
      <c r="R9246" t="s">
        <v>10780</v>
      </c>
    </row>
    <row r="9247" spans="1:18" x14ac:dyDescent="0.25">
      <c r="A9247" t="s">
        <v>15799</v>
      </c>
      <c r="B9247" t="s">
        <v>10817</v>
      </c>
      <c r="C9247" t="str">
        <f>HYPERLINK("https://nematode.unl.edu/pristi42.jpg")</f>
        <v>https://nematode.unl.edu/pristi42.jpg</v>
      </c>
      <c r="D9247" t="s">
        <v>16</v>
      </c>
      <c r="G9247" t="s">
        <v>28</v>
      </c>
      <c r="I9247" t="s">
        <v>41</v>
      </c>
      <c r="J9247" t="s">
        <v>20</v>
      </c>
      <c r="L9247" t="s">
        <v>752</v>
      </c>
      <c r="M9247" t="s">
        <v>10780</v>
      </c>
      <c r="N9247" t="s">
        <v>10780</v>
      </c>
      <c r="O9247" t="s">
        <v>23</v>
      </c>
      <c r="P9247" t="s">
        <v>24</v>
      </c>
      <c r="Q9247" t="s">
        <v>2091</v>
      </c>
      <c r="R9247" t="s">
        <v>10780</v>
      </c>
    </row>
    <row r="9248" spans="1:18" x14ac:dyDescent="0.25">
      <c r="A9248" t="s">
        <v>15784</v>
      </c>
      <c r="B9248" t="s">
        <v>10818</v>
      </c>
      <c r="C9248" t="str">
        <f>HYPERLINK("https://nematode.unl.edu/pristi43.jpg")</f>
        <v>https://nematode.unl.edu/pristi43.jpg</v>
      </c>
      <c r="D9248" t="s">
        <v>16</v>
      </c>
      <c r="G9248" t="s">
        <v>44</v>
      </c>
      <c r="I9248" t="s">
        <v>499</v>
      </c>
      <c r="J9248" t="s">
        <v>20</v>
      </c>
      <c r="M9248" t="s">
        <v>10780</v>
      </c>
      <c r="N9248" t="s">
        <v>10780</v>
      </c>
      <c r="O9248" t="s">
        <v>23</v>
      </c>
      <c r="P9248" t="s">
        <v>24</v>
      </c>
      <c r="Q9248" t="s">
        <v>2091</v>
      </c>
      <c r="R9248" t="s">
        <v>10780</v>
      </c>
    </row>
    <row r="9249" spans="1:18" x14ac:dyDescent="0.25">
      <c r="A9249" t="s">
        <v>15752</v>
      </c>
      <c r="B9249" t="s">
        <v>10819</v>
      </c>
      <c r="C9249" t="str">
        <f>HYPERLINK("https://nematode.unl.edu/pristi44.jpg")</f>
        <v>https://nematode.unl.edu/pristi44.jpg</v>
      </c>
      <c r="D9249" t="s">
        <v>16</v>
      </c>
      <c r="G9249" t="s">
        <v>96</v>
      </c>
      <c r="H9249" t="s">
        <v>18</v>
      </c>
      <c r="I9249" t="s">
        <v>19</v>
      </c>
      <c r="J9249" t="s">
        <v>20</v>
      </c>
      <c r="M9249" t="s">
        <v>10780</v>
      </c>
      <c r="N9249" t="s">
        <v>10780</v>
      </c>
      <c r="O9249" t="s">
        <v>23</v>
      </c>
      <c r="P9249" t="s">
        <v>24</v>
      </c>
      <c r="Q9249" t="s">
        <v>2091</v>
      </c>
      <c r="R9249" t="s">
        <v>10780</v>
      </c>
    </row>
    <row r="9250" spans="1:18" x14ac:dyDescent="0.25">
      <c r="A9250" t="s">
        <v>15800</v>
      </c>
      <c r="B9250" t="s">
        <v>10820</v>
      </c>
      <c r="C9250" t="str">
        <f>HYPERLINK("https://nematode.unl.edu/pristi45.jpg")</f>
        <v>https://nematode.unl.edu/pristi45.jpg</v>
      </c>
      <c r="G9250" t="s">
        <v>28</v>
      </c>
      <c r="I9250" t="s">
        <v>19</v>
      </c>
      <c r="J9250" t="s">
        <v>20</v>
      </c>
      <c r="M9250" t="s">
        <v>10780</v>
      </c>
      <c r="N9250" t="s">
        <v>10780</v>
      </c>
      <c r="O9250" t="s">
        <v>23</v>
      </c>
      <c r="P9250" t="s">
        <v>24</v>
      </c>
      <c r="Q9250" t="s">
        <v>2091</v>
      </c>
      <c r="R9250" t="s">
        <v>10780</v>
      </c>
    </row>
    <row r="9251" spans="1:18" x14ac:dyDescent="0.25">
      <c r="A9251" t="s">
        <v>15771</v>
      </c>
      <c r="B9251" t="s">
        <v>10821</v>
      </c>
      <c r="C9251" t="str">
        <f>HYPERLINK("https://nematode.unl.edu/pristi46.jpg")</f>
        <v>https://nematode.unl.edu/pristi46.jpg</v>
      </c>
      <c r="D9251" t="s">
        <v>16</v>
      </c>
      <c r="G9251" t="s">
        <v>34</v>
      </c>
      <c r="H9251" t="s">
        <v>18</v>
      </c>
      <c r="I9251" t="s">
        <v>41</v>
      </c>
      <c r="J9251" t="s">
        <v>20</v>
      </c>
      <c r="M9251" t="s">
        <v>10780</v>
      </c>
      <c r="N9251" t="s">
        <v>10780</v>
      </c>
      <c r="O9251" t="s">
        <v>23</v>
      </c>
      <c r="P9251" t="s">
        <v>24</v>
      </c>
      <c r="Q9251" t="s">
        <v>2091</v>
      </c>
      <c r="R9251" t="s">
        <v>10780</v>
      </c>
    </row>
    <row r="9252" spans="1:18" x14ac:dyDescent="0.25">
      <c r="A9252" t="s">
        <v>15776</v>
      </c>
      <c r="B9252" t="s">
        <v>10822</v>
      </c>
      <c r="C9252" t="str">
        <f>HYPERLINK("https://nematode.unl.edu/pristi47.jpg")</f>
        <v>https://nematode.unl.edu/pristi47.jpg</v>
      </c>
      <c r="D9252" t="s">
        <v>16</v>
      </c>
      <c r="G9252" t="s">
        <v>87</v>
      </c>
      <c r="I9252" t="s">
        <v>41</v>
      </c>
      <c r="J9252" t="s">
        <v>20</v>
      </c>
      <c r="M9252" t="s">
        <v>10780</v>
      </c>
      <c r="N9252" t="s">
        <v>10780</v>
      </c>
      <c r="O9252" t="s">
        <v>23</v>
      </c>
      <c r="P9252" t="s">
        <v>24</v>
      </c>
      <c r="Q9252" t="s">
        <v>2091</v>
      </c>
      <c r="R9252" t="s">
        <v>10780</v>
      </c>
    </row>
    <row r="9253" spans="1:18" x14ac:dyDescent="0.25">
      <c r="A9253" t="s">
        <v>15790</v>
      </c>
      <c r="B9253" t="s">
        <v>10823</v>
      </c>
      <c r="C9253" t="str">
        <f>HYPERLINK("https://nematode.unl.edu/pristi48.jpg")</f>
        <v>https://nematode.unl.edu/pristi48.jpg</v>
      </c>
      <c r="D9253" t="s">
        <v>16</v>
      </c>
      <c r="G9253" t="s">
        <v>181</v>
      </c>
      <c r="I9253" t="s">
        <v>41</v>
      </c>
      <c r="J9253" t="s">
        <v>20</v>
      </c>
      <c r="M9253" t="s">
        <v>10780</v>
      </c>
      <c r="N9253" t="s">
        <v>10780</v>
      </c>
      <c r="O9253" t="s">
        <v>23</v>
      </c>
      <c r="P9253" t="s">
        <v>24</v>
      </c>
      <c r="Q9253" t="s">
        <v>2091</v>
      </c>
      <c r="R9253" t="s">
        <v>10780</v>
      </c>
    </row>
    <row r="9254" spans="1:18" x14ac:dyDescent="0.25">
      <c r="A9254" t="s">
        <v>15788</v>
      </c>
      <c r="B9254" t="s">
        <v>10824</v>
      </c>
      <c r="C9254" t="str">
        <f>HYPERLINK("https://nematode.unl.edu/pristi49.jpg")</f>
        <v>https://nematode.unl.edu/pristi49.jpg</v>
      </c>
      <c r="D9254" t="s">
        <v>16</v>
      </c>
      <c r="G9254" t="s">
        <v>10825</v>
      </c>
      <c r="I9254" t="s">
        <v>41</v>
      </c>
      <c r="J9254" t="s">
        <v>20</v>
      </c>
      <c r="L9254" t="s">
        <v>1707</v>
      </c>
      <c r="M9254" t="s">
        <v>10780</v>
      </c>
      <c r="N9254" t="s">
        <v>10780</v>
      </c>
      <c r="O9254" t="s">
        <v>23</v>
      </c>
      <c r="P9254" t="s">
        <v>24</v>
      </c>
      <c r="Q9254" t="s">
        <v>2091</v>
      </c>
      <c r="R9254" t="s">
        <v>10780</v>
      </c>
    </row>
    <row r="9255" spans="1:18" x14ac:dyDescent="0.25">
      <c r="A9255" t="s">
        <v>15801</v>
      </c>
      <c r="B9255" t="s">
        <v>10826</v>
      </c>
      <c r="C9255" t="str">
        <f>HYPERLINK("https://nematode.unl.edu/pristi5.jpg")</f>
        <v>https://nematode.unl.edu/pristi5.jpg</v>
      </c>
      <c r="D9255" t="s">
        <v>77</v>
      </c>
      <c r="G9255" t="s">
        <v>28</v>
      </c>
      <c r="J9255" t="s">
        <v>20</v>
      </c>
      <c r="L9255" t="s">
        <v>38</v>
      </c>
      <c r="M9255" t="s">
        <v>10780</v>
      </c>
      <c r="N9255" t="s">
        <v>10780</v>
      </c>
      <c r="O9255" t="s">
        <v>23</v>
      </c>
      <c r="P9255" t="s">
        <v>24</v>
      </c>
      <c r="Q9255" t="s">
        <v>2091</v>
      </c>
      <c r="R9255" t="s">
        <v>10780</v>
      </c>
    </row>
    <row r="9256" spans="1:18" x14ac:dyDescent="0.25">
      <c r="A9256" t="s">
        <v>15785</v>
      </c>
      <c r="B9256" t="s">
        <v>10827</v>
      </c>
      <c r="C9256" t="str">
        <f>HYPERLINK("https://nematode.unl.edu/pristi50.jpg")</f>
        <v>https://nematode.unl.edu/pristi50.jpg</v>
      </c>
      <c r="D9256" t="s">
        <v>77</v>
      </c>
      <c r="G9256" t="s">
        <v>44</v>
      </c>
      <c r="I9256" t="s">
        <v>45</v>
      </c>
      <c r="J9256" t="s">
        <v>20</v>
      </c>
      <c r="L9256" t="s">
        <v>29</v>
      </c>
      <c r="M9256" t="s">
        <v>10780</v>
      </c>
      <c r="N9256" t="s">
        <v>10780</v>
      </c>
      <c r="O9256" t="s">
        <v>23</v>
      </c>
      <c r="P9256" t="s">
        <v>24</v>
      </c>
      <c r="Q9256" t="s">
        <v>2091</v>
      </c>
      <c r="R9256" t="s">
        <v>10780</v>
      </c>
    </row>
    <row r="9257" spans="1:18" x14ac:dyDescent="0.25">
      <c r="A9257" t="s">
        <v>15772</v>
      </c>
      <c r="B9257" t="s">
        <v>10828</v>
      </c>
      <c r="C9257" t="str">
        <f>HYPERLINK("https://nematode.unl.edu/pristi51.jpg")</f>
        <v>https://nematode.unl.edu/pristi51.jpg</v>
      </c>
      <c r="D9257" t="s">
        <v>77</v>
      </c>
      <c r="G9257" t="s">
        <v>34</v>
      </c>
      <c r="H9257" t="s">
        <v>18</v>
      </c>
      <c r="I9257" t="s">
        <v>19</v>
      </c>
      <c r="J9257" t="s">
        <v>20</v>
      </c>
      <c r="M9257" t="s">
        <v>10780</v>
      </c>
      <c r="N9257" t="s">
        <v>10780</v>
      </c>
      <c r="O9257" t="s">
        <v>23</v>
      </c>
      <c r="P9257" t="s">
        <v>24</v>
      </c>
      <c r="Q9257" t="s">
        <v>2091</v>
      </c>
      <c r="R9257" t="s">
        <v>10780</v>
      </c>
    </row>
    <row r="9258" spans="1:18" x14ac:dyDescent="0.25">
      <c r="A9258" t="s">
        <v>15786</v>
      </c>
      <c r="B9258" t="s">
        <v>10829</v>
      </c>
      <c r="C9258" t="str">
        <f>HYPERLINK("https://nematode.unl.edu/pristi6.jpg")</f>
        <v>https://nematode.unl.edu/pristi6.jpg</v>
      </c>
      <c r="D9258" t="s">
        <v>43</v>
      </c>
      <c r="G9258" t="s">
        <v>44</v>
      </c>
      <c r="I9258" t="s">
        <v>45</v>
      </c>
      <c r="J9258" t="s">
        <v>20</v>
      </c>
      <c r="M9258" t="s">
        <v>10780</v>
      </c>
      <c r="N9258" t="s">
        <v>10780</v>
      </c>
      <c r="O9258" t="s">
        <v>23</v>
      </c>
      <c r="P9258" t="s">
        <v>24</v>
      </c>
      <c r="Q9258" t="s">
        <v>2091</v>
      </c>
      <c r="R9258" t="s">
        <v>10780</v>
      </c>
    </row>
    <row r="9259" spans="1:18" x14ac:dyDescent="0.25">
      <c r="A9259" t="s">
        <v>15773</v>
      </c>
      <c r="B9259" t="s">
        <v>10830</v>
      </c>
      <c r="C9259" t="str">
        <f>HYPERLINK("https://nematode.unl.edu/pristi7.jpg")</f>
        <v>https://nematode.unl.edu/pristi7.jpg</v>
      </c>
      <c r="D9259" t="s">
        <v>43</v>
      </c>
      <c r="G9259" t="s">
        <v>34</v>
      </c>
      <c r="H9259" t="s">
        <v>18</v>
      </c>
      <c r="J9259" t="s">
        <v>20</v>
      </c>
      <c r="L9259" t="s">
        <v>29</v>
      </c>
      <c r="M9259" t="s">
        <v>10780</v>
      </c>
      <c r="N9259" t="s">
        <v>10780</v>
      </c>
      <c r="O9259" t="s">
        <v>23</v>
      </c>
      <c r="P9259" t="s">
        <v>24</v>
      </c>
      <c r="Q9259" t="s">
        <v>2091</v>
      </c>
      <c r="R9259" t="s">
        <v>10780</v>
      </c>
    </row>
    <row r="9260" spans="1:18" x14ac:dyDescent="0.25">
      <c r="A9260" t="s">
        <v>15802</v>
      </c>
      <c r="B9260" t="s">
        <v>10831</v>
      </c>
      <c r="C9260" t="str">
        <f>HYPERLINK("https://nematode.unl.edu/pristi8.jpg")</f>
        <v>https://nematode.unl.edu/pristi8.jpg</v>
      </c>
      <c r="D9260" t="s">
        <v>43</v>
      </c>
      <c r="G9260" t="s">
        <v>51</v>
      </c>
      <c r="I9260" t="s">
        <v>516</v>
      </c>
      <c r="J9260" t="s">
        <v>20</v>
      </c>
      <c r="L9260" t="s">
        <v>29</v>
      </c>
      <c r="M9260" t="s">
        <v>10780</v>
      </c>
      <c r="N9260" t="s">
        <v>10780</v>
      </c>
      <c r="O9260" t="s">
        <v>23</v>
      </c>
      <c r="P9260" t="s">
        <v>24</v>
      </c>
      <c r="Q9260" t="s">
        <v>2091</v>
      </c>
      <c r="R9260" t="s">
        <v>10780</v>
      </c>
    </row>
    <row r="9261" spans="1:18" x14ac:dyDescent="0.25">
      <c r="A9261" t="s">
        <v>15774</v>
      </c>
      <c r="B9261" t="s">
        <v>10832</v>
      </c>
      <c r="C9261" t="str">
        <f>HYPERLINK("https://nematode.unl.edu/pristi9.jpg")</f>
        <v>https://nematode.unl.edu/pristi9.jpg</v>
      </c>
      <c r="D9261" t="s">
        <v>43</v>
      </c>
      <c r="G9261" t="s">
        <v>34</v>
      </c>
      <c r="H9261" t="s">
        <v>18</v>
      </c>
      <c r="I9261" t="s">
        <v>529</v>
      </c>
      <c r="J9261" t="s">
        <v>20</v>
      </c>
      <c r="L9261" t="s">
        <v>29</v>
      </c>
      <c r="M9261" t="s">
        <v>10780</v>
      </c>
      <c r="N9261" t="s">
        <v>10780</v>
      </c>
      <c r="O9261" t="s">
        <v>23</v>
      </c>
      <c r="P9261" t="s">
        <v>24</v>
      </c>
      <c r="Q9261" t="s">
        <v>2091</v>
      </c>
      <c r="R9261" t="s">
        <v>10780</v>
      </c>
    </row>
    <row r="9262" spans="1:18" x14ac:dyDescent="0.25">
      <c r="A9262" t="s">
        <v>15810</v>
      </c>
      <c r="B9262" t="s">
        <v>10833</v>
      </c>
      <c r="C9262" t="str">
        <f>HYPERLINK("https://nematode.unl.edu/pristpac1.jpg")</f>
        <v>https://nematode.unl.edu/pristpac1.jpg</v>
      </c>
      <c r="D9262" t="s">
        <v>10809</v>
      </c>
      <c r="G9262" t="s">
        <v>44</v>
      </c>
      <c r="I9262" t="s">
        <v>4020</v>
      </c>
      <c r="J9262" t="s">
        <v>20</v>
      </c>
      <c r="L9262" t="s">
        <v>212</v>
      </c>
      <c r="M9262" t="s">
        <v>10834</v>
      </c>
      <c r="N9262" t="s">
        <v>10834</v>
      </c>
      <c r="O9262" t="s">
        <v>23</v>
      </c>
      <c r="P9262" t="s">
        <v>24</v>
      </c>
      <c r="Q9262" t="s">
        <v>2091</v>
      </c>
      <c r="R9262" t="s">
        <v>10780</v>
      </c>
    </row>
    <row r="9263" spans="1:18" x14ac:dyDescent="0.25">
      <c r="A9263" t="s">
        <v>15805</v>
      </c>
      <c r="B9263" t="s">
        <v>10835</v>
      </c>
      <c r="C9263" t="str">
        <f>HYPERLINK("https://nematode.unl.edu/pristpac10.jpg")</f>
        <v>https://nematode.unl.edu/pristpac10.jpg</v>
      </c>
      <c r="G9263" t="s">
        <v>34</v>
      </c>
      <c r="H9263" t="s">
        <v>18</v>
      </c>
      <c r="I9263" t="s">
        <v>41</v>
      </c>
      <c r="J9263" t="s">
        <v>20</v>
      </c>
      <c r="L9263" t="s">
        <v>212</v>
      </c>
      <c r="M9263" t="s">
        <v>10834</v>
      </c>
      <c r="N9263" t="s">
        <v>10834</v>
      </c>
      <c r="O9263" t="s">
        <v>23</v>
      </c>
      <c r="P9263" t="s">
        <v>24</v>
      </c>
      <c r="Q9263" t="s">
        <v>2091</v>
      </c>
      <c r="R9263" t="s">
        <v>10780</v>
      </c>
    </row>
    <row r="9264" spans="1:18" x14ac:dyDescent="0.25">
      <c r="A9264" t="s">
        <v>15806</v>
      </c>
      <c r="B9264" t="s">
        <v>10836</v>
      </c>
      <c r="C9264" t="str">
        <f>HYPERLINK("https://nematode.unl.edu/pristpac11.jpg")</f>
        <v>https://nematode.unl.edu/pristpac11.jpg</v>
      </c>
      <c r="G9264" t="s">
        <v>34</v>
      </c>
      <c r="H9264" t="s">
        <v>18</v>
      </c>
      <c r="J9264" t="s">
        <v>20</v>
      </c>
      <c r="L9264" t="s">
        <v>212</v>
      </c>
      <c r="M9264" t="s">
        <v>10834</v>
      </c>
      <c r="N9264" t="s">
        <v>10834</v>
      </c>
      <c r="O9264" t="s">
        <v>23</v>
      </c>
      <c r="P9264" t="s">
        <v>24</v>
      </c>
      <c r="Q9264" t="s">
        <v>2091</v>
      </c>
      <c r="R9264" t="s">
        <v>10780</v>
      </c>
    </row>
    <row r="9265" spans="1:18" x14ac:dyDescent="0.25">
      <c r="A9265" t="s">
        <v>15814</v>
      </c>
      <c r="B9265" t="s">
        <v>10837</v>
      </c>
      <c r="C9265" t="str">
        <f>HYPERLINK("https://nematode.unl.edu/pristpac12.jpg")</f>
        <v>https://nematode.unl.edu/pristpac12.jpg</v>
      </c>
      <c r="D9265" t="s">
        <v>10809</v>
      </c>
      <c r="G9265" t="s">
        <v>28</v>
      </c>
      <c r="I9265" t="s">
        <v>19</v>
      </c>
      <c r="J9265" t="s">
        <v>20</v>
      </c>
      <c r="L9265" t="s">
        <v>212</v>
      </c>
      <c r="M9265" t="s">
        <v>10834</v>
      </c>
      <c r="N9265" t="s">
        <v>10834</v>
      </c>
      <c r="O9265" t="s">
        <v>23</v>
      </c>
      <c r="P9265" t="s">
        <v>24</v>
      </c>
      <c r="Q9265" t="s">
        <v>2091</v>
      </c>
      <c r="R9265" t="s">
        <v>10780</v>
      </c>
    </row>
    <row r="9266" spans="1:18" x14ac:dyDescent="0.25">
      <c r="A9266" t="s">
        <v>15815</v>
      </c>
      <c r="B9266" t="s">
        <v>10838</v>
      </c>
      <c r="C9266" t="str">
        <f>HYPERLINK("https://nematode.unl.edu/pristpac13.jpg")</f>
        <v>https://nematode.unl.edu/pristpac13.jpg</v>
      </c>
      <c r="D9266" t="s">
        <v>10809</v>
      </c>
      <c r="G9266" t="s">
        <v>28</v>
      </c>
      <c r="I9266" t="s">
        <v>19</v>
      </c>
      <c r="J9266" t="s">
        <v>20</v>
      </c>
      <c r="L9266" t="s">
        <v>212</v>
      </c>
      <c r="M9266" t="s">
        <v>10834</v>
      </c>
      <c r="N9266" t="s">
        <v>10834</v>
      </c>
      <c r="O9266" t="s">
        <v>23</v>
      </c>
      <c r="P9266" t="s">
        <v>24</v>
      </c>
      <c r="Q9266" t="s">
        <v>2091</v>
      </c>
      <c r="R9266" t="s">
        <v>10780</v>
      </c>
    </row>
    <row r="9267" spans="1:18" x14ac:dyDescent="0.25">
      <c r="A9267" t="s">
        <v>15811</v>
      </c>
      <c r="B9267" t="s">
        <v>10839</v>
      </c>
      <c r="C9267" t="str">
        <f>HYPERLINK("https://nematode.unl.edu/pristpac15.jpg")</f>
        <v>https://nematode.unl.edu/pristpac15.jpg</v>
      </c>
      <c r="D9267" t="s">
        <v>43</v>
      </c>
      <c r="G9267" t="s">
        <v>44</v>
      </c>
      <c r="I9267" t="s">
        <v>10840</v>
      </c>
      <c r="J9267" t="s">
        <v>20</v>
      </c>
      <c r="L9267" t="s">
        <v>212</v>
      </c>
      <c r="M9267" t="s">
        <v>10834</v>
      </c>
      <c r="N9267" t="s">
        <v>10834</v>
      </c>
      <c r="O9267" t="s">
        <v>23</v>
      </c>
      <c r="P9267" t="s">
        <v>24</v>
      </c>
      <c r="Q9267" t="s">
        <v>2091</v>
      </c>
      <c r="R9267" t="s">
        <v>10780</v>
      </c>
    </row>
    <row r="9268" spans="1:18" x14ac:dyDescent="0.25">
      <c r="A9268" t="s">
        <v>15808</v>
      </c>
      <c r="B9268" t="s">
        <v>10841</v>
      </c>
      <c r="C9268" t="str">
        <f>HYPERLINK("https://nematode.unl.edu/pristpac2.jpg")</f>
        <v>https://nematode.unl.edu/pristpac2.jpg</v>
      </c>
      <c r="D9268" t="s">
        <v>10809</v>
      </c>
      <c r="G9268" t="s">
        <v>10277</v>
      </c>
      <c r="H9268" t="s">
        <v>18</v>
      </c>
      <c r="I9268" t="s">
        <v>19</v>
      </c>
      <c r="J9268" t="s">
        <v>20</v>
      </c>
      <c r="L9268" t="s">
        <v>212</v>
      </c>
      <c r="M9268" t="s">
        <v>10834</v>
      </c>
      <c r="N9268" t="s">
        <v>10834</v>
      </c>
      <c r="O9268" t="s">
        <v>23</v>
      </c>
      <c r="P9268" t="s">
        <v>24</v>
      </c>
      <c r="Q9268" t="s">
        <v>2091</v>
      </c>
      <c r="R9268" t="s">
        <v>10780</v>
      </c>
    </row>
    <row r="9269" spans="1:18" x14ac:dyDescent="0.25">
      <c r="A9269" t="s">
        <v>15816</v>
      </c>
      <c r="B9269" t="s">
        <v>10842</v>
      </c>
      <c r="C9269" t="str">
        <f>HYPERLINK("https://nematode.unl.edu/pristpac3.jpg")</f>
        <v>https://nematode.unl.edu/pristpac3.jpg</v>
      </c>
      <c r="D9269" t="s">
        <v>10809</v>
      </c>
      <c r="G9269" t="s">
        <v>28</v>
      </c>
      <c r="I9269" t="s">
        <v>19</v>
      </c>
      <c r="J9269" t="s">
        <v>20</v>
      </c>
      <c r="L9269" t="s">
        <v>212</v>
      </c>
      <c r="M9269" t="s">
        <v>10834</v>
      </c>
      <c r="N9269" t="s">
        <v>10834</v>
      </c>
      <c r="O9269" t="s">
        <v>23</v>
      </c>
      <c r="P9269" t="s">
        <v>24</v>
      </c>
      <c r="Q9269" t="s">
        <v>2091</v>
      </c>
      <c r="R9269" t="s">
        <v>10780</v>
      </c>
    </row>
    <row r="9270" spans="1:18" x14ac:dyDescent="0.25">
      <c r="A9270" t="s">
        <v>15804</v>
      </c>
      <c r="B9270" t="s">
        <v>10843</v>
      </c>
      <c r="C9270" t="str">
        <f>HYPERLINK("https://nematode.unl.edu/pristpac4.jpg")</f>
        <v>https://nematode.unl.edu/pristpac4.jpg</v>
      </c>
      <c r="G9270" t="s">
        <v>96</v>
      </c>
      <c r="H9270" t="s">
        <v>18</v>
      </c>
      <c r="I9270" t="s">
        <v>41</v>
      </c>
      <c r="J9270" t="s">
        <v>20</v>
      </c>
      <c r="L9270" t="s">
        <v>212</v>
      </c>
      <c r="M9270" t="s">
        <v>10834</v>
      </c>
      <c r="N9270" t="s">
        <v>10834</v>
      </c>
      <c r="O9270" t="s">
        <v>23</v>
      </c>
      <c r="P9270" t="s">
        <v>24</v>
      </c>
      <c r="Q9270" t="s">
        <v>2091</v>
      </c>
      <c r="R9270" t="s">
        <v>10780</v>
      </c>
    </row>
    <row r="9271" spans="1:18" x14ac:dyDescent="0.25">
      <c r="A9271" t="s">
        <v>15807</v>
      </c>
      <c r="B9271" t="s">
        <v>10844</v>
      </c>
      <c r="C9271" t="str">
        <f>HYPERLINK("https://nematode.unl.edu/pristpac5.jpg")</f>
        <v>https://nematode.unl.edu/pristpac5.jpg</v>
      </c>
      <c r="G9271" t="s">
        <v>34</v>
      </c>
      <c r="H9271" t="s">
        <v>18</v>
      </c>
      <c r="I9271" t="s">
        <v>41</v>
      </c>
      <c r="J9271" t="s">
        <v>20</v>
      </c>
      <c r="L9271" t="s">
        <v>212</v>
      </c>
      <c r="M9271" t="s">
        <v>10834</v>
      </c>
      <c r="N9271" t="s">
        <v>10834</v>
      </c>
      <c r="O9271" t="s">
        <v>23</v>
      </c>
      <c r="P9271" t="s">
        <v>24</v>
      </c>
      <c r="Q9271" t="s">
        <v>2091</v>
      </c>
      <c r="R9271" t="s">
        <v>10780</v>
      </c>
    </row>
    <row r="9272" spans="1:18" x14ac:dyDescent="0.25">
      <c r="A9272" t="s">
        <v>15812</v>
      </c>
      <c r="B9272" t="s">
        <v>10845</v>
      </c>
      <c r="C9272" t="str">
        <f>HYPERLINK("https://nematode.unl.edu/pristpac6.jpg")</f>
        <v>https://nematode.unl.edu/pristpac6.jpg</v>
      </c>
      <c r="D9272" t="s">
        <v>10809</v>
      </c>
      <c r="G9272" t="s">
        <v>6790</v>
      </c>
      <c r="I9272" t="s">
        <v>41</v>
      </c>
      <c r="J9272" t="s">
        <v>20</v>
      </c>
      <c r="L9272" t="s">
        <v>212</v>
      </c>
      <c r="M9272" t="s">
        <v>10834</v>
      </c>
      <c r="N9272" t="s">
        <v>10834</v>
      </c>
      <c r="O9272" t="s">
        <v>23</v>
      </c>
      <c r="P9272" t="s">
        <v>24</v>
      </c>
      <c r="Q9272" t="s">
        <v>2091</v>
      </c>
      <c r="R9272" t="s">
        <v>10780</v>
      </c>
    </row>
    <row r="9273" spans="1:18" x14ac:dyDescent="0.25">
      <c r="A9273" t="s">
        <v>15803</v>
      </c>
      <c r="B9273" t="s">
        <v>10846</v>
      </c>
      <c r="C9273" t="str">
        <f>HYPERLINK("https://nematode.unl.edu/pristpac7.jpg")</f>
        <v>https://nematode.unl.edu/pristpac7.jpg</v>
      </c>
      <c r="D9273" t="s">
        <v>10809</v>
      </c>
      <c r="G9273" t="s">
        <v>386</v>
      </c>
      <c r="H9273" t="s">
        <v>18</v>
      </c>
      <c r="I9273" t="s">
        <v>529</v>
      </c>
      <c r="J9273" t="s">
        <v>20</v>
      </c>
      <c r="L9273" t="s">
        <v>212</v>
      </c>
      <c r="M9273" t="s">
        <v>10834</v>
      </c>
      <c r="N9273" t="s">
        <v>10834</v>
      </c>
      <c r="O9273" t="s">
        <v>23</v>
      </c>
      <c r="P9273" t="s">
        <v>24</v>
      </c>
      <c r="Q9273" t="s">
        <v>2091</v>
      </c>
      <c r="R9273" t="s">
        <v>10780</v>
      </c>
    </row>
    <row r="9274" spans="1:18" x14ac:dyDescent="0.25">
      <c r="A9274" t="s">
        <v>15813</v>
      </c>
      <c r="B9274" t="s">
        <v>10847</v>
      </c>
      <c r="C9274" t="str">
        <f>HYPERLINK("https://nematode.unl.edu/pristpac8.jpg")</f>
        <v>https://nematode.unl.edu/pristpac8.jpg</v>
      </c>
      <c r="G9274" t="s">
        <v>1667</v>
      </c>
      <c r="I9274" t="s">
        <v>41</v>
      </c>
      <c r="J9274" t="s">
        <v>20</v>
      </c>
      <c r="L9274" t="s">
        <v>212</v>
      </c>
      <c r="M9274" t="s">
        <v>10834</v>
      </c>
      <c r="N9274" t="s">
        <v>10834</v>
      </c>
      <c r="O9274" t="s">
        <v>23</v>
      </c>
      <c r="P9274" t="s">
        <v>24</v>
      </c>
      <c r="Q9274" t="s">
        <v>2091</v>
      </c>
      <c r="R9274" t="s">
        <v>10780</v>
      </c>
    </row>
    <row r="9275" spans="1:18" x14ac:dyDescent="0.25">
      <c r="A9275" t="s">
        <v>15809</v>
      </c>
      <c r="B9275" t="s">
        <v>10848</v>
      </c>
      <c r="C9275" t="str">
        <f>HYPERLINK("https://nematode.unl.edu/pristpac9.jpg")</f>
        <v>https://nematode.unl.edu/pristpac9.jpg</v>
      </c>
      <c r="G9275" t="s">
        <v>384</v>
      </c>
      <c r="I9275" t="s">
        <v>41</v>
      </c>
      <c r="J9275" t="s">
        <v>20</v>
      </c>
      <c r="L9275" t="s">
        <v>212</v>
      </c>
      <c r="M9275" t="s">
        <v>10834</v>
      </c>
      <c r="N9275" t="s">
        <v>10834</v>
      </c>
      <c r="O9275" t="s">
        <v>23</v>
      </c>
      <c r="P9275" t="s">
        <v>24</v>
      </c>
      <c r="Q9275" t="s">
        <v>2091</v>
      </c>
      <c r="R9275" t="s">
        <v>10780</v>
      </c>
    </row>
    <row r="9276" spans="1:18" x14ac:dyDescent="0.25">
      <c r="A9276" t="s">
        <v>19991</v>
      </c>
      <c r="B9276" t="s">
        <v>10855</v>
      </c>
      <c r="C9276" t="str">
        <f>HYPERLINK("https://nematode.unl.edu/prodo1.jpg")</f>
        <v>https://nematode.unl.edu/prodo1.jpg</v>
      </c>
      <c r="D9276" t="s">
        <v>43</v>
      </c>
      <c r="G9276" t="s">
        <v>34</v>
      </c>
      <c r="H9276" t="s">
        <v>18</v>
      </c>
      <c r="J9276" t="s">
        <v>20</v>
      </c>
      <c r="M9276" t="s">
        <v>10856</v>
      </c>
      <c r="N9276" t="s">
        <v>10856</v>
      </c>
      <c r="O9276" t="s">
        <v>73</v>
      </c>
      <c r="P9276" t="s">
        <v>81</v>
      </c>
      <c r="Q9276" t="s">
        <v>489</v>
      </c>
      <c r="R9276" t="s">
        <v>10856</v>
      </c>
    </row>
    <row r="9277" spans="1:18" x14ac:dyDescent="0.25">
      <c r="A9277" t="s">
        <v>19993</v>
      </c>
      <c r="B9277" t="s">
        <v>10857</v>
      </c>
      <c r="C9277" t="str">
        <f>HYPERLINK("https://nematode.unl.edu/prodo2.jpg")</f>
        <v>https://nematode.unl.edu/prodo2.jpg</v>
      </c>
      <c r="D9277" t="s">
        <v>43</v>
      </c>
      <c r="G9277" t="s">
        <v>51</v>
      </c>
      <c r="I9277" t="s">
        <v>19</v>
      </c>
      <c r="M9277" t="s">
        <v>10856</v>
      </c>
      <c r="N9277" t="s">
        <v>10856</v>
      </c>
      <c r="O9277" t="s">
        <v>73</v>
      </c>
      <c r="P9277" t="s">
        <v>81</v>
      </c>
      <c r="Q9277" t="s">
        <v>489</v>
      </c>
      <c r="R9277" t="s">
        <v>10856</v>
      </c>
    </row>
    <row r="9278" spans="1:18" x14ac:dyDescent="0.25">
      <c r="A9278" t="s">
        <v>19992</v>
      </c>
      <c r="B9278" t="s">
        <v>10858</v>
      </c>
      <c r="C9278" t="str">
        <f>HYPERLINK("https://nematode.unl.edu/prodo3.jpg")</f>
        <v>https://nematode.unl.edu/prodo3.jpg</v>
      </c>
      <c r="D9278" t="s">
        <v>43</v>
      </c>
      <c r="G9278" t="s">
        <v>28</v>
      </c>
      <c r="M9278" t="s">
        <v>10856</v>
      </c>
      <c r="N9278" t="s">
        <v>10856</v>
      </c>
      <c r="O9278" t="s">
        <v>73</v>
      </c>
      <c r="P9278" t="s">
        <v>81</v>
      </c>
      <c r="Q9278" t="s">
        <v>489</v>
      </c>
      <c r="R9278" t="s">
        <v>10856</v>
      </c>
    </row>
    <row r="9279" spans="1:18" x14ac:dyDescent="0.25">
      <c r="A9279" t="s">
        <v>17561</v>
      </c>
      <c r="B9279" t="s">
        <v>10849</v>
      </c>
      <c r="C9279" t="str">
        <f>HYPERLINK("https://nematode.unl.edu/prodons1.jpg")</f>
        <v>https://nematode.unl.edu/prodons1.jpg</v>
      </c>
      <c r="D9279" t="s">
        <v>16</v>
      </c>
      <c r="G9279" t="s">
        <v>34</v>
      </c>
      <c r="H9279" t="s">
        <v>18</v>
      </c>
      <c r="I9279" t="s">
        <v>41</v>
      </c>
      <c r="J9279" t="s">
        <v>20</v>
      </c>
      <c r="M9279" t="s">
        <v>10850</v>
      </c>
      <c r="N9279" t="s">
        <v>10850</v>
      </c>
      <c r="O9279" t="s">
        <v>23</v>
      </c>
      <c r="P9279" t="s">
        <v>24</v>
      </c>
      <c r="Q9279" t="s">
        <v>1637</v>
      </c>
      <c r="R9279" t="s">
        <v>10850</v>
      </c>
    </row>
    <row r="9280" spans="1:18" x14ac:dyDescent="0.25">
      <c r="A9280" t="s">
        <v>17560</v>
      </c>
      <c r="B9280" t="s">
        <v>10851</v>
      </c>
      <c r="C9280" t="str">
        <f>HYPERLINK("https://nematode.unl.edu/prohab1.jpg")</f>
        <v>https://nematode.unl.edu/prohab1.jpg</v>
      </c>
      <c r="G9280" t="s">
        <v>96</v>
      </c>
      <c r="H9280" t="s">
        <v>18</v>
      </c>
      <c r="I9280" t="s">
        <v>19</v>
      </c>
      <c r="M9280" t="s">
        <v>10850</v>
      </c>
      <c r="N9280" t="s">
        <v>10850</v>
      </c>
      <c r="O9280" t="s">
        <v>23</v>
      </c>
      <c r="P9280" t="s">
        <v>24</v>
      </c>
      <c r="Q9280" t="s">
        <v>1637</v>
      </c>
      <c r="R9280" t="s">
        <v>10850</v>
      </c>
    </row>
    <row r="9281" spans="1:18" x14ac:dyDescent="0.25">
      <c r="A9281" t="s">
        <v>17562</v>
      </c>
      <c r="B9281" t="s">
        <v>10852</v>
      </c>
      <c r="C9281" t="str">
        <f>HYPERLINK("https://nematode.unl.edu/protis1.jpg")</f>
        <v>https://nematode.unl.edu/protis1.jpg</v>
      </c>
      <c r="D9281" t="s">
        <v>16</v>
      </c>
      <c r="G9281" t="s">
        <v>34</v>
      </c>
      <c r="H9281" t="s">
        <v>18</v>
      </c>
      <c r="I9281" t="s">
        <v>41</v>
      </c>
      <c r="M9281" t="s">
        <v>10850</v>
      </c>
      <c r="N9281" t="s">
        <v>10850</v>
      </c>
      <c r="O9281" t="s">
        <v>23</v>
      </c>
      <c r="P9281" t="s">
        <v>24</v>
      </c>
      <c r="Q9281" t="s">
        <v>1637</v>
      </c>
      <c r="R9281" t="s">
        <v>10850</v>
      </c>
    </row>
    <row r="9282" spans="1:18" x14ac:dyDescent="0.25">
      <c r="A9282" t="s">
        <v>17563</v>
      </c>
      <c r="B9282" t="s">
        <v>10853</v>
      </c>
      <c r="C9282" t="str">
        <f>HYPERLINK("https://nematode.unl.edu/protis2.jpg")</f>
        <v>https://nematode.unl.edu/protis2.jpg</v>
      </c>
      <c r="D9282" t="s">
        <v>16</v>
      </c>
      <c r="G9282" t="s">
        <v>384</v>
      </c>
      <c r="J9282" t="s">
        <v>116</v>
      </c>
      <c r="L9282" t="s">
        <v>85</v>
      </c>
      <c r="M9282" t="s">
        <v>10850</v>
      </c>
      <c r="N9282" t="s">
        <v>10850</v>
      </c>
      <c r="O9282" t="s">
        <v>23</v>
      </c>
      <c r="P9282" t="s">
        <v>24</v>
      </c>
      <c r="Q9282" t="s">
        <v>1637</v>
      </c>
      <c r="R9282" t="s">
        <v>10850</v>
      </c>
    </row>
    <row r="9283" spans="1:18" x14ac:dyDescent="0.25">
      <c r="A9283" t="s">
        <v>17564</v>
      </c>
      <c r="B9283" t="s">
        <v>10854</v>
      </c>
      <c r="C9283" t="str">
        <f>HYPERLINK("https://nematode.unl.edu/protors1.jpg")</f>
        <v>https://nematode.unl.edu/protors1.jpg</v>
      </c>
      <c r="D9283" t="s">
        <v>16</v>
      </c>
      <c r="G9283" t="s">
        <v>44</v>
      </c>
      <c r="I9283" t="s">
        <v>91</v>
      </c>
      <c r="J9283" t="s">
        <v>20</v>
      </c>
      <c r="L9283" t="s">
        <v>85</v>
      </c>
      <c r="M9283" t="s">
        <v>10850</v>
      </c>
      <c r="N9283" t="s">
        <v>10850</v>
      </c>
      <c r="O9283" t="s">
        <v>23</v>
      </c>
      <c r="P9283" t="s">
        <v>24</v>
      </c>
      <c r="Q9283" t="s">
        <v>1637</v>
      </c>
      <c r="R9283" t="s">
        <v>10850</v>
      </c>
    </row>
    <row r="9284" spans="1:18" x14ac:dyDescent="0.25">
      <c r="A9284" t="s">
        <v>17565</v>
      </c>
      <c r="B9284" t="s">
        <v>10859</v>
      </c>
      <c r="C9284" t="str">
        <f>HYPERLINK("https://nematode.unl.edu/protors2.jpg")</f>
        <v>https://nematode.unl.edu/protors2.jpg</v>
      </c>
      <c r="D9284" t="s">
        <v>16</v>
      </c>
      <c r="G9284" t="s">
        <v>34</v>
      </c>
      <c r="H9284" t="s">
        <v>18</v>
      </c>
      <c r="J9284" t="s">
        <v>20</v>
      </c>
      <c r="L9284" t="s">
        <v>85</v>
      </c>
      <c r="M9284" t="s">
        <v>10860</v>
      </c>
      <c r="N9284" t="s">
        <v>10860</v>
      </c>
      <c r="O9284" t="s">
        <v>23</v>
      </c>
      <c r="P9284" t="s">
        <v>24</v>
      </c>
      <c r="Q9284" t="s">
        <v>1637</v>
      </c>
      <c r="R9284" t="s">
        <v>10860</v>
      </c>
    </row>
    <row r="9285" spans="1:18" x14ac:dyDescent="0.25">
      <c r="A9285" t="s">
        <v>17571</v>
      </c>
      <c r="B9285" t="s">
        <v>10861</v>
      </c>
      <c r="C9285" t="str">
        <f>HYPERLINK("https://nematode.unl.edu/protors3.jpg")</f>
        <v>https://nematode.unl.edu/protors3.jpg</v>
      </c>
      <c r="D9285" t="s">
        <v>16</v>
      </c>
      <c r="G9285" t="s">
        <v>28</v>
      </c>
      <c r="I9285" t="s">
        <v>19</v>
      </c>
      <c r="J9285" t="s">
        <v>20</v>
      </c>
      <c r="L9285" t="s">
        <v>85</v>
      </c>
      <c r="M9285" t="s">
        <v>10860</v>
      </c>
      <c r="N9285" t="s">
        <v>10860</v>
      </c>
      <c r="O9285" t="s">
        <v>23</v>
      </c>
      <c r="P9285" t="s">
        <v>24</v>
      </c>
      <c r="Q9285" t="s">
        <v>1637</v>
      </c>
      <c r="R9285" t="s">
        <v>10860</v>
      </c>
    </row>
    <row r="9286" spans="1:18" x14ac:dyDescent="0.25">
      <c r="A9286" t="s">
        <v>17566</v>
      </c>
      <c r="B9286" t="s">
        <v>10862</v>
      </c>
      <c r="C9286" t="str">
        <f>HYPERLINK("https://nematode.unl.edu/protors4.jpg")</f>
        <v>https://nematode.unl.edu/protors4.jpg</v>
      </c>
      <c r="D9286" t="s">
        <v>16</v>
      </c>
      <c r="G9286" t="s">
        <v>34</v>
      </c>
      <c r="H9286" t="s">
        <v>18</v>
      </c>
      <c r="J9286" t="s">
        <v>20</v>
      </c>
      <c r="L9286" t="s">
        <v>85</v>
      </c>
      <c r="M9286" t="s">
        <v>10860</v>
      </c>
      <c r="N9286" t="s">
        <v>10860</v>
      </c>
      <c r="O9286" t="s">
        <v>23</v>
      </c>
      <c r="P9286" t="s">
        <v>24</v>
      </c>
      <c r="Q9286" t="s">
        <v>1637</v>
      </c>
      <c r="R9286" t="s">
        <v>10860</v>
      </c>
    </row>
    <row r="9287" spans="1:18" x14ac:dyDescent="0.25">
      <c r="A9287" t="s">
        <v>17569</v>
      </c>
      <c r="B9287" t="s">
        <v>10863</v>
      </c>
      <c r="C9287" t="str">
        <f>HYPERLINK("https://nematode.unl.edu/protors5.jpg")</f>
        <v>https://nematode.unl.edu/protors5.jpg</v>
      </c>
      <c r="D9287" t="s">
        <v>16</v>
      </c>
      <c r="G9287" t="s">
        <v>384</v>
      </c>
      <c r="I9287" t="s">
        <v>41</v>
      </c>
      <c r="J9287" t="s">
        <v>20</v>
      </c>
      <c r="L9287" t="s">
        <v>85</v>
      </c>
      <c r="M9287" t="s">
        <v>10860</v>
      </c>
      <c r="N9287" t="s">
        <v>10860</v>
      </c>
      <c r="O9287" t="s">
        <v>23</v>
      </c>
      <c r="P9287" t="s">
        <v>24</v>
      </c>
      <c r="Q9287" t="s">
        <v>1637</v>
      </c>
      <c r="R9287" t="s">
        <v>10860</v>
      </c>
    </row>
    <row r="9288" spans="1:18" x14ac:dyDescent="0.25">
      <c r="A9288" t="s">
        <v>17570</v>
      </c>
      <c r="B9288" t="s">
        <v>10864</v>
      </c>
      <c r="C9288" t="str">
        <f>HYPERLINK("https://nematode.unl.edu/protors6.jpg")</f>
        <v>https://nematode.unl.edu/protors6.jpg</v>
      </c>
      <c r="D9288" t="s">
        <v>16</v>
      </c>
      <c r="G9288" t="s">
        <v>87</v>
      </c>
      <c r="I9288" t="s">
        <v>19</v>
      </c>
      <c r="J9288" t="s">
        <v>20</v>
      </c>
      <c r="L9288" t="s">
        <v>85</v>
      </c>
      <c r="M9288" t="s">
        <v>10860</v>
      </c>
      <c r="N9288" t="s">
        <v>10860</v>
      </c>
      <c r="O9288" t="s">
        <v>23</v>
      </c>
      <c r="P9288" t="s">
        <v>24</v>
      </c>
      <c r="Q9288" t="s">
        <v>1637</v>
      </c>
      <c r="R9288" t="s">
        <v>10860</v>
      </c>
    </row>
    <row r="9289" spans="1:18" x14ac:dyDescent="0.25">
      <c r="A9289" t="s">
        <v>17567</v>
      </c>
      <c r="B9289" t="s">
        <v>10865</v>
      </c>
      <c r="C9289" t="str">
        <f>HYPERLINK("https://nematode.unl.edu/protors7.jpg")</f>
        <v>https://nematode.unl.edu/protors7.jpg</v>
      </c>
      <c r="D9289" t="s">
        <v>16</v>
      </c>
      <c r="G9289" t="s">
        <v>34</v>
      </c>
      <c r="H9289" t="s">
        <v>18</v>
      </c>
      <c r="J9289" t="s">
        <v>20</v>
      </c>
      <c r="L9289" t="s">
        <v>85</v>
      </c>
      <c r="M9289" t="s">
        <v>10860</v>
      </c>
      <c r="N9289" t="s">
        <v>10860</v>
      </c>
      <c r="O9289" t="s">
        <v>23</v>
      </c>
      <c r="P9289" t="s">
        <v>24</v>
      </c>
      <c r="Q9289" t="s">
        <v>1637</v>
      </c>
      <c r="R9289" t="s">
        <v>10860</v>
      </c>
    </row>
    <row r="9290" spans="1:18" x14ac:dyDescent="0.25">
      <c r="A9290" t="s">
        <v>17568</v>
      </c>
      <c r="B9290" t="s">
        <v>10866</v>
      </c>
      <c r="C9290" t="str">
        <f>HYPERLINK("https://nematode.unl.edu/protors8.jpg")</f>
        <v>https://nematode.unl.edu/protors8.jpg</v>
      </c>
      <c r="D9290" t="s">
        <v>16</v>
      </c>
      <c r="G9290" t="s">
        <v>34</v>
      </c>
      <c r="H9290" t="s">
        <v>18</v>
      </c>
      <c r="J9290" t="s">
        <v>20</v>
      </c>
      <c r="L9290" t="s">
        <v>141</v>
      </c>
      <c r="M9290" t="s">
        <v>10860</v>
      </c>
      <c r="N9290" t="s">
        <v>10860</v>
      </c>
      <c r="O9290" t="s">
        <v>23</v>
      </c>
      <c r="P9290" t="s">
        <v>24</v>
      </c>
      <c r="Q9290" t="s">
        <v>1637</v>
      </c>
      <c r="R9290" t="s">
        <v>10860</v>
      </c>
    </row>
    <row r="9291" spans="1:18" x14ac:dyDescent="0.25">
      <c r="A9291" t="s">
        <v>17025</v>
      </c>
      <c r="B9291" t="s">
        <v>10167</v>
      </c>
      <c r="C9291" t="str">
        <f>HYPERLINK("https://nematode.unl.edu/pscri1.jpg")</f>
        <v>https://nematode.unl.edu/pscri1.jpg</v>
      </c>
      <c r="D9291" t="s">
        <v>43</v>
      </c>
      <c r="G9291" t="s">
        <v>28</v>
      </c>
      <c r="J9291" t="s">
        <v>20</v>
      </c>
      <c r="L9291" t="s">
        <v>456</v>
      </c>
      <c r="M9291" t="s">
        <v>10109</v>
      </c>
      <c r="N9291" t="s">
        <v>10109</v>
      </c>
      <c r="O9291" t="s">
        <v>23</v>
      </c>
      <c r="P9291" t="s">
        <v>24</v>
      </c>
      <c r="Q9291" t="s">
        <v>6484</v>
      </c>
      <c r="R9291" t="s">
        <v>10109</v>
      </c>
    </row>
    <row r="9292" spans="1:18" x14ac:dyDescent="0.25">
      <c r="A9292" t="s">
        <v>16994</v>
      </c>
      <c r="B9292" t="s">
        <v>10168</v>
      </c>
      <c r="C9292" t="str">
        <f>HYPERLINK("https://nematode.unl.edu/pscri10.jpg")</f>
        <v>https://nematode.unl.edu/pscri10.jpg</v>
      </c>
      <c r="D9292" t="s">
        <v>43</v>
      </c>
      <c r="G9292" t="s">
        <v>44</v>
      </c>
      <c r="I9292" t="s">
        <v>45</v>
      </c>
      <c r="J9292" t="s">
        <v>20</v>
      </c>
      <c r="L9292" t="s">
        <v>456</v>
      </c>
      <c r="M9292" t="s">
        <v>10109</v>
      </c>
      <c r="N9292" t="s">
        <v>10109</v>
      </c>
      <c r="O9292" t="s">
        <v>23</v>
      </c>
      <c r="P9292" t="s">
        <v>24</v>
      </c>
      <c r="Q9292" t="s">
        <v>6484</v>
      </c>
      <c r="R9292" t="s">
        <v>10109</v>
      </c>
    </row>
    <row r="9293" spans="1:18" x14ac:dyDescent="0.25">
      <c r="A9293" t="s">
        <v>16975</v>
      </c>
      <c r="B9293" t="s">
        <v>10169</v>
      </c>
      <c r="C9293" t="str">
        <f>HYPERLINK("https://nematode.unl.edu/pscri11.jpg")</f>
        <v>https://nematode.unl.edu/pscri11.jpg</v>
      </c>
      <c r="G9293" t="s">
        <v>34</v>
      </c>
      <c r="H9293" t="s">
        <v>18</v>
      </c>
      <c r="J9293" t="s">
        <v>20</v>
      </c>
      <c r="L9293" t="s">
        <v>456</v>
      </c>
      <c r="M9293" t="s">
        <v>10109</v>
      </c>
      <c r="N9293" t="s">
        <v>10109</v>
      </c>
      <c r="O9293" t="s">
        <v>23</v>
      </c>
      <c r="P9293" t="s">
        <v>24</v>
      </c>
      <c r="Q9293" t="s">
        <v>6484</v>
      </c>
      <c r="R9293" t="s">
        <v>10109</v>
      </c>
    </row>
    <row r="9294" spans="1:18" x14ac:dyDescent="0.25">
      <c r="A9294" t="s">
        <v>16976</v>
      </c>
      <c r="B9294" t="s">
        <v>10170</v>
      </c>
      <c r="C9294" t="str">
        <f>HYPERLINK("https://nematode.unl.edu/pscri12.jpg")</f>
        <v>https://nematode.unl.edu/pscri12.jpg</v>
      </c>
      <c r="D9294" t="s">
        <v>43</v>
      </c>
      <c r="G9294" t="s">
        <v>34</v>
      </c>
      <c r="H9294" t="s">
        <v>18</v>
      </c>
      <c r="J9294" t="s">
        <v>20</v>
      </c>
      <c r="L9294" t="s">
        <v>456</v>
      </c>
      <c r="M9294" t="s">
        <v>10109</v>
      </c>
      <c r="N9294" t="s">
        <v>10109</v>
      </c>
      <c r="O9294" t="s">
        <v>23</v>
      </c>
      <c r="P9294" t="s">
        <v>24</v>
      </c>
      <c r="Q9294" t="s">
        <v>6484</v>
      </c>
      <c r="R9294" t="s">
        <v>10109</v>
      </c>
    </row>
    <row r="9295" spans="1:18" x14ac:dyDescent="0.25">
      <c r="A9295" t="s">
        <v>16983</v>
      </c>
      <c r="B9295" t="s">
        <v>10171</v>
      </c>
      <c r="C9295" t="str">
        <f>HYPERLINK("https://nematode.unl.edu/pscri13.jpg")</f>
        <v>https://nematode.unl.edu/pscri13.jpg</v>
      </c>
      <c r="D9295" t="s">
        <v>43</v>
      </c>
      <c r="G9295" t="s">
        <v>259</v>
      </c>
      <c r="H9295" t="s">
        <v>18</v>
      </c>
      <c r="I9295" t="s">
        <v>41</v>
      </c>
      <c r="J9295" t="s">
        <v>20</v>
      </c>
      <c r="L9295" t="s">
        <v>456</v>
      </c>
      <c r="M9295" t="s">
        <v>10109</v>
      </c>
      <c r="N9295" t="s">
        <v>10109</v>
      </c>
      <c r="O9295" t="s">
        <v>23</v>
      </c>
      <c r="P9295" t="s">
        <v>24</v>
      </c>
      <c r="Q9295" t="s">
        <v>6484</v>
      </c>
      <c r="R9295" t="s">
        <v>10109</v>
      </c>
    </row>
    <row r="9296" spans="1:18" x14ac:dyDescent="0.25">
      <c r="A9296" t="s">
        <v>17001</v>
      </c>
      <c r="B9296" t="s">
        <v>10172</v>
      </c>
      <c r="C9296" t="str">
        <f>HYPERLINK("https://nematode.unl.edu/pscri14.jpg")</f>
        <v>https://nematode.unl.edu/pscri14.jpg</v>
      </c>
      <c r="D9296" t="s">
        <v>43</v>
      </c>
      <c r="G9296" t="s">
        <v>53</v>
      </c>
      <c r="I9296" t="s">
        <v>41</v>
      </c>
      <c r="J9296" t="s">
        <v>20</v>
      </c>
      <c r="L9296" t="s">
        <v>456</v>
      </c>
      <c r="M9296" t="s">
        <v>10109</v>
      </c>
      <c r="N9296" t="s">
        <v>10109</v>
      </c>
      <c r="O9296" t="s">
        <v>23</v>
      </c>
      <c r="P9296" t="s">
        <v>24</v>
      </c>
      <c r="Q9296" t="s">
        <v>6484</v>
      </c>
      <c r="R9296" t="s">
        <v>10109</v>
      </c>
    </row>
    <row r="9297" spans="1:18" x14ac:dyDescent="0.25">
      <c r="A9297" t="s">
        <v>17026</v>
      </c>
      <c r="B9297" t="s">
        <v>10173</v>
      </c>
      <c r="C9297" t="str">
        <f>HYPERLINK("https://nematode.unl.edu/pscri15.jpg")</f>
        <v>https://nematode.unl.edu/pscri15.jpg</v>
      </c>
      <c r="G9297" t="s">
        <v>28</v>
      </c>
      <c r="J9297" t="s">
        <v>20</v>
      </c>
      <c r="L9297" t="s">
        <v>456</v>
      </c>
      <c r="M9297" t="s">
        <v>10109</v>
      </c>
      <c r="N9297" t="s">
        <v>10109</v>
      </c>
      <c r="O9297" t="s">
        <v>23</v>
      </c>
      <c r="P9297" t="s">
        <v>24</v>
      </c>
      <c r="Q9297" t="s">
        <v>6484</v>
      </c>
      <c r="R9297" t="s">
        <v>10109</v>
      </c>
    </row>
    <row r="9298" spans="1:18" x14ac:dyDescent="0.25">
      <c r="A9298" t="s">
        <v>16977</v>
      </c>
      <c r="B9298" t="s">
        <v>10174</v>
      </c>
      <c r="C9298" t="str">
        <f>HYPERLINK("https://nematode.unl.edu/pscri16.jpg")</f>
        <v>https://nematode.unl.edu/pscri16.jpg</v>
      </c>
      <c r="D9298" t="s">
        <v>16</v>
      </c>
      <c r="G9298" t="s">
        <v>34</v>
      </c>
      <c r="H9298" t="s">
        <v>18</v>
      </c>
      <c r="J9298" t="s">
        <v>20</v>
      </c>
      <c r="L9298" t="s">
        <v>456</v>
      </c>
      <c r="M9298" t="s">
        <v>10109</v>
      </c>
      <c r="N9298" t="s">
        <v>10109</v>
      </c>
      <c r="O9298" t="s">
        <v>23</v>
      </c>
      <c r="P9298" t="s">
        <v>24</v>
      </c>
      <c r="Q9298" t="s">
        <v>6484</v>
      </c>
      <c r="R9298" t="s">
        <v>10109</v>
      </c>
    </row>
    <row r="9299" spans="1:18" x14ac:dyDescent="0.25">
      <c r="A9299" t="s">
        <v>17027</v>
      </c>
      <c r="B9299" t="s">
        <v>10175</v>
      </c>
      <c r="C9299" t="str">
        <f>HYPERLINK("https://nematode.unl.edu/pscri17.jpg")</f>
        <v>https://nematode.unl.edu/pscri17.jpg</v>
      </c>
      <c r="D9299" t="s">
        <v>16</v>
      </c>
      <c r="G9299" t="s">
        <v>28</v>
      </c>
      <c r="I9299" t="s">
        <v>516</v>
      </c>
      <c r="J9299" t="s">
        <v>20</v>
      </c>
      <c r="L9299" t="s">
        <v>456</v>
      </c>
      <c r="M9299" t="s">
        <v>10109</v>
      </c>
      <c r="N9299" t="s">
        <v>10109</v>
      </c>
      <c r="O9299" t="s">
        <v>23</v>
      </c>
      <c r="P9299" t="s">
        <v>24</v>
      </c>
      <c r="Q9299" t="s">
        <v>6484</v>
      </c>
      <c r="R9299" t="s">
        <v>10109</v>
      </c>
    </row>
    <row r="9300" spans="1:18" x14ac:dyDescent="0.25">
      <c r="A9300" t="s">
        <v>16995</v>
      </c>
      <c r="B9300" t="s">
        <v>10176</v>
      </c>
      <c r="C9300" t="str">
        <f>HYPERLINK("https://nematode.unl.edu/pscri18.jpg")</f>
        <v>https://nematode.unl.edu/pscri18.jpg</v>
      </c>
      <c r="D9300" t="s">
        <v>43</v>
      </c>
      <c r="G9300" t="s">
        <v>44</v>
      </c>
      <c r="I9300" t="s">
        <v>45</v>
      </c>
      <c r="J9300" t="s">
        <v>20</v>
      </c>
      <c r="L9300" t="s">
        <v>456</v>
      </c>
      <c r="M9300" t="s">
        <v>10109</v>
      </c>
      <c r="N9300" t="s">
        <v>10109</v>
      </c>
      <c r="O9300" t="s">
        <v>23</v>
      </c>
      <c r="P9300" t="s">
        <v>24</v>
      </c>
      <c r="Q9300" t="s">
        <v>6484</v>
      </c>
      <c r="R9300" t="s">
        <v>10109</v>
      </c>
    </row>
    <row r="9301" spans="1:18" x14ac:dyDescent="0.25">
      <c r="A9301" t="s">
        <v>16978</v>
      </c>
      <c r="B9301" t="s">
        <v>10177</v>
      </c>
      <c r="C9301" t="str">
        <f>HYPERLINK("https://nematode.unl.edu/pscri19.jpg")</f>
        <v>https://nematode.unl.edu/pscri19.jpg</v>
      </c>
      <c r="D9301" t="s">
        <v>43</v>
      </c>
      <c r="G9301" t="s">
        <v>34</v>
      </c>
      <c r="H9301" t="s">
        <v>18</v>
      </c>
      <c r="J9301" t="s">
        <v>20</v>
      </c>
      <c r="L9301" t="s">
        <v>456</v>
      </c>
      <c r="M9301" t="s">
        <v>10109</v>
      </c>
      <c r="N9301" t="s">
        <v>10109</v>
      </c>
      <c r="O9301" t="s">
        <v>23</v>
      </c>
      <c r="P9301" t="s">
        <v>24</v>
      </c>
      <c r="Q9301" t="s">
        <v>6484</v>
      </c>
      <c r="R9301" t="s">
        <v>10109</v>
      </c>
    </row>
    <row r="9302" spans="1:18" x14ac:dyDescent="0.25">
      <c r="A9302" t="s">
        <v>17032</v>
      </c>
      <c r="B9302" t="s">
        <v>10178</v>
      </c>
      <c r="C9302" t="str">
        <f>HYPERLINK("https://nematode.unl.edu/pscri2.jpg")</f>
        <v>https://nematode.unl.edu/pscri2.jpg</v>
      </c>
      <c r="D9302" t="s">
        <v>43</v>
      </c>
      <c r="G9302" t="s">
        <v>51</v>
      </c>
      <c r="I9302" t="s">
        <v>19</v>
      </c>
      <c r="J9302" t="s">
        <v>20</v>
      </c>
      <c r="L9302" t="s">
        <v>456</v>
      </c>
      <c r="M9302" t="s">
        <v>10109</v>
      </c>
      <c r="N9302" t="s">
        <v>10109</v>
      </c>
      <c r="O9302" t="s">
        <v>23</v>
      </c>
      <c r="P9302" t="s">
        <v>24</v>
      </c>
      <c r="Q9302" t="s">
        <v>6484</v>
      </c>
      <c r="R9302" t="s">
        <v>10109</v>
      </c>
    </row>
    <row r="9303" spans="1:18" x14ac:dyDescent="0.25">
      <c r="A9303" t="s">
        <v>17033</v>
      </c>
      <c r="B9303" t="s">
        <v>10179</v>
      </c>
      <c r="C9303" t="str">
        <f>HYPERLINK("https://nematode.unl.edu/pscri20.jpg")</f>
        <v>https://nematode.unl.edu/pscri20.jpg</v>
      </c>
      <c r="D9303" t="s">
        <v>43</v>
      </c>
      <c r="G9303" t="s">
        <v>51</v>
      </c>
      <c r="J9303" t="s">
        <v>20</v>
      </c>
      <c r="L9303" t="s">
        <v>456</v>
      </c>
      <c r="M9303" t="s">
        <v>10109</v>
      </c>
      <c r="N9303" t="s">
        <v>10109</v>
      </c>
      <c r="O9303" t="s">
        <v>23</v>
      </c>
      <c r="P9303" t="s">
        <v>24</v>
      </c>
      <c r="Q9303" t="s">
        <v>6484</v>
      </c>
      <c r="R9303" t="s">
        <v>10109</v>
      </c>
    </row>
    <row r="9304" spans="1:18" x14ac:dyDescent="0.25">
      <c r="A9304" t="s">
        <v>16979</v>
      </c>
      <c r="B9304" t="s">
        <v>10180</v>
      </c>
      <c r="C9304" t="str">
        <f>HYPERLINK("https://nematode.unl.edu/pscri21.jpg")</f>
        <v>https://nematode.unl.edu/pscri21.jpg</v>
      </c>
      <c r="D9304" t="s">
        <v>43</v>
      </c>
      <c r="G9304" t="s">
        <v>34</v>
      </c>
      <c r="H9304" t="s">
        <v>18</v>
      </c>
      <c r="I9304" t="s">
        <v>41</v>
      </c>
      <c r="J9304" t="s">
        <v>20</v>
      </c>
      <c r="L9304" t="s">
        <v>456</v>
      </c>
      <c r="M9304" t="s">
        <v>10109</v>
      </c>
      <c r="N9304" t="s">
        <v>10109</v>
      </c>
      <c r="O9304" t="s">
        <v>23</v>
      </c>
      <c r="P9304" t="s">
        <v>24</v>
      </c>
      <c r="Q9304" t="s">
        <v>6484</v>
      </c>
      <c r="R9304" t="s">
        <v>10109</v>
      </c>
    </row>
    <row r="9305" spans="1:18" x14ac:dyDescent="0.25">
      <c r="A9305" t="s">
        <v>17028</v>
      </c>
      <c r="B9305" t="s">
        <v>10181</v>
      </c>
      <c r="C9305" t="str">
        <f>HYPERLINK("https://nematode.unl.edu/pscri22.jpg")</f>
        <v>https://nematode.unl.edu/pscri22.jpg</v>
      </c>
      <c r="D9305" t="s">
        <v>43</v>
      </c>
      <c r="G9305" t="s">
        <v>28</v>
      </c>
      <c r="I9305" t="s">
        <v>41</v>
      </c>
      <c r="J9305" t="s">
        <v>20</v>
      </c>
      <c r="L9305" t="s">
        <v>456</v>
      </c>
      <c r="M9305" t="s">
        <v>10109</v>
      </c>
      <c r="N9305" t="s">
        <v>10109</v>
      </c>
      <c r="O9305" t="s">
        <v>23</v>
      </c>
      <c r="P9305" t="s">
        <v>24</v>
      </c>
      <c r="Q9305" t="s">
        <v>6484</v>
      </c>
      <c r="R9305" t="s">
        <v>10109</v>
      </c>
    </row>
    <row r="9306" spans="1:18" x14ac:dyDescent="0.25">
      <c r="A9306" t="s">
        <v>17008</v>
      </c>
      <c r="B9306" t="s">
        <v>10182</v>
      </c>
      <c r="C9306" t="str">
        <f>HYPERLINK("https://nematode.unl.edu/pscri23.jpg")</f>
        <v>https://nematode.unl.edu/pscri23.jpg</v>
      </c>
      <c r="G9306" t="s">
        <v>1404</v>
      </c>
      <c r="I9306" t="s">
        <v>41</v>
      </c>
      <c r="J9306" t="s">
        <v>20</v>
      </c>
      <c r="L9306" t="s">
        <v>456</v>
      </c>
      <c r="M9306" t="s">
        <v>10109</v>
      </c>
      <c r="N9306" t="s">
        <v>10109</v>
      </c>
      <c r="O9306" t="s">
        <v>23</v>
      </c>
      <c r="P9306" t="s">
        <v>24</v>
      </c>
      <c r="Q9306" t="s">
        <v>6484</v>
      </c>
      <c r="R9306" t="s">
        <v>10109</v>
      </c>
    </row>
    <row r="9307" spans="1:18" x14ac:dyDescent="0.25">
      <c r="A9307" t="s">
        <v>17002</v>
      </c>
      <c r="B9307" t="s">
        <v>10183</v>
      </c>
      <c r="C9307" t="str">
        <f>HYPERLINK("https://nematode.unl.edu/pscri24.jpg")</f>
        <v>https://nematode.unl.edu/pscri24.jpg</v>
      </c>
      <c r="D9307" t="s">
        <v>43</v>
      </c>
      <c r="G9307" t="s">
        <v>53</v>
      </c>
      <c r="I9307" t="s">
        <v>41</v>
      </c>
      <c r="J9307" t="s">
        <v>20</v>
      </c>
      <c r="L9307" t="s">
        <v>206</v>
      </c>
      <c r="M9307" t="s">
        <v>10109</v>
      </c>
      <c r="N9307" t="s">
        <v>10109</v>
      </c>
      <c r="O9307" t="s">
        <v>23</v>
      </c>
      <c r="P9307" t="s">
        <v>24</v>
      </c>
      <c r="Q9307" t="s">
        <v>6484</v>
      </c>
      <c r="R9307" t="s">
        <v>10109</v>
      </c>
    </row>
    <row r="9308" spans="1:18" x14ac:dyDescent="0.25">
      <c r="A9308" t="s">
        <v>17003</v>
      </c>
      <c r="B9308" t="s">
        <v>10184</v>
      </c>
      <c r="C9308" t="str">
        <f>HYPERLINK("https://nematode.unl.edu/pscri25.jpg")</f>
        <v>https://nematode.unl.edu/pscri25.jpg</v>
      </c>
      <c r="D9308" t="s">
        <v>43</v>
      </c>
      <c r="G9308" t="s">
        <v>53</v>
      </c>
      <c r="I9308" t="s">
        <v>41</v>
      </c>
      <c r="J9308" t="s">
        <v>20</v>
      </c>
      <c r="L9308" t="s">
        <v>456</v>
      </c>
      <c r="M9308" t="s">
        <v>10109</v>
      </c>
      <c r="N9308" t="s">
        <v>10109</v>
      </c>
      <c r="O9308" t="s">
        <v>23</v>
      </c>
      <c r="P9308" t="s">
        <v>24</v>
      </c>
      <c r="Q9308" t="s">
        <v>6484</v>
      </c>
      <c r="R9308" t="s">
        <v>10109</v>
      </c>
    </row>
    <row r="9309" spans="1:18" x14ac:dyDescent="0.25">
      <c r="A9309" t="s">
        <v>16980</v>
      </c>
      <c r="B9309" t="s">
        <v>10185</v>
      </c>
      <c r="C9309" t="str">
        <f>HYPERLINK("https://nematode.unl.edu/pscri3.jpg")</f>
        <v>https://nematode.unl.edu/pscri3.jpg</v>
      </c>
      <c r="D9309" t="s">
        <v>43</v>
      </c>
      <c r="G9309" t="s">
        <v>34</v>
      </c>
      <c r="H9309" t="s">
        <v>18</v>
      </c>
      <c r="I9309" t="s">
        <v>516</v>
      </c>
      <c r="J9309" t="s">
        <v>20</v>
      </c>
      <c r="L9309" t="s">
        <v>456</v>
      </c>
      <c r="M9309" t="s">
        <v>10109</v>
      </c>
      <c r="N9309" t="s">
        <v>10109</v>
      </c>
      <c r="O9309" t="s">
        <v>23</v>
      </c>
      <c r="P9309" t="s">
        <v>24</v>
      </c>
      <c r="Q9309" t="s">
        <v>6484</v>
      </c>
      <c r="R9309" t="s">
        <v>10109</v>
      </c>
    </row>
    <row r="9310" spans="1:18" x14ac:dyDescent="0.25">
      <c r="A9310" t="s">
        <v>17004</v>
      </c>
      <c r="B9310" t="s">
        <v>10186</v>
      </c>
      <c r="C9310" t="str">
        <f>HYPERLINK("https://nematode.unl.edu/pscri4.jpg")</f>
        <v>https://nematode.unl.edu/pscri4.jpg</v>
      </c>
      <c r="D9310" t="s">
        <v>43</v>
      </c>
      <c r="G9310" t="s">
        <v>53</v>
      </c>
      <c r="I9310" t="s">
        <v>41</v>
      </c>
      <c r="J9310" t="s">
        <v>20</v>
      </c>
      <c r="L9310" t="s">
        <v>456</v>
      </c>
      <c r="M9310" t="s">
        <v>10109</v>
      </c>
      <c r="N9310" t="s">
        <v>10109</v>
      </c>
      <c r="O9310" t="s">
        <v>23</v>
      </c>
      <c r="P9310" t="s">
        <v>24</v>
      </c>
      <c r="Q9310" t="s">
        <v>6484</v>
      </c>
      <c r="R9310" t="s">
        <v>10109</v>
      </c>
    </row>
    <row r="9311" spans="1:18" x14ac:dyDescent="0.25">
      <c r="A9311" t="s">
        <v>16982</v>
      </c>
      <c r="B9311" t="s">
        <v>10187</v>
      </c>
      <c r="C9311" t="str">
        <f>HYPERLINK("https://nematode.unl.edu/pscri5.jpg")</f>
        <v>https://nematode.unl.edu/pscri5.jpg</v>
      </c>
      <c r="D9311" t="s">
        <v>43</v>
      </c>
      <c r="G9311" t="s">
        <v>257</v>
      </c>
      <c r="H9311" t="s">
        <v>18</v>
      </c>
      <c r="J9311" t="s">
        <v>20</v>
      </c>
      <c r="L9311" t="s">
        <v>456</v>
      </c>
      <c r="M9311" t="s">
        <v>10109</v>
      </c>
      <c r="N9311" t="s">
        <v>10109</v>
      </c>
      <c r="O9311" t="s">
        <v>23</v>
      </c>
      <c r="P9311" t="s">
        <v>24</v>
      </c>
      <c r="Q9311" t="s">
        <v>6484</v>
      </c>
      <c r="R9311" t="s">
        <v>10109</v>
      </c>
    </row>
    <row r="9312" spans="1:18" x14ac:dyDescent="0.25">
      <c r="A9312" t="s">
        <v>16984</v>
      </c>
      <c r="B9312" t="s">
        <v>10188</v>
      </c>
      <c r="C9312" t="str">
        <f>HYPERLINK("https://nematode.unl.edu/pscri6.jpg")</f>
        <v>https://nematode.unl.edu/pscri6.jpg</v>
      </c>
      <c r="D9312" t="s">
        <v>43</v>
      </c>
      <c r="G9312" t="s">
        <v>259</v>
      </c>
      <c r="H9312" t="s">
        <v>18</v>
      </c>
      <c r="I9312" t="s">
        <v>41</v>
      </c>
      <c r="J9312" t="s">
        <v>20</v>
      </c>
      <c r="L9312" t="s">
        <v>456</v>
      </c>
      <c r="M9312" t="s">
        <v>10109</v>
      </c>
      <c r="N9312" t="s">
        <v>10109</v>
      </c>
      <c r="O9312" t="s">
        <v>23</v>
      </c>
      <c r="P9312" t="s">
        <v>24</v>
      </c>
      <c r="Q9312" t="s">
        <v>6484</v>
      </c>
      <c r="R9312" t="s">
        <v>10109</v>
      </c>
    </row>
    <row r="9313" spans="1:18" x14ac:dyDescent="0.25">
      <c r="A9313" t="s">
        <v>17029</v>
      </c>
      <c r="B9313" t="s">
        <v>10189</v>
      </c>
      <c r="C9313" t="str">
        <f>HYPERLINK("https://nematode.unl.edu/pscri7.jpg")</f>
        <v>https://nematode.unl.edu/pscri7.jpg</v>
      </c>
      <c r="D9313" t="s">
        <v>43</v>
      </c>
      <c r="G9313" t="s">
        <v>28</v>
      </c>
      <c r="J9313" t="s">
        <v>20</v>
      </c>
      <c r="L9313" t="s">
        <v>456</v>
      </c>
      <c r="M9313" t="s">
        <v>10109</v>
      </c>
      <c r="N9313" t="s">
        <v>10109</v>
      </c>
      <c r="O9313" t="s">
        <v>23</v>
      </c>
      <c r="P9313" t="s">
        <v>24</v>
      </c>
      <c r="Q9313" t="s">
        <v>6484</v>
      </c>
      <c r="R9313" t="s">
        <v>10109</v>
      </c>
    </row>
    <row r="9314" spans="1:18" x14ac:dyDescent="0.25">
      <c r="A9314" t="s">
        <v>16981</v>
      </c>
      <c r="B9314" t="s">
        <v>10190</v>
      </c>
      <c r="C9314" t="str">
        <f>HYPERLINK("https://nematode.unl.edu/pscri8.jpg")</f>
        <v>https://nematode.unl.edu/pscri8.jpg</v>
      </c>
      <c r="D9314" t="s">
        <v>43</v>
      </c>
      <c r="G9314" t="s">
        <v>34</v>
      </c>
      <c r="H9314" t="s">
        <v>18</v>
      </c>
      <c r="J9314" t="s">
        <v>20</v>
      </c>
      <c r="L9314" t="s">
        <v>456</v>
      </c>
      <c r="M9314" t="s">
        <v>10109</v>
      </c>
      <c r="N9314" t="s">
        <v>10109</v>
      </c>
      <c r="O9314" t="s">
        <v>23</v>
      </c>
      <c r="P9314" t="s">
        <v>24</v>
      </c>
      <c r="Q9314" t="s">
        <v>6484</v>
      </c>
      <c r="R9314" t="s">
        <v>10109</v>
      </c>
    </row>
    <row r="9315" spans="1:18" x14ac:dyDescent="0.25">
      <c r="A9315" t="s">
        <v>17009</v>
      </c>
      <c r="B9315" t="s">
        <v>10191</v>
      </c>
      <c r="C9315" t="str">
        <f>HYPERLINK("https://nematode.unl.edu/pscri9.jpg")</f>
        <v>https://nematode.unl.edu/pscri9.jpg</v>
      </c>
      <c r="G9315" t="s">
        <v>1404</v>
      </c>
      <c r="I9315" t="s">
        <v>41</v>
      </c>
      <c r="J9315" t="s">
        <v>20</v>
      </c>
      <c r="L9315" t="s">
        <v>456</v>
      </c>
      <c r="M9315" t="s">
        <v>10109</v>
      </c>
      <c r="N9315" t="s">
        <v>10109</v>
      </c>
      <c r="O9315" t="s">
        <v>23</v>
      </c>
      <c r="P9315" t="s">
        <v>24</v>
      </c>
      <c r="Q9315" t="s">
        <v>6484</v>
      </c>
      <c r="R9315" t="s">
        <v>10109</v>
      </c>
    </row>
    <row r="9316" spans="1:18" x14ac:dyDescent="0.25">
      <c r="A9316" t="s">
        <v>17511</v>
      </c>
      <c r="B9316" t="s">
        <v>10706</v>
      </c>
      <c r="C9316" t="str">
        <f>HYPERLINK("https://nematode.unl.edu/pscricmp.jpg")</f>
        <v>https://nematode.unl.edu/pscricmp.jpg</v>
      </c>
      <c r="D9316" t="s">
        <v>43</v>
      </c>
      <c r="G9316" t="s">
        <v>28</v>
      </c>
      <c r="M9316" t="s">
        <v>10633</v>
      </c>
      <c r="N9316" t="s">
        <v>10633</v>
      </c>
      <c r="O9316" t="s">
        <v>23</v>
      </c>
      <c r="P9316" t="s">
        <v>24</v>
      </c>
      <c r="Q9316" t="s">
        <v>6484</v>
      </c>
      <c r="R9316" t="s">
        <v>10109</v>
      </c>
    </row>
    <row r="9317" spans="1:18" x14ac:dyDescent="0.25">
      <c r="A9317" t="s">
        <v>15817</v>
      </c>
      <c r="B9317" t="s">
        <v>10867</v>
      </c>
      <c r="C9317" t="str">
        <f>HYPERLINK("https://nematode.unl.edu/pseudip1.jpg")</f>
        <v>https://nematode.unl.edu/pseudip1.jpg</v>
      </c>
      <c r="D9317" t="s">
        <v>77</v>
      </c>
      <c r="G9317" t="s">
        <v>96</v>
      </c>
      <c r="H9317" t="s">
        <v>18</v>
      </c>
      <c r="I9317" t="s">
        <v>19</v>
      </c>
      <c r="J9317" t="s">
        <v>127</v>
      </c>
      <c r="L9317" t="s">
        <v>131</v>
      </c>
      <c r="M9317" t="s">
        <v>10868</v>
      </c>
      <c r="N9317" t="s">
        <v>10868</v>
      </c>
      <c r="O9317" t="s">
        <v>23</v>
      </c>
      <c r="P9317" t="s">
        <v>24</v>
      </c>
      <c r="Q9317" t="s">
        <v>2091</v>
      </c>
      <c r="R9317" t="s">
        <v>10868</v>
      </c>
    </row>
    <row r="9318" spans="1:18" x14ac:dyDescent="0.25">
      <c r="A9318" t="s">
        <v>15819</v>
      </c>
      <c r="B9318" t="s">
        <v>10869</v>
      </c>
      <c r="C9318" t="str">
        <f>HYPERLINK("https://nematode.unl.edu/pseudip2.jpg")</f>
        <v>https://nematode.unl.edu/pseudip2.jpg</v>
      </c>
      <c r="D9318" t="s">
        <v>77</v>
      </c>
      <c r="G9318" t="s">
        <v>28</v>
      </c>
      <c r="J9318" t="s">
        <v>127</v>
      </c>
      <c r="L9318" t="s">
        <v>128</v>
      </c>
      <c r="M9318" t="s">
        <v>10868</v>
      </c>
      <c r="N9318" t="s">
        <v>10868</v>
      </c>
      <c r="O9318" t="s">
        <v>23</v>
      </c>
      <c r="P9318" t="s">
        <v>24</v>
      </c>
      <c r="Q9318" t="s">
        <v>2091</v>
      </c>
      <c r="R9318" t="s">
        <v>10868</v>
      </c>
    </row>
    <row r="9319" spans="1:18" x14ac:dyDescent="0.25">
      <c r="A9319" t="s">
        <v>15818</v>
      </c>
      <c r="B9319" t="s">
        <v>10870</v>
      </c>
      <c r="C9319" t="str">
        <f>HYPERLINK("https://nematode.unl.edu/pseudip3.jpg")</f>
        <v>https://nematode.unl.edu/pseudip3.jpg</v>
      </c>
      <c r="D9319" t="s">
        <v>77</v>
      </c>
      <c r="G9319" t="s">
        <v>34</v>
      </c>
      <c r="H9319" t="s">
        <v>18</v>
      </c>
      <c r="I9319" t="s">
        <v>41</v>
      </c>
      <c r="J9319" t="s">
        <v>127</v>
      </c>
      <c r="L9319" t="s">
        <v>128</v>
      </c>
      <c r="M9319" t="s">
        <v>10868</v>
      </c>
      <c r="N9319" t="s">
        <v>10868</v>
      </c>
      <c r="O9319" t="s">
        <v>23</v>
      </c>
      <c r="P9319" t="s">
        <v>24</v>
      </c>
      <c r="Q9319" t="s">
        <v>2091</v>
      </c>
      <c r="R9319" t="s">
        <v>10868</v>
      </c>
    </row>
    <row r="9320" spans="1:18" x14ac:dyDescent="0.25">
      <c r="A9320" t="s">
        <v>15820</v>
      </c>
      <c r="B9320" t="s">
        <v>10871</v>
      </c>
      <c r="C9320" t="str">
        <f>HYPERLINK("https://nematode.unl.edu/pseudip4.jpg")</f>
        <v>https://nematode.unl.edu/pseudip4.jpg</v>
      </c>
      <c r="G9320" t="s">
        <v>2113</v>
      </c>
      <c r="J9320" t="s">
        <v>127</v>
      </c>
      <c r="M9320" t="s">
        <v>10868</v>
      </c>
      <c r="N9320" t="s">
        <v>10868</v>
      </c>
      <c r="O9320" t="s">
        <v>23</v>
      </c>
      <c r="P9320" t="s">
        <v>24</v>
      </c>
      <c r="Q9320" t="s">
        <v>2091</v>
      </c>
      <c r="R9320" t="s">
        <v>10868</v>
      </c>
    </row>
    <row r="9321" spans="1:18" x14ac:dyDescent="0.25">
      <c r="A9321" t="s">
        <v>18528</v>
      </c>
      <c r="B9321" t="s">
        <v>10901</v>
      </c>
      <c r="C9321" t="str">
        <f>HYPERLINK("https://nematode.unl.edu/pshila1.jpg")</f>
        <v>https://nematode.unl.edu/pshila1.jpg</v>
      </c>
      <c r="D9321" t="s">
        <v>43</v>
      </c>
      <c r="G9321" t="s">
        <v>44</v>
      </c>
      <c r="I9321" t="s">
        <v>45</v>
      </c>
      <c r="J9321" t="s">
        <v>116</v>
      </c>
      <c r="L9321" t="s">
        <v>85</v>
      </c>
      <c r="M9321" t="s">
        <v>10873</v>
      </c>
      <c r="N9321" t="s">
        <v>10873</v>
      </c>
      <c r="O9321" t="s">
        <v>23</v>
      </c>
      <c r="P9321" t="s">
        <v>24</v>
      </c>
      <c r="Q9321" t="s">
        <v>69</v>
      </c>
      <c r="R9321" t="s">
        <v>10874</v>
      </c>
    </row>
    <row r="9322" spans="1:18" x14ac:dyDescent="0.25">
      <c r="A9322" t="s">
        <v>18524</v>
      </c>
      <c r="B9322" t="s">
        <v>10902</v>
      </c>
      <c r="C9322" t="str">
        <f>HYPERLINK("https://nematode.unl.edu/pshila2.jpg")</f>
        <v>https://nematode.unl.edu/pshila2.jpg</v>
      </c>
      <c r="D9322" t="s">
        <v>43</v>
      </c>
      <c r="G9322" t="s">
        <v>34</v>
      </c>
      <c r="H9322" t="s">
        <v>18</v>
      </c>
      <c r="I9322" t="s">
        <v>19</v>
      </c>
      <c r="L9322" t="s">
        <v>85</v>
      </c>
      <c r="M9322" t="s">
        <v>10873</v>
      </c>
      <c r="N9322" t="s">
        <v>10873</v>
      </c>
      <c r="O9322" t="s">
        <v>23</v>
      </c>
      <c r="P9322" t="s">
        <v>24</v>
      </c>
      <c r="Q9322" t="s">
        <v>69</v>
      </c>
      <c r="R9322" t="s">
        <v>10874</v>
      </c>
    </row>
    <row r="9323" spans="1:18" x14ac:dyDescent="0.25">
      <c r="A9323" t="s">
        <v>18545</v>
      </c>
      <c r="B9323" t="s">
        <v>10903</v>
      </c>
      <c r="C9323" t="str">
        <f>HYPERLINK("https://nematode.unl.edu/pshila3.jpg")</f>
        <v>https://nematode.unl.edu/pshila3.jpg</v>
      </c>
      <c r="D9323" t="s">
        <v>43</v>
      </c>
      <c r="G9323" t="s">
        <v>51</v>
      </c>
      <c r="I9323" t="s">
        <v>19</v>
      </c>
      <c r="L9323" t="s">
        <v>85</v>
      </c>
      <c r="M9323" t="s">
        <v>10873</v>
      </c>
      <c r="N9323" t="s">
        <v>10873</v>
      </c>
      <c r="O9323" t="s">
        <v>23</v>
      </c>
      <c r="P9323" t="s">
        <v>24</v>
      </c>
      <c r="Q9323" t="s">
        <v>69</v>
      </c>
      <c r="R9323" t="s">
        <v>10874</v>
      </c>
    </row>
    <row r="9324" spans="1:18" x14ac:dyDescent="0.25">
      <c r="A9324" t="s">
        <v>18539</v>
      </c>
      <c r="B9324" t="s">
        <v>10904</v>
      </c>
      <c r="C9324" t="str">
        <f>HYPERLINK("https://nematode.unl.edu/pshila4.jpg")</f>
        <v>https://nematode.unl.edu/pshila4.jpg</v>
      </c>
      <c r="D9324" t="s">
        <v>43</v>
      </c>
      <c r="G9324" t="s">
        <v>28</v>
      </c>
      <c r="L9324" t="s">
        <v>85</v>
      </c>
      <c r="M9324" t="s">
        <v>10873</v>
      </c>
      <c r="N9324" t="s">
        <v>10873</v>
      </c>
      <c r="O9324" t="s">
        <v>23</v>
      </c>
      <c r="P9324" t="s">
        <v>24</v>
      </c>
      <c r="Q9324" t="s">
        <v>69</v>
      </c>
      <c r="R9324" t="s">
        <v>10874</v>
      </c>
    </row>
    <row r="9325" spans="1:18" x14ac:dyDescent="0.25">
      <c r="A9325" t="s">
        <v>18517</v>
      </c>
      <c r="B9325" t="s">
        <v>10905</v>
      </c>
      <c r="C9325" t="str">
        <f>HYPERLINK("https://nematode.unl.edu/psihil1.jpg")</f>
        <v>https://nematode.unl.edu/psihil1.jpg</v>
      </c>
      <c r="D9325" t="s">
        <v>43</v>
      </c>
      <c r="G9325" t="s">
        <v>96</v>
      </c>
      <c r="H9325" t="s">
        <v>18</v>
      </c>
      <c r="I9325" t="s">
        <v>19</v>
      </c>
      <c r="J9325" t="s">
        <v>127</v>
      </c>
      <c r="L9325" t="s">
        <v>162</v>
      </c>
      <c r="M9325" t="s">
        <v>10873</v>
      </c>
      <c r="N9325" t="s">
        <v>10873</v>
      </c>
      <c r="O9325" t="s">
        <v>23</v>
      </c>
      <c r="P9325" t="s">
        <v>24</v>
      </c>
      <c r="Q9325" t="s">
        <v>69</v>
      </c>
      <c r="R9325" t="s">
        <v>10874</v>
      </c>
    </row>
    <row r="9326" spans="1:18" x14ac:dyDescent="0.25">
      <c r="A9326" t="s">
        <v>18518</v>
      </c>
      <c r="B9326" t="s">
        <v>10906</v>
      </c>
      <c r="C9326" t="str">
        <f>HYPERLINK("https://nematode.unl.edu/psihil2.jpg")</f>
        <v>https://nematode.unl.edu/psihil2.jpg</v>
      </c>
      <c r="D9326" t="s">
        <v>43</v>
      </c>
      <c r="G9326" t="s">
        <v>96</v>
      </c>
      <c r="H9326" t="s">
        <v>18</v>
      </c>
      <c r="I9326" t="s">
        <v>529</v>
      </c>
      <c r="J9326" t="s">
        <v>127</v>
      </c>
      <c r="L9326" t="s">
        <v>162</v>
      </c>
      <c r="M9326" t="s">
        <v>10873</v>
      </c>
      <c r="N9326" t="s">
        <v>10873</v>
      </c>
      <c r="O9326" t="s">
        <v>23</v>
      </c>
      <c r="P9326" t="s">
        <v>24</v>
      </c>
      <c r="Q9326" t="s">
        <v>69</v>
      </c>
      <c r="R9326" t="s">
        <v>10874</v>
      </c>
    </row>
    <row r="9327" spans="1:18" x14ac:dyDescent="0.25">
      <c r="A9327" t="s">
        <v>18546</v>
      </c>
      <c r="B9327" t="s">
        <v>10907</v>
      </c>
      <c r="C9327" t="str">
        <f>HYPERLINK("https://nematode.unl.edu/psihil3.jpg")</f>
        <v>https://nematode.unl.edu/psihil3.jpg</v>
      </c>
      <c r="D9327" t="s">
        <v>43</v>
      </c>
      <c r="G9327" t="s">
        <v>51</v>
      </c>
      <c r="I9327" t="s">
        <v>19</v>
      </c>
      <c r="J9327" t="s">
        <v>127</v>
      </c>
      <c r="L9327" t="s">
        <v>162</v>
      </c>
      <c r="M9327" t="s">
        <v>10873</v>
      </c>
      <c r="N9327" t="s">
        <v>10873</v>
      </c>
      <c r="O9327" t="s">
        <v>23</v>
      </c>
      <c r="P9327" t="s">
        <v>24</v>
      </c>
      <c r="Q9327" t="s">
        <v>69</v>
      </c>
      <c r="R9327" t="s">
        <v>10874</v>
      </c>
    </row>
    <row r="9328" spans="1:18" x14ac:dyDescent="0.25">
      <c r="A9328" t="s">
        <v>18540</v>
      </c>
      <c r="B9328" t="s">
        <v>10908</v>
      </c>
      <c r="C9328" t="str">
        <f>HYPERLINK("https://nematode.unl.edu/psihil4.jpg")</f>
        <v>https://nematode.unl.edu/psihil4.jpg</v>
      </c>
      <c r="D9328" t="s">
        <v>43</v>
      </c>
      <c r="G9328" t="s">
        <v>28</v>
      </c>
      <c r="J9328" t="s">
        <v>127</v>
      </c>
      <c r="L9328" t="s">
        <v>162</v>
      </c>
      <c r="M9328" t="s">
        <v>10873</v>
      </c>
      <c r="N9328" t="s">
        <v>10873</v>
      </c>
      <c r="O9328" t="s">
        <v>23</v>
      </c>
      <c r="P9328" t="s">
        <v>24</v>
      </c>
      <c r="Q9328" t="s">
        <v>69</v>
      </c>
      <c r="R9328" t="s">
        <v>10874</v>
      </c>
    </row>
    <row r="9329" spans="1:18" x14ac:dyDescent="0.25">
      <c r="A9329" t="s">
        <v>18541</v>
      </c>
      <c r="B9329" t="s">
        <v>10909</v>
      </c>
      <c r="C9329" t="str">
        <f>HYPERLINK("https://nematode.unl.edu/psihil5.jpg")</f>
        <v>https://nematode.unl.edu/psihil5.jpg</v>
      </c>
      <c r="D9329" t="s">
        <v>43</v>
      </c>
      <c r="G9329" t="s">
        <v>28</v>
      </c>
      <c r="I9329" t="s">
        <v>41</v>
      </c>
      <c r="J9329" t="s">
        <v>127</v>
      </c>
      <c r="L9329" t="s">
        <v>162</v>
      </c>
      <c r="M9329" t="s">
        <v>10873</v>
      </c>
      <c r="N9329" t="s">
        <v>10873</v>
      </c>
      <c r="O9329" t="s">
        <v>23</v>
      </c>
      <c r="P9329" t="s">
        <v>24</v>
      </c>
      <c r="Q9329" t="s">
        <v>69</v>
      </c>
      <c r="R9329" t="s">
        <v>10874</v>
      </c>
    </row>
    <row r="9330" spans="1:18" x14ac:dyDescent="0.25">
      <c r="A9330" t="s">
        <v>18556</v>
      </c>
      <c r="B9330" t="s">
        <v>10920</v>
      </c>
      <c r="C9330" t="str">
        <f>HYPERLINK("https://nematode.unl.edu/psinter1.jpg")</f>
        <v>https://nematode.unl.edu/psinter1.jpg</v>
      </c>
      <c r="D9330" t="s">
        <v>43</v>
      </c>
      <c r="G9330" t="s">
        <v>44</v>
      </c>
      <c r="I9330" t="s">
        <v>45</v>
      </c>
      <c r="J9330" t="s">
        <v>127</v>
      </c>
      <c r="L9330" t="s">
        <v>632</v>
      </c>
      <c r="M9330" t="s">
        <v>10911</v>
      </c>
      <c r="N9330" t="s">
        <v>10911</v>
      </c>
      <c r="O9330" t="s">
        <v>23</v>
      </c>
      <c r="P9330" t="s">
        <v>24</v>
      </c>
      <c r="Q9330" t="s">
        <v>69</v>
      </c>
      <c r="R9330" t="s">
        <v>10874</v>
      </c>
    </row>
    <row r="9331" spans="1:18" x14ac:dyDescent="0.25">
      <c r="A9331" t="s">
        <v>18552</v>
      </c>
      <c r="B9331" t="s">
        <v>10921</v>
      </c>
      <c r="C9331" t="str">
        <f>HYPERLINK("https://nematode.unl.edu/psinter10.jpg")</f>
        <v>https://nematode.unl.edu/psinter10.jpg</v>
      </c>
      <c r="D9331" t="s">
        <v>77</v>
      </c>
      <c r="G9331" t="s">
        <v>34</v>
      </c>
      <c r="H9331" t="s">
        <v>18</v>
      </c>
      <c r="I9331" t="s">
        <v>19</v>
      </c>
      <c r="J9331" t="s">
        <v>127</v>
      </c>
      <c r="L9331" t="s">
        <v>632</v>
      </c>
      <c r="M9331" t="s">
        <v>10911</v>
      </c>
      <c r="N9331" t="s">
        <v>10911</v>
      </c>
      <c r="O9331" t="s">
        <v>23</v>
      </c>
      <c r="P9331" t="s">
        <v>24</v>
      </c>
      <c r="Q9331" t="s">
        <v>69</v>
      </c>
      <c r="R9331" t="s">
        <v>10874</v>
      </c>
    </row>
    <row r="9332" spans="1:18" x14ac:dyDescent="0.25">
      <c r="A9332" t="s">
        <v>18561</v>
      </c>
      <c r="B9332" t="s">
        <v>10922</v>
      </c>
      <c r="C9332" t="str">
        <f>HYPERLINK("https://nematode.unl.edu/psinter11.jpg")</f>
        <v>https://nematode.unl.edu/psinter11.jpg</v>
      </c>
      <c r="D9332" t="s">
        <v>77</v>
      </c>
      <c r="G9332" t="s">
        <v>28</v>
      </c>
      <c r="J9332" t="s">
        <v>127</v>
      </c>
      <c r="L9332" t="s">
        <v>632</v>
      </c>
      <c r="M9332" t="s">
        <v>10911</v>
      </c>
      <c r="N9332" t="s">
        <v>10911</v>
      </c>
      <c r="O9332" t="s">
        <v>23</v>
      </c>
      <c r="P9332" t="s">
        <v>24</v>
      </c>
      <c r="Q9332" t="s">
        <v>69</v>
      </c>
      <c r="R9332" t="s">
        <v>10874</v>
      </c>
    </row>
    <row r="9333" spans="1:18" x14ac:dyDescent="0.25">
      <c r="A9333" t="s">
        <v>18553</v>
      </c>
      <c r="B9333" t="s">
        <v>10923</v>
      </c>
      <c r="C9333" t="str">
        <f>HYPERLINK("https://nematode.unl.edu/psinter2.jpg")</f>
        <v>https://nematode.unl.edu/psinter2.jpg</v>
      </c>
      <c r="D9333" t="s">
        <v>43</v>
      </c>
      <c r="G9333" t="s">
        <v>34</v>
      </c>
      <c r="H9333" t="s">
        <v>18</v>
      </c>
      <c r="I9333" t="s">
        <v>19</v>
      </c>
      <c r="J9333" t="s">
        <v>127</v>
      </c>
      <c r="M9333" t="s">
        <v>10911</v>
      </c>
      <c r="N9333" t="s">
        <v>10911</v>
      </c>
      <c r="O9333" t="s">
        <v>23</v>
      </c>
      <c r="P9333" t="s">
        <v>24</v>
      </c>
      <c r="Q9333" t="s">
        <v>69</v>
      </c>
      <c r="R9333" t="s">
        <v>10874</v>
      </c>
    </row>
    <row r="9334" spans="1:18" x14ac:dyDescent="0.25">
      <c r="A9334" t="s">
        <v>18565</v>
      </c>
      <c r="B9334" t="s">
        <v>10924</v>
      </c>
      <c r="C9334" t="str">
        <f>HYPERLINK("https://nematode.unl.edu/psinter3.jpg")</f>
        <v>https://nematode.unl.edu/psinter3.jpg</v>
      </c>
      <c r="D9334" t="s">
        <v>43</v>
      </c>
      <c r="G9334" t="s">
        <v>51</v>
      </c>
      <c r="I9334" t="s">
        <v>19</v>
      </c>
      <c r="J9334" t="s">
        <v>127</v>
      </c>
      <c r="M9334" t="s">
        <v>10911</v>
      </c>
      <c r="N9334" t="s">
        <v>10911</v>
      </c>
      <c r="O9334" t="s">
        <v>23</v>
      </c>
      <c r="P9334" t="s">
        <v>24</v>
      </c>
      <c r="Q9334" t="s">
        <v>69</v>
      </c>
      <c r="R9334" t="s">
        <v>10874</v>
      </c>
    </row>
    <row r="9335" spans="1:18" x14ac:dyDescent="0.25">
      <c r="A9335" t="s">
        <v>18562</v>
      </c>
      <c r="B9335" t="s">
        <v>10925</v>
      </c>
      <c r="C9335" t="str">
        <f>HYPERLINK("https://nematode.unl.edu/psinter4.jpg")</f>
        <v>https://nematode.unl.edu/psinter4.jpg</v>
      </c>
      <c r="D9335" t="s">
        <v>43</v>
      </c>
      <c r="G9335" t="s">
        <v>28</v>
      </c>
      <c r="I9335" t="s">
        <v>19</v>
      </c>
      <c r="J9335" t="s">
        <v>127</v>
      </c>
      <c r="M9335" t="s">
        <v>10911</v>
      </c>
      <c r="N9335" t="s">
        <v>10911</v>
      </c>
      <c r="O9335" t="s">
        <v>23</v>
      </c>
      <c r="P9335" t="s">
        <v>24</v>
      </c>
      <c r="Q9335" t="s">
        <v>69</v>
      </c>
      <c r="R9335" t="s">
        <v>10874</v>
      </c>
    </row>
    <row r="9336" spans="1:18" x14ac:dyDescent="0.25">
      <c r="A9336" t="s">
        <v>18554</v>
      </c>
      <c r="B9336" t="s">
        <v>10926</v>
      </c>
      <c r="C9336" t="str">
        <f>HYPERLINK("https://nematode.unl.edu/psinter5.jpg")</f>
        <v>https://nematode.unl.edu/psinter5.jpg</v>
      </c>
      <c r="D9336" t="s">
        <v>43</v>
      </c>
      <c r="G9336" t="s">
        <v>34</v>
      </c>
      <c r="H9336" t="s">
        <v>18</v>
      </c>
      <c r="I9336" t="s">
        <v>41</v>
      </c>
      <c r="J9336" t="s">
        <v>127</v>
      </c>
      <c r="M9336" t="s">
        <v>10911</v>
      </c>
      <c r="N9336" t="s">
        <v>10911</v>
      </c>
      <c r="O9336" t="s">
        <v>23</v>
      </c>
      <c r="P9336" t="s">
        <v>24</v>
      </c>
      <c r="Q9336" t="s">
        <v>69</v>
      </c>
      <c r="R9336" t="s">
        <v>10874</v>
      </c>
    </row>
    <row r="9337" spans="1:18" x14ac:dyDescent="0.25">
      <c r="A9337" t="s">
        <v>18558</v>
      </c>
      <c r="B9337" t="s">
        <v>10927</v>
      </c>
      <c r="C9337" t="str">
        <f>HYPERLINK("https://nematode.unl.edu/psinter6.jpg")</f>
        <v>https://nematode.unl.edu/psinter6.jpg</v>
      </c>
      <c r="D9337" t="s">
        <v>43</v>
      </c>
      <c r="G9337" t="s">
        <v>53</v>
      </c>
      <c r="I9337" t="s">
        <v>45</v>
      </c>
      <c r="J9337" t="s">
        <v>127</v>
      </c>
      <c r="M9337" t="s">
        <v>10911</v>
      </c>
      <c r="N9337" t="s">
        <v>10911</v>
      </c>
      <c r="O9337" t="s">
        <v>23</v>
      </c>
      <c r="P9337" t="s">
        <v>24</v>
      </c>
      <c r="Q9337" t="s">
        <v>69</v>
      </c>
      <c r="R9337" t="s">
        <v>10874</v>
      </c>
    </row>
    <row r="9338" spans="1:18" x14ac:dyDescent="0.25">
      <c r="A9338" t="s">
        <v>18566</v>
      </c>
      <c r="B9338" t="s">
        <v>10928</v>
      </c>
      <c r="C9338" t="str">
        <f>HYPERLINK("https://nematode.unl.edu/psinter7.jpg")</f>
        <v>https://nematode.unl.edu/psinter7.jpg</v>
      </c>
      <c r="D9338" t="s">
        <v>43</v>
      </c>
      <c r="G9338" t="s">
        <v>51</v>
      </c>
      <c r="I9338" t="s">
        <v>41</v>
      </c>
      <c r="J9338" t="s">
        <v>127</v>
      </c>
      <c r="M9338" t="s">
        <v>10911</v>
      </c>
      <c r="N9338" t="s">
        <v>10911</v>
      </c>
      <c r="O9338" t="s">
        <v>23</v>
      </c>
      <c r="P9338" t="s">
        <v>24</v>
      </c>
      <c r="Q9338" t="s">
        <v>69</v>
      </c>
      <c r="R9338" t="s">
        <v>10874</v>
      </c>
    </row>
    <row r="9339" spans="1:18" x14ac:dyDescent="0.25">
      <c r="A9339" t="s">
        <v>18563</v>
      </c>
      <c r="B9339" t="s">
        <v>10929</v>
      </c>
      <c r="C9339" t="str">
        <f>HYPERLINK("https://nematode.unl.edu/psinter8.jpg")</f>
        <v>https://nematode.unl.edu/psinter8.jpg</v>
      </c>
      <c r="D9339" t="s">
        <v>43</v>
      </c>
      <c r="G9339" t="s">
        <v>28</v>
      </c>
      <c r="I9339" t="s">
        <v>41</v>
      </c>
      <c r="J9339" t="s">
        <v>127</v>
      </c>
      <c r="M9339" t="s">
        <v>10911</v>
      </c>
      <c r="N9339" t="s">
        <v>10911</v>
      </c>
      <c r="O9339" t="s">
        <v>23</v>
      </c>
      <c r="P9339" t="s">
        <v>24</v>
      </c>
      <c r="Q9339" t="s">
        <v>69</v>
      </c>
      <c r="R9339" t="s">
        <v>10874</v>
      </c>
    </row>
    <row r="9340" spans="1:18" x14ac:dyDescent="0.25">
      <c r="A9340" t="s">
        <v>18557</v>
      </c>
      <c r="B9340" t="s">
        <v>10930</v>
      </c>
      <c r="C9340" t="str">
        <f>HYPERLINK("https://nematode.unl.edu/psinter9.jpg")</f>
        <v>https://nematode.unl.edu/psinter9.jpg</v>
      </c>
      <c r="D9340" t="s">
        <v>77</v>
      </c>
      <c r="G9340" t="s">
        <v>44</v>
      </c>
      <c r="I9340" t="s">
        <v>45</v>
      </c>
      <c r="J9340" t="s">
        <v>127</v>
      </c>
      <c r="L9340" t="s">
        <v>632</v>
      </c>
      <c r="M9340" t="s">
        <v>10911</v>
      </c>
      <c r="N9340" t="s">
        <v>10911</v>
      </c>
      <c r="O9340" t="s">
        <v>23</v>
      </c>
      <c r="P9340" t="s">
        <v>24</v>
      </c>
      <c r="Q9340" t="s">
        <v>69</v>
      </c>
      <c r="R9340" t="s">
        <v>10874</v>
      </c>
    </row>
    <row r="9341" spans="1:18" x14ac:dyDescent="0.25">
      <c r="A9341" t="s">
        <v>20511</v>
      </c>
      <c r="B9341" t="s">
        <v>10992</v>
      </c>
      <c r="C9341" t="str">
        <f>HYPERLINK("https://nematode.unl.edu/pucras1.jpg")</f>
        <v>https://nematode.unl.edu/pucras1.jpg</v>
      </c>
      <c r="D9341" t="s">
        <v>77</v>
      </c>
      <c r="G9341" t="s">
        <v>44</v>
      </c>
      <c r="I9341" t="s">
        <v>91</v>
      </c>
      <c r="J9341" t="s">
        <v>46</v>
      </c>
      <c r="L9341" t="s">
        <v>727</v>
      </c>
      <c r="M9341" t="s">
        <v>10993</v>
      </c>
      <c r="N9341" t="s">
        <v>10993</v>
      </c>
      <c r="O9341" t="s">
        <v>73</v>
      </c>
      <c r="P9341" t="s">
        <v>81</v>
      </c>
      <c r="Q9341" t="s">
        <v>1101</v>
      </c>
      <c r="R9341" t="s">
        <v>10940</v>
      </c>
    </row>
    <row r="9342" spans="1:18" x14ac:dyDescent="0.25">
      <c r="A9342" t="s">
        <v>20508</v>
      </c>
      <c r="B9342" t="s">
        <v>10994</v>
      </c>
      <c r="C9342" t="str">
        <f>HYPERLINK("https://nematode.unl.edu/pucras10.jpg")</f>
        <v>https://nematode.unl.edu/pucras10.jpg</v>
      </c>
      <c r="G9342" t="s">
        <v>34</v>
      </c>
      <c r="H9342" t="s">
        <v>18</v>
      </c>
      <c r="I9342" t="s">
        <v>19</v>
      </c>
      <c r="J9342" t="s">
        <v>46</v>
      </c>
      <c r="L9342" t="s">
        <v>105</v>
      </c>
      <c r="M9342" t="s">
        <v>10993</v>
      </c>
      <c r="N9342" t="s">
        <v>10993</v>
      </c>
      <c r="O9342" t="s">
        <v>73</v>
      </c>
      <c r="P9342" t="s">
        <v>81</v>
      </c>
      <c r="Q9342" t="s">
        <v>1101</v>
      </c>
      <c r="R9342" t="s">
        <v>10940</v>
      </c>
    </row>
    <row r="9343" spans="1:18" x14ac:dyDescent="0.25">
      <c r="A9343" t="s">
        <v>20509</v>
      </c>
      <c r="B9343" t="s">
        <v>10995</v>
      </c>
      <c r="C9343" t="str">
        <f>HYPERLINK("https://nematode.unl.edu/pucras11.jpg")</f>
        <v>https://nematode.unl.edu/pucras11.jpg</v>
      </c>
      <c r="D9343" t="s">
        <v>16</v>
      </c>
      <c r="G9343" t="s">
        <v>34</v>
      </c>
      <c r="H9343" t="s">
        <v>18</v>
      </c>
      <c r="I9343" t="s">
        <v>19</v>
      </c>
      <c r="J9343" t="s">
        <v>46</v>
      </c>
      <c r="L9343" t="s">
        <v>105</v>
      </c>
      <c r="M9343" t="s">
        <v>10993</v>
      </c>
      <c r="N9343" t="s">
        <v>10993</v>
      </c>
      <c r="O9343" t="s">
        <v>73</v>
      </c>
      <c r="P9343" t="s">
        <v>81</v>
      </c>
      <c r="Q9343" t="s">
        <v>1101</v>
      </c>
      <c r="R9343" t="s">
        <v>10940</v>
      </c>
    </row>
    <row r="9344" spans="1:18" x14ac:dyDescent="0.25">
      <c r="A9344" t="s">
        <v>20507</v>
      </c>
      <c r="B9344" t="s">
        <v>10996</v>
      </c>
      <c r="C9344" t="str">
        <f>HYPERLINK("https://nematode.unl.edu/pucras2.jpg")</f>
        <v>https://nematode.unl.edu/pucras2.jpg</v>
      </c>
      <c r="D9344" t="s">
        <v>43</v>
      </c>
      <c r="G9344" t="s">
        <v>96</v>
      </c>
      <c r="H9344" t="s">
        <v>18</v>
      </c>
      <c r="I9344" t="s">
        <v>45</v>
      </c>
      <c r="J9344" t="s">
        <v>46</v>
      </c>
      <c r="M9344" t="s">
        <v>10993</v>
      </c>
      <c r="N9344" t="s">
        <v>10993</v>
      </c>
      <c r="O9344" t="s">
        <v>73</v>
      </c>
      <c r="P9344" t="s">
        <v>81</v>
      </c>
      <c r="Q9344" t="s">
        <v>1101</v>
      </c>
      <c r="R9344" t="s">
        <v>10940</v>
      </c>
    </row>
    <row r="9345" spans="1:18" x14ac:dyDescent="0.25">
      <c r="A9345" t="s">
        <v>20510</v>
      </c>
      <c r="B9345" t="s">
        <v>10997</v>
      </c>
      <c r="C9345" t="str">
        <f>HYPERLINK("https://nematode.unl.edu/pucras3.jpg")</f>
        <v>https://nematode.unl.edu/pucras3.jpg</v>
      </c>
      <c r="D9345" t="s">
        <v>43</v>
      </c>
      <c r="G9345" t="s">
        <v>34</v>
      </c>
      <c r="H9345" t="s">
        <v>18</v>
      </c>
      <c r="I9345" t="s">
        <v>19</v>
      </c>
      <c r="J9345" t="s">
        <v>46</v>
      </c>
      <c r="L9345" t="s">
        <v>727</v>
      </c>
      <c r="M9345" t="s">
        <v>10993</v>
      </c>
      <c r="N9345" t="s">
        <v>10993</v>
      </c>
      <c r="O9345" t="s">
        <v>73</v>
      </c>
      <c r="P9345" t="s">
        <v>81</v>
      </c>
      <c r="Q9345" t="s">
        <v>1101</v>
      </c>
      <c r="R9345" t="s">
        <v>10940</v>
      </c>
    </row>
    <row r="9346" spans="1:18" x14ac:dyDescent="0.25">
      <c r="A9346" t="s">
        <v>20512</v>
      </c>
      <c r="B9346" t="s">
        <v>10998</v>
      </c>
      <c r="C9346" t="str">
        <f>HYPERLINK("https://nematode.unl.edu/pucras4.jpg")</f>
        <v>https://nematode.unl.edu/pucras4.jpg</v>
      </c>
      <c r="D9346" t="s">
        <v>43</v>
      </c>
      <c r="G9346" t="s">
        <v>28</v>
      </c>
      <c r="I9346" t="s">
        <v>19</v>
      </c>
      <c r="L9346" t="s">
        <v>727</v>
      </c>
      <c r="M9346" t="s">
        <v>10993</v>
      </c>
      <c r="N9346" t="s">
        <v>10993</v>
      </c>
      <c r="O9346" t="s">
        <v>73</v>
      </c>
      <c r="P9346" t="s">
        <v>81</v>
      </c>
      <c r="Q9346" t="s">
        <v>1101</v>
      </c>
      <c r="R9346" t="s">
        <v>10940</v>
      </c>
    </row>
    <row r="9347" spans="1:18" x14ac:dyDescent="0.25">
      <c r="A9347" t="s">
        <v>20514</v>
      </c>
      <c r="B9347" t="s">
        <v>10999</v>
      </c>
      <c r="C9347" t="str">
        <f>HYPERLINK("https://nematode.unl.edu/pumo1.jpg")</f>
        <v>https://nematode.unl.edu/pumo1.jpg</v>
      </c>
      <c r="D9347" t="s">
        <v>77</v>
      </c>
      <c r="G9347" t="s">
        <v>34</v>
      </c>
      <c r="H9347" t="s">
        <v>18</v>
      </c>
      <c r="J9347" t="s">
        <v>20</v>
      </c>
      <c r="M9347" t="s">
        <v>11000</v>
      </c>
      <c r="N9347" t="s">
        <v>11000</v>
      </c>
      <c r="O9347" t="s">
        <v>73</v>
      </c>
      <c r="P9347" t="s">
        <v>81</v>
      </c>
      <c r="Q9347" t="s">
        <v>1101</v>
      </c>
      <c r="R9347" t="s">
        <v>10940</v>
      </c>
    </row>
    <row r="9348" spans="1:18" x14ac:dyDescent="0.25">
      <c r="A9348" t="s">
        <v>20532</v>
      </c>
      <c r="B9348" t="s">
        <v>11001</v>
      </c>
      <c r="C9348" t="str">
        <f>HYPERLINK("https://nematode.unl.edu/pumo10.jpg")</f>
        <v>https://nematode.unl.edu/pumo10.jpg</v>
      </c>
      <c r="D9348" t="s">
        <v>43</v>
      </c>
      <c r="G9348" t="s">
        <v>44</v>
      </c>
      <c r="I9348" t="s">
        <v>45</v>
      </c>
      <c r="J9348" t="s">
        <v>20</v>
      </c>
      <c r="L9348" t="s">
        <v>29</v>
      </c>
      <c r="M9348" t="s">
        <v>11000</v>
      </c>
      <c r="N9348" t="s">
        <v>11000</v>
      </c>
      <c r="O9348" t="s">
        <v>73</v>
      </c>
      <c r="P9348" t="s">
        <v>81</v>
      </c>
      <c r="Q9348" t="s">
        <v>1101</v>
      </c>
      <c r="R9348" t="s">
        <v>10940</v>
      </c>
    </row>
    <row r="9349" spans="1:18" x14ac:dyDescent="0.25">
      <c r="A9349" t="s">
        <v>20543</v>
      </c>
      <c r="B9349" t="s">
        <v>11002</v>
      </c>
      <c r="C9349" t="str">
        <f>HYPERLINK("https://nematode.unl.edu/pumo11.jpg")</f>
        <v>https://nematode.unl.edu/pumo11.jpg</v>
      </c>
      <c r="D9349" t="s">
        <v>43</v>
      </c>
      <c r="G9349" t="s">
        <v>28</v>
      </c>
      <c r="M9349" t="s">
        <v>11000</v>
      </c>
      <c r="N9349" t="s">
        <v>11000</v>
      </c>
      <c r="O9349" t="s">
        <v>73</v>
      </c>
      <c r="P9349" t="s">
        <v>81</v>
      </c>
      <c r="Q9349" t="s">
        <v>1101</v>
      </c>
      <c r="R9349" t="s">
        <v>10940</v>
      </c>
    </row>
    <row r="9350" spans="1:18" x14ac:dyDescent="0.25">
      <c r="A9350" t="s">
        <v>20555</v>
      </c>
      <c r="B9350" t="s">
        <v>11003</v>
      </c>
      <c r="C9350" t="str">
        <f>HYPERLINK("https://nematode.unl.edu/pumo12.jpg")</f>
        <v>https://nematode.unl.edu/pumo12.jpg</v>
      </c>
      <c r="D9350" t="s">
        <v>43</v>
      </c>
      <c r="G9350" t="s">
        <v>51</v>
      </c>
      <c r="J9350" t="s">
        <v>20</v>
      </c>
      <c r="M9350" t="s">
        <v>11000</v>
      </c>
      <c r="N9350" t="s">
        <v>11000</v>
      </c>
      <c r="O9350" t="s">
        <v>73</v>
      </c>
      <c r="P9350" t="s">
        <v>81</v>
      </c>
      <c r="Q9350" t="s">
        <v>1101</v>
      </c>
      <c r="R9350" t="s">
        <v>10940</v>
      </c>
    </row>
    <row r="9351" spans="1:18" x14ac:dyDescent="0.25">
      <c r="A9351" t="s">
        <v>20515</v>
      </c>
      <c r="B9351" t="s">
        <v>11004</v>
      </c>
      <c r="C9351" t="str">
        <f>HYPERLINK("https://nematode.unl.edu/pumo13.jpg")</f>
        <v>https://nematode.unl.edu/pumo13.jpg</v>
      </c>
      <c r="D9351" t="s">
        <v>43</v>
      </c>
      <c r="G9351" t="s">
        <v>34</v>
      </c>
      <c r="H9351" t="s">
        <v>18</v>
      </c>
      <c r="J9351" t="s">
        <v>20</v>
      </c>
      <c r="L9351" t="s">
        <v>29</v>
      </c>
      <c r="M9351" t="s">
        <v>11000</v>
      </c>
      <c r="N9351" t="s">
        <v>11000</v>
      </c>
      <c r="O9351" t="s">
        <v>73</v>
      </c>
      <c r="P9351" t="s">
        <v>81</v>
      </c>
      <c r="Q9351" t="s">
        <v>1101</v>
      </c>
      <c r="R9351" t="s">
        <v>10940</v>
      </c>
    </row>
    <row r="9352" spans="1:18" x14ac:dyDescent="0.25">
      <c r="A9352" t="s">
        <v>20516</v>
      </c>
      <c r="B9352" t="s">
        <v>11005</v>
      </c>
      <c r="C9352" t="str">
        <f>HYPERLINK("https://nematode.unl.edu/pumo14.jpg")</f>
        <v>https://nematode.unl.edu/pumo14.jpg</v>
      </c>
      <c r="D9352" t="s">
        <v>77</v>
      </c>
      <c r="G9352" t="s">
        <v>34</v>
      </c>
      <c r="H9352" t="s">
        <v>18</v>
      </c>
      <c r="J9352" t="s">
        <v>20</v>
      </c>
      <c r="L9352" t="s">
        <v>141</v>
      </c>
      <c r="M9352" t="s">
        <v>11000</v>
      </c>
      <c r="N9352" t="s">
        <v>11000</v>
      </c>
      <c r="O9352" t="s">
        <v>73</v>
      </c>
      <c r="P9352" t="s">
        <v>81</v>
      </c>
      <c r="Q9352" t="s">
        <v>1101</v>
      </c>
      <c r="R9352" t="s">
        <v>10940</v>
      </c>
    </row>
    <row r="9353" spans="1:18" x14ac:dyDescent="0.25">
      <c r="A9353" t="s">
        <v>20556</v>
      </c>
      <c r="B9353" t="s">
        <v>11006</v>
      </c>
      <c r="C9353" t="str">
        <f>HYPERLINK("https://nematode.unl.edu/pumo15.jpg")</f>
        <v>https://nematode.unl.edu/pumo15.jpg</v>
      </c>
      <c r="D9353" t="s">
        <v>43</v>
      </c>
      <c r="G9353" t="s">
        <v>51</v>
      </c>
      <c r="I9353" t="s">
        <v>19</v>
      </c>
      <c r="J9353" t="s">
        <v>20</v>
      </c>
      <c r="M9353" t="s">
        <v>11000</v>
      </c>
      <c r="N9353" t="s">
        <v>11000</v>
      </c>
      <c r="O9353" t="s">
        <v>73</v>
      </c>
      <c r="P9353" t="s">
        <v>81</v>
      </c>
      <c r="Q9353" t="s">
        <v>1101</v>
      </c>
      <c r="R9353" t="s">
        <v>10940</v>
      </c>
    </row>
    <row r="9354" spans="1:18" x14ac:dyDescent="0.25">
      <c r="A9354" t="s">
        <v>20544</v>
      </c>
      <c r="B9354" t="s">
        <v>11007</v>
      </c>
      <c r="C9354" t="str">
        <f>HYPERLINK("https://nematode.unl.edu/pumo16.jpg")</f>
        <v>https://nematode.unl.edu/pumo16.jpg</v>
      </c>
      <c r="D9354" t="s">
        <v>43</v>
      </c>
      <c r="G9354" t="s">
        <v>28</v>
      </c>
      <c r="I9354" t="s">
        <v>19</v>
      </c>
      <c r="J9354" t="s">
        <v>20</v>
      </c>
      <c r="M9354" t="s">
        <v>11000</v>
      </c>
      <c r="N9354" t="s">
        <v>11000</v>
      </c>
      <c r="O9354" t="s">
        <v>73</v>
      </c>
      <c r="P9354" t="s">
        <v>81</v>
      </c>
      <c r="Q9354" t="s">
        <v>1101</v>
      </c>
      <c r="R9354" t="s">
        <v>10940</v>
      </c>
    </row>
    <row r="9355" spans="1:18" x14ac:dyDescent="0.25">
      <c r="A9355" t="s">
        <v>20533</v>
      </c>
      <c r="B9355" t="s">
        <v>11008</v>
      </c>
      <c r="C9355" t="str">
        <f>HYPERLINK("https://nematode.unl.edu/pumo17.jpg")</f>
        <v>https://nematode.unl.edu/pumo17.jpg</v>
      </c>
      <c r="D9355" t="s">
        <v>43</v>
      </c>
      <c r="G9355" t="s">
        <v>44</v>
      </c>
      <c r="I9355" t="s">
        <v>45</v>
      </c>
      <c r="J9355" t="s">
        <v>20</v>
      </c>
      <c r="M9355" t="s">
        <v>11000</v>
      </c>
      <c r="N9355" t="s">
        <v>11000</v>
      </c>
      <c r="O9355" t="s">
        <v>73</v>
      </c>
      <c r="P9355" t="s">
        <v>81</v>
      </c>
      <c r="Q9355" t="s">
        <v>1101</v>
      </c>
      <c r="R9355" t="s">
        <v>10940</v>
      </c>
    </row>
    <row r="9356" spans="1:18" x14ac:dyDescent="0.25">
      <c r="A9356" t="s">
        <v>20545</v>
      </c>
      <c r="B9356" t="s">
        <v>11009</v>
      </c>
      <c r="C9356" t="str">
        <f>HYPERLINK("https://nematode.unl.edu/pumo18.jpg")</f>
        <v>https://nematode.unl.edu/pumo18.jpg</v>
      </c>
      <c r="D9356" t="s">
        <v>43</v>
      </c>
      <c r="G9356" t="s">
        <v>28</v>
      </c>
      <c r="J9356" t="s">
        <v>20</v>
      </c>
      <c r="L9356" t="s">
        <v>85</v>
      </c>
      <c r="M9356" t="s">
        <v>11000</v>
      </c>
      <c r="N9356" t="s">
        <v>11000</v>
      </c>
      <c r="O9356" t="s">
        <v>73</v>
      </c>
      <c r="P9356" t="s">
        <v>81</v>
      </c>
      <c r="Q9356" t="s">
        <v>1101</v>
      </c>
      <c r="R9356" t="s">
        <v>10940</v>
      </c>
    </row>
    <row r="9357" spans="1:18" x14ac:dyDescent="0.25">
      <c r="A9357" t="s">
        <v>20557</v>
      </c>
      <c r="B9357" t="s">
        <v>11010</v>
      </c>
      <c r="C9357" t="str">
        <f>HYPERLINK("https://nematode.unl.edu/pumo19.jpg")</f>
        <v>https://nematode.unl.edu/pumo19.jpg</v>
      </c>
      <c r="D9357" t="s">
        <v>43</v>
      </c>
      <c r="G9357" t="s">
        <v>51</v>
      </c>
      <c r="I9357" t="s">
        <v>19</v>
      </c>
      <c r="J9357" t="s">
        <v>20</v>
      </c>
      <c r="M9357" t="s">
        <v>11000</v>
      </c>
      <c r="N9357" t="s">
        <v>11000</v>
      </c>
      <c r="O9357" t="s">
        <v>73</v>
      </c>
      <c r="P9357" t="s">
        <v>81</v>
      </c>
      <c r="Q9357" t="s">
        <v>1101</v>
      </c>
      <c r="R9357" t="s">
        <v>10940</v>
      </c>
    </row>
    <row r="9358" spans="1:18" x14ac:dyDescent="0.25">
      <c r="A9358" t="s">
        <v>20534</v>
      </c>
      <c r="B9358" t="s">
        <v>11011</v>
      </c>
      <c r="C9358" t="str">
        <f>HYPERLINK("https://nematode.unl.edu/pumo2.jpg")</f>
        <v>https://nematode.unl.edu/pumo2.jpg</v>
      </c>
      <c r="D9358" t="s">
        <v>43</v>
      </c>
      <c r="G9358" t="s">
        <v>44</v>
      </c>
      <c r="J9358" t="s">
        <v>20</v>
      </c>
      <c r="M9358" t="s">
        <v>11000</v>
      </c>
      <c r="N9358" t="s">
        <v>11000</v>
      </c>
      <c r="O9358" t="s">
        <v>73</v>
      </c>
      <c r="P9358" t="s">
        <v>81</v>
      </c>
      <c r="Q9358" t="s">
        <v>1101</v>
      </c>
      <c r="R9358" t="s">
        <v>10940</v>
      </c>
    </row>
    <row r="9359" spans="1:18" x14ac:dyDescent="0.25">
      <c r="A9359" t="s">
        <v>20526</v>
      </c>
      <c r="B9359" t="s">
        <v>11012</v>
      </c>
      <c r="C9359" t="str">
        <f>HYPERLINK("https://nematode.unl.edu/pumo20.jpg")</f>
        <v>https://nematode.unl.edu/pumo20.jpg</v>
      </c>
      <c r="D9359" t="s">
        <v>43</v>
      </c>
      <c r="G9359" t="s">
        <v>87</v>
      </c>
      <c r="J9359" t="s">
        <v>20</v>
      </c>
      <c r="M9359" t="s">
        <v>11000</v>
      </c>
      <c r="N9359" t="s">
        <v>11000</v>
      </c>
      <c r="O9359" t="s">
        <v>73</v>
      </c>
      <c r="P9359" t="s">
        <v>81</v>
      </c>
      <c r="Q9359" t="s">
        <v>1101</v>
      </c>
      <c r="R9359" t="s">
        <v>10940</v>
      </c>
    </row>
    <row r="9360" spans="1:18" x14ac:dyDescent="0.25">
      <c r="A9360" t="s">
        <v>20517</v>
      </c>
      <c r="B9360" t="s">
        <v>11013</v>
      </c>
      <c r="C9360" t="str">
        <f>HYPERLINK("https://nematode.unl.edu/pumo21.jpg")</f>
        <v>https://nematode.unl.edu/pumo21.jpg</v>
      </c>
      <c r="D9360" t="s">
        <v>77</v>
      </c>
      <c r="G9360" t="s">
        <v>34</v>
      </c>
      <c r="H9360" t="s">
        <v>18</v>
      </c>
      <c r="J9360" t="s">
        <v>20</v>
      </c>
      <c r="L9360" t="s">
        <v>85</v>
      </c>
      <c r="M9360" t="s">
        <v>11000</v>
      </c>
      <c r="N9360" t="s">
        <v>11000</v>
      </c>
      <c r="O9360" t="s">
        <v>73</v>
      </c>
      <c r="P9360" t="s">
        <v>81</v>
      </c>
      <c r="Q9360" t="s">
        <v>1101</v>
      </c>
      <c r="R9360" t="s">
        <v>10940</v>
      </c>
    </row>
    <row r="9361" spans="1:18" x14ac:dyDescent="0.25">
      <c r="A9361" t="s">
        <v>20535</v>
      </c>
      <c r="B9361" t="s">
        <v>11014</v>
      </c>
      <c r="C9361" t="str">
        <f>HYPERLINK("https://nematode.unl.edu/pumo22.jpg")</f>
        <v>https://nematode.unl.edu/pumo22.jpg</v>
      </c>
      <c r="D9361" t="s">
        <v>43</v>
      </c>
      <c r="G9361" t="s">
        <v>44</v>
      </c>
      <c r="I9361" t="s">
        <v>45</v>
      </c>
      <c r="J9361" t="s">
        <v>20</v>
      </c>
      <c r="L9361" t="s">
        <v>138</v>
      </c>
      <c r="M9361" t="s">
        <v>11000</v>
      </c>
      <c r="N9361" t="s">
        <v>11000</v>
      </c>
      <c r="O9361" t="s">
        <v>73</v>
      </c>
      <c r="P9361" t="s">
        <v>81</v>
      </c>
      <c r="Q9361" t="s">
        <v>1101</v>
      </c>
      <c r="R9361" t="s">
        <v>10940</v>
      </c>
    </row>
    <row r="9362" spans="1:18" x14ac:dyDescent="0.25">
      <c r="A9362" t="s">
        <v>20558</v>
      </c>
      <c r="B9362" t="s">
        <v>11015</v>
      </c>
      <c r="C9362" t="str">
        <f>HYPERLINK("https://nematode.unl.edu/pumo23.jpg")</f>
        <v>https://nematode.unl.edu/pumo23.jpg</v>
      </c>
      <c r="D9362" t="s">
        <v>43</v>
      </c>
      <c r="G9362" t="s">
        <v>51</v>
      </c>
      <c r="J9362" t="s">
        <v>20</v>
      </c>
      <c r="L9362" t="s">
        <v>141</v>
      </c>
      <c r="M9362" t="s">
        <v>11000</v>
      </c>
      <c r="N9362" t="s">
        <v>11000</v>
      </c>
      <c r="O9362" t="s">
        <v>73</v>
      </c>
      <c r="P9362" t="s">
        <v>81</v>
      </c>
      <c r="Q9362" t="s">
        <v>1101</v>
      </c>
      <c r="R9362" t="s">
        <v>10940</v>
      </c>
    </row>
    <row r="9363" spans="1:18" x14ac:dyDescent="0.25">
      <c r="A9363" t="s">
        <v>20546</v>
      </c>
      <c r="B9363" t="s">
        <v>11016</v>
      </c>
      <c r="C9363" t="str">
        <f>HYPERLINK("https://nematode.unl.edu/pumo24.jpg")</f>
        <v>https://nematode.unl.edu/pumo24.jpg</v>
      </c>
      <c r="D9363" t="s">
        <v>43</v>
      </c>
      <c r="G9363" t="s">
        <v>28</v>
      </c>
      <c r="J9363" t="s">
        <v>20</v>
      </c>
      <c r="L9363" t="s">
        <v>138</v>
      </c>
      <c r="M9363" t="s">
        <v>11000</v>
      </c>
      <c r="N9363" t="s">
        <v>11000</v>
      </c>
      <c r="O9363" t="s">
        <v>73</v>
      </c>
      <c r="P9363" t="s">
        <v>81</v>
      </c>
      <c r="Q9363" t="s">
        <v>1101</v>
      </c>
      <c r="R9363" t="s">
        <v>10940</v>
      </c>
    </row>
    <row r="9364" spans="1:18" x14ac:dyDescent="0.25">
      <c r="A9364" t="s">
        <v>20527</v>
      </c>
      <c r="B9364" t="s">
        <v>11017</v>
      </c>
      <c r="C9364" t="str">
        <f>HYPERLINK("https://nematode.unl.edu/pumo25.jpg")</f>
        <v>https://nematode.unl.edu/pumo25.jpg</v>
      </c>
      <c r="D9364" t="s">
        <v>43</v>
      </c>
      <c r="G9364" t="s">
        <v>87</v>
      </c>
      <c r="I9364" t="s">
        <v>19</v>
      </c>
      <c r="J9364" t="s">
        <v>20</v>
      </c>
      <c r="L9364" t="s">
        <v>352</v>
      </c>
      <c r="M9364" t="s">
        <v>11000</v>
      </c>
      <c r="N9364" t="s">
        <v>11000</v>
      </c>
      <c r="O9364" t="s">
        <v>73</v>
      </c>
      <c r="P9364" t="s">
        <v>81</v>
      </c>
      <c r="Q9364" t="s">
        <v>1101</v>
      </c>
      <c r="R9364" t="s">
        <v>10940</v>
      </c>
    </row>
    <row r="9365" spans="1:18" x14ac:dyDescent="0.25">
      <c r="A9365" t="s">
        <v>20518</v>
      </c>
      <c r="B9365" t="s">
        <v>11018</v>
      </c>
      <c r="C9365" t="str">
        <f>HYPERLINK("https://nematode.unl.edu/pumo26.jpg")</f>
        <v>https://nematode.unl.edu/pumo26.jpg</v>
      </c>
      <c r="D9365" t="s">
        <v>77</v>
      </c>
      <c r="G9365" t="s">
        <v>34</v>
      </c>
      <c r="H9365" t="s">
        <v>18</v>
      </c>
      <c r="J9365" t="s">
        <v>20</v>
      </c>
      <c r="L9365" t="s">
        <v>352</v>
      </c>
      <c r="M9365" t="s">
        <v>11000</v>
      </c>
      <c r="N9365" t="s">
        <v>11000</v>
      </c>
      <c r="O9365" t="s">
        <v>73</v>
      </c>
      <c r="P9365" t="s">
        <v>81</v>
      </c>
      <c r="Q9365" t="s">
        <v>1101</v>
      </c>
      <c r="R9365" t="s">
        <v>10940</v>
      </c>
    </row>
    <row r="9366" spans="1:18" x14ac:dyDescent="0.25">
      <c r="A9366" t="s">
        <v>20559</v>
      </c>
      <c r="B9366" t="s">
        <v>11019</v>
      </c>
      <c r="C9366" t="str">
        <f>HYPERLINK("https://nematode.unl.edu/pumo27.jpg")</f>
        <v>https://nematode.unl.edu/pumo27.jpg</v>
      </c>
      <c r="D9366" t="s">
        <v>43</v>
      </c>
      <c r="G9366" t="s">
        <v>51</v>
      </c>
      <c r="J9366" t="s">
        <v>20</v>
      </c>
      <c r="L9366" t="s">
        <v>138</v>
      </c>
      <c r="M9366" t="s">
        <v>11000</v>
      </c>
      <c r="N9366" t="s">
        <v>11000</v>
      </c>
      <c r="O9366" t="s">
        <v>73</v>
      </c>
      <c r="P9366" t="s">
        <v>81</v>
      </c>
      <c r="Q9366" t="s">
        <v>1101</v>
      </c>
      <c r="R9366" t="s">
        <v>10940</v>
      </c>
    </row>
    <row r="9367" spans="1:18" x14ac:dyDescent="0.25">
      <c r="A9367" t="s">
        <v>20528</v>
      </c>
      <c r="B9367" t="s">
        <v>11020</v>
      </c>
      <c r="C9367" t="str">
        <f>HYPERLINK("https://nematode.unl.edu/pumo28.jpg")</f>
        <v>https://nematode.unl.edu/pumo28.jpg</v>
      </c>
      <c r="D9367" t="s">
        <v>43</v>
      </c>
      <c r="G9367" t="s">
        <v>87</v>
      </c>
      <c r="J9367" t="s">
        <v>20</v>
      </c>
      <c r="L9367" t="s">
        <v>138</v>
      </c>
      <c r="M9367" t="s">
        <v>11000</v>
      </c>
      <c r="N9367" t="s">
        <v>11000</v>
      </c>
      <c r="O9367" t="s">
        <v>73</v>
      </c>
      <c r="P9367" t="s">
        <v>81</v>
      </c>
      <c r="Q9367" t="s">
        <v>1101</v>
      </c>
      <c r="R9367" t="s">
        <v>10940</v>
      </c>
    </row>
    <row r="9368" spans="1:18" x14ac:dyDescent="0.25">
      <c r="A9368" t="s">
        <v>20539</v>
      </c>
      <c r="B9368" t="s">
        <v>11021</v>
      </c>
      <c r="C9368" t="str">
        <f>HYPERLINK("https://nematode.unl.edu/pumo29.jpg")</f>
        <v>https://nematode.unl.edu/pumo29.jpg</v>
      </c>
      <c r="G9368" t="s">
        <v>1000</v>
      </c>
      <c r="I9368" t="s">
        <v>45</v>
      </c>
      <c r="J9368" t="s">
        <v>20</v>
      </c>
      <c r="L9368" t="s">
        <v>141</v>
      </c>
      <c r="M9368" t="s">
        <v>11000</v>
      </c>
      <c r="N9368" t="s">
        <v>11000</v>
      </c>
      <c r="O9368" t="s">
        <v>73</v>
      </c>
      <c r="P9368" t="s">
        <v>81</v>
      </c>
      <c r="Q9368" t="s">
        <v>1101</v>
      </c>
      <c r="R9368" t="s">
        <v>10940</v>
      </c>
    </row>
    <row r="9369" spans="1:18" x14ac:dyDescent="0.25">
      <c r="A9369" t="s">
        <v>20542</v>
      </c>
      <c r="B9369" t="s">
        <v>11022</v>
      </c>
      <c r="C9369" t="str">
        <f>HYPERLINK("https://nematode.unl.edu/pumo3.jpg")</f>
        <v>https://nematode.unl.edu/pumo3.jpg</v>
      </c>
      <c r="D9369" t="s">
        <v>43</v>
      </c>
      <c r="G9369" t="s">
        <v>181</v>
      </c>
      <c r="J9369" t="s">
        <v>20</v>
      </c>
      <c r="M9369" t="s">
        <v>11000</v>
      </c>
      <c r="N9369" t="s">
        <v>11000</v>
      </c>
      <c r="O9369" t="s">
        <v>73</v>
      </c>
      <c r="P9369" t="s">
        <v>81</v>
      </c>
      <c r="Q9369" t="s">
        <v>1101</v>
      </c>
      <c r="R9369" t="s">
        <v>10940</v>
      </c>
    </row>
    <row r="9370" spans="1:18" x14ac:dyDescent="0.25">
      <c r="A9370" t="s">
        <v>20547</v>
      </c>
      <c r="B9370" t="s">
        <v>11023</v>
      </c>
      <c r="C9370" t="str">
        <f>HYPERLINK("https://nematode.unl.edu/pumo30.jpg")</f>
        <v>https://nematode.unl.edu/pumo30.jpg</v>
      </c>
      <c r="D9370" t="s">
        <v>43</v>
      </c>
      <c r="G9370" t="s">
        <v>28</v>
      </c>
      <c r="J9370" t="s">
        <v>20</v>
      </c>
      <c r="L9370" t="s">
        <v>138</v>
      </c>
      <c r="M9370" t="s">
        <v>11000</v>
      </c>
      <c r="N9370" t="s">
        <v>11000</v>
      </c>
      <c r="O9370" t="s">
        <v>73</v>
      </c>
      <c r="P9370" t="s">
        <v>81</v>
      </c>
      <c r="Q9370" t="s">
        <v>1101</v>
      </c>
      <c r="R9370" t="s">
        <v>10940</v>
      </c>
    </row>
    <row r="9371" spans="1:18" x14ac:dyDescent="0.25">
      <c r="A9371" t="s">
        <v>20529</v>
      </c>
      <c r="B9371" t="s">
        <v>11024</v>
      </c>
      <c r="C9371" t="str">
        <f>HYPERLINK("https://nematode.unl.edu/pumo31.jpg")</f>
        <v>https://nematode.unl.edu/pumo31.jpg</v>
      </c>
      <c r="D9371" t="s">
        <v>43</v>
      </c>
      <c r="G9371" t="s">
        <v>87</v>
      </c>
      <c r="J9371" t="s">
        <v>20</v>
      </c>
      <c r="L9371" t="s">
        <v>173</v>
      </c>
      <c r="M9371" t="s">
        <v>11000</v>
      </c>
      <c r="N9371" t="s">
        <v>11000</v>
      </c>
      <c r="O9371" t="s">
        <v>73</v>
      </c>
      <c r="P9371" t="s">
        <v>81</v>
      </c>
      <c r="Q9371" t="s">
        <v>1101</v>
      </c>
      <c r="R9371" t="s">
        <v>10940</v>
      </c>
    </row>
    <row r="9372" spans="1:18" x14ac:dyDescent="0.25">
      <c r="A9372" t="s">
        <v>20519</v>
      </c>
      <c r="B9372" t="s">
        <v>11025</v>
      </c>
      <c r="C9372" t="str">
        <f>HYPERLINK("https://nematode.unl.edu/pumo32.jpg")</f>
        <v>https://nematode.unl.edu/pumo32.jpg</v>
      </c>
      <c r="D9372" t="s">
        <v>77</v>
      </c>
      <c r="G9372" t="s">
        <v>34</v>
      </c>
      <c r="H9372" t="s">
        <v>18</v>
      </c>
      <c r="I9372" t="s">
        <v>41</v>
      </c>
      <c r="J9372" t="s">
        <v>20</v>
      </c>
      <c r="M9372" t="s">
        <v>11000</v>
      </c>
      <c r="N9372" t="s">
        <v>11000</v>
      </c>
      <c r="O9372" t="s">
        <v>73</v>
      </c>
      <c r="P9372" t="s">
        <v>81</v>
      </c>
      <c r="Q9372" t="s">
        <v>1101</v>
      </c>
      <c r="R9372" t="s">
        <v>10940</v>
      </c>
    </row>
    <row r="9373" spans="1:18" x14ac:dyDescent="0.25">
      <c r="A9373" t="s">
        <v>20548</v>
      </c>
      <c r="B9373" t="s">
        <v>11026</v>
      </c>
      <c r="C9373" t="str">
        <f>HYPERLINK("https://nematode.unl.edu/pumo33.jpg")</f>
        <v>https://nematode.unl.edu/pumo33.jpg</v>
      </c>
      <c r="G9373" t="s">
        <v>28</v>
      </c>
      <c r="I9373" t="s">
        <v>19</v>
      </c>
      <c r="J9373" t="s">
        <v>20</v>
      </c>
      <c r="L9373" t="s">
        <v>85</v>
      </c>
      <c r="M9373" t="s">
        <v>11000</v>
      </c>
      <c r="N9373" t="s">
        <v>11000</v>
      </c>
      <c r="O9373" t="s">
        <v>73</v>
      </c>
      <c r="P9373" t="s">
        <v>81</v>
      </c>
      <c r="Q9373" t="s">
        <v>1101</v>
      </c>
      <c r="R9373" t="s">
        <v>10940</v>
      </c>
    </row>
    <row r="9374" spans="1:18" x14ac:dyDescent="0.25">
      <c r="A9374" t="s">
        <v>20520</v>
      </c>
      <c r="B9374" t="s">
        <v>11027</v>
      </c>
      <c r="C9374" t="str">
        <f>HYPERLINK("https://nematode.unl.edu/pumo34.jpg")</f>
        <v>https://nematode.unl.edu/pumo34.jpg</v>
      </c>
      <c r="D9374" t="s">
        <v>16</v>
      </c>
      <c r="G9374" t="s">
        <v>34</v>
      </c>
      <c r="H9374" t="s">
        <v>18</v>
      </c>
      <c r="I9374" t="s">
        <v>19</v>
      </c>
      <c r="J9374" t="s">
        <v>20</v>
      </c>
      <c r="L9374" t="s">
        <v>85</v>
      </c>
      <c r="M9374" t="s">
        <v>11000</v>
      </c>
      <c r="N9374" t="s">
        <v>11000</v>
      </c>
      <c r="O9374" t="s">
        <v>73</v>
      </c>
      <c r="P9374" t="s">
        <v>81</v>
      </c>
      <c r="Q9374" t="s">
        <v>1101</v>
      </c>
      <c r="R9374" t="s">
        <v>10940</v>
      </c>
    </row>
    <row r="9375" spans="1:18" x14ac:dyDescent="0.25">
      <c r="A9375" t="s">
        <v>20536</v>
      </c>
      <c r="B9375" t="s">
        <v>11028</v>
      </c>
      <c r="C9375" t="str">
        <f>HYPERLINK("https://nematode.unl.edu/pumo35.jpg")</f>
        <v>https://nematode.unl.edu/pumo35.jpg</v>
      </c>
      <c r="D9375" t="s">
        <v>43</v>
      </c>
      <c r="G9375" t="s">
        <v>44</v>
      </c>
      <c r="I9375" t="s">
        <v>91</v>
      </c>
      <c r="J9375" t="s">
        <v>20</v>
      </c>
      <c r="L9375" t="s">
        <v>352</v>
      </c>
      <c r="M9375" t="s">
        <v>11000</v>
      </c>
      <c r="N9375" t="s">
        <v>11000</v>
      </c>
      <c r="O9375" t="s">
        <v>73</v>
      </c>
      <c r="P9375" t="s">
        <v>81</v>
      </c>
      <c r="Q9375" t="s">
        <v>1101</v>
      </c>
      <c r="R9375" t="s">
        <v>10940</v>
      </c>
    </row>
    <row r="9376" spans="1:18" x14ac:dyDescent="0.25">
      <c r="A9376" t="s">
        <v>20521</v>
      </c>
      <c r="B9376" t="s">
        <v>11029</v>
      </c>
      <c r="C9376" t="str">
        <f>HYPERLINK("https://nematode.unl.edu/pumo36.jpg")</f>
        <v>https://nematode.unl.edu/pumo36.jpg</v>
      </c>
      <c r="D9376" t="s">
        <v>77</v>
      </c>
      <c r="G9376" t="s">
        <v>34</v>
      </c>
      <c r="H9376" t="s">
        <v>18</v>
      </c>
      <c r="J9376" t="s">
        <v>20</v>
      </c>
      <c r="L9376" t="s">
        <v>138</v>
      </c>
      <c r="M9376" t="s">
        <v>11000</v>
      </c>
      <c r="N9376" t="s">
        <v>11000</v>
      </c>
      <c r="O9376" t="s">
        <v>73</v>
      </c>
      <c r="P9376" t="s">
        <v>81</v>
      </c>
      <c r="Q9376" t="s">
        <v>1101</v>
      </c>
      <c r="R9376" t="s">
        <v>10940</v>
      </c>
    </row>
    <row r="9377" spans="1:18" x14ac:dyDescent="0.25">
      <c r="A9377" t="s">
        <v>20560</v>
      </c>
      <c r="B9377" t="s">
        <v>11030</v>
      </c>
      <c r="C9377" t="str">
        <f>HYPERLINK("https://nematode.unl.edu/pumo37.jpg")</f>
        <v>https://nematode.unl.edu/pumo37.jpg</v>
      </c>
      <c r="D9377" t="s">
        <v>43</v>
      </c>
      <c r="G9377" t="s">
        <v>51</v>
      </c>
      <c r="I9377" t="s">
        <v>137</v>
      </c>
      <c r="J9377" t="s">
        <v>20</v>
      </c>
      <c r="M9377" t="s">
        <v>11000</v>
      </c>
      <c r="N9377" t="s">
        <v>11000</v>
      </c>
      <c r="O9377" t="s">
        <v>73</v>
      </c>
      <c r="P9377" t="s">
        <v>81</v>
      </c>
      <c r="Q9377" t="s">
        <v>1101</v>
      </c>
      <c r="R9377" t="s">
        <v>10940</v>
      </c>
    </row>
    <row r="9378" spans="1:18" x14ac:dyDescent="0.25">
      <c r="A9378" t="s">
        <v>20549</v>
      </c>
      <c r="B9378" t="s">
        <v>11031</v>
      </c>
      <c r="C9378" t="str">
        <f>HYPERLINK("https://nematode.unl.edu/pumo38.jpg")</f>
        <v>https://nematode.unl.edu/pumo38.jpg</v>
      </c>
      <c r="D9378" t="s">
        <v>43</v>
      </c>
      <c r="G9378" t="s">
        <v>28</v>
      </c>
      <c r="J9378" t="s">
        <v>20</v>
      </c>
      <c r="M9378" t="s">
        <v>11000</v>
      </c>
      <c r="N9378" t="s">
        <v>11000</v>
      </c>
      <c r="O9378" t="s">
        <v>73</v>
      </c>
      <c r="P9378" t="s">
        <v>81</v>
      </c>
      <c r="Q9378" t="s">
        <v>1101</v>
      </c>
      <c r="R9378" t="s">
        <v>10940</v>
      </c>
    </row>
    <row r="9379" spans="1:18" x14ac:dyDescent="0.25">
      <c r="A9379" t="s">
        <v>20550</v>
      </c>
      <c r="B9379" t="s">
        <v>11032</v>
      </c>
      <c r="C9379" t="str">
        <f>HYPERLINK("https://nematode.unl.edu/pumo4.jpg")</f>
        <v>https://nematode.unl.edu/pumo4.jpg</v>
      </c>
      <c r="D9379" t="s">
        <v>43</v>
      </c>
      <c r="G9379" t="s">
        <v>28</v>
      </c>
      <c r="J9379" t="s">
        <v>20</v>
      </c>
      <c r="L9379" t="s">
        <v>85</v>
      </c>
      <c r="M9379" t="s">
        <v>11000</v>
      </c>
      <c r="N9379" t="s">
        <v>11000</v>
      </c>
      <c r="O9379" t="s">
        <v>73</v>
      </c>
      <c r="P9379" t="s">
        <v>81</v>
      </c>
      <c r="Q9379" t="s">
        <v>1101</v>
      </c>
      <c r="R9379" t="s">
        <v>10940</v>
      </c>
    </row>
    <row r="9380" spans="1:18" x14ac:dyDescent="0.25">
      <c r="A9380" t="s">
        <v>20561</v>
      </c>
      <c r="B9380" t="s">
        <v>11033</v>
      </c>
      <c r="C9380" t="str">
        <f>HYPERLINK("https://nematode.unl.edu/pumo5.jpg")</f>
        <v>https://nematode.unl.edu/pumo5.jpg</v>
      </c>
      <c r="D9380" t="s">
        <v>43</v>
      </c>
      <c r="G9380" t="s">
        <v>51</v>
      </c>
      <c r="J9380" t="s">
        <v>20</v>
      </c>
      <c r="M9380" t="s">
        <v>11000</v>
      </c>
      <c r="N9380" t="s">
        <v>11000</v>
      </c>
      <c r="O9380" t="s">
        <v>73</v>
      </c>
      <c r="P9380" t="s">
        <v>81</v>
      </c>
      <c r="Q9380" t="s">
        <v>1101</v>
      </c>
      <c r="R9380" t="s">
        <v>10940</v>
      </c>
    </row>
    <row r="9381" spans="1:18" x14ac:dyDescent="0.25">
      <c r="A9381" t="s">
        <v>20530</v>
      </c>
      <c r="B9381" t="s">
        <v>11034</v>
      </c>
      <c r="C9381" t="str">
        <f>HYPERLINK("https://nematode.unl.edu/pumo6.jpg")</f>
        <v>https://nematode.unl.edu/pumo6.jpg</v>
      </c>
      <c r="D9381" t="s">
        <v>43</v>
      </c>
      <c r="G9381" t="s">
        <v>87</v>
      </c>
      <c r="J9381" t="s">
        <v>20</v>
      </c>
      <c r="M9381" t="s">
        <v>11000</v>
      </c>
      <c r="N9381" t="s">
        <v>11000</v>
      </c>
      <c r="O9381" t="s">
        <v>73</v>
      </c>
      <c r="P9381" t="s">
        <v>81</v>
      </c>
      <c r="Q9381" t="s">
        <v>1101</v>
      </c>
      <c r="R9381" t="s">
        <v>10940</v>
      </c>
    </row>
    <row r="9382" spans="1:18" x14ac:dyDescent="0.25">
      <c r="A9382" t="s">
        <v>20522</v>
      </c>
      <c r="B9382" t="s">
        <v>11035</v>
      </c>
      <c r="C9382" t="str">
        <f>HYPERLINK("https://nematode.unl.edu/pumo7.jpg")</f>
        <v>https://nematode.unl.edu/pumo7.jpg</v>
      </c>
      <c r="D9382" t="s">
        <v>77</v>
      </c>
      <c r="G9382" t="s">
        <v>34</v>
      </c>
      <c r="H9382" t="s">
        <v>18</v>
      </c>
      <c r="J9382" t="s">
        <v>20</v>
      </c>
      <c r="L9382" t="s">
        <v>85</v>
      </c>
      <c r="M9382" t="s">
        <v>11000</v>
      </c>
      <c r="N9382" t="s">
        <v>11000</v>
      </c>
      <c r="O9382" t="s">
        <v>73</v>
      </c>
      <c r="P9382" t="s">
        <v>81</v>
      </c>
      <c r="Q9382" t="s">
        <v>1101</v>
      </c>
      <c r="R9382" t="s">
        <v>10940</v>
      </c>
    </row>
    <row r="9383" spans="1:18" x14ac:dyDescent="0.25">
      <c r="A9383" t="s">
        <v>20562</v>
      </c>
      <c r="B9383" t="s">
        <v>11036</v>
      </c>
      <c r="C9383" t="str">
        <f>HYPERLINK("https://nematode.unl.edu/pumo8.jpg")</f>
        <v>https://nematode.unl.edu/pumo8.jpg</v>
      </c>
      <c r="D9383" t="s">
        <v>43</v>
      </c>
      <c r="G9383" t="s">
        <v>51</v>
      </c>
      <c r="I9383" t="s">
        <v>41</v>
      </c>
      <c r="J9383" t="s">
        <v>20</v>
      </c>
      <c r="M9383" t="s">
        <v>11000</v>
      </c>
      <c r="N9383" t="s">
        <v>11000</v>
      </c>
      <c r="O9383" t="s">
        <v>73</v>
      </c>
      <c r="P9383" t="s">
        <v>81</v>
      </c>
      <c r="Q9383" t="s">
        <v>1101</v>
      </c>
      <c r="R9383" t="s">
        <v>10940</v>
      </c>
    </row>
    <row r="9384" spans="1:18" x14ac:dyDescent="0.25">
      <c r="A9384" t="s">
        <v>20523</v>
      </c>
      <c r="B9384" t="s">
        <v>11037</v>
      </c>
      <c r="C9384" t="str">
        <f>HYPERLINK("https://nematode.unl.edu/pumo9.jpg")</f>
        <v>https://nematode.unl.edu/pumo9.jpg</v>
      </c>
      <c r="D9384" t="s">
        <v>43</v>
      </c>
      <c r="G9384" t="s">
        <v>34</v>
      </c>
      <c r="H9384" t="s">
        <v>18</v>
      </c>
      <c r="I9384" t="s">
        <v>41</v>
      </c>
      <c r="J9384" t="s">
        <v>20</v>
      </c>
      <c r="M9384" t="s">
        <v>11000</v>
      </c>
      <c r="N9384" t="s">
        <v>11000</v>
      </c>
      <c r="O9384" t="s">
        <v>73</v>
      </c>
      <c r="P9384" t="s">
        <v>81</v>
      </c>
      <c r="Q9384" t="s">
        <v>1101</v>
      </c>
      <c r="R9384" t="s">
        <v>10940</v>
      </c>
    </row>
    <row r="9385" spans="1:18" x14ac:dyDescent="0.25">
      <c r="A9385" t="s">
        <v>20551</v>
      </c>
      <c r="B9385" t="s">
        <v>11038</v>
      </c>
      <c r="C9385" t="str">
        <f>HYPERLINK("https://nematode.unl.edu/pumocmp.jpg")</f>
        <v>https://nematode.unl.edu/pumocmp.jpg</v>
      </c>
      <c r="D9385" t="s">
        <v>43</v>
      </c>
      <c r="G9385" t="s">
        <v>28</v>
      </c>
      <c r="M9385" t="s">
        <v>11000</v>
      </c>
      <c r="N9385" t="s">
        <v>11000</v>
      </c>
      <c r="O9385" t="s">
        <v>73</v>
      </c>
      <c r="P9385" t="s">
        <v>81</v>
      </c>
      <c r="Q9385" t="s">
        <v>1101</v>
      </c>
      <c r="R9385" t="s">
        <v>10940</v>
      </c>
    </row>
    <row r="9386" spans="1:18" x14ac:dyDescent="0.25">
      <c r="A9386" t="s">
        <v>20492</v>
      </c>
      <c r="B9386" t="s">
        <v>10969</v>
      </c>
      <c r="C9386" t="str">
        <f>HYPERLINK("https://nematode.unl.edu/punan1.jpg")</f>
        <v>https://nematode.unl.edu/punan1.jpg</v>
      </c>
      <c r="D9386" t="s">
        <v>43</v>
      </c>
      <c r="G9386" t="s">
        <v>44</v>
      </c>
      <c r="I9386" t="s">
        <v>1008</v>
      </c>
      <c r="J9386" t="s">
        <v>20</v>
      </c>
      <c r="L9386" t="s">
        <v>64</v>
      </c>
      <c r="M9386" t="s">
        <v>10970</v>
      </c>
      <c r="N9386" t="s">
        <v>10970</v>
      </c>
      <c r="O9386" t="s">
        <v>73</v>
      </c>
      <c r="P9386" t="s">
        <v>81</v>
      </c>
      <c r="Q9386" t="s">
        <v>1101</v>
      </c>
      <c r="R9386" t="s">
        <v>10940</v>
      </c>
    </row>
    <row r="9387" spans="1:18" x14ac:dyDescent="0.25">
      <c r="A9387" t="s">
        <v>20499</v>
      </c>
      <c r="B9387" t="s">
        <v>10971</v>
      </c>
      <c r="C9387" t="str">
        <f>HYPERLINK("https://nematode.unl.edu/punan10.jpg")</f>
        <v>https://nematode.unl.edu/punan10.jpg</v>
      </c>
      <c r="D9387" t="s">
        <v>43</v>
      </c>
      <c r="G9387" t="s">
        <v>51</v>
      </c>
      <c r="J9387" t="s">
        <v>20</v>
      </c>
      <c r="L9387" t="s">
        <v>220</v>
      </c>
      <c r="M9387" t="s">
        <v>10970</v>
      </c>
      <c r="N9387" t="s">
        <v>10970</v>
      </c>
      <c r="O9387" t="s">
        <v>73</v>
      </c>
      <c r="P9387" t="s">
        <v>81</v>
      </c>
      <c r="Q9387" t="s">
        <v>1101</v>
      </c>
      <c r="R9387" t="s">
        <v>10940</v>
      </c>
    </row>
    <row r="9388" spans="1:18" x14ac:dyDescent="0.25">
      <c r="A9388" t="s">
        <v>20490</v>
      </c>
      <c r="B9388" t="s">
        <v>10972</v>
      </c>
      <c r="C9388" t="str">
        <f>HYPERLINK("https://nematode.unl.edu/punan11.jpg")</f>
        <v>https://nematode.unl.edu/punan11.jpg</v>
      </c>
      <c r="D9388" t="s">
        <v>43</v>
      </c>
      <c r="G9388" t="s">
        <v>87</v>
      </c>
      <c r="J9388" t="s">
        <v>20</v>
      </c>
      <c r="L9388" t="s">
        <v>352</v>
      </c>
      <c r="M9388" t="s">
        <v>10970</v>
      </c>
      <c r="N9388" t="s">
        <v>10970</v>
      </c>
      <c r="O9388" t="s">
        <v>73</v>
      </c>
      <c r="P9388" t="s">
        <v>81</v>
      </c>
      <c r="Q9388" t="s">
        <v>1101</v>
      </c>
      <c r="R9388" t="s">
        <v>10940</v>
      </c>
    </row>
    <row r="9389" spans="1:18" x14ac:dyDescent="0.25">
      <c r="A9389" t="s">
        <v>20487</v>
      </c>
      <c r="B9389" t="s">
        <v>10973</v>
      </c>
      <c r="C9389" t="str">
        <f>HYPERLINK("https://nematode.unl.edu/punan12.jpg")</f>
        <v>https://nematode.unl.edu/punan12.jpg</v>
      </c>
      <c r="D9389" t="s">
        <v>43</v>
      </c>
      <c r="G9389" t="s">
        <v>34</v>
      </c>
      <c r="H9389" t="s">
        <v>18</v>
      </c>
      <c r="I9389" t="s">
        <v>19</v>
      </c>
      <c r="J9389" t="s">
        <v>20</v>
      </c>
      <c r="M9389" t="s">
        <v>10970</v>
      </c>
      <c r="N9389" t="s">
        <v>10970</v>
      </c>
      <c r="O9389" t="s">
        <v>73</v>
      </c>
      <c r="P9389" t="s">
        <v>81</v>
      </c>
      <c r="Q9389" t="s">
        <v>1101</v>
      </c>
      <c r="R9389" t="s">
        <v>10940</v>
      </c>
    </row>
    <row r="9390" spans="1:18" x14ac:dyDescent="0.25">
      <c r="A9390" t="s">
        <v>20488</v>
      </c>
      <c r="B9390" t="s">
        <v>10974</v>
      </c>
      <c r="C9390" t="str">
        <f>HYPERLINK("https://nematode.unl.edu/punan13.jpg")</f>
        <v>https://nematode.unl.edu/punan13.jpg</v>
      </c>
      <c r="D9390" t="s">
        <v>16</v>
      </c>
      <c r="G9390" t="s">
        <v>34</v>
      </c>
      <c r="H9390" t="s">
        <v>18</v>
      </c>
      <c r="I9390" t="s">
        <v>19</v>
      </c>
      <c r="J9390" t="s">
        <v>20</v>
      </c>
      <c r="L9390" t="s">
        <v>141</v>
      </c>
      <c r="M9390" t="s">
        <v>10970</v>
      </c>
      <c r="N9390" t="s">
        <v>10970</v>
      </c>
      <c r="O9390" t="s">
        <v>73</v>
      </c>
      <c r="P9390" t="s">
        <v>81</v>
      </c>
      <c r="Q9390" t="s">
        <v>1101</v>
      </c>
      <c r="R9390" t="s">
        <v>10940</v>
      </c>
    </row>
    <row r="9391" spans="1:18" x14ac:dyDescent="0.25">
      <c r="A9391" t="s">
        <v>20495</v>
      </c>
      <c r="B9391" t="s">
        <v>10975</v>
      </c>
      <c r="C9391" t="str">
        <f>HYPERLINK("https://nematode.unl.edu/punan14.jpg")</f>
        <v>https://nematode.unl.edu/punan14.jpg</v>
      </c>
      <c r="D9391" t="s">
        <v>16</v>
      </c>
      <c r="G9391" t="s">
        <v>28</v>
      </c>
      <c r="I9391" t="s">
        <v>19</v>
      </c>
      <c r="J9391" t="s">
        <v>20</v>
      </c>
      <c r="M9391" t="s">
        <v>10970</v>
      </c>
      <c r="N9391" t="s">
        <v>10970</v>
      </c>
      <c r="O9391" t="s">
        <v>73</v>
      </c>
      <c r="P9391" t="s">
        <v>81</v>
      </c>
      <c r="Q9391" t="s">
        <v>1101</v>
      </c>
      <c r="R9391" t="s">
        <v>10940</v>
      </c>
    </row>
    <row r="9392" spans="1:18" x14ac:dyDescent="0.25">
      <c r="A9392" t="s">
        <v>20496</v>
      </c>
      <c r="B9392" t="s">
        <v>10976</v>
      </c>
      <c r="C9392" t="str">
        <f>HYPERLINK("https://nematode.unl.edu/punan2.jpg")</f>
        <v>https://nematode.unl.edu/punan2.jpg</v>
      </c>
      <c r="D9392" t="s">
        <v>77</v>
      </c>
      <c r="G9392" t="s">
        <v>28</v>
      </c>
      <c r="J9392" t="s">
        <v>20</v>
      </c>
      <c r="L9392" t="s">
        <v>64</v>
      </c>
      <c r="M9392" t="s">
        <v>10970</v>
      </c>
      <c r="N9392" t="s">
        <v>10970</v>
      </c>
      <c r="O9392" t="s">
        <v>73</v>
      </c>
      <c r="P9392" t="s">
        <v>81</v>
      </c>
      <c r="Q9392" t="s">
        <v>1101</v>
      </c>
      <c r="R9392" t="s">
        <v>10940</v>
      </c>
    </row>
    <row r="9393" spans="1:18" x14ac:dyDescent="0.25">
      <c r="A9393" t="s">
        <v>20500</v>
      </c>
      <c r="B9393" t="s">
        <v>10977</v>
      </c>
      <c r="C9393" t="str">
        <f>HYPERLINK("https://nematode.unl.edu/punan3.jpg")</f>
        <v>https://nematode.unl.edu/punan3.jpg</v>
      </c>
      <c r="D9393" t="s">
        <v>43</v>
      </c>
      <c r="G9393" t="s">
        <v>51</v>
      </c>
      <c r="I9393" t="s">
        <v>19</v>
      </c>
      <c r="J9393" t="s">
        <v>20</v>
      </c>
      <c r="L9393" t="s">
        <v>64</v>
      </c>
      <c r="M9393" t="s">
        <v>10970</v>
      </c>
      <c r="N9393" t="s">
        <v>10970</v>
      </c>
      <c r="O9393" t="s">
        <v>73</v>
      </c>
      <c r="P9393" t="s">
        <v>81</v>
      </c>
      <c r="Q9393" t="s">
        <v>1101</v>
      </c>
      <c r="R9393" t="s">
        <v>10940</v>
      </c>
    </row>
    <row r="9394" spans="1:18" x14ac:dyDescent="0.25">
      <c r="A9394" t="s">
        <v>20491</v>
      </c>
      <c r="B9394" t="s">
        <v>10978</v>
      </c>
      <c r="C9394" t="str">
        <f>HYPERLINK("https://nematode.unl.edu/punan4.jpg")</f>
        <v>https://nematode.unl.edu/punan4.jpg</v>
      </c>
      <c r="D9394" t="s">
        <v>43</v>
      </c>
      <c r="G9394" t="s">
        <v>87</v>
      </c>
      <c r="I9394" t="s">
        <v>19</v>
      </c>
      <c r="J9394" t="s">
        <v>20</v>
      </c>
      <c r="L9394" t="s">
        <v>64</v>
      </c>
      <c r="M9394" t="s">
        <v>10970</v>
      </c>
      <c r="N9394" t="s">
        <v>10970</v>
      </c>
      <c r="O9394" t="s">
        <v>73</v>
      </c>
      <c r="P9394" t="s">
        <v>81</v>
      </c>
      <c r="Q9394" t="s">
        <v>1101</v>
      </c>
      <c r="R9394" t="s">
        <v>10940</v>
      </c>
    </row>
    <row r="9395" spans="1:18" x14ac:dyDescent="0.25">
      <c r="A9395" t="s">
        <v>20489</v>
      </c>
      <c r="B9395" t="s">
        <v>10979</v>
      </c>
      <c r="C9395" t="str">
        <f>HYPERLINK("https://nematode.unl.edu/punan5.jpg")</f>
        <v>https://nematode.unl.edu/punan5.jpg</v>
      </c>
      <c r="D9395" t="s">
        <v>43</v>
      </c>
      <c r="G9395" t="s">
        <v>34</v>
      </c>
      <c r="H9395" t="s">
        <v>18</v>
      </c>
      <c r="I9395" t="s">
        <v>19</v>
      </c>
      <c r="J9395" t="s">
        <v>20</v>
      </c>
      <c r="L9395" t="s">
        <v>64</v>
      </c>
      <c r="M9395" t="s">
        <v>10970</v>
      </c>
      <c r="N9395" t="s">
        <v>10970</v>
      </c>
      <c r="O9395" t="s">
        <v>73</v>
      </c>
      <c r="P9395" t="s">
        <v>81</v>
      </c>
      <c r="Q9395" t="s">
        <v>1101</v>
      </c>
      <c r="R9395" t="s">
        <v>10940</v>
      </c>
    </row>
    <row r="9396" spans="1:18" x14ac:dyDescent="0.25">
      <c r="A9396" t="s">
        <v>20494</v>
      </c>
      <c r="B9396" t="s">
        <v>10980</v>
      </c>
      <c r="C9396" t="str">
        <f>HYPERLINK("https://nematode.unl.edu/punan6.jpg")</f>
        <v>https://nematode.unl.edu/punan6.jpg</v>
      </c>
      <c r="G9396" t="s">
        <v>205</v>
      </c>
      <c r="I9396" t="s">
        <v>45</v>
      </c>
      <c r="J9396" t="s">
        <v>20</v>
      </c>
      <c r="L9396" t="s">
        <v>64</v>
      </c>
      <c r="M9396" t="s">
        <v>10970</v>
      </c>
      <c r="N9396" t="s">
        <v>10970</v>
      </c>
      <c r="O9396" t="s">
        <v>73</v>
      </c>
      <c r="P9396" t="s">
        <v>81</v>
      </c>
      <c r="Q9396" t="s">
        <v>1101</v>
      </c>
      <c r="R9396" t="s">
        <v>10940</v>
      </c>
    </row>
    <row r="9397" spans="1:18" x14ac:dyDescent="0.25">
      <c r="A9397" t="s">
        <v>20493</v>
      </c>
      <c r="B9397" t="s">
        <v>10981</v>
      </c>
      <c r="C9397" t="str">
        <f>HYPERLINK("https://nematode.unl.edu/punan7.jpg")</f>
        <v>https://nematode.unl.edu/punan7.jpg</v>
      </c>
      <c r="D9397" t="s">
        <v>43</v>
      </c>
      <c r="G9397" t="s">
        <v>44</v>
      </c>
      <c r="I9397" t="s">
        <v>45</v>
      </c>
      <c r="J9397" t="s">
        <v>20</v>
      </c>
      <c r="M9397" t="s">
        <v>10970</v>
      </c>
      <c r="N9397" t="s">
        <v>10970</v>
      </c>
      <c r="O9397" t="s">
        <v>73</v>
      </c>
      <c r="P9397" t="s">
        <v>81</v>
      </c>
      <c r="Q9397" t="s">
        <v>1101</v>
      </c>
      <c r="R9397" t="s">
        <v>10940</v>
      </c>
    </row>
    <row r="9398" spans="1:18" x14ac:dyDescent="0.25">
      <c r="A9398" t="s">
        <v>20486</v>
      </c>
      <c r="B9398" t="s">
        <v>10982</v>
      </c>
      <c r="C9398" t="str">
        <f>HYPERLINK("https://nematode.unl.edu/punan8.jpg")</f>
        <v>https://nematode.unl.edu/punan8.jpg</v>
      </c>
      <c r="D9398" t="s">
        <v>77</v>
      </c>
      <c r="G9398" t="s">
        <v>96</v>
      </c>
      <c r="H9398" t="s">
        <v>18</v>
      </c>
      <c r="I9398" t="s">
        <v>45</v>
      </c>
      <c r="L9398" t="s">
        <v>141</v>
      </c>
      <c r="M9398" t="s">
        <v>10970</v>
      </c>
      <c r="N9398" t="s">
        <v>10970</v>
      </c>
      <c r="O9398" t="s">
        <v>73</v>
      </c>
      <c r="P9398" t="s">
        <v>81</v>
      </c>
      <c r="Q9398" t="s">
        <v>1101</v>
      </c>
      <c r="R9398" t="s">
        <v>10940</v>
      </c>
    </row>
    <row r="9399" spans="1:18" x14ac:dyDescent="0.25">
      <c r="A9399" t="s">
        <v>20497</v>
      </c>
      <c r="B9399" t="s">
        <v>10983</v>
      </c>
      <c r="C9399" t="str">
        <f>HYPERLINK("https://nematode.unl.edu/punan9.jpg")</f>
        <v>https://nematode.unl.edu/punan9.jpg</v>
      </c>
      <c r="D9399" t="s">
        <v>43</v>
      </c>
      <c r="G9399" t="s">
        <v>28</v>
      </c>
      <c r="J9399" t="s">
        <v>20</v>
      </c>
      <c r="L9399" t="s">
        <v>352</v>
      </c>
      <c r="M9399" t="s">
        <v>10970</v>
      </c>
      <c r="N9399" t="s">
        <v>10970</v>
      </c>
      <c r="O9399" t="s">
        <v>73</v>
      </c>
      <c r="P9399" t="s">
        <v>81</v>
      </c>
      <c r="Q9399" t="s">
        <v>1101</v>
      </c>
      <c r="R9399" t="s">
        <v>10940</v>
      </c>
    </row>
    <row r="9400" spans="1:18" x14ac:dyDescent="0.25">
      <c r="A9400" t="s">
        <v>20498</v>
      </c>
      <c r="B9400" t="s">
        <v>10984</v>
      </c>
      <c r="C9400" t="str">
        <f>HYPERLINK("https://nematode.unl.edu/punancmp.jpg")</f>
        <v>https://nematode.unl.edu/punancmp.jpg</v>
      </c>
      <c r="D9400" t="s">
        <v>77</v>
      </c>
      <c r="G9400" t="s">
        <v>28</v>
      </c>
      <c r="M9400" t="s">
        <v>10970</v>
      </c>
      <c r="N9400" t="s">
        <v>10970</v>
      </c>
      <c r="O9400" t="s">
        <v>73</v>
      </c>
      <c r="P9400" t="s">
        <v>81</v>
      </c>
      <c r="Q9400" t="s">
        <v>1101</v>
      </c>
      <c r="R9400" t="s">
        <v>10940</v>
      </c>
    </row>
    <row r="9401" spans="1:18" x14ac:dyDescent="0.25">
      <c r="A9401" t="s">
        <v>20503</v>
      </c>
      <c r="B9401" t="s">
        <v>10985</v>
      </c>
      <c r="C9401" t="str">
        <f>HYPERLINK("https://nematode.unl.edu/punbre1.jpg")</f>
        <v>https://nematode.unl.edu/punbre1.jpg</v>
      </c>
      <c r="D9401" t="s">
        <v>43</v>
      </c>
      <c r="G9401" t="s">
        <v>44</v>
      </c>
      <c r="I9401" t="s">
        <v>45</v>
      </c>
      <c r="J9401" t="s">
        <v>20</v>
      </c>
      <c r="M9401" t="s">
        <v>10986</v>
      </c>
      <c r="N9401" t="s">
        <v>10986</v>
      </c>
      <c r="O9401" t="s">
        <v>73</v>
      </c>
      <c r="P9401" t="s">
        <v>81</v>
      </c>
      <c r="Q9401" t="s">
        <v>1101</v>
      </c>
      <c r="R9401" t="s">
        <v>10940</v>
      </c>
    </row>
    <row r="9402" spans="1:18" x14ac:dyDescent="0.25">
      <c r="A9402" t="s">
        <v>20501</v>
      </c>
      <c r="B9402" t="s">
        <v>10987</v>
      </c>
      <c r="C9402" t="str">
        <f>HYPERLINK("https://nematode.unl.edu/punbre2.jpg")</f>
        <v>https://nematode.unl.edu/punbre2.jpg</v>
      </c>
      <c r="D9402" t="s">
        <v>43</v>
      </c>
      <c r="G9402" t="s">
        <v>34</v>
      </c>
      <c r="H9402" t="s">
        <v>18</v>
      </c>
      <c r="I9402" t="s">
        <v>19</v>
      </c>
      <c r="J9402" t="s">
        <v>20</v>
      </c>
      <c r="L9402" t="s">
        <v>29</v>
      </c>
      <c r="M9402" t="s">
        <v>10986</v>
      </c>
      <c r="N9402" t="s">
        <v>10986</v>
      </c>
      <c r="O9402" t="s">
        <v>73</v>
      </c>
      <c r="P9402" t="s">
        <v>81</v>
      </c>
      <c r="Q9402" t="s">
        <v>1101</v>
      </c>
      <c r="R9402" t="s">
        <v>10940</v>
      </c>
    </row>
    <row r="9403" spans="1:18" x14ac:dyDescent="0.25">
      <c r="A9403" t="s">
        <v>20502</v>
      </c>
      <c r="B9403" t="s">
        <v>10988</v>
      </c>
      <c r="C9403" t="str">
        <f>HYPERLINK("https://nematode.unl.edu/punbre3.jpg")</f>
        <v>https://nematode.unl.edu/punbre3.jpg</v>
      </c>
      <c r="D9403" t="s">
        <v>43</v>
      </c>
      <c r="G9403" t="s">
        <v>87</v>
      </c>
      <c r="I9403" t="s">
        <v>19</v>
      </c>
      <c r="M9403" t="s">
        <v>10986</v>
      </c>
      <c r="N9403" t="s">
        <v>10986</v>
      </c>
      <c r="O9403" t="s">
        <v>73</v>
      </c>
      <c r="P9403" t="s">
        <v>81</v>
      </c>
      <c r="Q9403" t="s">
        <v>1101</v>
      </c>
      <c r="R9403" t="s">
        <v>10940</v>
      </c>
    </row>
    <row r="9404" spans="1:18" x14ac:dyDescent="0.25">
      <c r="A9404" t="s">
        <v>20506</v>
      </c>
      <c r="B9404" t="s">
        <v>10989</v>
      </c>
      <c r="C9404" t="str">
        <f>HYPERLINK("https://nematode.unl.edu/punbre4.jpg")</f>
        <v>https://nematode.unl.edu/punbre4.jpg</v>
      </c>
      <c r="D9404" t="s">
        <v>43</v>
      </c>
      <c r="G9404" t="s">
        <v>51</v>
      </c>
      <c r="I9404" t="s">
        <v>19</v>
      </c>
      <c r="J9404" t="s">
        <v>20</v>
      </c>
      <c r="L9404" t="s">
        <v>29</v>
      </c>
      <c r="M9404" t="s">
        <v>10986</v>
      </c>
      <c r="N9404" t="s">
        <v>10986</v>
      </c>
      <c r="O9404" t="s">
        <v>73</v>
      </c>
      <c r="P9404" t="s">
        <v>81</v>
      </c>
      <c r="Q9404" t="s">
        <v>1101</v>
      </c>
      <c r="R9404" t="s">
        <v>10940</v>
      </c>
    </row>
    <row r="9405" spans="1:18" x14ac:dyDescent="0.25">
      <c r="A9405" t="s">
        <v>20505</v>
      </c>
      <c r="B9405" t="s">
        <v>10990</v>
      </c>
      <c r="C9405" t="str">
        <f>HYPERLINK("https://nematode.unl.edu/punbre5.jpg")</f>
        <v>https://nematode.unl.edu/punbre5.jpg</v>
      </c>
      <c r="D9405" t="s">
        <v>43</v>
      </c>
      <c r="G9405" t="s">
        <v>28</v>
      </c>
      <c r="J9405" t="s">
        <v>20</v>
      </c>
      <c r="L9405" t="s">
        <v>29</v>
      </c>
      <c r="M9405" t="s">
        <v>10986</v>
      </c>
      <c r="N9405" t="s">
        <v>10986</v>
      </c>
      <c r="O9405" t="s">
        <v>73</v>
      </c>
      <c r="P9405" t="s">
        <v>81</v>
      </c>
      <c r="Q9405" t="s">
        <v>1101</v>
      </c>
      <c r="R9405" t="s">
        <v>10940</v>
      </c>
    </row>
    <row r="9406" spans="1:18" x14ac:dyDescent="0.25">
      <c r="A9406" t="s">
        <v>20504</v>
      </c>
      <c r="B9406" t="s">
        <v>10991</v>
      </c>
      <c r="C9406" t="str">
        <f>HYPERLINK("https://nematode.unl.edu/punbrecmp.jpg")</f>
        <v>https://nematode.unl.edu/punbrecmp.jpg</v>
      </c>
      <c r="G9406" t="s">
        <v>108</v>
      </c>
      <c r="M9406" t="s">
        <v>10986</v>
      </c>
      <c r="N9406" t="s">
        <v>10986</v>
      </c>
      <c r="O9406" t="s">
        <v>73</v>
      </c>
      <c r="P9406" t="s">
        <v>81</v>
      </c>
      <c r="Q9406" t="s">
        <v>1101</v>
      </c>
      <c r="R9406" t="s">
        <v>10940</v>
      </c>
    </row>
    <row r="9407" spans="1:18" x14ac:dyDescent="0.25">
      <c r="A9407" t="s">
        <v>16375</v>
      </c>
      <c r="B9407" t="s">
        <v>10931</v>
      </c>
      <c r="C9407" t="str">
        <f>HYPERLINK("https://nematode.unl.edu/puncyst1.jpg")</f>
        <v>https://nematode.unl.edu/puncyst1.jpg</v>
      </c>
      <c r="D9407" t="s">
        <v>3596</v>
      </c>
      <c r="G9407" t="s">
        <v>3596</v>
      </c>
      <c r="M9407" t="s">
        <v>10932</v>
      </c>
      <c r="N9407" t="s">
        <v>10932</v>
      </c>
      <c r="O9407" t="s">
        <v>23</v>
      </c>
      <c r="P9407" t="s">
        <v>24</v>
      </c>
      <c r="Q9407" t="s">
        <v>448</v>
      </c>
      <c r="R9407" t="s">
        <v>10933</v>
      </c>
    </row>
    <row r="9408" spans="1:18" x14ac:dyDescent="0.25">
      <c r="A9408" t="s">
        <v>16376</v>
      </c>
      <c r="B9408" t="s">
        <v>10934</v>
      </c>
      <c r="C9408" t="str">
        <f>HYPERLINK("https://nematode.unl.edu/puncyst2.jpg")</f>
        <v>https://nematode.unl.edu/puncyst2.jpg</v>
      </c>
      <c r="D9408" t="s">
        <v>3596</v>
      </c>
      <c r="G9408" t="s">
        <v>3596</v>
      </c>
      <c r="M9408" t="s">
        <v>10932</v>
      </c>
      <c r="N9408" t="s">
        <v>10932</v>
      </c>
      <c r="O9408" t="s">
        <v>23</v>
      </c>
      <c r="P9408" t="s">
        <v>24</v>
      </c>
      <c r="Q9408" t="s">
        <v>448</v>
      </c>
      <c r="R9408" t="s">
        <v>10933</v>
      </c>
    </row>
    <row r="9409" spans="1:18" x14ac:dyDescent="0.25">
      <c r="A9409" t="s">
        <v>16377</v>
      </c>
      <c r="B9409" t="s">
        <v>10935</v>
      </c>
      <c r="C9409" t="str">
        <f>HYPERLINK("https://nematode.unl.edu/puncyst3.jpg")</f>
        <v>https://nematode.unl.edu/puncyst3.jpg</v>
      </c>
      <c r="D9409" t="s">
        <v>3596</v>
      </c>
      <c r="G9409" t="s">
        <v>3596</v>
      </c>
      <c r="M9409" t="s">
        <v>10932</v>
      </c>
      <c r="N9409" t="s">
        <v>10932</v>
      </c>
      <c r="O9409" t="s">
        <v>23</v>
      </c>
      <c r="P9409" t="s">
        <v>24</v>
      </c>
      <c r="Q9409" t="s">
        <v>448</v>
      </c>
      <c r="R9409" t="s">
        <v>10933</v>
      </c>
    </row>
    <row r="9410" spans="1:18" x14ac:dyDescent="0.25">
      <c r="A9410" t="s">
        <v>16378</v>
      </c>
      <c r="B9410" t="s">
        <v>10936</v>
      </c>
      <c r="C9410" t="str">
        <f>HYPERLINK("https://nematode.unl.edu/puncyst4.jpg")</f>
        <v>https://nematode.unl.edu/puncyst4.jpg</v>
      </c>
      <c r="G9410" t="s">
        <v>3596</v>
      </c>
      <c r="M9410" t="s">
        <v>10932</v>
      </c>
      <c r="N9410" t="s">
        <v>10932</v>
      </c>
      <c r="O9410" t="s">
        <v>23</v>
      </c>
      <c r="P9410" t="s">
        <v>24</v>
      </c>
      <c r="Q9410" t="s">
        <v>448</v>
      </c>
      <c r="R9410" t="s">
        <v>10933</v>
      </c>
    </row>
    <row r="9411" spans="1:18" x14ac:dyDescent="0.25">
      <c r="A9411" t="s">
        <v>16379</v>
      </c>
      <c r="B9411" t="s">
        <v>10937</v>
      </c>
      <c r="C9411" t="str">
        <f>HYPERLINK("https://nematode.unl.edu/puncyst5.jpg")</f>
        <v>https://nematode.unl.edu/puncyst5.jpg</v>
      </c>
      <c r="D9411" t="s">
        <v>3596</v>
      </c>
      <c r="G9411" t="s">
        <v>3596</v>
      </c>
      <c r="I9411" t="s">
        <v>91</v>
      </c>
      <c r="M9411" t="s">
        <v>10932</v>
      </c>
      <c r="N9411" t="s">
        <v>10932</v>
      </c>
      <c r="O9411" t="s">
        <v>23</v>
      </c>
      <c r="P9411" t="s">
        <v>24</v>
      </c>
      <c r="Q9411" t="s">
        <v>448</v>
      </c>
      <c r="R9411" t="s">
        <v>10933</v>
      </c>
    </row>
    <row r="9412" spans="1:18" x14ac:dyDescent="0.25">
      <c r="A9412" t="s">
        <v>16380</v>
      </c>
      <c r="B9412" t="s">
        <v>10938</v>
      </c>
      <c r="C9412" t="str">
        <f>HYPERLINK("https://nematode.unl.edu/puncyst6.jpg")</f>
        <v>https://nematode.unl.edu/puncyst6.jpg</v>
      </c>
      <c r="D9412" t="s">
        <v>3596</v>
      </c>
      <c r="G9412" t="s">
        <v>3596</v>
      </c>
      <c r="I9412" t="s">
        <v>91</v>
      </c>
      <c r="M9412" t="s">
        <v>10932</v>
      </c>
      <c r="N9412" t="s">
        <v>10932</v>
      </c>
      <c r="O9412" t="s">
        <v>23</v>
      </c>
      <c r="P9412" t="s">
        <v>24</v>
      </c>
      <c r="Q9412" t="s">
        <v>448</v>
      </c>
      <c r="R9412" t="s">
        <v>10933</v>
      </c>
    </row>
    <row r="9413" spans="1:18" x14ac:dyDescent="0.25">
      <c r="A9413" t="s">
        <v>20604</v>
      </c>
      <c r="B9413" t="s">
        <v>11110</v>
      </c>
      <c r="C9413" t="str">
        <f>HYPERLINK("https://nematode.unl.edu/pungen1.jpg")</f>
        <v>https://nematode.unl.edu/pungen1.jpg</v>
      </c>
      <c r="D9413" t="s">
        <v>77</v>
      </c>
      <c r="G9413" t="s">
        <v>44</v>
      </c>
      <c r="I9413" t="s">
        <v>1008</v>
      </c>
      <c r="J9413" t="s">
        <v>46</v>
      </c>
      <c r="L9413" t="s">
        <v>105</v>
      </c>
      <c r="M9413" t="s">
        <v>11078</v>
      </c>
      <c r="N9413" t="s">
        <v>11078</v>
      </c>
      <c r="O9413" t="s">
        <v>73</v>
      </c>
      <c r="P9413" t="s">
        <v>81</v>
      </c>
      <c r="Q9413" t="s">
        <v>1101</v>
      </c>
      <c r="R9413" t="s">
        <v>10940</v>
      </c>
    </row>
    <row r="9414" spans="1:18" x14ac:dyDescent="0.25">
      <c r="A9414" t="s">
        <v>20589</v>
      </c>
      <c r="B9414" t="s">
        <v>11077</v>
      </c>
      <c r="C9414" t="str">
        <f>HYPERLINK("https://nematode.unl.edu/pungen2.jpg")</f>
        <v>https://nematode.unl.edu/pungen2.jpg</v>
      </c>
      <c r="D9414" t="s">
        <v>43</v>
      </c>
      <c r="G9414" t="s">
        <v>96</v>
      </c>
      <c r="H9414" t="s">
        <v>18</v>
      </c>
      <c r="J9414" t="s">
        <v>46</v>
      </c>
      <c r="L9414" t="s">
        <v>105</v>
      </c>
      <c r="M9414" t="s">
        <v>11078</v>
      </c>
      <c r="N9414" t="s">
        <v>11078</v>
      </c>
      <c r="O9414" t="s">
        <v>73</v>
      </c>
      <c r="P9414" t="s">
        <v>81</v>
      </c>
      <c r="Q9414" t="s">
        <v>1101</v>
      </c>
      <c r="R9414" t="s">
        <v>10940</v>
      </c>
    </row>
    <row r="9415" spans="1:18" x14ac:dyDescent="0.25">
      <c r="A9415" t="s">
        <v>20590</v>
      </c>
      <c r="B9415" t="s">
        <v>11079</v>
      </c>
      <c r="C9415" t="str">
        <f>HYPERLINK("https://nematode.unl.edu/pungen3.jpg")</f>
        <v>https://nematode.unl.edu/pungen3.jpg</v>
      </c>
      <c r="D9415" t="s">
        <v>43</v>
      </c>
      <c r="G9415" t="s">
        <v>96</v>
      </c>
      <c r="H9415" t="s">
        <v>18</v>
      </c>
      <c r="J9415" t="s">
        <v>46</v>
      </c>
      <c r="L9415" t="s">
        <v>105</v>
      </c>
      <c r="M9415" t="s">
        <v>11078</v>
      </c>
      <c r="N9415" t="s">
        <v>11078</v>
      </c>
      <c r="O9415" t="s">
        <v>73</v>
      </c>
      <c r="P9415" t="s">
        <v>81</v>
      </c>
      <c r="Q9415" t="s">
        <v>1101</v>
      </c>
      <c r="R9415" t="s">
        <v>10940</v>
      </c>
    </row>
    <row r="9416" spans="1:18" x14ac:dyDescent="0.25">
      <c r="A9416" t="s">
        <v>20615</v>
      </c>
      <c r="B9416" t="s">
        <v>11080</v>
      </c>
      <c r="C9416" t="str">
        <f>HYPERLINK("https://nematode.unl.edu/pungen4.jpg")</f>
        <v>https://nematode.unl.edu/pungen4.jpg</v>
      </c>
      <c r="D9416" t="s">
        <v>43</v>
      </c>
      <c r="G9416" t="s">
        <v>51</v>
      </c>
      <c r="J9416" t="s">
        <v>46</v>
      </c>
      <c r="L9416" t="s">
        <v>105</v>
      </c>
      <c r="M9416" t="s">
        <v>11078</v>
      </c>
      <c r="N9416" t="s">
        <v>11078</v>
      </c>
      <c r="O9416" t="s">
        <v>73</v>
      </c>
      <c r="P9416" t="s">
        <v>81</v>
      </c>
      <c r="Q9416" t="s">
        <v>1101</v>
      </c>
      <c r="R9416" t="s">
        <v>10940</v>
      </c>
    </row>
    <row r="9417" spans="1:18" x14ac:dyDescent="0.25">
      <c r="A9417" t="s">
        <v>20608</v>
      </c>
      <c r="B9417" t="s">
        <v>11081</v>
      </c>
      <c r="C9417" t="str">
        <f>HYPERLINK("https://nematode.unl.edu/pungen5.jpg")</f>
        <v>https://nematode.unl.edu/pungen5.jpg</v>
      </c>
      <c r="D9417" t="s">
        <v>43</v>
      </c>
      <c r="G9417" t="s">
        <v>28</v>
      </c>
      <c r="J9417" t="s">
        <v>46</v>
      </c>
      <c r="L9417" t="s">
        <v>105</v>
      </c>
      <c r="M9417" t="s">
        <v>11078</v>
      </c>
      <c r="N9417" t="s">
        <v>11078</v>
      </c>
      <c r="O9417" t="s">
        <v>73</v>
      </c>
      <c r="P9417" t="s">
        <v>81</v>
      </c>
      <c r="Q9417" t="s">
        <v>1101</v>
      </c>
      <c r="R9417" t="s">
        <v>10940</v>
      </c>
    </row>
    <row r="9418" spans="1:18" x14ac:dyDescent="0.25">
      <c r="A9418" t="s">
        <v>20470</v>
      </c>
      <c r="B9418" t="s">
        <v>10945</v>
      </c>
      <c r="C9418" t="str">
        <f>HYPERLINK("https://nematode.unl.edu/pungho1.jpg")</f>
        <v>https://nematode.unl.edu/pungho1.jpg</v>
      </c>
      <c r="D9418" t="s">
        <v>43</v>
      </c>
      <c r="G9418" t="s">
        <v>44</v>
      </c>
      <c r="I9418" t="s">
        <v>45</v>
      </c>
      <c r="J9418" t="s">
        <v>116</v>
      </c>
      <c r="L9418" t="s">
        <v>85</v>
      </c>
      <c r="M9418" t="s">
        <v>10940</v>
      </c>
      <c r="N9418" t="s">
        <v>10940</v>
      </c>
      <c r="O9418" t="s">
        <v>73</v>
      </c>
      <c r="P9418" t="s">
        <v>81</v>
      </c>
      <c r="Q9418" t="s">
        <v>1101</v>
      </c>
      <c r="R9418" t="s">
        <v>10940</v>
      </c>
    </row>
    <row r="9419" spans="1:18" x14ac:dyDescent="0.25">
      <c r="A9419" t="s">
        <v>20459</v>
      </c>
      <c r="B9419" t="s">
        <v>10946</v>
      </c>
      <c r="C9419" t="str">
        <f>HYPERLINK("https://nematode.unl.edu/pungho10.jpg")</f>
        <v>https://nematode.unl.edu/pungho10.jpg</v>
      </c>
      <c r="D9419" t="s">
        <v>16</v>
      </c>
      <c r="G9419" t="s">
        <v>34</v>
      </c>
      <c r="H9419" t="s">
        <v>18</v>
      </c>
      <c r="I9419" t="s">
        <v>529</v>
      </c>
      <c r="J9419" t="s">
        <v>116</v>
      </c>
      <c r="L9419" t="s">
        <v>85</v>
      </c>
      <c r="M9419" t="s">
        <v>10940</v>
      </c>
      <c r="N9419" t="s">
        <v>10940</v>
      </c>
      <c r="O9419" t="s">
        <v>73</v>
      </c>
      <c r="P9419" t="s">
        <v>81</v>
      </c>
      <c r="Q9419" t="s">
        <v>1101</v>
      </c>
      <c r="R9419" t="s">
        <v>10940</v>
      </c>
    </row>
    <row r="9420" spans="1:18" x14ac:dyDescent="0.25">
      <c r="A9420" t="s">
        <v>20460</v>
      </c>
      <c r="B9420" t="s">
        <v>10947</v>
      </c>
      <c r="C9420" t="str">
        <f>HYPERLINK("https://nematode.unl.edu/pungho11.jpg")</f>
        <v>https://nematode.unl.edu/pungho11.jpg</v>
      </c>
      <c r="D9420" t="s">
        <v>43</v>
      </c>
      <c r="G9420" t="s">
        <v>34</v>
      </c>
      <c r="H9420" t="s">
        <v>18</v>
      </c>
      <c r="J9420" t="s">
        <v>116</v>
      </c>
      <c r="L9420" t="s">
        <v>85</v>
      </c>
      <c r="M9420" t="s">
        <v>10940</v>
      </c>
      <c r="N9420" t="s">
        <v>10940</v>
      </c>
      <c r="O9420" t="s">
        <v>73</v>
      </c>
      <c r="P9420" t="s">
        <v>81</v>
      </c>
      <c r="Q9420" t="s">
        <v>1101</v>
      </c>
      <c r="R9420" t="s">
        <v>10940</v>
      </c>
    </row>
    <row r="9421" spans="1:18" x14ac:dyDescent="0.25">
      <c r="A9421" t="s">
        <v>20471</v>
      </c>
      <c r="B9421" t="s">
        <v>10948</v>
      </c>
      <c r="C9421" t="str">
        <f>HYPERLINK("https://nematode.unl.edu/pungho12.jpg")</f>
        <v>https://nematode.unl.edu/pungho12.jpg</v>
      </c>
      <c r="D9421" t="s">
        <v>43</v>
      </c>
      <c r="G9421" t="s">
        <v>44</v>
      </c>
      <c r="J9421" t="s">
        <v>116</v>
      </c>
      <c r="L9421" t="s">
        <v>85</v>
      </c>
      <c r="M9421" t="s">
        <v>10940</v>
      </c>
      <c r="N9421" t="s">
        <v>10940</v>
      </c>
      <c r="O9421" t="s">
        <v>73</v>
      </c>
      <c r="P9421" t="s">
        <v>81</v>
      </c>
      <c r="Q9421" t="s">
        <v>1101</v>
      </c>
      <c r="R9421" t="s">
        <v>10940</v>
      </c>
    </row>
    <row r="9422" spans="1:18" x14ac:dyDescent="0.25">
      <c r="A9422" t="s">
        <v>20461</v>
      </c>
      <c r="B9422" t="s">
        <v>10949</v>
      </c>
      <c r="C9422" t="str">
        <f>HYPERLINK("https://nematode.unl.edu/pungho13.jpg")</f>
        <v>https://nematode.unl.edu/pungho13.jpg</v>
      </c>
      <c r="D9422" t="s">
        <v>43</v>
      </c>
      <c r="G9422" t="s">
        <v>34</v>
      </c>
      <c r="H9422" t="s">
        <v>18</v>
      </c>
      <c r="J9422" t="s">
        <v>116</v>
      </c>
      <c r="L9422" t="s">
        <v>85</v>
      </c>
      <c r="M9422" t="s">
        <v>10940</v>
      </c>
      <c r="N9422" t="s">
        <v>10940</v>
      </c>
      <c r="O9422" t="s">
        <v>73</v>
      </c>
      <c r="P9422" t="s">
        <v>81</v>
      </c>
      <c r="Q9422" t="s">
        <v>1101</v>
      </c>
      <c r="R9422" t="s">
        <v>10940</v>
      </c>
    </row>
    <row r="9423" spans="1:18" x14ac:dyDescent="0.25">
      <c r="A9423" t="s">
        <v>20484</v>
      </c>
      <c r="B9423" t="s">
        <v>10950</v>
      </c>
      <c r="C9423" t="str">
        <f>HYPERLINK("https://nematode.unl.edu/pungho14.jpg")</f>
        <v>https://nematode.unl.edu/pungho14.jpg</v>
      </c>
      <c r="D9423" t="s">
        <v>43</v>
      </c>
      <c r="G9423" t="s">
        <v>51</v>
      </c>
      <c r="J9423" t="s">
        <v>116</v>
      </c>
      <c r="L9423" t="s">
        <v>85</v>
      </c>
      <c r="M9423" t="s">
        <v>10940</v>
      </c>
      <c r="N9423" t="s">
        <v>10940</v>
      </c>
      <c r="O9423" t="s">
        <v>73</v>
      </c>
      <c r="P9423" t="s">
        <v>81</v>
      </c>
      <c r="Q9423" t="s">
        <v>1101</v>
      </c>
      <c r="R9423" t="s">
        <v>10940</v>
      </c>
    </row>
    <row r="9424" spans="1:18" x14ac:dyDescent="0.25">
      <c r="A9424" t="s">
        <v>20477</v>
      </c>
      <c r="B9424" t="s">
        <v>10951</v>
      </c>
      <c r="C9424" t="str">
        <f>HYPERLINK("https://nematode.unl.edu/pungho15.jpg")</f>
        <v>https://nematode.unl.edu/pungho15.jpg</v>
      </c>
      <c r="D9424" t="s">
        <v>43</v>
      </c>
      <c r="G9424" t="s">
        <v>28</v>
      </c>
      <c r="J9424" t="s">
        <v>116</v>
      </c>
      <c r="L9424" t="s">
        <v>85</v>
      </c>
      <c r="M9424" t="s">
        <v>10940</v>
      </c>
      <c r="N9424" t="s">
        <v>10940</v>
      </c>
      <c r="O9424" t="s">
        <v>73</v>
      </c>
      <c r="P9424" t="s">
        <v>81</v>
      </c>
      <c r="Q9424" t="s">
        <v>1101</v>
      </c>
      <c r="R9424" t="s">
        <v>10940</v>
      </c>
    </row>
    <row r="9425" spans="1:18" x14ac:dyDescent="0.25">
      <c r="A9425" t="s">
        <v>20475</v>
      </c>
      <c r="B9425" t="s">
        <v>10952</v>
      </c>
      <c r="C9425" t="str">
        <f>HYPERLINK("https://nematode.unl.edu/pungho16.jpg")</f>
        <v>https://nematode.unl.edu/pungho16.jpg</v>
      </c>
      <c r="G9425" t="s">
        <v>205</v>
      </c>
      <c r="J9425" t="s">
        <v>116</v>
      </c>
      <c r="L9425" t="s">
        <v>85</v>
      </c>
      <c r="M9425" t="s">
        <v>10940</v>
      </c>
      <c r="N9425" t="s">
        <v>10940</v>
      </c>
      <c r="O9425" t="s">
        <v>73</v>
      </c>
      <c r="P9425" t="s">
        <v>81</v>
      </c>
      <c r="Q9425" t="s">
        <v>1101</v>
      </c>
      <c r="R9425" t="s">
        <v>10940</v>
      </c>
    </row>
    <row r="9426" spans="1:18" x14ac:dyDescent="0.25">
      <c r="A9426" t="s">
        <v>20462</v>
      </c>
      <c r="B9426" t="s">
        <v>10953</v>
      </c>
      <c r="C9426" t="str">
        <f>HYPERLINK("https://nematode.unl.edu/pungho2.jpg")</f>
        <v>https://nematode.unl.edu/pungho2.jpg</v>
      </c>
      <c r="D9426" t="s">
        <v>43</v>
      </c>
      <c r="G9426" t="s">
        <v>34</v>
      </c>
      <c r="H9426" t="s">
        <v>18</v>
      </c>
      <c r="I9426" t="s">
        <v>19</v>
      </c>
      <c r="J9426" t="s">
        <v>116</v>
      </c>
      <c r="L9426" t="s">
        <v>85</v>
      </c>
      <c r="M9426" t="s">
        <v>10940</v>
      </c>
      <c r="N9426" t="s">
        <v>10940</v>
      </c>
      <c r="O9426" t="s">
        <v>73</v>
      </c>
      <c r="P9426" t="s">
        <v>81</v>
      </c>
      <c r="Q9426" t="s">
        <v>1101</v>
      </c>
      <c r="R9426" t="s">
        <v>10940</v>
      </c>
    </row>
    <row r="9427" spans="1:18" x14ac:dyDescent="0.25">
      <c r="A9427" t="s">
        <v>20468</v>
      </c>
      <c r="B9427" t="s">
        <v>10954</v>
      </c>
      <c r="C9427" t="str">
        <f>HYPERLINK("https://nematode.unl.edu/pungho3.jpg")</f>
        <v>https://nematode.unl.edu/pungho3.jpg</v>
      </c>
      <c r="D9427" t="s">
        <v>43</v>
      </c>
      <c r="G9427" t="s">
        <v>87</v>
      </c>
      <c r="I9427" t="s">
        <v>19</v>
      </c>
      <c r="J9427" t="s">
        <v>116</v>
      </c>
      <c r="L9427" t="s">
        <v>85</v>
      </c>
      <c r="M9427" t="s">
        <v>10940</v>
      </c>
      <c r="N9427" t="s">
        <v>10940</v>
      </c>
      <c r="O9427" t="s">
        <v>73</v>
      </c>
      <c r="P9427" t="s">
        <v>81</v>
      </c>
      <c r="Q9427" t="s">
        <v>1101</v>
      </c>
      <c r="R9427" t="s">
        <v>10940</v>
      </c>
    </row>
    <row r="9428" spans="1:18" x14ac:dyDescent="0.25">
      <c r="A9428" t="s">
        <v>20485</v>
      </c>
      <c r="B9428" t="s">
        <v>10955</v>
      </c>
      <c r="C9428" t="str">
        <f>HYPERLINK("https://nematode.unl.edu/pungho4.jpg")</f>
        <v>https://nematode.unl.edu/pungho4.jpg</v>
      </c>
      <c r="D9428" t="s">
        <v>43</v>
      </c>
      <c r="G9428" t="s">
        <v>51</v>
      </c>
      <c r="J9428" t="s">
        <v>116</v>
      </c>
      <c r="L9428" t="s">
        <v>85</v>
      </c>
      <c r="M9428" t="s">
        <v>10940</v>
      </c>
      <c r="N9428" t="s">
        <v>10940</v>
      </c>
      <c r="O9428" t="s">
        <v>73</v>
      </c>
      <c r="P9428" t="s">
        <v>81</v>
      </c>
      <c r="Q9428" t="s">
        <v>1101</v>
      </c>
      <c r="R9428" t="s">
        <v>10940</v>
      </c>
    </row>
    <row r="9429" spans="1:18" x14ac:dyDescent="0.25">
      <c r="A9429" t="s">
        <v>20478</v>
      </c>
      <c r="B9429" t="s">
        <v>10956</v>
      </c>
      <c r="C9429" t="str">
        <f>HYPERLINK("https://nematode.unl.edu/pungho5.jpg")</f>
        <v>https://nematode.unl.edu/pungho5.jpg</v>
      </c>
      <c r="D9429" t="s">
        <v>43</v>
      </c>
      <c r="G9429" t="s">
        <v>28</v>
      </c>
      <c r="J9429" t="s">
        <v>116</v>
      </c>
      <c r="L9429" t="s">
        <v>85</v>
      </c>
      <c r="M9429" t="s">
        <v>10940</v>
      </c>
      <c r="N9429" t="s">
        <v>10940</v>
      </c>
      <c r="O9429" t="s">
        <v>73</v>
      </c>
      <c r="P9429" t="s">
        <v>81</v>
      </c>
      <c r="Q9429" t="s">
        <v>1101</v>
      </c>
      <c r="R9429" t="s">
        <v>10940</v>
      </c>
    </row>
    <row r="9430" spans="1:18" x14ac:dyDescent="0.25">
      <c r="A9430" t="s">
        <v>20472</v>
      </c>
      <c r="B9430" t="s">
        <v>10957</v>
      </c>
      <c r="C9430" t="str">
        <f>HYPERLINK("https://nematode.unl.edu/pungho6.jpg")</f>
        <v>https://nematode.unl.edu/pungho6.jpg</v>
      </c>
      <c r="D9430" t="s">
        <v>16</v>
      </c>
      <c r="G9430" t="s">
        <v>44</v>
      </c>
      <c r="I9430" t="s">
        <v>45</v>
      </c>
      <c r="J9430" t="s">
        <v>116</v>
      </c>
      <c r="L9430" t="s">
        <v>85</v>
      </c>
      <c r="M9430" t="s">
        <v>10940</v>
      </c>
      <c r="N9430" t="s">
        <v>10940</v>
      </c>
      <c r="O9430" t="s">
        <v>73</v>
      </c>
      <c r="P9430" t="s">
        <v>81</v>
      </c>
      <c r="Q9430" t="s">
        <v>1101</v>
      </c>
      <c r="R9430" t="s">
        <v>10940</v>
      </c>
    </row>
    <row r="9431" spans="1:18" x14ac:dyDescent="0.25">
      <c r="A9431" t="s">
        <v>20463</v>
      </c>
      <c r="B9431" t="s">
        <v>10958</v>
      </c>
      <c r="C9431" t="str">
        <f>HYPERLINK("https://nematode.unl.edu/pungho7.jpg")</f>
        <v>https://nematode.unl.edu/pungho7.jpg</v>
      </c>
      <c r="D9431" t="s">
        <v>16</v>
      </c>
      <c r="G9431" t="s">
        <v>34</v>
      </c>
      <c r="H9431" t="s">
        <v>18</v>
      </c>
      <c r="I9431" t="s">
        <v>516</v>
      </c>
      <c r="J9431" t="s">
        <v>116</v>
      </c>
      <c r="L9431" t="s">
        <v>85</v>
      </c>
      <c r="M9431" t="s">
        <v>10940</v>
      </c>
      <c r="N9431" t="s">
        <v>10940</v>
      </c>
      <c r="O9431" t="s">
        <v>73</v>
      </c>
      <c r="P9431" t="s">
        <v>81</v>
      </c>
      <c r="Q9431" t="s">
        <v>1101</v>
      </c>
      <c r="R9431" t="s">
        <v>10940</v>
      </c>
    </row>
    <row r="9432" spans="1:18" x14ac:dyDescent="0.25">
      <c r="A9432" t="s">
        <v>20473</v>
      </c>
      <c r="B9432" t="s">
        <v>10959</v>
      </c>
      <c r="C9432" t="str">
        <f>HYPERLINK("https://nematode.unl.edu/pungho8.jpg")</f>
        <v>https://nematode.unl.edu/pungho8.jpg</v>
      </c>
      <c r="D9432" t="s">
        <v>16</v>
      </c>
      <c r="G9432" t="s">
        <v>44</v>
      </c>
      <c r="I9432" t="s">
        <v>19</v>
      </c>
      <c r="J9432" t="s">
        <v>116</v>
      </c>
      <c r="L9432" t="s">
        <v>85</v>
      </c>
      <c r="M9432" t="s">
        <v>10940</v>
      </c>
      <c r="N9432" t="s">
        <v>10940</v>
      </c>
      <c r="O9432" t="s">
        <v>73</v>
      </c>
      <c r="P9432" t="s">
        <v>81</v>
      </c>
      <c r="Q9432" t="s">
        <v>1101</v>
      </c>
      <c r="R9432" t="s">
        <v>10940</v>
      </c>
    </row>
    <row r="9433" spans="1:18" x14ac:dyDescent="0.25">
      <c r="A9433" t="s">
        <v>20479</v>
      </c>
      <c r="B9433" t="s">
        <v>10960</v>
      </c>
      <c r="C9433" t="str">
        <f>HYPERLINK("https://nematode.unl.edu/pungho9.jpg")</f>
        <v>https://nematode.unl.edu/pungho9.jpg</v>
      </c>
      <c r="D9433" t="s">
        <v>16</v>
      </c>
      <c r="G9433" t="s">
        <v>28</v>
      </c>
      <c r="J9433" t="s">
        <v>116</v>
      </c>
      <c r="L9433" t="s">
        <v>85</v>
      </c>
      <c r="M9433" t="s">
        <v>10940</v>
      </c>
      <c r="N9433" t="s">
        <v>10940</v>
      </c>
      <c r="O9433" t="s">
        <v>73</v>
      </c>
      <c r="P9433" t="s">
        <v>81</v>
      </c>
      <c r="Q9433" t="s">
        <v>1101</v>
      </c>
      <c r="R9433" t="s">
        <v>10940</v>
      </c>
    </row>
    <row r="9434" spans="1:18" x14ac:dyDescent="0.25">
      <c r="A9434" t="s">
        <v>20537</v>
      </c>
      <c r="B9434" t="s">
        <v>11039</v>
      </c>
      <c r="C9434" t="str">
        <f>HYPERLINK("https://nematode.unl.edu/pungmogw1.jpg")</f>
        <v>https://nematode.unl.edu/pungmogw1.jpg</v>
      </c>
      <c r="D9434" t="s">
        <v>43</v>
      </c>
      <c r="G9434" t="s">
        <v>44</v>
      </c>
      <c r="J9434" t="s">
        <v>10027</v>
      </c>
      <c r="M9434" t="s">
        <v>11000</v>
      </c>
      <c r="N9434" t="s">
        <v>11000</v>
      </c>
      <c r="O9434" t="s">
        <v>73</v>
      </c>
      <c r="P9434" t="s">
        <v>81</v>
      </c>
      <c r="Q9434" t="s">
        <v>1101</v>
      </c>
      <c r="R9434" t="s">
        <v>10940</v>
      </c>
    </row>
    <row r="9435" spans="1:18" x14ac:dyDescent="0.25">
      <c r="A9435" t="s">
        <v>20513</v>
      </c>
      <c r="B9435" t="s">
        <v>11040</v>
      </c>
      <c r="C9435" t="str">
        <f>HYPERLINK("https://nematode.unl.edu/pungmogw2.jpg")</f>
        <v>https://nematode.unl.edu/pungmogw2.jpg</v>
      </c>
      <c r="D9435" t="s">
        <v>43</v>
      </c>
      <c r="G9435" t="s">
        <v>96</v>
      </c>
      <c r="H9435" t="s">
        <v>18</v>
      </c>
      <c r="I9435" t="s">
        <v>19</v>
      </c>
      <c r="J9435" t="s">
        <v>10027</v>
      </c>
      <c r="M9435" t="s">
        <v>11000</v>
      </c>
      <c r="N9435" t="s">
        <v>11000</v>
      </c>
      <c r="O9435" t="s">
        <v>73</v>
      </c>
      <c r="P9435" t="s">
        <v>81</v>
      </c>
      <c r="Q9435" t="s">
        <v>1101</v>
      </c>
      <c r="R9435" t="s">
        <v>10940</v>
      </c>
    </row>
    <row r="9436" spans="1:18" x14ac:dyDescent="0.25">
      <c r="A9436" t="s">
        <v>20563</v>
      </c>
      <c r="B9436" t="s">
        <v>11041</v>
      </c>
      <c r="C9436" t="str">
        <f>HYPERLINK("https://nematode.unl.edu/pungmogw3.jpg")</f>
        <v>https://nematode.unl.edu/pungmogw3.jpg</v>
      </c>
      <c r="D9436" t="s">
        <v>43</v>
      </c>
      <c r="G9436" t="s">
        <v>51</v>
      </c>
      <c r="I9436" t="s">
        <v>19</v>
      </c>
      <c r="J9436" t="s">
        <v>10027</v>
      </c>
      <c r="M9436" t="s">
        <v>11000</v>
      </c>
      <c r="N9436" t="s">
        <v>11000</v>
      </c>
      <c r="O9436" t="s">
        <v>73</v>
      </c>
      <c r="P9436" t="s">
        <v>81</v>
      </c>
      <c r="Q9436" t="s">
        <v>1101</v>
      </c>
      <c r="R9436" t="s">
        <v>10940</v>
      </c>
    </row>
    <row r="9437" spans="1:18" x14ac:dyDescent="0.25">
      <c r="A9437" t="s">
        <v>20552</v>
      </c>
      <c r="B9437" t="s">
        <v>11042</v>
      </c>
      <c r="C9437" t="str">
        <f>HYPERLINK("https://nematode.unl.edu/pungmogw4.jpg")</f>
        <v>https://nematode.unl.edu/pungmogw4.jpg</v>
      </c>
      <c r="G9437" t="s">
        <v>28</v>
      </c>
      <c r="I9437" t="s">
        <v>19</v>
      </c>
      <c r="J9437" t="s">
        <v>10027</v>
      </c>
      <c r="M9437" t="s">
        <v>11000</v>
      </c>
      <c r="N9437" t="s">
        <v>11000</v>
      </c>
      <c r="O9437" t="s">
        <v>73</v>
      </c>
      <c r="P9437" t="s">
        <v>81</v>
      </c>
      <c r="Q9437" t="s">
        <v>1101</v>
      </c>
      <c r="R9437" t="s">
        <v>10940</v>
      </c>
    </row>
    <row r="9438" spans="1:18" x14ac:dyDescent="0.25">
      <c r="A9438" t="s">
        <v>20524</v>
      </c>
      <c r="B9438" t="s">
        <v>11043</v>
      </c>
      <c r="C9438" t="str">
        <f>HYPERLINK("https://nematode.unl.edu/pungmogw5.jpg")</f>
        <v>https://nematode.unl.edu/pungmogw5.jpg</v>
      </c>
      <c r="D9438" t="s">
        <v>43</v>
      </c>
      <c r="G9438" t="s">
        <v>34</v>
      </c>
      <c r="H9438" t="s">
        <v>18</v>
      </c>
      <c r="J9438" t="s">
        <v>10027</v>
      </c>
      <c r="M9438" t="s">
        <v>11000</v>
      </c>
      <c r="N9438" t="s">
        <v>11000</v>
      </c>
      <c r="O9438" t="s">
        <v>73</v>
      </c>
      <c r="P9438" t="s">
        <v>81</v>
      </c>
      <c r="Q9438" t="s">
        <v>1101</v>
      </c>
      <c r="R9438" t="s">
        <v>10940</v>
      </c>
    </row>
    <row r="9439" spans="1:18" x14ac:dyDescent="0.25">
      <c r="A9439" t="s">
        <v>20541</v>
      </c>
      <c r="B9439" t="s">
        <v>11044</v>
      </c>
      <c r="C9439" t="str">
        <f>HYPERLINK("https://nematode.unl.edu/pungmogw6.jpg")</f>
        <v>https://nematode.unl.edu/pungmogw6.jpg</v>
      </c>
      <c r="D9439" t="s">
        <v>43</v>
      </c>
      <c r="G9439" t="s">
        <v>2142</v>
      </c>
      <c r="J9439" t="s">
        <v>10027</v>
      </c>
      <c r="M9439" t="s">
        <v>11000</v>
      </c>
      <c r="N9439" t="s">
        <v>11000</v>
      </c>
      <c r="O9439" t="s">
        <v>73</v>
      </c>
      <c r="P9439" t="s">
        <v>81</v>
      </c>
      <c r="Q9439" t="s">
        <v>1101</v>
      </c>
      <c r="R9439" t="s">
        <v>10940</v>
      </c>
    </row>
    <row r="9440" spans="1:18" x14ac:dyDescent="0.25">
      <c r="A9440" t="s">
        <v>20564</v>
      </c>
      <c r="B9440" t="s">
        <v>11045</v>
      </c>
      <c r="C9440" t="str">
        <f>HYPERLINK("https://nematode.unl.edu/pungmogw7.jpg")</f>
        <v>https://nematode.unl.edu/pungmogw7.jpg</v>
      </c>
      <c r="D9440" t="s">
        <v>43</v>
      </c>
      <c r="G9440" t="s">
        <v>51</v>
      </c>
      <c r="J9440" t="s">
        <v>10027</v>
      </c>
      <c r="M9440" t="s">
        <v>11000</v>
      </c>
      <c r="N9440" t="s">
        <v>11000</v>
      </c>
      <c r="O9440" t="s">
        <v>73</v>
      </c>
      <c r="P9440" t="s">
        <v>81</v>
      </c>
      <c r="Q9440" t="s">
        <v>1101</v>
      </c>
      <c r="R9440" t="s">
        <v>10940</v>
      </c>
    </row>
    <row r="9441" spans="1:18" x14ac:dyDescent="0.25">
      <c r="A9441" t="s">
        <v>20553</v>
      </c>
      <c r="B9441" t="s">
        <v>11046</v>
      </c>
      <c r="C9441" t="str">
        <f>HYPERLINK("https://nematode.unl.edu/pungmogw8.jpg")</f>
        <v>https://nematode.unl.edu/pungmogw8.jpg</v>
      </c>
      <c r="D9441" t="s">
        <v>43</v>
      </c>
      <c r="G9441" t="s">
        <v>28</v>
      </c>
      <c r="I9441" t="s">
        <v>41</v>
      </c>
      <c r="J9441" t="s">
        <v>10027</v>
      </c>
      <c r="M9441" t="s">
        <v>11000</v>
      </c>
      <c r="N9441" t="s">
        <v>11000</v>
      </c>
      <c r="O9441" t="s">
        <v>73</v>
      </c>
      <c r="P9441" t="s">
        <v>81</v>
      </c>
      <c r="Q9441" t="s">
        <v>1101</v>
      </c>
      <c r="R9441" t="s">
        <v>10940</v>
      </c>
    </row>
    <row r="9442" spans="1:18" x14ac:dyDescent="0.25">
      <c r="A9442" t="s">
        <v>20566</v>
      </c>
      <c r="B9442" t="s">
        <v>11053</v>
      </c>
      <c r="C9442" t="str">
        <f>HYPERLINK("https://nematode.unl.edu/pungob1.jpg")</f>
        <v>https://nematode.unl.edu/pungob1.jpg</v>
      </c>
      <c r="G9442" t="s">
        <v>34</v>
      </c>
      <c r="H9442" t="s">
        <v>18</v>
      </c>
      <c r="I9442" t="s">
        <v>19</v>
      </c>
      <c r="J9442" t="s">
        <v>116</v>
      </c>
      <c r="L9442" t="s">
        <v>85</v>
      </c>
      <c r="M9442" t="s">
        <v>11054</v>
      </c>
      <c r="N9442" t="s">
        <v>11054</v>
      </c>
      <c r="O9442" t="s">
        <v>73</v>
      </c>
      <c r="P9442" t="s">
        <v>81</v>
      </c>
      <c r="Q9442" t="s">
        <v>1101</v>
      </c>
      <c r="R9442" t="s">
        <v>10940</v>
      </c>
    </row>
    <row r="9443" spans="1:18" x14ac:dyDescent="0.25">
      <c r="A9443" t="s">
        <v>20578</v>
      </c>
      <c r="B9443" t="s">
        <v>11055</v>
      </c>
      <c r="C9443" t="str">
        <f>HYPERLINK("https://nematode.unl.edu/pungob2.jpg")</f>
        <v>https://nematode.unl.edu/pungob2.jpg</v>
      </c>
      <c r="D9443" t="s">
        <v>16</v>
      </c>
      <c r="G9443" t="s">
        <v>28</v>
      </c>
      <c r="I9443" t="s">
        <v>19</v>
      </c>
      <c r="J9443" t="s">
        <v>116</v>
      </c>
      <c r="L9443" t="s">
        <v>85</v>
      </c>
      <c r="M9443" t="s">
        <v>11054</v>
      </c>
      <c r="N9443" t="s">
        <v>11054</v>
      </c>
      <c r="O9443" t="s">
        <v>73</v>
      </c>
      <c r="P9443" t="s">
        <v>81</v>
      </c>
      <c r="Q9443" t="s">
        <v>1101</v>
      </c>
      <c r="R9443" t="s">
        <v>10940</v>
      </c>
    </row>
    <row r="9444" spans="1:18" x14ac:dyDescent="0.25">
      <c r="A9444" t="s">
        <v>20574</v>
      </c>
      <c r="B9444" t="s">
        <v>11056</v>
      </c>
      <c r="C9444" t="str">
        <f>HYPERLINK("https://nematode.unl.edu/pungob3.jpg")</f>
        <v>https://nematode.unl.edu/pungob3.jpg</v>
      </c>
      <c r="D9444" t="s">
        <v>43</v>
      </c>
      <c r="G9444" t="s">
        <v>44</v>
      </c>
      <c r="I9444" t="s">
        <v>91</v>
      </c>
      <c r="J9444" t="s">
        <v>116</v>
      </c>
      <c r="L9444" t="s">
        <v>85</v>
      </c>
      <c r="M9444" t="s">
        <v>11054</v>
      </c>
      <c r="N9444" t="s">
        <v>11054</v>
      </c>
      <c r="O9444" t="s">
        <v>73</v>
      </c>
      <c r="P9444" t="s">
        <v>81</v>
      </c>
      <c r="Q9444" t="s">
        <v>1101</v>
      </c>
      <c r="R9444" t="s">
        <v>10940</v>
      </c>
    </row>
    <row r="9445" spans="1:18" x14ac:dyDescent="0.25">
      <c r="A9445" t="s">
        <v>20577</v>
      </c>
      <c r="B9445" t="s">
        <v>11057</v>
      </c>
      <c r="C9445" t="str">
        <f>HYPERLINK("https://nematode.unl.edu/pungob4.jpg")</f>
        <v>https://nematode.unl.edu/pungob4.jpg</v>
      </c>
      <c r="G9445" t="s">
        <v>1000</v>
      </c>
      <c r="I9445" t="s">
        <v>137</v>
      </c>
      <c r="J9445" t="s">
        <v>116</v>
      </c>
      <c r="L9445" t="s">
        <v>85</v>
      </c>
      <c r="M9445" t="s">
        <v>11054</v>
      </c>
      <c r="N9445" t="s">
        <v>11054</v>
      </c>
      <c r="O9445" t="s">
        <v>73</v>
      </c>
      <c r="P9445" t="s">
        <v>81</v>
      </c>
      <c r="Q9445" t="s">
        <v>1101</v>
      </c>
      <c r="R9445" t="s">
        <v>10940</v>
      </c>
    </row>
    <row r="9446" spans="1:18" x14ac:dyDescent="0.25">
      <c r="A9446" t="s">
        <v>20584</v>
      </c>
      <c r="B9446" t="s">
        <v>11058</v>
      </c>
      <c r="C9446" t="str">
        <f>HYPERLINK("https://nematode.unl.edu/pungob5.jpg")</f>
        <v>https://nematode.unl.edu/pungob5.jpg</v>
      </c>
      <c r="D9446" t="s">
        <v>43</v>
      </c>
      <c r="G9446" t="s">
        <v>51</v>
      </c>
      <c r="I9446" t="s">
        <v>19</v>
      </c>
      <c r="J9446" t="s">
        <v>116</v>
      </c>
      <c r="L9446" t="s">
        <v>85</v>
      </c>
      <c r="M9446" t="s">
        <v>11054</v>
      </c>
      <c r="N9446" t="s">
        <v>11054</v>
      </c>
      <c r="O9446" t="s">
        <v>73</v>
      </c>
      <c r="P9446" t="s">
        <v>81</v>
      </c>
      <c r="Q9446" t="s">
        <v>1101</v>
      </c>
      <c r="R9446" t="s">
        <v>10940</v>
      </c>
    </row>
    <row r="9447" spans="1:18" x14ac:dyDescent="0.25">
      <c r="A9447" t="s">
        <v>20579</v>
      </c>
      <c r="B9447" t="s">
        <v>11059</v>
      </c>
      <c r="C9447" t="str">
        <f>HYPERLINK("https://nematode.unl.edu/pungob6.jpg")</f>
        <v>https://nematode.unl.edu/pungob6.jpg</v>
      </c>
      <c r="D9447" t="s">
        <v>43</v>
      </c>
      <c r="G9447" t="s">
        <v>28</v>
      </c>
      <c r="I9447" t="s">
        <v>19</v>
      </c>
      <c r="J9447" t="s">
        <v>116</v>
      </c>
      <c r="L9447" t="s">
        <v>85</v>
      </c>
      <c r="M9447" t="s">
        <v>11054</v>
      </c>
      <c r="N9447" t="s">
        <v>11054</v>
      </c>
      <c r="O9447" t="s">
        <v>73</v>
      </c>
      <c r="P9447" t="s">
        <v>81</v>
      </c>
      <c r="Q9447" t="s">
        <v>1101</v>
      </c>
      <c r="R9447" t="s">
        <v>10940</v>
      </c>
    </row>
    <row r="9448" spans="1:18" x14ac:dyDescent="0.25">
      <c r="A9448" t="s">
        <v>20567</v>
      </c>
      <c r="B9448" t="s">
        <v>11060</v>
      </c>
      <c r="C9448" t="str">
        <f>HYPERLINK("https://nematode.unl.edu/pungob7.jpg")</f>
        <v>https://nematode.unl.edu/pungob7.jpg</v>
      </c>
      <c r="D9448" t="s">
        <v>43</v>
      </c>
      <c r="G9448" t="s">
        <v>34</v>
      </c>
      <c r="H9448" t="s">
        <v>18</v>
      </c>
      <c r="I9448" t="s">
        <v>19</v>
      </c>
      <c r="J9448" t="s">
        <v>116</v>
      </c>
      <c r="L9448" t="s">
        <v>85</v>
      </c>
      <c r="M9448" t="s">
        <v>11054</v>
      </c>
      <c r="N9448" t="s">
        <v>11054</v>
      </c>
      <c r="O9448" t="s">
        <v>73</v>
      </c>
      <c r="P9448" t="s">
        <v>81</v>
      </c>
      <c r="Q9448" t="s">
        <v>1101</v>
      </c>
      <c r="R9448" t="s">
        <v>10940</v>
      </c>
    </row>
    <row r="9449" spans="1:18" x14ac:dyDescent="0.25">
      <c r="A9449" t="s">
        <v>20474</v>
      </c>
      <c r="B9449" t="s">
        <v>10961</v>
      </c>
      <c r="C9449" t="str">
        <f>HYPERLINK("https://nematode.unl.edu/pungs1.jpg")</f>
        <v>https://nematode.unl.edu/pungs1.jpg</v>
      </c>
      <c r="D9449" t="s">
        <v>16</v>
      </c>
      <c r="G9449" t="s">
        <v>44</v>
      </c>
      <c r="I9449" t="s">
        <v>499</v>
      </c>
      <c r="J9449" t="s">
        <v>46</v>
      </c>
      <c r="L9449" t="s">
        <v>727</v>
      </c>
      <c r="M9449" t="s">
        <v>10940</v>
      </c>
      <c r="N9449" t="s">
        <v>10940</v>
      </c>
      <c r="O9449" t="s">
        <v>73</v>
      </c>
      <c r="P9449" t="s">
        <v>81</v>
      </c>
      <c r="Q9449" t="s">
        <v>1101</v>
      </c>
      <c r="R9449" t="s">
        <v>10940</v>
      </c>
    </row>
    <row r="9450" spans="1:18" x14ac:dyDescent="0.25">
      <c r="A9450" t="s">
        <v>20464</v>
      </c>
      <c r="B9450" t="s">
        <v>10962</v>
      </c>
      <c r="C9450" t="str">
        <f>HYPERLINK("https://nematode.unl.edu/pungs2.jpg")</f>
        <v>https://nematode.unl.edu/pungs2.jpg</v>
      </c>
      <c r="D9450" t="s">
        <v>16</v>
      </c>
      <c r="G9450" t="s">
        <v>34</v>
      </c>
      <c r="H9450" t="s">
        <v>18</v>
      </c>
      <c r="J9450" t="s">
        <v>46</v>
      </c>
      <c r="L9450" t="s">
        <v>727</v>
      </c>
      <c r="M9450" t="s">
        <v>10940</v>
      </c>
      <c r="N9450" t="s">
        <v>10940</v>
      </c>
      <c r="O9450" t="s">
        <v>73</v>
      </c>
      <c r="P9450" t="s">
        <v>81</v>
      </c>
      <c r="Q9450" t="s">
        <v>1101</v>
      </c>
      <c r="R9450" t="s">
        <v>10940</v>
      </c>
    </row>
    <row r="9451" spans="1:18" x14ac:dyDescent="0.25">
      <c r="A9451" t="s">
        <v>20538</v>
      </c>
      <c r="B9451" t="s">
        <v>11047</v>
      </c>
      <c r="C9451" t="str">
        <f>HYPERLINK("https://nematode.unl.edu/punmon1.jpg")</f>
        <v>https://nematode.unl.edu/punmon1.jpg</v>
      </c>
      <c r="D9451" t="s">
        <v>43</v>
      </c>
      <c r="G9451" t="s">
        <v>44</v>
      </c>
      <c r="J9451" t="s">
        <v>116</v>
      </c>
      <c r="L9451" t="s">
        <v>85</v>
      </c>
      <c r="M9451" t="s">
        <v>11000</v>
      </c>
      <c r="N9451" t="s">
        <v>11000</v>
      </c>
      <c r="O9451" t="s">
        <v>73</v>
      </c>
      <c r="P9451" t="s">
        <v>81</v>
      </c>
      <c r="Q9451" t="s">
        <v>1101</v>
      </c>
      <c r="R9451" t="s">
        <v>10940</v>
      </c>
    </row>
    <row r="9452" spans="1:18" x14ac:dyDescent="0.25">
      <c r="A9452" t="s">
        <v>20540</v>
      </c>
      <c r="B9452" t="s">
        <v>11048</v>
      </c>
      <c r="C9452" t="str">
        <f>HYPERLINK("https://nematode.unl.edu/punmon2.jpg")</f>
        <v>https://nematode.unl.edu/punmon2.jpg</v>
      </c>
      <c r="G9452" t="s">
        <v>1000</v>
      </c>
      <c r="J9452" t="s">
        <v>116</v>
      </c>
      <c r="L9452" t="s">
        <v>85</v>
      </c>
      <c r="M9452" t="s">
        <v>11000</v>
      </c>
      <c r="N9452" t="s">
        <v>11000</v>
      </c>
      <c r="O9452" t="s">
        <v>73</v>
      </c>
      <c r="P9452" t="s">
        <v>81</v>
      </c>
      <c r="Q9452" t="s">
        <v>1101</v>
      </c>
      <c r="R9452" t="s">
        <v>10940</v>
      </c>
    </row>
    <row r="9453" spans="1:18" x14ac:dyDescent="0.25">
      <c r="A9453" t="s">
        <v>20525</v>
      </c>
      <c r="B9453" t="s">
        <v>11049</v>
      </c>
      <c r="C9453" t="str">
        <f>HYPERLINK("https://nematode.unl.edu/punmon3.jpg")</f>
        <v>https://nematode.unl.edu/punmon3.jpg</v>
      </c>
      <c r="D9453" t="s">
        <v>77</v>
      </c>
      <c r="G9453" t="s">
        <v>34</v>
      </c>
      <c r="H9453" t="s">
        <v>18</v>
      </c>
      <c r="I9453" t="s">
        <v>19</v>
      </c>
      <c r="J9453" t="s">
        <v>116</v>
      </c>
      <c r="L9453" t="s">
        <v>85</v>
      </c>
      <c r="M9453" t="s">
        <v>11000</v>
      </c>
      <c r="N9453" t="s">
        <v>11000</v>
      </c>
      <c r="O9453" t="s">
        <v>73</v>
      </c>
      <c r="P9453" t="s">
        <v>81</v>
      </c>
      <c r="Q9453" t="s">
        <v>1101</v>
      </c>
      <c r="R9453" t="s">
        <v>10940</v>
      </c>
    </row>
    <row r="9454" spans="1:18" x14ac:dyDescent="0.25">
      <c r="A9454" t="s">
        <v>20531</v>
      </c>
      <c r="B9454" t="s">
        <v>11050</v>
      </c>
      <c r="C9454" t="str">
        <f>HYPERLINK("https://nematode.unl.edu/punmon4.jpg")</f>
        <v>https://nematode.unl.edu/punmon4.jpg</v>
      </c>
      <c r="D9454" t="s">
        <v>43</v>
      </c>
      <c r="G9454" t="s">
        <v>87</v>
      </c>
      <c r="I9454" t="s">
        <v>19</v>
      </c>
      <c r="J9454" t="s">
        <v>116</v>
      </c>
      <c r="L9454" t="s">
        <v>85</v>
      </c>
      <c r="M9454" t="s">
        <v>11000</v>
      </c>
      <c r="N9454" t="s">
        <v>11000</v>
      </c>
      <c r="O9454" t="s">
        <v>73</v>
      </c>
      <c r="P9454" t="s">
        <v>81</v>
      </c>
      <c r="Q9454" t="s">
        <v>1101</v>
      </c>
      <c r="R9454" t="s">
        <v>10940</v>
      </c>
    </row>
    <row r="9455" spans="1:18" x14ac:dyDescent="0.25">
      <c r="A9455" t="s">
        <v>20565</v>
      </c>
      <c r="B9455" t="s">
        <v>11051</v>
      </c>
      <c r="C9455" t="str">
        <f>HYPERLINK("https://nematode.unl.edu/punmon5.jpg")</f>
        <v>https://nematode.unl.edu/punmon5.jpg</v>
      </c>
      <c r="D9455" t="s">
        <v>43</v>
      </c>
      <c r="G9455" t="s">
        <v>51</v>
      </c>
      <c r="J9455" t="s">
        <v>116</v>
      </c>
      <c r="L9455" t="s">
        <v>85</v>
      </c>
      <c r="M9455" t="s">
        <v>11000</v>
      </c>
      <c r="N9455" t="s">
        <v>11000</v>
      </c>
      <c r="O9455" t="s">
        <v>73</v>
      </c>
      <c r="P9455" t="s">
        <v>81</v>
      </c>
      <c r="Q9455" t="s">
        <v>1101</v>
      </c>
      <c r="R9455" t="s">
        <v>10940</v>
      </c>
    </row>
    <row r="9456" spans="1:18" x14ac:dyDescent="0.25">
      <c r="A9456" t="s">
        <v>20554</v>
      </c>
      <c r="B9456" t="s">
        <v>11052</v>
      </c>
      <c r="C9456" t="str">
        <f>HYPERLINK("https://nematode.unl.edu/punmon6.jpg")</f>
        <v>https://nematode.unl.edu/punmon6.jpg</v>
      </c>
      <c r="D9456" t="s">
        <v>77</v>
      </c>
      <c r="G9456" t="s">
        <v>28</v>
      </c>
      <c r="I9456" t="s">
        <v>19</v>
      </c>
      <c r="J9456" t="s">
        <v>116</v>
      </c>
      <c r="L9456" t="s">
        <v>85</v>
      </c>
      <c r="M9456" t="s">
        <v>11000</v>
      </c>
      <c r="N9456" t="s">
        <v>11000</v>
      </c>
      <c r="O9456" t="s">
        <v>73</v>
      </c>
      <c r="P9456" t="s">
        <v>81</v>
      </c>
      <c r="Q9456" t="s">
        <v>1101</v>
      </c>
      <c r="R9456" t="s">
        <v>10940</v>
      </c>
    </row>
    <row r="9457" spans="1:18" x14ac:dyDescent="0.25">
      <c r="A9457" t="s">
        <v>20575</v>
      </c>
      <c r="B9457" t="s">
        <v>11061</v>
      </c>
      <c r="C9457" t="str">
        <f>HYPERLINK("https://nematode.unl.edu/punob1.jpg")</f>
        <v>https://nematode.unl.edu/punob1.jpg</v>
      </c>
      <c r="D9457" t="s">
        <v>43</v>
      </c>
      <c r="G9457" t="s">
        <v>44</v>
      </c>
      <c r="I9457" t="s">
        <v>45</v>
      </c>
      <c r="J9457" t="s">
        <v>20</v>
      </c>
      <c r="L9457" t="s">
        <v>64</v>
      </c>
      <c r="M9457" t="s">
        <v>11054</v>
      </c>
      <c r="N9457" t="s">
        <v>11054</v>
      </c>
      <c r="O9457" t="s">
        <v>73</v>
      </c>
      <c r="P9457" t="s">
        <v>81</v>
      </c>
      <c r="Q9457" t="s">
        <v>1101</v>
      </c>
      <c r="R9457" t="s">
        <v>10940</v>
      </c>
    </row>
    <row r="9458" spans="1:18" x14ac:dyDescent="0.25">
      <c r="A9458" t="s">
        <v>20585</v>
      </c>
      <c r="B9458" t="s">
        <v>11062</v>
      </c>
      <c r="C9458" t="str">
        <f>HYPERLINK("https://nematode.unl.edu/punob10.jpg")</f>
        <v>https://nematode.unl.edu/punob10.jpg</v>
      </c>
      <c r="D9458" t="s">
        <v>43</v>
      </c>
      <c r="G9458" t="s">
        <v>51</v>
      </c>
      <c r="I9458" t="s">
        <v>41</v>
      </c>
      <c r="J9458" t="s">
        <v>20</v>
      </c>
      <c r="L9458" t="s">
        <v>141</v>
      </c>
      <c r="M9458" t="s">
        <v>11054</v>
      </c>
      <c r="N9458" t="s">
        <v>11054</v>
      </c>
      <c r="O9458" t="s">
        <v>73</v>
      </c>
      <c r="P9458" t="s">
        <v>81</v>
      </c>
      <c r="Q9458" t="s">
        <v>1101</v>
      </c>
      <c r="R9458" t="s">
        <v>10940</v>
      </c>
    </row>
    <row r="9459" spans="1:18" x14ac:dyDescent="0.25">
      <c r="A9459" t="s">
        <v>20568</v>
      </c>
      <c r="B9459" t="s">
        <v>11063</v>
      </c>
      <c r="C9459" t="str">
        <f>HYPERLINK("https://nematode.unl.edu/punob11.jpg")</f>
        <v>https://nematode.unl.edu/punob11.jpg</v>
      </c>
      <c r="D9459" t="s">
        <v>43</v>
      </c>
      <c r="G9459" t="s">
        <v>34</v>
      </c>
      <c r="H9459" t="s">
        <v>18</v>
      </c>
      <c r="J9459" t="s">
        <v>20</v>
      </c>
      <c r="M9459" t="s">
        <v>11054</v>
      </c>
      <c r="N9459" t="s">
        <v>11054</v>
      </c>
      <c r="O9459" t="s">
        <v>73</v>
      </c>
      <c r="P9459" t="s">
        <v>81</v>
      </c>
      <c r="Q9459" t="s">
        <v>1101</v>
      </c>
      <c r="R9459" t="s">
        <v>10940</v>
      </c>
    </row>
    <row r="9460" spans="1:18" x14ac:dyDescent="0.25">
      <c r="A9460" t="s">
        <v>20573</v>
      </c>
      <c r="B9460" t="s">
        <v>11064</v>
      </c>
      <c r="C9460" t="str">
        <f>HYPERLINK("https://nematode.unl.edu/punob12.jpg")</f>
        <v>https://nematode.unl.edu/punob12.jpg</v>
      </c>
      <c r="D9460" t="s">
        <v>43</v>
      </c>
      <c r="G9460" t="s">
        <v>87</v>
      </c>
      <c r="J9460" t="s">
        <v>20</v>
      </c>
      <c r="L9460" t="s">
        <v>183</v>
      </c>
      <c r="M9460" t="s">
        <v>11054</v>
      </c>
      <c r="N9460" t="s">
        <v>11054</v>
      </c>
      <c r="O9460" t="s">
        <v>73</v>
      </c>
      <c r="P9460" t="s">
        <v>81</v>
      </c>
      <c r="Q9460" t="s">
        <v>1101</v>
      </c>
      <c r="R9460" t="s">
        <v>10940</v>
      </c>
    </row>
    <row r="9461" spans="1:18" x14ac:dyDescent="0.25">
      <c r="A9461" t="s">
        <v>20586</v>
      </c>
      <c r="B9461" t="s">
        <v>11065</v>
      </c>
      <c r="C9461" t="str">
        <f>HYPERLINK("https://nematode.unl.edu/punob13.jpg")</f>
        <v>https://nematode.unl.edu/punob13.jpg</v>
      </c>
      <c r="D9461" t="s">
        <v>43</v>
      </c>
      <c r="G9461" t="s">
        <v>51</v>
      </c>
      <c r="I9461" t="s">
        <v>19</v>
      </c>
      <c r="J9461" t="s">
        <v>20</v>
      </c>
      <c r="M9461" t="s">
        <v>11054</v>
      </c>
      <c r="N9461" t="s">
        <v>11054</v>
      </c>
      <c r="O9461" t="s">
        <v>73</v>
      </c>
      <c r="P9461" t="s">
        <v>81</v>
      </c>
      <c r="Q9461" t="s">
        <v>1101</v>
      </c>
      <c r="R9461" t="s">
        <v>10940</v>
      </c>
    </row>
    <row r="9462" spans="1:18" x14ac:dyDescent="0.25">
      <c r="A9462" t="s">
        <v>20580</v>
      </c>
      <c r="B9462" t="s">
        <v>11066</v>
      </c>
      <c r="C9462" t="str">
        <f>HYPERLINK("https://nematode.unl.edu/punob14.jpg")</f>
        <v>https://nematode.unl.edu/punob14.jpg</v>
      </c>
      <c r="D9462" t="s">
        <v>43</v>
      </c>
      <c r="G9462" t="s">
        <v>28</v>
      </c>
      <c r="I9462" t="s">
        <v>19</v>
      </c>
      <c r="J9462" t="s">
        <v>20</v>
      </c>
      <c r="L9462" t="s">
        <v>183</v>
      </c>
      <c r="M9462" t="s">
        <v>11054</v>
      </c>
      <c r="N9462" t="s">
        <v>11054</v>
      </c>
      <c r="O9462" t="s">
        <v>73</v>
      </c>
      <c r="P9462" t="s">
        <v>81</v>
      </c>
      <c r="Q9462" t="s">
        <v>1101</v>
      </c>
      <c r="R9462" t="s">
        <v>10940</v>
      </c>
    </row>
    <row r="9463" spans="1:18" x14ac:dyDescent="0.25">
      <c r="A9463" t="s">
        <v>20576</v>
      </c>
      <c r="B9463" t="s">
        <v>11067</v>
      </c>
      <c r="C9463" t="str">
        <f>HYPERLINK("https://nematode.unl.edu/punob15.jpg")</f>
        <v>https://nematode.unl.edu/punob15.jpg</v>
      </c>
      <c r="D9463" t="s">
        <v>43</v>
      </c>
      <c r="G9463" t="s">
        <v>44</v>
      </c>
      <c r="I9463" t="s">
        <v>45</v>
      </c>
      <c r="M9463" t="s">
        <v>11054</v>
      </c>
      <c r="N9463" t="s">
        <v>11054</v>
      </c>
      <c r="O9463" t="s">
        <v>73</v>
      </c>
      <c r="P9463" t="s">
        <v>81</v>
      </c>
      <c r="Q9463" t="s">
        <v>1101</v>
      </c>
      <c r="R9463" t="s">
        <v>10940</v>
      </c>
    </row>
    <row r="9464" spans="1:18" x14ac:dyDescent="0.25">
      <c r="A9464" t="s">
        <v>20569</v>
      </c>
      <c r="B9464" t="s">
        <v>11068</v>
      </c>
      <c r="C9464" t="str">
        <f>HYPERLINK("https://nematode.unl.edu/punob2.jpg")</f>
        <v>https://nematode.unl.edu/punob2.jpg</v>
      </c>
      <c r="D9464" t="s">
        <v>43</v>
      </c>
      <c r="G9464" t="s">
        <v>34</v>
      </c>
      <c r="H9464" t="s">
        <v>18</v>
      </c>
      <c r="I9464" t="s">
        <v>19</v>
      </c>
      <c r="J9464" t="s">
        <v>20</v>
      </c>
      <c r="L9464" t="s">
        <v>64</v>
      </c>
      <c r="M9464" t="s">
        <v>11054</v>
      </c>
      <c r="N9464" t="s">
        <v>11054</v>
      </c>
      <c r="O9464" t="s">
        <v>73</v>
      </c>
      <c r="P9464" t="s">
        <v>81</v>
      </c>
      <c r="Q9464" t="s">
        <v>1101</v>
      </c>
      <c r="R9464" t="s">
        <v>10940</v>
      </c>
    </row>
    <row r="9465" spans="1:18" x14ac:dyDescent="0.25">
      <c r="A9465" t="s">
        <v>20570</v>
      </c>
      <c r="B9465" t="s">
        <v>11069</v>
      </c>
      <c r="C9465" t="str">
        <f>HYPERLINK("https://nematode.unl.edu/punob3.jpg")</f>
        <v>https://nematode.unl.edu/punob3.jpg</v>
      </c>
      <c r="D9465" t="s">
        <v>43</v>
      </c>
      <c r="G9465" t="s">
        <v>34</v>
      </c>
      <c r="H9465" t="s">
        <v>18</v>
      </c>
      <c r="I9465" t="s">
        <v>19</v>
      </c>
      <c r="J9465" t="s">
        <v>20</v>
      </c>
      <c r="L9465" t="s">
        <v>64</v>
      </c>
      <c r="M9465" t="s">
        <v>11054</v>
      </c>
      <c r="N9465" t="s">
        <v>11054</v>
      </c>
      <c r="O9465" t="s">
        <v>73</v>
      </c>
      <c r="P9465" t="s">
        <v>81</v>
      </c>
      <c r="Q9465" t="s">
        <v>1101</v>
      </c>
      <c r="R9465" t="s">
        <v>10940</v>
      </c>
    </row>
    <row r="9466" spans="1:18" x14ac:dyDescent="0.25">
      <c r="A9466" t="s">
        <v>20587</v>
      </c>
      <c r="B9466" t="s">
        <v>11070</v>
      </c>
      <c r="C9466" t="str">
        <f>HYPERLINK("https://nematode.unl.edu/punob4.jpg")</f>
        <v>https://nematode.unl.edu/punob4.jpg</v>
      </c>
      <c r="D9466" t="s">
        <v>43</v>
      </c>
      <c r="G9466" t="s">
        <v>51</v>
      </c>
      <c r="I9466" t="s">
        <v>19</v>
      </c>
      <c r="J9466" t="s">
        <v>20</v>
      </c>
      <c r="L9466" t="s">
        <v>64</v>
      </c>
      <c r="M9466" t="s">
        <v>11054</v>
      </c>
      <c r="N9466" t="s">
        <v>11054</v>
      </c>
      <c r="O9466" t="s">
        <v>73</v>
      </c>
      <c r="P9466" t="s">
        <v>81</v>
      </c>
      <c r="Q9466" t="s">
        <v>1101</v>
      </c>
      <c r="R9466" t="s">
        <v>10940</v>
      </c>
    </row>
    <row r="9467" spans="1:18" x14ac:dyDescent="0.25">
      <c r="A9467" t="s">
        <v>20581</v>
      </c>
      <c r="B9467" t="s">
        <v>11071</v>
      </c>
      <c r="C9467" t="str">
        <f>HYPERLINK("https://nematode.unl.edu/punob5.jpg")</f>
        <v>https://nematode.unl.edu/punob5.jpg</v>
      </c>
      <c r="D9467" t="s">
        <v>43</v>
      </c>
      <c r="G9467" t="s">
        <v>28</v>
      </c>
      <c r="J9467" t="s">
        <v>20</v>
      </c>
      <c r="L9467" t="s">
        <v>64</v>
      </c>
      <c r="M9467" t="s">
        <v>11054</v>
      </c>
      <c r="N9467" t="s">
        <v>11054</v>
      </c>
      <c r="O9467" t="s">
        <v>73</v>
      </c>
      <c r="P9467" t="s">
        <v>81</v>
      </c>
      <c r="Q9467" t="s">
        <v>1101</v>
      </c>
      <c r="R9467" t="s">
        <v>10940</v>
      </c>
    </row>
    <row r="9468" spans="1:18" x14ac:dyDescent="0.25">
      <c r="A9468" t="s">
        <v>20571</v>
      </c>
      <c r="B9468" t="s">
        <v>11072</v>
      </c>
      <c r="C9468" t="str">
        <f>HYPERLINK("https://nematode.unl.edu/punob6.jpg")</f>
        <v>https://nematode.unl.edu/punob6.jpg</v>
      </c>
      <c r="D9468" t="s">
        <v>43</v>
      </c>
      <c r="G9468" t="s">
        <v>34</v>
      </c>
      <c r="H9468" t="s">
        <v>18</v>
      </c>
      <c r="I9468" t="s">
        <v>41</v>
      </c>
      <c r="L9468" t="s">
        <v>64</v>
      </c>
      <c r="M9468" t="s">
        <v>11054</v>
      </c>
      <c r="N9468" t="s">
        <v>11054</v>
      </c>
      <c r="O9468" t="s">
        <v>73</v>
      </c>
      <c r="P9468" t="s">
        <v>81</v>
      </c>
      <c r="Q9468" t="s">
        <v>1101</v>
      </c>
      <c r="R9468" t="s">
        <v>10940</v>
      </c>
    </row>
    <row r="9469" spans="1:18" x14ac:dyDescent="0.25">
      <c r="A9469" t="s">
        <v>20582</v>
      </c>
      <c r="B9469" t="s">
        <v>11073</v>
      </c>
      <c r="C9469" t="str">
        <f>HYPERLINK("https://nematode.unl.edu/punob7.jpg")</f>
        <v>https://nematode.unl.edu/punob7.jpg</v>
      </c>
      <c r="D9469" t="s">
        <v>43</v>
      </c>
      <c r="G9469" t="s">
        <v>28</v>
      </c>
      <c r="J9469" t="s">
        <v>20</v>
      </c>
      <c r="L9469" t="s">
        <v>352</v>
      </c>
      <c r="M9469" t="s">
        <v>11054</v>
      </c>
      <c r="N9469" t="s">
        <v>11054</v>
      </c>
      <c r="O9469" t="s">
        <v>73</v>
      </c>
      <c r="P9469" t="s">
        <v>81</v>
      </c>
      <c r="Q9469" t="s">
        <v>1101</v>
      </c>
      <c r="R9469" t="s">
        <v>10940</v>
      </c>
    </row>
    <row r="9470" spans="1:18" x14ac:dyDescent="0.25">
      <c r="A9470" t="s">
        <v>20588</v>
      </c>
      <c r="B9470" t="s">
        <v>11074</v>
      </c>
      <c r="C9470" t="str">
        <f>HYPERLINK("https://nematode.unl.edu/punob8.jpg")</f>
        <v>https://nematode.unl.edu/punob8.jpg</v>
      </c>
      <c r="D9470" t="s">
        <v>43</v>
      </c>
      <c r="G9470" t="s">
        <v>51</v>
      </c>
      <c r="J9470" t="s">
        <v>20</v>
      </c>
      <c r="L9470" t="s">
        <v>193</v>
      </c>
      <c r="M9470" t="s">
        <v>11054</v>
      </c>
      <c r="N9470" t="s">
        <v>11054</v>
      </c>
      <c r="O9470" t="s">
        <v>73</v>
      </c>
      <c r="P9470" t="s">
        <v>81</v>
      </c>
      <c r="Q9470" t="s">
        <v>1101</v>
      </c>
      <c r="R9470" t="s">
        <v>10940</v>
      </c>
    </row>
    <row r="9471" spans="1:18" x14ac:dyDescent="0.25">
      <c r="A9471" t="s">
        <v>20572</v>
      </c>
      <c r="B9471" t="s">
        <v>11075</v>
      </c>
      <c r="C9471" t="str">
        <f>HYPERLINK("https://nematode.unl.edu/punob9.jpg")</f>
        <v>https://nematode.unl.edu/punob9.jpg</v>
      </c>
      <c r="D9471" t="s">
        <v>43</v>
      </c>
      <c r="G9471" t="s">
        <v>34</v>
      </c>
      <c r="H9471" t="s">
        <v>18</v>
      </c>
      <c r="I9471" t="s">
        <v>41</v>
      </c>
      <c r="J9471" t="s">
        <v>20</v>
      </c>
      <c r="L9471" t="s">
        <v>141</v>
      </c>
      <c r="M9471" t="s">
        <v>11054</v>
      </c>
      <c r="N9471" t="s">
        <v>11054</v>
      </c>
      <c r="O9471" t="s">
        <v>73</v>
      </c>
      <c r="P9471" t="s">
        <v>81</v>
      </c>
      <c r="Q9471" t="s">
        <v>1101</v>
      </c>
      <c r="R9471" t="s">
        <v>10940</v>
      </c>
    </row>
    <row r="9472" spans="1:18" x14ac:dyDescent="0.25">
      <c r="A9472" t="s">
        <v>20583</v>
      </c>
      <c r="B9472" t="s">
        <v>11076</v>
      </c>
      <c r="C9472" t="str">
        <f>HYPERLINK("https://nematode.unl.edu/punobcmp.jpg")</f>
        <v>https://nematode.unl.edu/punobcmp.jpg</v>
      </c>
      <c r="G9472" t="s">
        <v>28</v>
      </c>
      <c r="M9472" t="s">
        <v>11054</v>
      </c>
      <c r="N9472" t="s">
        <v>11054</v>
      </c>
      <c r="O9472" t="s">
        <v>73</v>
      </c>
      <c r="P9472" t="s">
        <v>81</v>
      </c>
      <c r="Q9472" t="s">
        <v>1101</v>
      </c>
      <c r="R9472" t="s">
        <v>10940</v>
      </c>
    </row>
    <row r="9473" spans="1:18" x14ac:dyDescent="0.25">
      <c r="A9473" t="s">
        <v>20602</v>
      </c>
      <c r="B9473" t="s">
        <v>11082</v>
      </c>
      <c r="C9473" t="str">
        <f>HYPERLINK("https://nematode.unl.edu/punpun1.jpg")</f>
        <v>https://nematode.unl.edu/punpun1.jpg</v>
      </c>
      <c r="D9473" t="s">
        <v>43</v>
      </c>
      <c r="G9473" t="s">
        <v>44</v>
      </c>
      <c r="I9473" t="s">
        <v>1008</v>
      </c>
      <c r="J9473" t="s">
        <v>20</v>
      </c>
      <c r="L9473" t="s">
        <v>220</v>
      </c>
      <c r="M9473" t="s">
        <v>11078</v>
      </c>
      <c r="N9473" t="s">
        <v>11078</v>
      </c>
      <c r="O9473" t="s">
        <v>73</v>
      </c>
      <c r="P9473" t="s">
        <v>81</v>
      </c>
      <c r="Q9473" t="s">
        <v>1101</v>
      </c>
      <c r="R9473" t="s">
        <v>10940</v>
      </c>
    </row>
    <row r="9474" spans="1:18" x14ac:dyDescent="0.25">
      <c r="A9474" t="s">
        <v>20607</v>
      </c>
      <c r="B9474" t="s">
        <v>11083</v>
      </c>
      <c r="C9474" t="str">
        <f>HYPERLINK("https://nematode.unl.edu/punpun10.jpg")</f>
        <v>https://nematode.unl.edu/punpun10.jpg</v>
      </c>
      <c r="D9474" t="s">
        <v>43</v>
      </c>
      <c r="G9474" t="s">
        <v>181</v>
      </c>
      <c r="I9474" t="s">
        <v>45</v>
      </c>
      <c r="J9474" t="s">
        <v>20</v>
      </c>
      <c r="L9474" t="s">
        <v>220</v>
      </c>
      <c r="M9474" t="s">
        <v>11078</v>
      </c>
      <c r="N9474" t="s">
        <v>11078</v>
      </c>
      <c r="O9474" t="s">
        <v>73</v>
      </c>
      <c r="P9474" t="s">
        <v>81</v>
      </c>
      <c r="Q9474" t="s">
        <v>1101</v>
      </c>
      <c r="R9474" t="s">
        <v>10940</v>
      </c>
    </row>
    <row r="9475" spans="1:18" x14ac:dyDescent="0.25">
      <c r="A9475" t="s">
        <v>20595</v>
      </c>
      <c r="B9475" t="s">
        <v>11084</v>
      </c>
      <c r="C9475" t="str">
        <f>HYPERLINK("https://nematode.unl.edu/punpun11.jpg")</f>
        <v>https://nematode.unl.edu/punpun11.jpg</v>
      </c>
      <c r="D9475" t="s">
        <v>43</v>
      </c>
      <c r="G9475" t="s">
        <v>34</v>
      </c>
      <c r="H9475" t="s">
        <v>18</v>
      </c>
      <c r="J9475" t="s">
        <v>20</v>
      </c>
      <c r="L9475" t="s">
        <v>220</v>
      </c>
      <c r="M9475" t="s">
        <v>11078</v>
      </c>
      <c r="N9475" t="s">
        <v>11078</v>
      </c>
      <c r="O9475" t="s">
        <v>73</v>
      </c>
      <c r="P9475" t="s">
        <v>81</v>
      </c>
      <c r="Q9475" t="s">
        <v>1101</v>
      </c>
      <c r="R9475" t="s">
        <v>10940</v>
      </c>
    </row>
    <row r="9476" spans="1:18" x14ac:dyDescent="0.25">
      <c r="A9476" t="s">
        <v>20616</v>
      </c>
      <c r="B9476" t="s">
        <v>11085</v>
      </c>
      <c r="C9476" t="str">
        <f>HYPERLINK("https://nematode.unl.edu/punpun12.jpg")</f>
        <v>https://nematode.unl.edu/punpun12.jpg</v>
      </c>
      <c r="D9476" t="s">
        <v>43</v>
      </c>
      <c r="G9476" t="s">
        <v>51</v>
      </c>
      <c r="J9476" t="s">
        <v>20</v>
      </c>
      <c r="L9476" t="s">
        <v>220</v>
      </c>
      <c r="M9476" t="s">
        <v>11078</v>
      </c>
      <c r="N9476" t="s">
        <v>11078</v>
      </c>
      <c r="O9476" t="s">
        <v>73</v>
      </c>
      <c r="P9476" t="s">
        <v>81</v>
      </c>
      <c r="Q9476" t="s">
        <v>1101</v>
      </c>
      <c r="R9476" t="s">
        <v>10940</v>
      </c>
    </row>
    <row r="9477" spans="1:18" x14ac:dyDescent="0.25">
      <c r="A9477" t="s">
        <v>20609</v>
      </c>
      <c r="B9477" t="s">
        <v>11086</v>
      </c>
      <c r="C9477" t="str">
        <f>HYPERLINK("https://nematode.unl.edu/punpun13.jpg")</f>
        <v>https://nematode.unl.edu/punpun13.jpg</v>
      </c>
      <c r="D9477" t="s">
        <v>43</v>
      </c>
      <c r="G9477" t="s">
        <v>28</v>
      </c>
      <c r="J9477" t="s">
        <v>20</v>
      </c>
      <c r="L9477" t="s">
        <v>220</v>
      </c>
      <c r="M9477" t="s">
        <v>11078</v>
      </c>
      <c r="N9477" t="s">
        <v>11078</v>
      </c>
      <c r="O9477" t="s">
        <v>73</v>
      </c>
      <c r="P9477" t="s">
        <v>81</v>
      </c>
      <c r="Q9477" t="s">
        <v>1101</v>
      </c>
      <c r="R9477" t="s">
        <v>10940</v>
      </c>
    </row>
    <row r="9478" spans="1:18" x14ac:dyDescent="0.25">
      <c r="A9478" t="s">
        <v>20605</v>
      </c>
      <c r="B9478" t="s">
        <v>11087</v>
      </c>
      <c r="C9478" t="str">
        <f>HYPERLINK("https://nematode.unl.edu/punpun14.jpg")</f>
        <v>https://nematode.unl.edu/punpun14.jpg</v>
      </c>
      <c r="G9478" t="s">
        <v>205</v>
      </c>
      <c r="J9478" t="s">
        <v>20</v>
      </c>
      <c r="L9478" t="s">
        <v>220</v>
      </c>
      <c r="M9478" t="s">
        <v>11078</v>
      </c>
      <c r="N9478" t="s">
        <v>11078</v>
      </c>
      <c r="O9478" t="s">
        <v>73</v>
      </c>
      <c r="P9478" t="s">
        <v>81</v>
      </c>
      <c r="Q9478" t="s">
        <v>1101</v>
      </c>
      <c r="R9478" t="s">
        <v>10940</v>
      </c>
    </row>
    <row r="9479" spans="1:18" x14ac:dyDescent="0.25">
      <c r="A9479" t="s">
        <v>20591</v>
      </c>
      <c r="B9479" t="s">
        <v>11088</v>
      </c>
      <c r="C9479" t="str">
        <f>HYPERLINK("https://nematode.unl.edu/punpun15.jpg")</f>
        <v>https://nematode.unl.edu/punpun15.jpg</v>
      </c>
      <c r="D9479" t="s">
        <v>43</v>
      </c>
      <c r="G9479" t="s">
        <v>96</v>
      </c>
      <c r="H9479" t="s">
        <v>18</v>
      </c>
      <c r="I9479" t="s">
        <v>45</v>
      </c>
      <c r="J9479" t="s">
        <v>20</v>
      </c>
      <c r="L9479" t="s">
        <v>220</v>
      </c>
      <c r="M9479" t="s">
        <v>11078</v>
      </c>
      <c r="N9479" t="s">
        <v>11078</v>
      </c>
      <c r="O9479" t="s">
        <v>73</v>
      </c>
      <c r="P9479" t="s">
        <v>81</v>
      </c>
      <c r="Q9479" t="s">
        <v>1101</v>
      </c>
      <c r="R9479" t="s">
        <v>10940</v>
      </c>
    </row>
    <row r="9480" spans="1:18" x14ac:dyDescent="0.25">
      <c r="A9480" t="s">
        <v>20596</v>
      </c>
      <c r="B9480" t="s">
        <v>11089</v>
      </c>
      <c r="C9480" t="str">
        <f>HYPERLINK("https://nematode.unl.edu/punpun16.jpg")</f>
        <v>https://nematode.unl.edu/punpun16.jpg</v>
      </c>
      <c r="D9480" t="s">
        <v>43</v>
      </c>
      <c r="G9480" t="s">
        <v>34</v>
      </c>
      <c r="H9480" t="s">
        <v>18</v>
      </c>
      <c r="I9480" t="s">
        <v>516</v>
      </c>
      <c r="J9480" t="s">
        <v>20</v>
      </c>
      <c r="L9480" t="s">
        <v>220</v>
      </c>
      <c r="M9480" t="s">
        <v>11078</v>
      </c>
      <c r="N9480" t="s">
        <v>11078</v>
      </c>
      <c r="O9480" t="s">
        <v>73</v>
      </c>
      <c r="P9480" t="s">
        <v>81</v>
      </c>
      <c r="Q9480" t="s">
        <v>1101</v>
      </c>
      <c r="R9480" t="s">
        <v>10940</v>
      </c>
    </row>
    <row r="9481" spans="1:18" x14ac:dyDescent="0.25">
      <c r="A9481" t="s">
        <v>20600</v>
      </c>
      <c r="B9481" t="s">
        <v>11090</v>
      </c>
      <c r="C9481" t="str">
        <f>HYPERLINK("https://nematode.unl.edu/punpun2.jpg")</f>
        <v>https://nematode.unl.edu/punpun2.jpg</v>
      </c>
      <c r="D9481" t="s">
        <v>43</v>
      </c>
      <c r="G9481" t="s">
        <v>87</v>
      </c>
      <c r="I9481" t="s">
        <v>19</v>
      </c>
      <c r="J9481" t="s">
        <v>20</v>
      </c>
      <c r="L9481" t="s">
        <v>220</v>
      </c>
      <c r="M9481" t="s">
        <v>11078</v>
      </c>
      <c r="N9481" t="s">
        <v>11078</v>
      </c>
      <c r="O9481" t="s">
        <v>73</v>
      </c>
      <c r="P9481" t="s">
        <v>81</v>
      </c>
      <c r="Q9481" t="s">
        <v>1101</v>
      </c>
      <c r="R9481" t="s">
        <v>10940</v>
      </c>
    </row>
    <row r="9482" spans="1:18" x14ac:dyDescent="0.25">
      <c r="A9482" t="s">
        <v>20617</v>
      </c>
      <c r="B9482" t="s">
        <v>11091</v>
      </c>
      <c r="C9482" t="str">
        <f>HYPERLINK("https://nematode.unl.edu/punpun3.jpg")</f>
        <v>https://nematode.unl.edu/punpun3.jpg</v>
      </c>
      <c r="D9482" t="s">
        <v>43</v>
      </c>
      <c r="G9482" t="s">
        <v>51</v>
      </c>
      <c r="I9482" t="s">
        <v>19</v>
      </c>
      <c r="J9482" t="s">
        <v>20</v>
      </c>
      <c r="L9482" t="s">
        <v>220</v>
      </c>
      <c r="M9482" t="s">
        <v>11078</v>
      </c>
      <c r="N9482" t="s">
        <v>11078</v>
      </c>
      <c r="O9482" t="s">
        <v>73</v>
      </c>
      <c r="P9482" t="s">
        <v>81</v>
      </c>
      <c r="Q9482" t="s">
        <v>1101</v>
      </c>
      <c r="R9482" t="s">
        <v>10940</v>
      </c>
    </row>
    <row r="9483" spans="1:18" x14ac:dyDescent="0.25">
      <c r="A9483" t="s">
        <v>20610</v>
      </c>
      <c r="B9483" t="s">
        <v>11092</v>
      </c>
      <c r="C9483" t="str">
        <f>HYPERLINK("https://nematode.unl.edu/punpun4.jpg")</f>
        <v>https://nematode.unl.edu/punpun4.jpg</v>
      </c>
      <c r="D9483" t="s">
        <v>77</v>
      </c>
      <c r="G9483" t="s">
        <v>28</v>
      </c>
      <c r="J9483" t="s">
        <v>20</v>
      </c>
      <c r="L9483" t="s">
        <v>220</v>
      </c>
      <c r="M9483" t="s">
        <v>11078</v>
      </c>
      <c r="N9483" t="s">
        <v>11078</v>
      </c>
      <c r="O9483" t="s">
        <v>73</v>
      </c>
      <c r="P9483" t="s">
        <v>81</v>
      </c>
      <c r="Q9483" t="s">
        <v>1101</v>
      </c>
      <c r="R9483" t="s">
        <v>10940</v>
      </c>
    </row>
    <row r="9484" spans="1:18" x14ac:dyDescent="0.25">
      <c r="A9484" t="s">
        <v>20592</v>
      </c>
      <c r="B9484" t="s">
        <v>11093</v>
      </c>
      <c r="C9484" t="str">
        <f>HYPERLINK("https://nematode.unl.edu/punpun5.jpg")</f>
        <v>https://nematode.unl.edu/punpun5.jpg</v>
      </c>
      <c r="D9484" t="s">
        <v>43</v>
      </c>
      <c r="G9484" t="s">
        <v>96</v>
      </c>
      <c r="H9484" t="s">
        <v>18</v>
      </c>
      <c r="I9484" t="s">
        <v>45</v>
      </c>
      <c r="J9484" t="s">
        <v>20</v>
      </c>
      <c r="L9484" t="s">
        <v>220</v>
      </c>
      <c r="M9484" t="s">
        <v>11078</v>
      </c>
      <c r="N9484" t="s">
        <v>11078</v>
      </c>
      <c r="O9484" t="s">
        <v>73</v>
      </c>
      <c r="P9484" t="s">
        <v>81</v>
      </c>
      <c r="Q9484" t="s">
        <v>1101</v>
      </c>
      <c r="R9484" t="s">
        <v>10940</v>
      </c>
    </row>
    <row r="9485" spans="1:18" x14ac:dyDescent="0.25">
      <c r="A9485" t="s">
        <v>20597</v>
      </c>
      <c r="B9485" t="s">
        <v>11094</v>
      </c>
      <c r="C9485" t="str">
        <f>HYPERLINK("https://nematode.unl.edu/punpun6.jpg")</f>
        <v>https://nematode.unl.edu/punpun6.jpg</v>
      </c>
      <c r="D9485" t="s">
        <v>43</v>
      </c>
      <c r="G9485" t="s">
        <v>34</v>
      </c>
      <c r="H9485" t="s">
        <v>18</v>
      </c>
      <c r="J9485" t="s">
        <v>20</v>
      </c>
      <c r="L9485" t="s">
        <v>220</v>
      </c>
      <c r="M9485" t="s">
        <v>11078</v>
      </c>
      <c r="N9485" t="s">
        <v>11078</v>
      </c>
      <c r="O9485" t="s">
        <v>73</v>
      </c>
      <c r="P9485" t="s">
        <v>81</v>
      </c>
      <c r="Q9485" t="s">
        <v>1101</v>
      </c>
      <c r="R9485" t="s">
        <v>10940</v>
      </c>
    </row>
    <row r="9486" spans="1:18" x14ac:dyDescent="0.25">
      <c r="A9486" t="s">
        <v>20606</v>
      </c>
      <c r="B9486" t="s">
        <v>11095</v>
      </c>
      <c r="C9486" t="str">
        <f>HYPERLINK("https://nematode.unl.edu/punpun7.jpg")</f>
        <v>https://nematode.unl.edu/punpun7.jpg</v>
      </c>
      <c r="G9486" t="s">
        <v>205</v>
      </c>
      <c r="I9486" t="s">
        <v>45</v>
      </c>
      <c r="J9486" t="s">
        <v>20</v>
      </c>
      <c r="L9486" t="s">
        <v>220</v>
      </c>
      <c r="M9486" t="s">
        <v>11078</v>
      </c>
      <c r="N9486" t="s">
        <v>11078</v>
      </c>
      <c r="O9486" t="s">
        <v>73</v>
      </c>
      <c r="P9486" t="s">
        <v>81</v>
      </c>
      <c r="Q9486" t="s">
        <v>1101</v>
      </c>
      <c r="R9486" t="s">
        <v>10940</v>
      </c>
    </row>
    <row r="9487" spans="1:18" x14ac:dyDescent="0.25">
      <c r="A9487" t="s">
        <v>20618</v>
      </c>
      <c r="B9487" t="s">
        <v>11096</v>
      </c>
      <c r="C9487" t="str">
        <f>HYPERLINK("https://nematode.unl.edu/punpun8.jpg")</f>
        <v>https://nematode.unl.edu/punpun8.jpg</v>
      </c>
      <c r="D9487" t="s">
        <v>43</v>
      </c>
      <c r="G9487" t="s">
        <v>51</v>
      </c>
      <c r="I9487" t="s">
        <v>19</v>
      </c>
      <c r="J9487" t="s">
        <v>20</v>
      </c>
      <c r="L9487" t="s">
        <v>220</v>
      </c>
      <c r="M9487" t="s">
        <v>11078</v>
      </c>
      <c r="N9487" t="s">
        <v>11078</v>
      </c>
      <c r="O9487" t="s">
        <v>73</v>
      </c>
      <c r="P9487" t="s">
        <v>81</v>
      </c>
      <c r="Q9487" t="s">
        <v>1101</v>
      </c>
      <c r="R9487" t="s">
        <v>10940</v>
      </c>
    </row>
    <row r="9488" spans="1:18" x14ac:dyDescent="0.25">
      <c r="A9488" t="s">
        <v>20611</v>
      </c>
      <c r="B9488" t="s">
        <v>11097</v>
      </c>
      <c r="C9488" t="str">
        <f>HYPERLINK("https://nematode.unl.edu/punpun9.jpg")</f>
        <v>https://nematode.unl.edu/punpun9.jpg</v>
      </c>
      <c r="D9488" t="s">
        <v>43</v>
      </c>
      <c r="G9488" t="s">
        <v>28</v>
      </c>
      <c r="I9488" t="s">
        <v>516</v>
      </c>
      <c r="J9488" t="s">
        <v>20</v>
      </c>
      <c r="L9488" t="s">
        <v>220</v>
      </c>
      <c r="M9488" t="s">
        <v>11078</v>
      </c>
      <c r="N9488" t="s">
        <v>11078</v>
      </c>
      <c r="O9488" t="s">
        <v>73</v>
      </c>
      <c r="P9488" t="s">
        <v>81</v>
      </c>
      <c r="Q9488" t="s">
        <v>1101</v>
      </c>
      <c r="R9488" t="s">
        <v>10940</v>
      </c>
    </row>
    <row r="9489" spans="1:18" x14ac:dyDescent="0.25">
      <c r="A9489" t="s">
        <v>20612</v>
      </c>
      <c r="B9489" t="s">
        <v>11098</v>
      </c>
      <c r="C9489" t="str">
        <f>HYPERLINK("https://nematode.unl.edu/punpuncmp.jpg")</f>
        <v>https://nematode.unl.edu/punpuncmp.jpg</v>
      </c>
      <c r="D9489" t="s">
        <v>43</v>
      </c>
      <c r="G9489" t="s">
        <v>28</v>
      </c>
      <c r="M9489" t="s">
        <v>11078</v>
      </c>
      <c r="N9489" t="s">
        <v>11078</v>
      </c>
      <c r="O9489" t="s">
        <v>73</v>
      </c>
      <c r="P9489" t="s">
        <v>81</v>
      </c>
      <c r="Q9489" t="s">
        <v>1101</v>
      </c>
      <c r="R9489" t="s">
        <v>10940</v>
      </c>
    </row>
    <row r="9490" spans="1:18" x14ac:dyDescent="0.25">
      <c r="A9490" t="s">
        <v>20480</v>
      </c>
      <c r="B9490" t="s">
        <v>10963</v>
      </c>
      <c r="C9490" t="str">
        <f>HYPERLINK("https://nematode.unl.edu/puntus1.jpg")</f>
        <v>https://nematode.unl.edu/puntus1.jpg</v>
      </c>
      <c r="G9490" t="s">
        <v>28</v>
      </c>
      <c r="J9490" t="s">
        <v>267</v>
      </c>
      <c r="M9490" t="s">
        <v>10940</v>
      </c>
      <c r="N9490" t="s">
        <v>10940</v>
      </c>
      <c r="O9490" t="s">
        <v>73</v>
      </c>
      <c r="P9490" t="s">
        <v>81</v>
      </c>
      <c r="Q9490" t="s">
        <v>1101</v>
      </c>
      <c r="R9490" t="s">
        <v>10940</v>
      </c>
    </row>
    <row r="9491" spans="1:18" x14ac:dyDescent="0.25">
      <c r="A9491" t="s">
        <v>20481</v>
      </c>
      <c r="B9491" t="s">
        <v>10964</v>
      </c>
      <c r="C9491" t="str">
        <f>HYPERLINK("https://nematode.unl.edu/puntus2.jpg")</f>
        <v>https://nematode.unl.edu/puntus2.jpg</v>
      </c>
      <c r="D9491" t="s">
        <v>16</v>
      </c>
      <c r="G9491" t="s">
        <v>28</v>
      </c>
      <c r="I9491" t="s">
        <v>19</v>
      </c>
      <c r="J9491" t="s">
        <v>267</v>
      </c>
      <c r="M9491" t="s">
        <v>10940</v>
      </c>
      <c r="N9491" t="s">
        <v>10940</v>
      </c>
      <c r="O9491" t="s">
        <v>73</v>
      </c>
      <c r="P9491" t="s">
        <v>81</v>
      </c>
      <c r="Q9491" t="s">
        <v>1101</v>
      </c>
      <c r="R9491" t="s">
        <v>10940</v>
      </c>
    </row>
    <row r="9492" spans="1:18" x14ac:dyDescent="0.25">
      <c r="A9492" t="s">
        <v>20465</v>
      </c>
      <c r="B9492" t="s">
        <v>10965</v>
      </c>
      <c r="C9492" t="str">
        <f>HYPERLINK("https://nematode.unl.edu/puntus3.jpg")</f>
        <v>https://nematode.unl.edu/puntus3.jpg</v>
      </c>
      <c r="D9492" t="s">
        <v>16</v>
      </c>
      <c r="G9492" t="s">
        <v>34</v>
      </c>
      <c r="H9492" t="s">
        <v>18</v>
      </c>
      <c r="I9492" t="s">
        <v>529</v>
      </c>
      <c r="J9492" t="s">
        <v>267</v>
      </c>
      <c r="M9492" t="s">
        <v>10940</v>
      </c>
      <c r="N9492" t="s">
        <v>10940</v>
      </c>
      <c r="O9492" t="s">
        <v>73</v>
      </c>
      <c r="P9492" t="s">
        <v>81</v>
      </c>
      <c r="Q9492" t="s">
        <v>1101</v>
      </c>
      <c r="R9492" t="s">
        <v>10940</v>
      </c>
    </row>
    <row r="9493" spans="1:18" x14ac:dyDescent="0.25">
      <c r="A9493" t="s">
        <v>20466</v>
      </c>
      <c r="B9493" t="s">
        <v>10966</v>
      </c>
      <c r="C9493" t="str">
        <f>HYPERLINK("https://nematode.unl.edu/puntus4.jpg")</f>
        <v>https://nematode.unl.edu/puntus4.jpg</v>
      </c>
      <c r="D9493" t="s">
        <v>16</v>
      </c>
      <c r="G9493" t="s">
        <v>34</v>
      </c>
      <c r="H9493" t="s">
        <v>18</v>
      </c>
      <c r="J9493" t="s">
        <v>267</v>
      </c>
      <c r="M9493" t="s">
        <v>10940</v>
      </c>
      <c r="N9493" t="s">
        <v>10940</v>
      </c>
      <c r="O9493" t="s">
        <v>73</v>
      </c>
      <c r="P9493" t="s">
        <v>81</v>
      </c>
      <c r="Q9493" t="s">
        <v>1101</v>
      </c>
      <c r="R9493" t="s">
        <v>10940</v>
      </c>
    </row>
    <row r="9494" spans="1:18" x14ac:dyDescent="0.25">
      <c r="A9494" t="s">
        <v>20482</v>
      </c>
      <c r="B9494" t="s">
        <v>10967</v>
      </c>
      <c r="C9494" t="str">
        <f>HYPERLINK("https://nematode.unl.edu/puntus5.jpg")</f>
        <v>https://nematode.unl.edu/puntus5.jpg</v>
      </c>
      <c r="D9494" t="s">
        <v>16</v>
      </c>
      <c r="G9494" t="s">
        <v>28</v>
      </c>
      <c r="I9494" t="s">
        <v>19</v>
      </c>
      <c r="J9494" t="s">
        <v>267</v>
      </c>
      <c r="M9494" t="s">
        <v>10940</v>
      </c>
      <c r="N9494" t="s">
        <v>10940</v>
      </c>
      <c r="O9494" t="s">
        <v>73</v>
      </c>
      <c r="P9494" t="s">
        <v>81</v>
      </c>
      <c r="Q9494" t="s">
        <v>1101</v>
      </c>
      <c r="R9494" t="s">
        <v>10940</v>
      </c>
    </row>
    <row r="9495" spans="1:18" x14ac:dyDescent="0.25">
      <c r="A9495" t="s">
        <v>20467</v>
      </c>
      <c r="B9495" t="s">
        <v>10968</v>
      </c>
      <c r="C9495" t="str">
        <f>HYPERLINK("https://nematode.unl.edu/puntus6.jpg")</f>
        <v>https://nematode.unl.edu/puntus6.jpg</v>
      </c>
      <c r="D9495" t="s">
        <v>16</v>
      </c>
      <c r="G9495" t="s">
        <v>34</v>
      </c>
      <c r="H9495" t="s">
        <v>18</v>
      </c>
      <c r="J9495" t="s">
        <v>267</v>
      </c>
      <c r="M9495" t="s">
        <v>10940</v>
      </c>
      <c r="N9495" t="s">
        <v>10940</v>
      </c>
      <c r="O9495" t="s">
        <v>73</v>
      </c>
      <c r="P9495" t="s">
        <v>81</v>
      </c>
      <c r="Q9495" t="s">
        <v>1101</v>
      </c>
      <c r="R9495" t="s">
        <v>10940</v>
      </c>
    </row>
    <row r="9496" spans="1:18" x14ac:dyDescent="0.25">
      <c r="A9496" t="s">
        <v>20593</v>
      </c>
      <c r="B9496" t="s">
        <v>11099</v>
      </c>
      <c r="C9496" t="str">
        <f>HYPERLINK("https://nematode.unl.edu/pupu1.jpg")</f>
        <v>https://nematode.unl.edu/pupu1.jpg</v>
      </c>
      <c r="D9496" t="s">
        <v>43</v>
      </c>
      <c r="G9496" t="s">
        <v>96</v>
      </c>
      <c r="H9496" t="s">
        <v>18</v>
      </c>
      <c r="I9496" t="s">
        <v>499</v>
      </c>
      <c r="J9496" t="s">
        <v>116</v>
      </c>
      <c r="L9496" t="s">
        <v>85</v>
      </c>
      <c r="M9496" t="s">
        <v>11078</v>
      </c>
      <c r="N9496" t="s">
        <v>11078</v>
      </c>
      <c r="O9496" t="s">
        <v>73</v>
      </c>
      <c r="P9496" t="s">
        <v>81</v>
      </c>
      <c r="Q9496" t="s">
        <v>1101</v>
      </c>
      <c r="R9496" t="s">
        <v>10940</v>
      </c>
    </row>
    <row r="9497" spans="1:18" x14ac:dyDescent="0.25">
      <c r="A9497" t="s">
        <v>20619</v>
      </c>
      <c r="B9497" t="s">
        <v>11100</v>
      </c>
      <c r="C9497" t="str">
        <f>HYPERLINK("https://nematode.unl.edu/pupu10.jpg")</f>
        <v>https://nematode.unl.edu/pupu10.jpg</v>
      </c>
      <c r="D9497" t="s">
        <v>43</v>
      </c>
      <c r="G9497" t="s">
        <v>51</v>
      </c>
      <c r="J9497" t="s">
        <v>116</v>
      </c>
      <c r="L9497" t="s">
        <v>85</v>
      </c>
      <c r="M9497" t="s">
        <v>11078</v>
      </c>
      <c r="N9497" t="s">
        <v>11078</v>
      </c>
      <c r="O9497" t="s">
        <v>73</v>
      </c>
      <c r="P9497" t="s">
        <v>81</v>
      </c>
      <c r="Q9497" t="s">
        <v>1101</v>
      </c>
      <c r="R9497" t="s">
        <v>10940</v>
      </c>
    </row>
    <row r="9498" spans="1:18" x14ac:dyDescent="0.25">
      <c r="A9498" t="s">
        <v>20613</v>
      </c>
      <c r="B9498" t="s">
        <v>11101</v>
      </c>
      <c r="C9498" t="str">
        <f>HYPERLINK("https://nematode.unl.edu/pupu11.jpg")</f>
        <v>https://nematode.unl.edu/pupu11.jpg</v>
      </c>
      <c r="D9498" t="s">
        <v>43</v>
      </c>
      <c r="G9498" t="s">
        <v>28</v>
      </c>
      <c r="J9498" t="s">
        <v>116</v>
      </c>
      <c r="L9498" t="s">
        <v>85</v>
      </c>
      <c r="M9498" t="s">
        <v>11078</v>
      </c>
      <c r="N9498" t="s">
        <v>11078</v>
      </c>
      <c r="O9498" t="s">
        <v>73</v>
      </c>
      <c r="P9498" t="s">
        <v>81</v>
      </c>
      <c r="Q9498" t="s">
        <v>1101</v>
      </c>
      <c r="R9498" t="s">
        <v>10940</v>
      </c>
    </row>
    <row r="9499" spans="1:18" x14ac:dyDescent="0.25">
      <c r="A9499" t="s">
        <v>20598</v>
      </c>
      <c r="B9499" t="s">
        <v>11102</v>
      </c>
      <c r="C9499" t="str">
        <f>HYPERLINK("https://nematode.unl.edu/pupu2.jpg")</f>
        <v>https://nematode.unl.edu/pupu2.jpg</v>
      </c>
      <c r="D9499" t="s">
        <v>43</v>
      </c>
      <c r="G9499" t="s">
        <v>34</v>
      </c>
      <c r="H9499" t="s">
        <v>18</v>
      </c>
      <c r="I9499" t="s">
        <v>19</v>
      </c>
      <c r="J9499" t="s">
        <v>116</v>
      </c>
      <c r="L9499" t="s">
        <v>85</v>
      </c>
      <c r="M9499" t="s">
        <v>11078</v>
      </c>
      <c r="N9499" t="s">
        <v>11078</v>
      </c>
      <c r="O9499" t="s">
        <v>73</v>
      </c>
      <c r="P9499" t="s">
        <v>81</v>
      </c>
      <c r="Q9499" t="s">
        <v>1101</v>
      </c>
      <c r="R9499" t="s">
        <v>10940</v>
      </c>
    </row>
    <row r="9500" spans="1:18" x14ac:dyDescent="0.25">
      <c r="A9500" t="s">
        <v>20601</v>
      </c>
      <c r="B9500" t="s">
        <v>11103</v>
      </c>
      <c r="C9500" t="str">
        <f>HYPERLINK("https://nematode.unl.edu/pupu3.jpg")</f>
        <v>https://nematode.unl.edu/pupu3.jpg</v>
      </c>
      <c r="D9500" t="s">
        <v>43</v>
      </c>
      <c r="G9500" t="s">
        <v>87</v>
      </c>
      <c r="I9500" t="s">
        <v>19</v>
      </c>
      <c r="J9500" t="s">
        <v>116</v>
      </c>
      <c r="L9500" t="s">
        <v>85</v>
      </c>
      <c r="M9500" t="s">
        <v>11078</v>
      </c>
      <c r="N9500" t="s">
        <v>11078</v>
      </c>
      <c r="O9500" t="s">
        <v>73</v>
      </c>
      <c r="P9500" t="s">
        <v>81</v>
      </c>
      <c r="Q9500" t="s">
        <v>1101</v>
      </c>
      <c r="R9500" t="s">
        <v>10940</v>
      </c>
    </row>
    <row r="9501" spans="1:18" x14ac:dyDescent="0.25">
      <c r="A9501" t="s">
        <v>20620</v>
      </c>
      <c r="B9501" t="s">
        <v>11104</v>
      </c>
      <c r="C9501" t="str">
        <f>HYPERLINK("https://nematode.unl.edu/pupu4.jpg")</f>
        <v>https://nematode.unl.edu/pupu4.jpg</v>
      </c>
      <c r="D9501" t="s">
        <v>43</v>
      </c>
      <c r="G9501" t="s">
        <v>51</v>
      </c>
      <c r="J9501" t="s">
        <v>116</v>
      </c>
      <c r="L9501" t="s">
        <v>85</v>
      </c>
      <c r="M9501" t="s">
        <v>11078</v>
      </c>
      <c r="N9501" t="s">
        <v>11078</v>
      </c>
      <c r="O9501" t="s">
        <v>73</v>
      </c>
      <c r="P9501" t="s">
        <v>81</v>
      </c>
      <c r="Q9501" t="s">
        <v>1101</v>
      </c>
      <c r="R9501" t="s">
        <v>10940</v>
      </c>
    </row>
    <row r="9502" spans="1:18" x14ac:dyDescent="0.25">
      <c r="A9502" t="s">
        <v>20614</v>
      </c>
      <c r="B9502" t="s">
        <v>11105</v>
      </c>
      <c r="C9502" t="str">
        <f>HYPERLINK("https://nematode.unl.edu/pupu5.jpg")</f>
        <v>https://nematode.unl.edu/pupu5.jpg</v>
      </c>
      <c r="D9502" t="s">
        <v>43</v>
      </c>
      <c r="G9502" t="s">
        <v>28</v>
      </c>
      <c r="I9502" t="s">
        <v>19</v>
      </c>
      <c r="J9502" t="s">
        <v>116</v>
      </c>
      <c r="L9502" t="s">
        <v>85</v>
      </c>
      <c r="M9502" t="s">
        <v>11078</v>
      </c>
      <c r="N9502" t="s">
        <v>11078</v>
      </c>
      <c r="O9502" t="s">
        <v>73</v>
      </c>
      <c r="P9502" t="s">
        <v>81</v>
      </c>
      <c r="Q9502" t="s">
        <v>1101</v>
      </c>
      <c r="R9502" t="s">
        <v>10940</v>
      </c>
    </row>
    <row r="9503" spans="1:18" x14ac:dyDescent="0.25">
      <c r="A9503" t="s">
        <v>20603</v>
      </c>
      <c r="B9503" t="s">
        <v>11106</v>
      </c>
      <c r="C9503" t="str">
        <f>HYPERLINK("https://nematode.unl.edu/pupu6.jpg")</f>
        <v>https://nematode.unl.edu/pupu6.jpg</v>
      </c>
      <c r="D9503" t="s">
        <v>43</v>
      </c>
      <c r="G9503" t="s">
        <v>44</v>
      </c>
      <c r="I9503" t="s">
        <v>91</v>
      </c>
      <c r="J9503" t="s">
        <v>116</v>
      </c>
      <c r="L9503" t="s">
        <v>85</v>
      </c>
      <c r="M9503" t="s">
        <v>11078</v>
      </c>
      <c r="N9503" t="s">
        <v>11078</v>
      </c>
      <c r="O9503" t="s">
        <v>73</v>
      </c>
      <c r="P9503" t="s">
        <v>81</v>
      </c>
      <c r="Q9503" t="s">
        <v>1101</v>
      </c>
      <c r="R9503" t="s">
        <v>10940</v>
      </c>
    </row>
    <row r="9504" spans="1:18" x14ac:dyDescent="0.25">
      <c r="A9504" t="s">
        <v>20621</v>
      </c>
      <c r="B9504" t="s">
        <v>11107</v>
      </c>
      <c r="C9504" t="str">
        <f>HYPERLINK("https://nematode.unl.edu/pupu7.jpg")</f>
        <v>https://nematode.unl.edu/pupu7.jpg</v>
      </c>
      <c r="D9504" t="s">
        <v>43</v>
      </c>
      <c r="G9504" t="s">
        <v>51</v>
      </c>
      <c r="J9504" t="s">
        <v>116</v>
      </c>
      <c r="L9504" t="s">
        <v>85</v>
      </c>
      <c r="M9504" t="s">
        <v>11078</v>
      </c>
      <c r="N9504" t="s">
        <v>11078</v>
      </c>
      <c r="O9504" t="s">
        <v>73</v>
      </c>
      <c r="P9504" t="s">
        <v>81</v>
      </c>
      <c r="Q9504" t="s">
        <v>1101</v>
      </c>
      <c r="R9504" t="s">
        <v>10940</v>
      </c>
    </row>
    <row r="9505" spans="1:18" x14ac:dyDescent="0.25">
      <c r="A9505" t="s">
        <v>20599</v>
      </c>
      <c r="B9505" t="s">
        <v>11108</v>
      </c>
      <c r="C9505" t="str">
        <f>HYPERLINK("https://nematode.unl.edu/pupu8.jpg")</f>
        <v>https://nematode.unl.edu/pupu8.jpg</v>
      </c>
      <c r="D9505" t="s">
        <v>43</v>
      </c>
      <c r="G9505" t="s">
        <v>34</v>
      </c>
      <c r="H9505" t="s">
        <v>18</v>
      </c>
      <c r="J9505" t="s">
        <v>116</v>
      </c>
      <c r="L9505" t="s">
        <v>85</v>
      </c>
      <c r="M9505" t="s">
        <v>11078</v>
      </c>
      <c r="N9505" t="s">
        <v>11078</v>
      </c>
      <c r="O9505" t="s">
        <v>73</v>
      </c>
      <c r="P9505" t="s">
        <v>81</v>
      </c>
      <c r="Q9505" t="s">
        <v>1101</v>
      </c>
      <c r="R9505" t="s">
        <v>10940</v>
      </c>
    </row>
    <row r="9506" spans="1:18" x14ac:dyDescent="0.25">
      <c r="A9506" t="s">
        <v>20594</v>
      </c>
      <c r="B9506" t="s">
        <v>11109</v>
      </c>
      <c r="C9506" t="str">
        <f>HYPERLINK("https://nematode.unl.edu/pupu9.jpg")</f>
        <v>https://nematode.unl.edu/pupu9.jpg</v>
      </c>
      <c r="D9506" t="s">
        <v>43</v>
      </c>
      <c r="G9506" t="s">
        <v>17</v>
      </c>
      <c r="H9506" t="s">
        <v>18</v>
      </c>
      <c r="I9506" t="s">
        <v>19</v>
      </c>
      <c r="J9506" t="s">
        <v>116</v>
      </c>
      <c r="L9506" t="s">
        <v>85</v>
      </c>
      <c r="M9506" t="s">
        <v>11078</v>
      </c>
      <c r="N9506" t="s">
        <v>11078</v>
      </c>
      <c r="O9506" t="s">
        <v>73</v>
      </c>
      <c r="P9506" t="s">
        <v>81</v>
      </c>
      <c r="Q9506" t="s">
        <v>1101</v>
      </c>
      <c r="R9506" t="s">
        <v>10940</v>
      </c>
    </row>
    <row r="9507" spans="1:18" x14ac:dyDescent="0.25">
      <c r="A9507" t="s">
        <v>15959</v>
      </c>
      <c r="B9507" t="s">
        <v>11111</v>
      </c>
      <c r="C9507" t="str">
        <f>HYPERLINK("https://nematode.unl.edu/quina1.jpg")</f>
        <v>https://nematode.unl.edu/quina1.jpg</v>
      </c>
      <c r="D9507" t="s">
        <v>43</v>
      </c>
      <c r="G9507" t="s">
        <v>44</v>
      </c>
      <c r="I9507" t="s">
        <v>45</v>
      </c>
      <c r="J9507" t="s">
        <v>20</v>
      </c>
      <c r="L9507" t="s">
        <v>85</v>
      </c>
      <c r="M9507" t="s">
        <v>11112</v>
      </c>
      <c r="N9507" t="s">
        <v>11112</v>
      </c>
      <c r="O9507" t="s">
        <v>23</v>
      </c>
      <c r="P9507" t="s">
        <v>24</v>
      </c>
      <c r="Q9507" t="s">
        <v>1071</v>
      </c>
      <c r="R9507" t="s">
        <v>11113</v>
      </c>
    </row>
    <row r="9508" spans="1:18" x14ac:dyDescent="0.25">
      <c r="A9508" t="s">
        <v>15949</v>
      </c>
      <c r="B9508" t="s">
        <v>11114</v>
      </c>
      <c r="C9508" t="str">
        <f>HYPERLINK("https://nematode.unl.edu/quina10.jpg")</f>
        <v>https://nematode.unl.edu/quina10.jpg</v>
      </c>
      <c r="D9508" t="s">
        <v>16</v>
      </c>
      <c r="G9508" t="s">
        <v>34</v>
      </c>
      <c r="H9508" t="s">
        <v>18</v>
      </c>
      <c r="I9508" t="s">
        <v>19</v>
      </c>
      <c r="J9508" t="s">
        <v>20</v>
      </c>
      <c r="L9508" t="s">
        <v>85</v>
      </c>
      <c r="M9508" t="s">
        <v>11112</v>
      </c>
      <c r="N9508" t="s">
        <v>11112</v>
      </c>
      <c r="O9508" t="s">
        <v>23</v>
      </c>
      <c r="P9508" t="s">
        <v>24</v>
      </c>
      <c r="Q9508" t="s">
        <v>1071</v>
      </c>
      <c r="R9508" t="s">
        <v>11113</v>
      </c>
    </row>
    <row r="9509" spans="1:18" x14ac:dyDescent="0.25">
      <c r="A9509" t="s">
        <v>15969</v>
      </c>
      <c r="B9509" t="s">
        <v>11115</v>
      </c>
      <c r="C9509" t="str">
        <f>HYPERLINK("https://nematode.unl.edu/quina11.jpg")</f>
        <v>https://nematode.unl.edu/quina11.jpg</v>
      </c>
      <c r="D9509" t="s">
        <v>16</v>
      </c>
      <c r="G9509" t="s">
        <v>28</v>
      </c>
      <c r="I9509" t="s">
        <v>19</v>
      </c>
      <c r="J9509" t="s">
        <v>20</v>
      </c>
      <c r="L9509" t="s">
        <v>85</v>
      </c>
      <c r="M9509" t="s">
        <v>11112</v>
      </c>
      <c r="N9509" t="s">
        <v>11112</v>
      </c>
      <c r="O9509" t="s">
        <v>23</v>
      </c>
      <c r="P9509" t="s">
        <v>24</v>
      </c>
      <c r="Q9509" t="s">
        <v>1071</v>
      </c>
      <c r="R9509" t="s">
        <v>11113</v>
      </c>
    </row>
    <row r="9510" spans="1:18" x14ac:dyDescent="0.25">
      <c r="A9510" t="s">
        <v>15950</v>
      </c>
      <c r="B9510" t="s">
        <v>11116</v>
      </c>
      <c r="C9510" t="str">
        <f>HYPERLINK("https://nematode.unl.edu/quina12.jpg")</f>
        <v>https://nematode.unl.edu/quina12.jpg</v>
      </c>
      <c r="D9510" t="s">
        <v>16</v>
      </c>
      <c r="G9510" t="s">
        <v>34</v>
      </c>
      <c r="H9510" t="s">
        <v>18</v>
      </c>
      <c r="I9510" t="s">
        <v>41</v>
      </c>
      <c r="J9510" t="s">
        <v>20</v>
      </c>
      <c r="L9510" t="s">
        <v>85</v>
      </c>
      <c r="M9510" t="s">
        <v>11112</v>
      </c>
      <c r="N9510" t="s">
        <v>11112</v>
      </c>
      <c r="O9510" t="s">
        <v>23</v>
      </c>
      <c r="P9510" t="s">
        <v>24</v>
      </c>
      <c r="Q9510" t="s">
        <v>1071</v>
      </c>
      <c r="R9510" t="s">
        <v>11113</v>
      </c>
    </row>
    <row r="9511" spans="1:18" x14ac:dyDescent="0.25">
      <c r="A9511" t="s">
        <v>15961</v>
      </c>
      <c r="B9511" t="s">
        <v>11117</v>
      </c>
      <c r="C9511" t="str">
        <f>HYPERLINK("https://nematode.unl.edu/quina13.jpg")</f>
        <v>https://nematode.unl.edu/quina13.jpg</v>
      </c>
      <c r="D9511" t="s">
        <v>16</v>
      </c>
      <c r="G9511" t="s">
        <v>53</v>
      </c>
      <c r="I9511" t="s">
        <v>41</v>
      </c>
      <c r="J9511" t="s">
        <v>20</v>
      </c>
      <c r="L9511" t="s">
        <v>85</v>
      </c>
      <c r="M9511" t="s">
        <v>11112</v>
      </c>
      <c r="N9511" t="s">
        <v>11112</v>
      </c>
      <c r="O9511" t="s">
        <v>23</v>
      </c>
      <c r="P9511" t="s">
        <v>24</v>
      </c>
      <c r="Q9511" t="s">
        <v>1071</v>
      </c>
      <c r="R9511" t="s">
        <v>11113</v>
      </c>
    </row>
    <row r="9512" spans="1:18" x14ac:dyDescent="0.25">
      <c r="A9512" t="s">
        <v>15951</v>
      </c>
      <c r="B9512" t="s">
        <v>11118</v>
      </c>
      <c r="C9512" t="str">
        <f>HYPERLINK("https://nematode.unl.edu/quina14.jpg")</f>
        <v>https://nematode.unl.edu/quina14.jpg</v>
      </c>
      <c r="D9512" t="s">
        <v>43</v>
      </c>
      <c r="G9512" t="s">
        <v>34</v>
      </c>
      <c r="H9512" t="s">
        <v>18</v>
      </c>
      <c r="I9512" t="s">
        <v>19</v>
      </c>
      <c r="J9512" t="s">
        <v>20</v>
      </c>
      <c r="L9512" t="s">
        <v>85</v>
      </c>
      <c r="M9512" t="s">
        <v>11112</v>
      </c>
      <c r="N9512" t="s">
        <v>11112</v>
      </c>
      <c r="O9512" t="s">
        <v>23</v>
      </c>
      <c r="P9512" t="s">
        <v>24</v>
      </c>
      <c r="Q9512" t="s">
        <v>1071</v>
      </c>
      <c r="R9512" t="s">
        <v>11113</v>
      </c>
    </row>
    <row r="9513" spans="1:18" x14ac:dyDescent="0.25">
      <c r="A9513" t="s">
        <v>15970</v>
      </c>
      <c r="B9513" t="s">
        <v>11119</v>
      </c>
      <c r="C9513" t="str">
        <f>HYPERLINK("https://nematode.unl.edu/quina15.jpg")</f>
        <v>https://nematode.unl.edu/quina15.jpg</v>
      </c>
      <c r="D9513" t="s">
        <v>43</v>
      </c>
      <c r="G9513" t="s">
        <v>28</v>
      </c>
      <c r="J9513" t="s">
        <v>20</v>
      </c>
      <c r="L9513" t="s">
        <v>85</v>
      </c>
      <c r="M9513" t="s">
        <v>11112</v>
      </c>
      <c r="N9513" t="s">
        <v>11112</v>
      </c>
      <c r="O9513" t="s">
        <v>23</v>
      </c>
      <c r="P9513" t="s">
        <v>24</v>
      </c>
      <c r="Q9513" t="s">
        <v>1071</v>
      </c>
      <c r="R9513" t="s">
        <v>11113</v>
      </c>
    </row>
    <row r="9514" spans="1:18" x14ac:dyDescent="0.25">
      <c r="A9514" t="s">
        <v>15977</v>
      </c>
      <c r="B9514" t="s">
        <v>11120</v>
      </c>
      <c r="C9514" t="str">
        <f>HYPERLINK("https://nematode.unl.edu/quina16.jpg")</f>
        <v>https://nematode.unl.edu/quina16.jpg</v>
      </c>
      <c r="D9514" t="s">
        <v>43</v>
      </c>
      <c r="G9514" t="s">
        <v>51</v>
      </c>
      <c r="I9514" t="s">
        <v>19</v>
      </c>
      <c r="J9514" t="s">
        <v>20</v>
      </c>
      <c r="L9514" t="s">
        <v>85</v>
      </c>
      <c r="M9514" t="s">
        <v>11112</v>
      </c>
      <c r="N9514" t="s">
        <v>11112</v>
      </c>
      <c r="O9514" t="s">
        <v>23</v>
      </c>
      <c r="P9514" t="s">
        <v>24</v>
      </c>
      <c r="Q9514" t="s">
        <v>1071</v>
      </c>
      <c r="R9514" t="s">
        <v>11113</v>
      </c>
    </row>
    <row r="9515" spans="1:18" x14ac:dyDescent="0.25">
      <c r="A9515" t="s">
        <v>15962</v>
      </c>
      <c r="B9515" t="s">
        <v>11121</v>
      </c>
      <c r="C9515" t="str">
        <f>HYPERLINK("https://nematode.unl.edu/quina17.jpg")</f>
        <v>https://nematode.unl.edu/quina17.jpg</v>
      </c>
      <c r="D9515" t="s">
        <v>43</v>
      </c>
      <c r="G9515" t="s">
        <v>53</v>
      </c>
      <c r="I9515" t="s">
        <v>41</v>
      </c>
      <c r="J9515" t="s">
        <v>20</v>
      </c>
      <c r="L9515" t="s">
        <v>85</v>
      </c>
      <c r="M9515" t="s">
        <v>11112</v>
      </c>
      <c r="N9515" t="s">
        <v>11112</v>
      </c>
      <c r="O9515" t="s">
        <v>23</v>
      </c>
      <c r="P9515" t="s">
        <v>24</v>
      </c>
      <c r="Q9515" t="s">
        <v>1071</v>
      </c>
      <c r="R9515" t="s">
        <v>11113</v>
      </c>
    </row>
    <row r="9516" spans="1:18" x14ac:dyDescent="0.25">
      <c r="A9516" t="s">
        <v>15952</v>
      </c>
      <c r="B9516" t="s">
        <v>11122</v>
      </c>
      <c r="C9516" t="str">
        <f>HYPERLINK("https://nematode.unl.edu/quina18.jpg")</f>
        <v>https://nematode.unl.edu/quina18.jpg</v>
      </c>
      <c r="D9516" t="s">
        <v>77</v>
      </c>
      <c r="G9516" t="s">
        <v>34</v>
      </c>
      <c r="H9516" t="s">
        <v>18</v>
      </c>
      <c r="I9516" t="s">
        <v>41</v>
      </c>
      <c r="J9516" t="s">
        <v>20</v>
      </c>
      <c r="L9516" t="s">
        <v>85</v>
      </c>
      <c r="M9516" t="s">
        <v>11112</v>
      </c>
      <c r="N9516" t="s">
        <v>11112</v>
      </c>
      <c r="O9516" t="s">
        <v>23</v>
      </c>
      <c r="P9516" t="s">
        <v>24</v>
      </c>
      <c r="Q9516" t="s">
        <v>1071</v>
      </c>
      <c r="R9516" t="s">
        <v>11113</v>
      </c>
    </row>
    <row r="9517" spans="1:18" x14ac:dyDescent="0.25">
      <c r="A9517" t="s">
        <v>15953</v>
      </c>
      <c r="B9517" t="s">
        <v>11123</v>
      </c>
      <c r="C9517" t="str">
        <f>HYPERLINK("https://nematode.unl.edu/quina2.jpg")</f>
        <v>https://nematode.unl.edu/quina2.jpg</v>
      </c>
      <c r="D9517" t="s">
        <v>77</v>
      </c>
      <c r="G9517" t="s">
        <v>34</v>
      </c>
      <c r="H9517" t="s">
        <v>18</v>
      </c>
      <c r="I9517" t="s">
        <v>19</v>
      </c>
      <c r="J9517" t="s">
        <v>20</v>
      </c>
      <c r="L9517" t="s">
        <v>85</v>
      </c>
      <c r="M9517" t="s">
        <v>11112</v>
      </c>
      <c r="N9517" t="s">
        <v>11112</v>
      </c>
      <c r="O9517" t="s">
        <v>23</v>
      </c>
      <c r="P9517" t="s">
        <v>24</v>
      </c>
      <c r="Q9517" t="s">
        <v>1071</v>
      </c>
      <c r="R9517" t="s">
        <v>11113</v>
      </c>
    </row>
    <row r="9518" spans="1:18" x14ac:dyDescent="0.25">
      <c r="A9518" t="s">
        <v>15978</v>
      </c>
      <c r="B9518" t="s">
        <v>11124</v>
      </c>
      <c r="C9518" t="str">
        <f>HYPERLINK("https://nematode.unl.edu/quina3.jpg")</f>
        <v>https://nematode.unl.edu/quina3.jpg</v>
      </c>
      <c r="D9518" t="s">
        <v>43</v>
      </c>
      <c r="G9518" t="s">
        <v>51</v>
      </c>
      <c r="J9518" t="s">
        <v>20</v>
      </c>
      <c r="L9518" t="s">
        <v>85</v>
      </c>
      <c r="M9518" t="s">
        <v>11112</v>
      </c>
      <c r="N9518" t="s">
        <v>11112</v>
      </c>
      <c r="O9518" t="s">
        <v>23</v>
      </c>
      <c r="P9518" t="s">
        <v>24</v>
      </c>
      <c r="Q9518" t="s">
        <v>1071</v>
      </c>
      <c r="R9518" t="s">
        <v>11113</v>
      </c>
    </row>
    <row r="9519" spans="1:18" x14ac:dyDescent="0.25">
      <c r="A9519" t="s">
        <v>15971</v>
      </c>
      <c r="B9519" t="s">
        <v>11125</v>
      </c>
      <c r="C9519" t="str">
        <f>HYPERLINK("https://nematode.unl.edu/quina4.jpg")</f>
        <v>https://nematode.unl.edu/quina4.jpg</v>
      </c>
      <c r="D9519" t="s">
        <v>43</v>
      </c>
      <c r="G9519" t="s">
        <v>28</v>
      </c>
      <c r="J9519" t="s">
        <v>20</v>
      </c>
      <c r="L9519" t="s">
        <v>85</v>
      </c>
      <c r="M9519" t="s">
        <v>11112</v>
      </c>
      <c r="N9519" t="s">
        <v>11112</v>
      </c>
      <c r="O9519" t="s">
        <v>23</v>
      </c>
      <c r="P9519" t="s">
        <v>24</v>
      </c>
      <c r="Q9519" t="s">
        <v>1071</v>
      </c>
      <c r="R9519" t="s">
        <v>11113</v>
      </c>
    </row>
    <row r="9520" spans="1:18" x14ac:dyDescent="0.25">
      <c r="A9520" t="s">
        <v>15954</v>
      </c>
      <c r="B9520" t="s">
        <v>11126</v>
      </c>
      <c r="C9520" t="str">
        <f>HYPERLINK("https://nematode.unl.edu/quina5.jpg")</f>
        <v>https://nematode.unl.edu/quina5.jpg</v>
      </c>
      <c r="D9520" t="s">
        <v>43</v>
      </c>
      <c r="G9520" t="s">
        <v>34</v>
      </c>
      <c r="H9520" t="s">
        <v>18</v>
      </c>
      <c r="I9520" t="s">
        <v>41</v>
      </c>
      <c r="J9520" t="s">
        <v>20</v>
      </c>
      <c r="L9520" t="s">
        <v>85</v>
      </c>
      <c r="M9520" t="s">
        <v>11112</v>
      </c>
      <c r="N9520" t="s">
        <v>11112</v>
      </c>
      <c r="O9520" t="s">
        <v>23</v>
      </c>
      <c r="P9520" t="s">
        <v>24</v>
      </c>
      <c r="Q9520" t="s">
        <v>1071</v>
      </c>
      <c r="R9520" t="s">
        <v>11113</v>
      </c>
    </row>
    <row r="9521" spans="1:18" x14ac:dyDescent="0.25">
      <c r="A9521" t="s">
        <v>15963</v>
      </c>
      <c r="B9521" t="s">
        <v>11127</v>
      </c>
      <c r="C9521" t="str">
        <f>HYPERLINK("https://nematode.unl.edu/quina6.jpg")</f>
        <v>https://nematode.unl.edu/quina6.jpg</v>
      </c>
      <c r="D9521" t="s">
        <v>43</v>
      </c>
      <c r="G9521" t="s">
        <v>53</v>
      </c>
      <c r="J9521" t="s">
        <v>20</v>
      </c>
      <c r="L9521" t="s">
        <v>85</v>
      </c>
      <c r="M9521" t="s">
        <v>11112</v>
      </c>
      <c r="N9521" t="s">
        <v>11112</v>
      </c>
      <c r="O9521" t="s">
        <v>23</v>
      </c>
      <c r="P9521" t="s">
        <v>24</v>
      </c>
      <c r="Q9521" t="s">
        <v>1071</v>
      </c>
      <c r="R9521" t="s">
        <v>11113</v>
      </c>
    </row>
    <row r="9522" spans="1:18" x14ac:dyDescent="0.25">
      <c r="A9522" t="s">
        <v>15972</v>
      </c>
      <c r="B9522" t="s">
        <v>11128</v>
      </c>
      <c r="C9522" t="str">
        <f>HYPERLINK("https://nematode.unl.edu/quina7.jpg")</f>
        <v>https://nematode.unl.edu/quina7.jpg</v>
      </c>
      <c r="D9522" t="s">
        <v>43</v>
      </c>
      <c r="G9522" t="s">
        <v>28</v>
      </c>
      <c r="I9522" t="s">
        <v>41</v>
      </c>
      <c r="J9522" t="s">
        <v>20</v>
      </c>
      <c r="L9522" t="s">
        <v>85</v>
      </c>
      <c r="M9522" t="s">
        <v>11112</v>
      </c>
      <c r="N9522" t="s">
        <v>11112</v>
      </c>
      <c r="O9522" t="s">
        <v>23</v>
      </c>
      <c r="P9522" t="s">
        <v>24</v>
      </c>
      <c r="Q9522" t="s">
        <v>1071</v>
      </c>
      <c r="R9522" t="s">
        <v>11113</v>
      </c>
    </row>
    <row r="9523" spans="1:18" x14ac:dyDescent="0.25">
      <c r="A9523" t="s">
        <v>15960</v>
      </c>
      <c r="B9523" t="s">
        <v>11129</v>
      </c>
      <c r="C9523" t="str">
        <f>HYPERLINK("https://nematode.unl.edu/quina8.jpg")</f>
        <v>https://nematode.unl.edu/quina8.jpg</v>
      </c>
      <c r="D9523" t="s">
        <v>43</v>
      </c>
      <c r="G9523" t="s">
        <v>44</v>
      </c>
      <c r="I9523" t="s">
        <v>45</v>
      </c>
      <c r="J9523" t="s">
        <v>20</v>
      </c>
      <c r="L9523" t="s">
        <v>85</v>
      </c>
      <c r="M9523" t="s">
        <v>11112</v>
      </c>
      <c r="N9523" t="s">
        <v>11112</v>
      </c>
      <c r="O9523" t="s">
        <v>23</v>
      </c>
      <c r="P9523" t="s">
        <v>24</v>
      </c>
      <c r="Q9523" t="s">
        <v>1071</v>
      </c>
      <c r="R9523" t="s">
        <v>11113</v>
      </c>
    </row>
    <row r="9524" spans="1:18" x14ac:dyDescent="0.25">
      <c r="A9524" t="s">
        <v>15973</v>
      </c>
      <c r="B9524" t="s">
        <v>11130</v>
      </c>
      <c r="C9524" t="str">
        <f>HYPERLINK("https://nematode.unl.edu/quina9.jpg")</f>
        <v>https://nematode.unl.edu/quina9.jpg</v>
      </c>
      <c r="D9524" t="s">
        <v>43</v>
      </c>
      <c r="G9524" t="s">
        <v>28</v>
      </c>
      <c r="J9524" t="s">
        <v>20</v>
      </c>
      <c r="L9524" t="s">
        <v>85</v>
      </c>
      <c r="M9524" t="s">
        <v>11112</v>
      </c>
      <c r="N9524" t="s">
        <v>11112</v>
      </c>
      <c r="O9524" t="s">
        <v>23</v>
      </c>
      <c r="P9524" t="s">
        <v>24</v>
      </c>
      <c r="Q9524" t="s">
        <v>1071</v>
      </c>
      <c r="R9524" t="s">
        <v>11113</v>
      </c>
    </row>
    <row r="9525" spans="1:18" x14ac:dyDescent="0.25">
      <c r="A9525" t="s">
        <v>15946</v>
      </c>
      <c r="B9525" t="s">
        <v>11131</v>
      </c>
      <c r="C9525" t="str">
        <f>HYPERLINK("https://nematode.unl.edu/quinicut1.jpg")</f>
        <v>https://nematode.unl.edu/quinicut1.jpg</v>
      </c>
      <c r="D9525" t="s">
        <v>43</v>
      </c>
      <c r="G9525" t="s">
        <v>96</v>
      </c>
      <c r="H9525" t="s">
        <v>18</v>
      </c>
      <c r="I9525" t="s">
        <v>19</v>
      </c>
      <c r="J9525" t="s">
        <v>127</v>
      </c>
      <c r="L9525" t="s">
        <v>162</v>
      </c>
      <c r="M9525" t="s">
        <v>11112</v>
      </c>
      <c r="N9525" t="s">
        <v>11112</v>
      </c>
      <c r="O9525" t="s">
        <v>23</v>
      </c>
      <c r="P9525" t="s">
        <v>24</v>
      </c>
      <c r="Q9525" t="s">
        <v>1071</v>
      </c>
      <c r="R9525" t="s">
        <v>11113</v>
      </c>
    </row>
    <row r="9526" spans="1:18" x14ac:dyDescent="0.25">
      <c r="A9526" t="s">
        <v>15955</v>
      </c>
      <c r="B9526" t="s">
        <v>11132</v>
      </c>
      <c r="C9526" t="str">
        <f>HYPERLINK("https://nematode.unl.edu/quinicut10.jpg")</f>
        <v>https://nematode.unl.edu/quinicut10.jpg</v>
      </c>
      <c r="D9526" t="s">
        <v>43</v>
      </c>
      <c r="G9526" t="s">
        <v>34</v>
      </c>
      <c r="H9526" t="s">
        <v>18</v>
      </c>
      <c r="I9526" t="s">
        <v>529</v>
      </c>
      <c r="J9526" t="s">
        <v>127</v>
      </c>
      <c r="L9526" t="s">
        <v>162</v>
      </c>
      <c r="M9526" t="s">
        <v>11112</v>
      </c>
      <c r="N9526" t="s">
        <v>11112</v>
      </c>
      <c r="O9526" t="s">
        <v>23</v>
      </c>
      <c r="P9526" t="s">
        <v>24</v>
      </c>
      <c r="Q9526" t="s">
        <v>1071</v>
      </c>
      <c r="R9526" t="s">
        <v>11113</v>
      </c>
    </row>
    <row r="9527" spans="1:18" x14ac:dyDescent="0.25">
      <c r="A9527" t="s">
        <v>15947</v>
      </c>
      <c r="B9527" t="s">
        <v>11133</v>
      </c>
      <c r="C9527" t="str">
        <f>HYPERLINK("https://nematode.unl.edu/quinicut11.jpg")</f>
        <v>https://nematode.unl.edu/quinicut11.jpg</v>
      </c>
      <c r="D9527" t="s">
        <v>43</v>
      </c>
      <c r="G9527" t="s">
        <v>96</v>
      </c>
      <c r="H9527" t="s">
        <v>18</v>
      </c>
      <c r="I9527" t="s">
        <v>41</v>
      </c>
      <c r="J9527" t="s">
        <v>127</v>
      </c>
      <c r="L9527" t="s">
        <v>162</v>
      </c>
      <c r="M9527" t="s">
        <v>11112</v>
      </c>
      <c r="N9527" t="s">
        <v>11112</v>
      </c>
      <c r="O9527" t="s">
        <v>23</v>
      </c>
      <c r="P9527" t="s">
        <v>24</v>
      </c>
      <c r="Q9527" t="s">
        <v>1071</v>
      </c>
      <c r="R9527" t="s">
        <v>11113</v>
      </c>
    </row>
    <row r="9528" spans="1:18" x14ac:dyDescent="0.25">
      <c r="A9528" t="s">
        <v>15967</v>
      </c>
      <c r="B9528" t="s">
        <v>11134</v>
      </c>
      <c r="C9528" t="str">
        <f>HYPERLINK("https://nematode.unl.edu/quinicut12.jpg")</f>
        <v>https://nematode.unl.edu/quinicut12.jpg</v>
      </c>
      <c r="D9528" t="s">
        <v>43</v>
      </c>
      <c r="G9528" t="s">
        <v>2029</v>
      </c>
      <c r="I9528" t="s">
        <v>41</v>
      </c>
      <c r="J9528" t="s">
        <v>127</v>
      </c>
      <c r="L9528" t="s">
        <v>162</v>
      </c>
      <c r="M9528" t="s">
        <v>11112</v>
      </c>
      <c r="N9528" t="s">
        <v>11112</v>
      </c>
      <c r="O9528" t="s">
        <v>23</v>
      </c>
      <c r="P9528" t="s">
        <v>24</v>
      </c>
      <c r="Q9528" t="s">
        <v>1071</v>
      </c>
      <c r="R9528" t="s">
        <v>11113</v>
      </c>
    </row>
    <row r="9529" spans="1:18" x14ac:dyDescent="0.25">
      <c r="A9529" t="s">
        <v>15964</v>
      </c>
      <c r="B9529" t="s">
        <v>11135</v>
      </c>
      <c r="C9529" t="str">
        <f>HYPERLINK("https://nematode.unl.edu/quinicut13.jpg")</f>
        <v>https://nematode.unl.edu/quinicut13.jpg</v>
      </c>
      <c r="D9529" t="s">
        <v>43</v>
      </c>
      <c r="G9529" t="s">
        <v>53</v>
      </c>
      <c r="I9529" t="s">
        <v>41</v>
      </c>
      <c r="J9529" t="s">
        <v>127</v>
      </c>
      <c r="L9529" t="s">
        <v>162</v>
      </c>
      <c r="M9529" t="s">
        <v>11112</v>
      </c>
      <c r="N9529" t="s">
        <v>11112</v>
      </c>
      <c r="O9529" t="s">
        <v>23</v>
      </c>
      <c r="P9529" t="s">
        <v>24</v>
      </c>
      <c r="Q9529" t="s">
        <v>1071</v>
      </c>
      <c r="R9529" t="s">
        <v>11113</v>
      </c>
    </row>
    <row r="9530" spans="1:18" x14ac:dyDescent="0.25">
      <c r="A9530" t="s">
        <v>15956</v>
      </c>
      <c r="B9530" t="s">
        <v>11136</v>
      </c>
      <c r="C9530" t="str">
        <f>HYPERLINK("https://nematode.unl.edu/quinicut14.jpg")</f>
        <v>https://nematode.unl.edu/quinicut14.jpg</v>
      </c>
      <c r="D9530" t="s">
        <v>43</v>
      </c>
      <c r="G9530" t="s">
        <v>34</v>
      </c>
      <c r="H9530" t="s">
        <v>18</v>
      </c>
      <c r="J9530" t="s">
        <v>127</v>
      </c>
      <c r="L9530" t="s">
        <v>162</v>
      </c>
      <c r="M9530" t="s">
        <v>11112</v>
      </c>
      <c r="N9530" t="s">
        <v>11112</v>
      </c>
      <c r="O9530" t="s">
        <v>23</v>
      </c>
      <c r="P9530" t="s">
        <v>24</v>
      </c>
      <c r="Q9530" t="s">
        <v>1071</v>
      </c>
      <c r="R9530" t="s">
        <v>11113</v>
      </c>
    </row>
    <row r="9531" spans="1:18" x14ac:dyDescent="0.25">
      <c r="A9531" t="s">
        <v>15979</v>
      </c>
      <c r="B9531" t="s">
        <v>11137</v>
      </c>
      <c r="C9531" t="str">
        <f>HYPERLINK("https://nematode.unl.edu/quinicut15.jpg")</f>
        <v>https://nematode.unl.edu/quinicut15.jpg</v>
      </c>
      <c r="D9531" t="s">
        <v>43</v>
      </c>
      <c r="G9531" t="s">
        <v>51</v>
      </c>
      <c r="I9531" t="s">
        <v>19</v>
      </c>
      <c r="J9531" t="s">
        <v>127</v>
      </c>
      <c r="L9531" t="s">
        <v>162</v>
      </c>
      <c r="M9531" t="s">
        <v>11112</v>
      </c>
      <c r="N9531" t="s">
        <v>11112</v>
      </c>
      <c r="O9531" t="s">
        <v>23</v>
      </c>
      <c r="P9531" t="s">
        <v>24</v>
      </c>
      <c r="Q9531" t="s">
        <v>1071</v>
      </c>
      <c r="R9531" t="s">
        <v>11113</v>
      </c>
    </row>
    <row r="9532" spans="1:18" x14ac:dyDescent="0.25">
      <c r="A9532" t="s">
        <v>15974</v>
      </c>
      <c r="B9532" t="s">
        <v>11138</v>
      </c>
      <c r="C9532" t="str">
        <f>HYPERLINK("https://nematode.unl.edu/quinicut16.jpg")</f>
        <v>https://nematode.unl.edu/quinicut16.jpg</v>
      </c>
      <c r="D9532" t="s">
        <v>43</v>
      </c>
      <c r="G9532" t="s">
        <v>28</v>
      </c>
      <c r="J9532" t="s">
        <v>127</v>
      </c>
      <c r="L9532" t="s">
        <v>162</v>
      </c>
      <c r="M9532" t="s">
        <v>11112</v>
      </c>
      <c r="N9532" t="s">
        <v>11112</v>
      </c>
      <c r="O9532" t="s">
        <v>23</v>
      </c>
      <c r="P9532" t="s">
        <v>24</v>
      </c>
      <c r="Q9532" t="s">
        <v>1071</v>
      </c>
      <c r="R9532" t="s">
        <v>11113</v>
      </c>
    </row>
    <row r="9533" spans="1:18" x14ac:dyDescent="0.25">
      <c r="A9533" t="s">
        <v>15965</v>
      </c>
      <c r="B9533" t="s">
        <v>11139</v>
      </c>
      <c r="C9533" t="str">
        <f>HYPERLINK("https://nematode.unl.edu/quinicut17.jpg")</f>
        <v>https://nematode.unl.edu/quinicut17.jpg</v>
      </c>
      <c r="D9533" t="s">
        <v>43</v>
      </c>
      <c r="G9533" t="s">
        <v>53</v>
      </c>
      <c r="I9533" t="s">
        <v>41</v>
      </c>
      <c r="J9533" t="s">
        <v>127</v>
      </c>
      <c r="L9533" t="s">
        <v>162</v>
      </c>
      <c r="M9533" t="s">
        <v>11112</v>
      </c>
      <c r="N9533" t="s">
        <v>11112</v>
      </c>
      <c r="O9533" t="s">
        <v>23</v>
      </c>
      <c r="P9533" t="s">
        <v>24</v>
      </c>
      <c r="Q9533" t="s">
        <v>1071</v>
      </c>
      <c r="R9533" t="s">
        <v>11113</v>
      </c>
    </row>
    <row r="9534" spans="1:18" x14ac:dyDescent="0.25">
      <c r="A9534" t="s">
        <v>15957</v>
      </c>
      <c r="B9534" t="s">
        <v>11140</v>
      </c>
      <c r="C9534" t="str">
        <f>HYPERLINK("https://nematode.unl.edu/quinicut18.jpg")</f>
        <v>https://nematode.unl.edu/quinicut18.jpg</v>
      </c>
      <c r="D9534" t="s">
        <v>43</v>
      </c>
      <c r="G9534" t="s">
        <v>34</v>
      </c>
      <c r="H9534" t="s">
        <v>18</v>
      </c>
      <c r="I9534" t="s">
        <v>41</v>
      </c>
      <c r="J9534" t="s">
        <v>127</v>
      </c>
      <c r="L9534" t="s">
        <v>162</v>
      </c>
      <c r="M9534" t="s">
        <v>11112</v>
      </c>
      <c r="N9534" t="s">
        <v>11112</v>
      </c>
      <c r="O9534" t="s">
        <v>23</v>
      </c>
      <c r="P9534" t="s">
        <v>24</v>
      </c>
      <c r="Q9534" t="s">
        <v>1071</v>
      </c>
      <c r="R9534" t="s">
        <v>11113</v>
      </c>
    </row>
    <row r="9535" spans="1:18" x14ac:dyDescent="0.25">
      <c r="A9535" t="s">
        <v>15980</v>
      </c>
      <c r="B9535" t="s">
        <v>11141</v>
      </c>
      <c r="C9535" t="str">
        <f>HYPERLINK("https://nematode.unl.edu/quinicut2.jpg")</f>
        <v>https://nematode.unl.edu/quinicut2.jpg</v>
      </c>
      <c r="D9535" t="s">
        <v>43</v>
      </c>
      <c r="G9535" t="s">
        <v>51</v>
      </c>
      <c r="I9535" t="s">
        <v>19</v>
      </c>
      <c r="J9535" t="s">
        <v>127</v>
      </c>
      <c r="L9535" t="s">
        <v>162</v>
      </c>
      <c r="M9535" t="s">
        <v>11112</v>
      </c>
      <c r="N9535" t="s">
        <v>11112</v>
      </c>
      <c r="O9535" t="s">
        <v>23</v>
      </c>
      <c r="P9535" t="s">
        <v>24</v>
      </c>
      <c r="Q9535" t="s">
        <v>1071</v>
      </c>
      <c r="R9535" t="s">
        <v>11113</v>
      </c>
    </row>
    <row r="9536" spans="1:18" x14ac:dyDescent="0.25">
      <c r="A9536" t="s">
        <v>15975</v>
      </c>
      <c r="B9536" t="s">
        <v>11142</v>
      </c>
      <c r="C9536" t="str">
        <f>HYPERLINK("https://nematode.unl.edu/quinicut3.jpg")</f>
        <v>https://nematode.unl.edu/quinicut3.jpg</v>
      </c>
      <c r="D9536" t="s">
        <v>43</v>
      </c>
      <c r="G9536" t="s">
        <v>28</v>
      </c>
      <c r="J9536" t="s">
        <v>127</v>
      </c>
      <c r="L9536" t="s">
        <v>162</v>
      </c>
      <c r="M9536" t="s">
        <v>11112</v>
      </c>
      <c r="N9536" t="s">
        <v>11112</v>
      </c>
      <c r="O9536" t="s">
        <v>23</v>
      </c>
      <c r="P9536" t="s">
        <v>24</v>
      </c>
      <c r="Q9536" t="s">
        <v>1071</v>
      </c>
      <c r="R9536" t="s">
        <v>11113</v>
      </c>
    </row>
    <row r="9537" spans="1:18" x14ac:dyDescent="0.25">
      <c r="A9537" t="s">
        <v>15958</v>
      </c>
      <c r="B9537" t="s">
        <v>11143</v>
      </c>
      <c r="C9537" t="str">
        <f>HYPERLINK("https://nematode.unl.edu/quinicut4.jpg")</f>
        <v>https://nematode.unl.edu/quinicut4.jpg</v>
      </c>
      <c r="D9537" t="s">
        <v>43</v>
      </c>
      <c r="G9537" t="s">
        <v>34</v>
      </c>
      <c r="H9537" t="s">
        <v>18</v>
      </c>
      <c r="I9537" t="s">
        <v>41</v>
      </c>
      <c r="J9537" t="s">
        <v>127</v>
      </c>
      <c r="L9537" t="s">
        <v>162</v>
      </c>
      <c r="M9537" t="s">
        <v>11112</v>
      </c>
      <c r="N9537" t="s">
        <v>11112</v>
      </c>
      <c r="O9537" t="s">
        <v>23</v>
      </c>
      <c r="P9537" t="s">
        <v>24</v>
      </c>
      <c r="Q9537" t="s">
        <v>1071</v>
      </c>
      <c r="R9537" t="s">
        <v>11113</v>
      </c>
    </row>
    <row r="9538" spans="1:18" x14ac:dyDescent="0.25">
      <c r="A9538" t="s">
        <v>15966</v>
      </c>
      <c r="B9538" t="s">
        <v>11144</v>
      </c>
      <c r="C9538" t="str">
        <f>HYPERLINK("https://nematode.unl.edu/quinicut5.jpg")</f>
        <v>https://nematode.unl.edu/quinicut5.jpg</v>
      </c>
      <c r="D9538" t="s">
        <v>43</v>
      </c>
      <c r="G9538" t="s">
        <v>53</v>
      </c>
      <c r="I9538" t="s">
        <v>41</v>
      </c>
      <c r="J9538" t="s">
        <v>127</v>
      </c>
      <c r="L9538" t="s">
        <v>162</v>
      </c>
      <c r="M9538" t="s">
        <v>11112</v>
      </c>
      <c r="N9538" t="s">
        <v>11112</v>
      </c>
      <c r="O9538" t="s">
        <v>23</v>
      </c>
      <c r="P9538" t="s">
        <v>24</v>
      </c>
      <c r="Q9538" t="s">
        <v>1071</v>
      </c>
      <c r="R9538" t="s">
        <v>11113</v>
      </c>
    </row>
    <row r="9539" spans="1:18" x14ac:dyDescent="0.25">
      <c r="A9539" t="s">
        <v>15968</v>
      </c>
      <c r="B9539" t="s">
        <v>11145</v>
      </c>
      <c r="C9539" t="str">
        <f>HYPERLINK("https://nematode.unl.edu/quinicut6.jpg")</f>
        <v>https://nematode.unl.edu/quinicut6.jpg</v>
      </c>
      <c r="D9539" t="s">
        <v>43</v>
      </c>
      <c r="G9539" t="s">
        <v>2029</v>
      </c>
      <c r="I9539" t="s">
        <v>41</v>
      </c>
      <c r="J9539" t="s">
        <v>127</v>
      </c>
      <c r="L9539" t="s">
        <v>162</v>
      </c>
      <c r="M9539" t="s">
        <v>11112</v>
      </c>
      <c r="N9539" t="s">
        <v>11112</v>
      </c>
      <c r="O9539" t="s">
        <v>23</v>
      </c>
      <c r="P9539" t="s">
        <v>24</v>
      </c>
      <c r="Q9539" t="s">
        <v>1071</v>
      </c>
      <c r="R9539" t="s">
        <v>11113</v>
      </c>
    </row>
    <row r="9540" spans="1:18" x14ac:dyDescent="0.25">
      <c r="A9540" t="s">
        <v>15948</v>
      </c>
      <c r="B9540" t="s">
        <v>11146</v>
      </c>
      <c r="C9540" t="str">
        <f>HYPERLINK("https://nematode.unl.edu/quinicut7.jpg")</f>
        <v>https://nematode.unl.edu/quinicut7.jpg</v>
      </c>
      <c r="D9540" t="s">
        <v>43</v>
      </c>
      <c r="G9540" t="s">
        <v>96</v>
      </c>
      <c r="H9540" t="s">
        <v>18</v>
      </c>
      <c r="J9540" t="s">
        <v>127</v>
      </c>
      <c r="L9540" t="s">
        <v>162</v>
      </c>
      <c r="M9540" t="s">
        <v>11112</v>
      </c>
      <c r="N9540" t="s">
        <v>11112</v>
      </c>
      <c r="O9540" t="s">
        <v>23</v>
      </c>
      <c r="P9540" t="s">
        <v>24</v>
      </c>
      <c r="Q9540" t="s">
        <v>1071</v>
      </c>
      <c r="R9540" t="s">
        <v>11113</v>
      </c>
    </row>
    <row r="9541" spans="1:18" x14ac:dyDescent="0.25">
      <c r="A9541" t="s">
        <v>15981</v>
      </c>
      <c r="B9541" t="s">
        <v>11147</v>
      </c>
      <c r="C9541" t="str">
        <f>HYPERLINK("https://nematode.unl.edu/quinicut8.jpg")</f>
        <v>https://nematode.unl.edu/quinicut8.jpg</v>
      </c>
      <c r="D9541" t="s">
        <v>43</v>
      </c>
      <c r="G9541" t="s">
        <v>51</v>
      </c>
      <c r="J9541" t="s">
        <v>127</v>
      </c>
      <c r="L9541" t="s">
        <v>162</v>
      </c>
      <c r="M9541" t="s">
        <v>11112</v>
      </c>
      <c r="N9541" t="s">
        <v>11112</v>
      </c>
      <c r="O9541" t="s">
        <v>23</v>
      </c>
      <c r="P9541" t="s">
        <v>24</v>
      </c>
      <c r="Q9541" t="s">
        <v>1071</v>
      </c>
      <c r="R9541" t="s">
        <v>11113</v>
      </c>
    </row>
    <row r="9542" spans="1:18" x14ac:dyDescent="0.25">
      <c r="A9542" t="s">
        <v>15976</v>
      </c>
      <c r="B9542" t="s">
        <v>11148</v>
      </c>
      <c r="C9542" t="str">
        <f>HYPERLINK("https://nematode.unl.edu/quinicut9.jpg")</f>
        <v>https://nematode.unl.edu/quinicut9.jpg</v>
      </c>
      <c r="D9542" t="s">
        <v>43</v>
      </c>
      <c r="G9542" t="s">
        <v>28</v>
      </c>
      <c r="J9542" t="s">
        <v>127</v>
      </c>
      <c r="L9542" t="s">
        <v>162</v>
      </c>
      <c r="M9542" t="s">
        <v>11112</v>
      </c>
      <c r="N9542" t="s">
        <v>11112</v>
      </c>
      <c r="O9542" t="s">
        <v>23</v>
      </c>
      <c r="P9542" t="s">
        <v>24</v>
      </c>
      <c r="Q9542" t="s">
        <v>1071</v>
      </c>
      <c r="R9542" t="s">
        <v>11113</v>
      </c>
    </row>
    <row r="9543" spans="1:18" x14ac:dyDescent="0.25">
      <c r="A9543" t="s">
        <v>17574</v>
      </c>
      <c r="B9543" t="s">
        <v>11149</v>
      </c>
      <c r="C9543" t="str">
        <f>HYPERLINK("https://nematode.unl.edu/rhabella1.jpg")</f>
        <v>https://nematode.unl.edu/rhabella1.jpg</v>
      </c>
      <c r="D9543" t="s">
        <v>43</v>
      </c>
      <c r="G9543" t="s">
        <v>34</v>
      </c>
      <c r="H9543" t="s">
        <v>18</v>
      </c>
      <c r="J9543" t="s">
        <v>20</v>
      </c>
      <c r="L9543" t="s">
        <v>220</v>
      </c>
      <c r="M9543" t="s">
        <v>11150</v>
      </c>
      <c r="N9543" t="s">
        <v>11150</v>
      </c>
      <c r="O9543" t="s">
        <v>23</v>
      </c>
      <c r="P9543" t="s">
        <v>24</v>
      </c>
      <c r="Q9543" t="s">
        <v>1637</v>
      </c>
      <c r="R9543" t="s">
        <v>11150</v>
      </c>
    </row>
    <row r="9544" spans="1:18" x14ac:dyDescent="0.25">
      <c r="A9544" t="s">
        <v>17581</v>
      </c>
      <c r="B9544" t="s">
        <v>11151</v>
      </c>
      <c r="C9544" t="str">
        <f>HYPERLINK("https://nematode.unl.edu/rhabella10.jpg")</f>
        <v>https://nematode.unl.edu/rhabella10.jpg</v>
      </c>
      <c r="D9544" t="s">
        <v>43</v>
      </c>
      <c r="G9544" t="s">
        <v>28</v>
      </c>
      <c r="I9544" t="s">
        <v>19</v>
      </c>
      <c r="J9544" t="s">
        <v>20</v>
      </c>
      <c r="M9544" t="s">
        <v>11150</v>
      </c>
      <c r="N9544" t="s">
        <v>11150</v>
      </c>
      <c r="O9544" t="s">
        <v>23</v>
      </c>
      <c r="P9544" t="s">
        <v>24</v>
      </c>
      <c r="Q9544" t="s">
        <v>1637</v>
      </c>
      <c r="R9544" t="s">
        <v>11150</v>
      </c>
    </row>
    <row r="9545" spans="1:18" x14ac:dyDescent="0.25">
      <c r="A9545" t="s">
        <v>17575</v>
      </c>
      <c r="B9545" t="s">
        <v>11152</v>
      </c>
      <c r="C9545" t="str">
        <f>HYPERLINK("https://nematode.unl.edu/rhabella11.jpg")</f>
        <v>https://nematode.unl.edu/rhabella11.jpg</v>
      </c>
      <c r="D9545" t="s">
        <v>43</v>
      </c>
      <c r="G9545" t="s">
        <v>34</v>
      </c>
      <c r="H9545" t="s">
        <v>18</v>
      </c>
      <c r="I9545" t="s">
        <v>19</v>
      </c>
      <c r="J9545" t="s">
        <v>20</v>
      </c>
      <c r="M9545" t="s">
        <v>11150</v>
      </c>
      <c r="N9545" t="s">
        <v>11150</v>
      </c>
      <c r="O9545" t="s">
        <v>23</v>
      </c>
      <c r="P9545" t="s">
        <v>24</v>
      </c>
      <c r="Q9545" t="s">
        <v>1637</v>
      </c>
      <c r="R9545" t="s">
        <v>11150</v>
      </c>
    </row>
    <row r="9546" spans="1:18" x14ac:dyDescent="0.25">
      <c r="A9546" t="s">
        <v>17572</v>
      </c>
      <c r="B9546" t="s">
        <v>11153</v>
      </c>
      <c r="C9546" t="str">
        <f>HYPERLINK("https://nematode.unl.edu/rhabella12.jpg")</f>
        <v>https://nematode.unl.edu/rhabella12.jpg</v>
      </c>
      <c r="G9546" t="s">
        <v>96</v>
      </c>
      <c r="H9546" t="s">
        <v>18</v>
      </c>
      <c r="I9546" t="s">
        <v>41</v>
      </c>
      <c r="J9546" t="s">
        <v>20</v>
      </c>
      <c r="M9546" t="s">
        <v>11150</v>
      </c>
      <c r="N9546" t="s">
        <v>11150</v>
      </c>
      <c r="O9546" t="s">
        <v>23</v>
      </c>
      <c r="P9546" t="s">
        <v>24</v>
      </c>
      <c r="Q9546" t="s">
        <v>1637</v>
      </c>
      <c r="R9546" t="s">
        <v>11150</v>
      </c>
    </row>
    <row r="9547" spans="1:18" x14ac:dyDescent="0.25">
      <c r="A9547" t="s">
        <v>17573</v>
      </c>
      <c r="B9547" t="s">
        <v>11154</v>
      </c>
      <c r="C9547" t="str">
        <f>HYPERLINK("https://nematode.unl.edu/rhabella13.jpg")</f>
        <v>https://nematode.unl.edu/rhabella13.jpg</v>
      </c>
      <c r="D9547" t="s">
        <v>43</v>
      </c>
      <c r="G9547" t="s">
        <v>96</v>
      </c>
      <c r="H9547" t="s">
        <v>18</v>
      </c>
      <c r="I9547" t="s">
        <v>41</v>
      </c>
      <c r="J9547" t="s">
        <v>20</v>
      </c>
      <c r="M9547" t="s">
        <v>11150</v>
      </c>
      <c r="N9547" t="s">
        <v>11150</v>
      </c>
      <c r="O9547" t="s">
        <v>23</v>
      </c>
      <c r="P9547" t="s">
        <v>24</v>
      </c>
      <c r="Q9547" t="s">
        <v>1637</v>
      </c>
      <c r="R9547" t="s">
        <v>11150</v>
      </c>
    </row>
    <row r="9548" spans="1:18" x14ac:dyDescent="0.25">
      <c r="A9548" t="s">
        <v>17582</v>
      </c>
      <c r="B9548" t="s">
        <v>11155</v>
      </c>
      <c r="C9548" t="str">
        <f>HYPERLINK("https://nematode.unl.edu/rhabella2.jpg")</f>
        <v>https://nematode.unl.edu/rhabella2.jpg</v>
      </c>
      <c r="D9548" t="s">
        <v>43</v>
      </c>
      <c r="G9548" t="s">
        <v>51</v>
      </c>
      <c r="J9548" t="s">
        <v>20</v>
      </c>
      <c r="L9548" t="s">
        <v>1768</v>
      </c>
      <c r="M9548" t="s">
        <v>11150</v>
      </c>
      <c r="N9548" t="s">
        <v>11150</v>
      </c>
      <c r="O9548" t="s">
        <v>23</v>
      </c>
      <c r="P9548" t="s">
        <v>24</v>
      </c>
      <c r="Q9548" t="s">
        <v>1637</v>
      </c>
      <c r="R9548" t="s">
        <v>11150</v>
      </c>
    </row>
    <row r="9549" spans="1:18" x14ac:dyDescent="0.25">
      <c r="A9549" t="s">
        <v>17580</v>
      </c>
      <c r="B9549" t="s">
        <v>11156</v>
      </c>
      <c r="C9549" t="str">
        <f>HYPERLINK("https://nematode.unl.edu/rhabella3.jpg")</f>
        <v>https://nematode.unl.edu/rhabella3.jpg</v>
      </c>
      <c r="D9549" t="s">
        <v>43</v>
      </c>
      <c r="G9549" t="s">
        <v>44</v>
      </c>
      <c r="J9549" t="s">
        <v>20</v>
      </c>
      <c r="L9549" t="s">
        <v>1768</v>
      </c>
      <c r="M9549" t="s">
        <v>11150</v>
      </c>
      <c r="N9549" t="s">
        <v>11150</v>
      </c>
      <c r="O9549" t="s">
        <v>23</v>
      </c>
      <c r="P9549" t="s">
        <v>24</v>
      </c>
      <c r="Q9549" t="s">
        <v>1637</v>
      </c>
      <c r="R9549" t="s">
        <v>11150</v>
      </c>
    </row>
    <row r="9550" spans="1:18" x14ac:dyDescent="0.25">
      <c r="A9550" t="s">
        <v>17576</v>
      </c>
      <c r="B9550" t="s">
        <v>11157</v>
      </c>
      <c r="C9550" t="str">
        <f>HYPERLINK("https://nematode.unl.edu/rhabella4.jpg")</f>
        <v>https://nematode.unl.edu/rhabella4.jpg</v>
      </c>
      <c r="D9550" t="s">
        <v>43</v>
      </c>
      <c r="G9550" t="s">
        <v>34</v>
      </c>
      <c r="H9550" t="s">
        <v>18</v>
      </c>
      <c r="I9550" t="s">
        <v>41</v>
      </c>
      <c r="J9550" t="s">
        <v>20</v>
      </c>
      <c r="L9550" t="s">
        <v>220</v>
      </c>
      <c r="M9550" t="s">
        <v>11150</v>
      </c>
      <c r="N9550" t="s">
        <v>11150</v>
      </c>
      <c r="O9550" t="s">
        <v>23</v>
      </c>
      <c r="P9550" t="s">
        <v>24</v>
      </c>
      <c r="Q9550" t="s">
        <v>1637</v>
      </c>
      <c r="R9550" t="s">
        <v>11150</v>
      </c>
    </row>
    <row r="9551" spans="1:18" x14ac:dyDescent="0.25">
      <c r="A9551" t="s">
        <v>17583</v>
      </c>
      <c r="B9551" t="s">
        <v>11158</v>
      </c>
      <c r="C9551" t="str">
        <f>HYPERLINK("https://nematode.unl.edu/rhabella5.jpg")</f>
        <v>https://nematode.unl.edu/rhabella5.jpg</v>
      </c>
      <c r="D9551" t="s">
        <v>43</v>
      </c>
      <c r="G9551" t="s">
        <v>51</v>
      </c>
      <c r="I9551" t="s">
        <v>41</v>
      </c>
      <c r="M9551" t="s">
        <v>11150</v>
      </c>
      <c r="N9551" t="s">
        <v>11150</v>
      </c>
      <c r="O9551" t="s">
        <v>23</v>
      </c>
      <c r="P9551" t="s">
        <v>24</v>
      </c>
      <c r="Q9551" t="s">
        <v>1637</v>
      </c>
      <c r="R9551" t="s">
        <v>11150</v>
      </c>
    </row>
    <row r="9552" spans="1:18" x14ac:dyDescent="0.25">
      <c r="A9552" t="s">
        <v>17577</v>
      </c>
      <c r="B9552" t="s">
        <v>11159</v>
      </c>
      <c r="C9552" t="str">
        <f>HYPERLINK("https://nematode.unl.edu/rhabella6.jpg")</f>
        <v>https://nematode.unl.edu/rhabella6.jpg</v>
      </c>
      <c r="D9552" t="s">
        <v>43</v>
      </c>
      <c r="G9552" t="s">
        <v>34</v>
      </c>
      <c r="H9552" t="s">
        <v>18</v>
      </c>
      <c r="I9552" t="s">
        <v>41</v>
      </c>
      <c r="J9552" t="s">
        <v>20</v>
      </c>
      <c r="M9552" t="s">
        <v>11150</v>
      </c>
      <c r="N9552" t="s">
        <v>11150</v>
      </c>
      <c r="O9552" t="s">
        <v>23</v>
      </c>
      <c r="P9552" t="s">
        <v>24</v>
      </c>
      <c r="Q9552" t="s">
        <v>1637</v>
      </c>
      <c r="R9552" t="s">
        <v>11150</v>
      </c>
    </row>
    <row r="9553" spans="1:18" x14ac:dyDescent="0.25">
      <c r="A9553" t="s">
        <v>17578</v>
      </c>
      <c r="B9553" t="s">
        <v>11160</v>
      </c>
      <c r="C9553" t="str">
        <f>HYPERLINK("https://nematode.unl.edu/rhabella7.jpg")</f>
        <v>https://nematode.unl.edu/rhabella7.jpg</v>
      </c>
      <c r="D9553" t="s">
        <v>43</v>
      </c>
      <c r="G9553" t="s">
        <v>34</v>
      </c>
      <c r="H9553" t="s">
        <v>18</v>
      </c>
      <c r="J9553" t="s">
        <v>20</v>
      </c>
      <c r="L9553" t="s">
        <v>29</v>
      </c>
      <c r="M9553" t="s">
        <v>11150</v>
      </c>
      <c r="N9553" t="s">
        <v>11150</v>
      </c>
      <c r="O9553" t="s">
        <v>23</v>
      </c>
      <c r="P9553" t="s">
        <v>24</v>
      </c>
      <c r="Q9553" t="s">
        <v>1637</v>
      </c>
      <c r="R9553" t="s">
        <v>11150</v>
      </c>
    </row>
    <row r="9554" spans="1:18" x14ac:dyDescent="0.25">
      <c r="A9554" t="s">
        <v>17579</v>
      </c>
      <c r="B9554" t="s">
        <v>11161</v>
      </c>
      <c r="C9554" t="str">
        <f>HYPERLINK("https://nematode.unl.edu/rhabella8.jpg")</f>
        <v>https://nematode.unl.edu/rhabella8.jpg</v>
      </c>
      <c r="D9554" t="s">
        <v>43</v>
      </c>
      <c r="G9554" t="s">
        <v>87</v>
      </c>
      <c r="I9554" t="s">
        <v>19</v>
      </c>
      <c r="J9554" t="s">
        <v>20</v>
      </c>
      <c r="L9554" t="s">
        <v>29</v>
      </c>
      <c r="M9554" t="s">
        <v>11150</v>
      </c>
      <c r="N9554" t="s">
        <v>11150</v>
      </c>
      <c r="O9554" t="s">
        <v>23</v>
      </c>
      <c r="P9554" t="s">
        <v>24</v>
      </c>
      <c r="Q9554" t="s">
        <v>1637</v>
      </c>
      <c r="R9554" t="s">
        <v>11150</v>
      </c>
    </row>
    <row r="9555" spans="1:18" x14ac:dyDescent="0.25">
      <c r="A9555" t="s">
        <v>17584</v>
      </c>
      <c r="B9555" t="s">
        <v>11162</v>
      </c>
      <c r="C9555" t="str">
        <f>HYPERLINK("https://nematode.unl.edu/rhabella9.jpg")</f>
        <v>https://nematode.unl.edu/rhabella9.jpg</v>
      </c>
      <c r="D9555" t="s">
        <v>43</v>
      </c>
      <c r="G9555" t="s">
        <v>51</v>
      </c>
      <c r="J9555" t="s">
        <v>20</v>
      </c>
      <c r="M9555" t="s">
        <v>11150</v>
      </c>
      <c r="N9555" t="s">
        <v>11150</v>
      </c>
      <c r="O9555" t="s">
        <v>23</v>
      </c>
      <c r="P9555" t="s">
        <v>24</v>
      </c>
      <c r="Q9555" t="s">
        <v>1637</v>
      </c>
      <c r="R9555" t="s">
        <v>11150</v>
      </c>
    </row>
    <row r="9556" spans="1:18" x14ac:dyDescent="0.25">
      <c r="A9556" t="s">
        <v>17623</v>
      </c>
      <c r="B9556" t="s">
        <v>11208</v>
      </c>
      <c r="C9556" t="str">
        <f>HYPERLINK("https://nematode.unl.edu/rhabo1.jpg")</f>
        <v>https://nematode.unl.edu/rhabo1.jpg</v>
      </c>
      <c r="D9556" t="s">
        <v>16</v>
      </c>
      <c r="G9556" t="s">
        <v>34</v>
      </c>
      <c r="H9556" t="s">
        <v>18</v>
      </c>
      <c r="L9556" t="s">
        <v>141</v>
      </c>
      <c r="M9556" t="s">
        <v>11209</v>
      </c>
      <c r="N9556" t="s">
        <v>11209</v>
      </c>
      <c r="O9556" t="s">
        <v>23</v>
      </c>
      <c r="P9556" t="s">
        <v>24</v>
      </c>
      <c r="Q9556" t="s">
        <v>1637</v>
      </c>
      <c r="R9556" t="s">
        <v>11209</v>
      </c>
    </row>
    <row r="9557" spans="1:18" x14ac:dyDescent="0.25">
      <c r="A9557" t="s">
        <v>17625</v>
      </c>
      <c r="B9557" t="s">
        <v>11210</v>
      </c>
      <c r="C9557" t="str">
        <f>HYPERLINK("https://nematode.unl.edu/rhabo2.jpg")</f>
        <v>https://nematode.unl.edu/rhabo2.jpg</v>
      </c>
      <c r="D9557" t="s">
        <v>16</v>
      </c>
      <c r="G9557" t="s">
        <v>28</v>
      </c>
      <c r="I9557" t="s">
        <v>19</v>
      </c>
      <c r="J9557" t="s">
        <v>20</v>
      </c>
      <c r="L9557" t="s">
        <v>141</v>
      </c>
      <c r="M9557" t="s">
        <v>11209</v>
      </c>
      <c r="N9557" t="s">
        <v>11209</v>
      </c>
      <c r="O9557" t="s">
        <v>23</v>
      </c>
      <c r="P9557" t="s">
        <v>24</v>
      </c>
      <c r="Q9557" t="s">
        <v>1637</v>
      </c>
      <c r="R9557" t="s">
        <v>11209</v>
      </c>
    </row>
    <row r="9558" spans="1:18" x14ac:dyDescent="0.25">
      <c r="A9558" t="s">
        <v>17624</v>
      </c>
      <c r="B9558" t="s">
        <v>11211</v>
      </c>
      <c r="C9558" t="str">
        <f>HYPERLINK("https://nematode.unl.edu/rhabo3.jpg")</f>
        <v>https://nematode.unl.edu/rhabo3.jpg</v>
      </c>
      <c r="D9558" t="s">
        <v>16</v>
      </c>
      <c r="G9558" t="s">
        <v>34</v>
      </c>
      <c r="H9558" t="s">
        <v>18</v>
      </c>
      <c r="I9558" t="s">
        <v>41</v>
      </c>
      <c r="J9558" t="s">
        <v>20</v>
      </c>
      <c r="L9558" t="s">
        <v>141</v>
      </c>
      <c r="M9558" t="s">
        <v>11209</v>
      </c>
      <c r="N9558" t="s">
        <v>11209</v>
      </c>
      <c r="O9558" t="s">
        <v>23</v>
      </c>
      <c r="P9558" t="s">
        <v>24</v>
      </c>
      <c r="Q9558" t="s">
        <v>1637</v>
      </c>
      <c r="R9558" t="s">
        <v>11209</v>
      </c>
    </row>
    <row r="9559" spans="1:18" x14ac:dyDescent="0.25">
      <c r="A9559" t="s">
        <v>22278</v>
      </c>
      <c r="B9559" t="s">
        <v>11212</v>
      </c>
      <c r="C9559" t="str">
        <f>HYPERLINK("https://nematode.unl.edu/rhabter.jpg")</f>
        <v>https://nematode.unl.edu/rhabter.jpg</v>
      </c>
      <c r="G9559" t="s">
        <v>108</v>
      </c>
      <c r="J9559" t="s">
        <v>482</v>
      </c>
      <c r="M9559" t="s">
        <v>11213</v>
      </c>
      <c r="N9559" t="s">
        <v>11213</v>
      </c>
      <c r="O9559" t="s">
        <v>73</v>
      </c>
      <c r="P9559" t="s">
        <v>74</v>
      </c>
      <c r="Q9559" t="s">
        <v>11214</v>
      </c>
      <c r="R9559" t="s">
        <v>11215</v>
      </c>
    </row>
    <row r="9560" spans="1:18" x14ac:dyDescent="0.25">
      <c r="A9560" t="s">
        <v>17594</v>
      </c>
      <c r="B9560" t="s">
        <v>11163</v>
      </c>
      <c r="C9560" t="str">
        <f>HYPERLINK("https://nematode.unl.edu/rhabtis1.jpg")</f>
        <v>https://nematode.unl.edu/rhabtis1.jpg</v>
      </c>
      <c r="D9560" t="s">
        <v>43</v>
      </c>
      <c r="G9560" t="s">
        <v>44</v>
      </c>
      <c r="I9560" t="s">
        <v>137</v>
      </c>
      <c r="J9560" t="s">
        <v>127</v>
      </c>
      <c r="L9560" t="s">
        <v>11164</v>
      </c>
      <c r="M9560" t="s">
        <v>11165</v>
      </c>
      <c r="N9560" t="s">
        <v>11165</v>
      </c>
      <c r="O9560" t="s">
        <v>23</v>
      </c>
      <c r="P9560" t="s">
        <v>24</v>
      </c>
      <c r="Q9560" t="s">
        <v>1637</v>
      </c>
      <c r="R9560" t="s">
        <v>11165</v>
      </c>
    </row>
    <row r="9561" spans="1:18" x14ac:dyDescent="0.25">
      <c r="A9561" t="s">
        <v>17606</v>
      </c>
      <c r="B9561" t="s">
        <v>11166</v>
      </c>
      <c r="C9561" t="str">
        <f>HYPERLINK("https://nematode.unl.edu/rhabtis10.jpg")</f>
        <v>https://nematode.unl.edu/rhabtis10.jpg</v>
      </c>
      <c r="D9561" t="s">
        <v>77</v>
      </c>
      <c r="G9561" t="s">
        <v>28</v>
      </c>
      <c r="I9561" t="s">
        <v>41</v>
      </c>
      <c r="J9561" t="s">
        <v>127</v>
      </c>
      <c r="L9561" t="s">
        <v>11164</v>
      </c>
      <c r="M9561" t="s">
        <v>11165</v>
      </c>
      <c r="N9561" t="s">
        <v>11165</v>
      </c>
      <c r="O9561" t="s">
        <v>23</v>
      </c>
      <c r="P9561" t="s">
        <v>24</v>
      </c>
      <c r="Q9561" t="s">
        <v>1637</v>
      </c>
      <c r="R9561" t="s">
        <v>11165</v>
      </c>
    </row>
    <row r="9562" spans="1:18" x14ac:dyDescent="0.25">
      <c r="A9562" t="s">
        <v>17587</v>
      </c>
      <c r="B9562" t="s">
        <v>11167</v>
      </c>
      <c r="C9562" t="str">
        <f>HYPERLINK("https://nematode.unl.edu/rhabtis11.jpg")</f>
        <v>https://nematode.unl.edu/rhabtis11.jpg</v>
      </c>
      <c r="D9562" t="s">
        <v>43</v>
      </c>
      <c r="G9562" t="s">
        <v>34</v>
      </c>
      <c r="H9562" t="s">
        <v>18</v>
      </c>
      <c r="J9562" t="s">
        <v>127</v>
      </c>
      <c r="L9562" t="s">
        <v>11164</v>
      </c>
      <c r="M9562" t="s">
        <v>11165</v>
      </c>
      <c r="N9562" t="s">
        <v>11165</v>
      </c>
      <c r="O9562" t="s">
        <v>23</v>
      </c>
      <c r="P9562" t="s">
        <v>24</v>
      </c>
      <c r="Q9562" t="s">
        <v>1637</v>
      </c>
      <c r="R9562" t="s">
        <v>11165</v>
      </c>
    </row>
    <row r="9563" spans="1:18" x14ac:dyDescent="0.25">
      <c r="A9563" t="s">
        <v>17598</v>
      </c>
      <c r="B9563" t="s">
        <v>11168</v>
      </c>
      <c r="C9563" t="str">
        <f>HYPERLINK("https://nematode.unl.edu/rhabtis12.jpg")</f>
        <v>https://nematode.unl.edu/rhabtis12.jpg</v>
      </c>
      <c r="D9563" t="s">
        <v>43</v>
      </c>
      <c r="G9563" t="s">
        <v>11169</v>
      </c>
      <c r="I9563" t="s">
        <v>516</v>
      </c>
      <c r="J9563" t="s">
        <v>127</v>
      </c>
      <c r="L9563" t="s">
        <v>11164</v>
      </c>
      <c r="M9563" t="s">
        <v>11165</v>
      </c>
      <c r="N9563" t="s">
        <v>11165</v>
      </c>
      <c r="O9563" t="s">
        <v>23</v>
      </c>
      <c r="P9563" t="s">
        <v>24</v>
      </c>
      <c r="Q9563" t="s">
        <v>1637</v>
      </c>
      <c r="R9563" t="s">
        <v>11165</v>
      </c>
    </row>
    <row r="9564" spans="1:18" x14ac:dyDescent="0.25">
      <c r="A9564" t="s">
        <v>17585</v>
      </c>
      <c r="B9564" t="s">
        <v>11170</v>
      </c>
      <c r="C9564" t="str">
        <f>HYPERLINK("https://nematode.unl.edu/rhabtis13.jpg")</f>
        <v>https://nematode.unl.edu/rhabtis13.jpg</v>
      </c>
      <c r="G9564" t="s">
        <v>96</v>
      </c>
      <c r="H9564" t="s">
        <v>18</v>
      </c>
      <c r="J9564" t="s">
        <v>127</v>
      </c>
      <c r="L9564" t="s">
        <v>11164</v>
      </c>
      <c r="M9564" t="s">
        <v>11165</v>
      </c>
      <c r="N9564" t="s">
        <v>11165</v>
      </c>
      <c r="O9564" t="s">
        <v>23</v>
      </c>
      <c r="P9564" t="s">
        <v>24</v>
      </c>
      <c r="Q9564" t="s">
        <v>1637</v>
      </c>
      <c r="R9564" t="s">
        <v>11165</v>
      </c>
    </row>
    <row r="9565" spans="1:18" x14ac:dyDescent="0.25">
      <c r="A9565" t="s">
        <v>17610</v>
      </c>
      <c r="B9565" t="s">
        <v>11171</v>
      </c>
      <c r="C9565" t="str">
        <f>HYPERLINK("https://nematode.unl.edu/rhabtis14.jpg")</f>
        <v>https://nematode.unl.edu/rhabtis14.jpg</v>
      </c>
      <c r="D9565" t="s">
        <v>43</v>
      </c>
      <c r="G9565" t="s">
        <v>51</v>
      </c>
      <c r="I9565" t="s">
        <v>19</v>
      </c>
      <c r="J9565" t="s">
        <v>127</v>
      </c>
      <c r="L9565" t="s">
        <v>11164</v>
      </c>
      <c r="M9565" t="s">
        <v>11165</v>
      </c>
      <c r="N9565" t="s">
        <v>11165</v>
      </c>
      <c r="O9565" t="s">
        <v>23</v>
      </c>
      <c r="P9565" t="s">
        <v>24</v>
      </c>
      <c r="Q9565" t="s">
        <v>1637</v>
      </c>
      <c r="R9565" t="s">
        <v>11165</v>
      </c>
    </row>
    <row r="9566" spans="1:18" x14ac:dyDescent="0.25">
      <c r="A9566" t="s">
        <v>17601</v>
      </c>
      <c r="B9566" t="s">
        <v>11172</v>
      </c>
      <c r="C9566" t="str">
        <f>HYPERLINK("https://nematode.unl.edu/rhabtis15.jpg")</f>
        <v>https://nematode.unl.edu/rhabtis15.jpg</v>
      </c>
      <c r="G9566" t="s">
        <v>1000</v>
      </c>
      <c r="J9566" t="s">
        <v>127</v>
      </c>
      <c r="L9566" t="s">
        <v>11164</v>
      </c>
      <c r="M9566" t="s">
        <v>11165</v>
      </c>
      <c r="N9566" t="s">
        <v>11165</v>
      </c>
      <c r="O9566" t="s">
        <v>23</v>
      </c>
      <c r="P9566" t="s">
        <v>24</v>
      </c>
      <c r="Q9566" t="s">
        <v>1637</v>
      </c>
      <c r="R9566" t="s">
        <v>11165</v>
      </c>
    </row>
    <row r="9567" spans="1:18" x14ac:dyDescent="0.25">
      <c r="A9567" t="s">
        <v>17607</v>
      </c>
      <c r="B9567" t="s">
        <v>11173</v>
      </c>
      <c r="C9567" t="str">
        <f>HYPERLINK("https://nematode.unl.edu/rhabtis16.jpg")</f>
        <v>https://nematode.unl.edu/rhabtis16.jpg</v>
      </c>
      <c r="D9567" t="s">
        <v>43</v>
      </c>
      <c r="G9567" t="s">
        <v>28</v>
      </c>
      <c r="J9567" t="s">
        <v>127</v>
      </c>
      <c r="L9567" t="s">
        <v>11164</v>
      </c>
      <c r="M9567" t="s">
        <v>11165</v>
      </c>
      <c r="N9567" t="s">
        <v>11165</v>
      </c>
      <c r="O9567" t="s">
        <v>23</v>
      </c>
      <c r="P9567" t="s">
        <v>24</v>
      </c>
      <c r="Q9567" t="s">
        <v>1637</v>
      </c>
      <c r="R9567" t="s">
        <v>11165</v>
      </c>
    </row>
    <row r="9568" spans="1:18" x14ac:dyDescent="0.25">
      <c r="A9568" t="s">
        <v>17588</v>
      </c>
      <c r="B9568" t="s">
        <v>11174</v>
      </c>
      <c r="C9568" t="str">
        <f>HYPERLINK("https://nematode.unl.edu/rhabtis17.jpg")</f>
        <v>https://nematode.unl.edu/rhabtis17.jpg</v>
      </c>
      <c r="D9568" t="s">
        <v>43</v>
      </c>
      <c r="G9568" t="s">
        <v>34</v>
      </c>
      <c r="H9568" t="s">
        <v>18</v>
      </c>
      <c r="I9568" t="s">
        <v>41</v>
      </c>
      <c r="J9568" t="s">
        <v>127</v>
      </c>
      <c r="L9568" t="s">
        <v>11164</v>
      </c>
      <c r="M9568" t="s">
        <v>11165</v>
      </c>
      <c r="N9568" t="s">
        <v>11165</v>
      </c>
      <c r="O9568" t="s">
        <v>23</v>
      </c>
      <c r="P9568" t="s">
        <v>24</v>
      </c>
      <c r="Q9568" t="s">
        <v>1637</v>
      </c>
      <c r="R9568" t="s">
        <v>11165</v>
      </c>
    </row>
    <row r="9569" spans="1:18" x14ac:dyDescent="0.25">
      <c r="A9569" t="s">
        <v>17589</v>
      </c>
      <c r="B9569" t="s">
        <v>11175</v>
      </c>
      <c r="C9569" t="str">
        <f>HYPERLINK("https://nematode.unl.edu/rhabtis18.jpg")</f>
        <v>https://nematode.unl.edu/rhabtis18.jpg</v>
      </c>
      <c r="D9569" t="s">
        <v>77</v>
      </c>
      <c r="G9569" t="s">
        <v>34</v>
      </c>
      <c r="H9569" t="s">
        <v>18</v>
      </c>
      <c r="J9569" t="s">
        <v>127</v>
      </c>
      <c r="L9569" t="s">
        <v>11164</v>
      </c>
      <c r="M9569" t="s">
        <v>11165</v>
      </c>
      <c r="N9569" t="s">
        <v>11165</v>
      </c>
      <c r="O9569" t="s">
        <v>23</v>
      </c>
      <c r="P9569" t="s">
        <v>24</v>
      </c>
      <c r="Q9569" t="s">
        <v>1637</v>
      </c>
      <c r="R9569" t="s">
        <v>11165</v>
      </c>
    </row>
    <row r="9570" spans="1:18" x14ac:dyDescent="0.25">
      <c r="A9570" t="s">
        <v>17599</v>
      </c>
      <c r="B9570" t="s">
        <v>11176</v>
      </c>
      <c r="C9570" t="str">
        <f>HYPERLINK("https://nematode.unl.edu/rhabtis19.jpg")</f>
        <v>https://nematode.unl.edu/rhabtis19.jpg</v>
      </c>
      <c r="D9570" t="s">
        <v>43</v>
      </c>
      <c r="G9570" t="s">
        <v>11169</v>
      </c>
      <c r="J9570" t="s">
        <v>127</v>
      </c>
      <c r="L9570" t="s">
        <v>11164</v>
      </c>
      <c r="M9570" t="s">
        <v>11165</v>
      </c>
      <c r="N9570" t="s">
        <v>11165</v>
      </c>
      <c r="O9570" t="s">
        <v>23</v>
      </c>
      <c r="P9570" t="s">
        <v>24</v>
      </c>
      <c r="Q9570" t="s">
        <v>1637</v>
      </c>
      <c r="R9570" t="s">
        <v>11165</v>
      </c>
    </row>
    <row r="9571" spans="1:18" x14ac:dyDescent="0.25">
      <c r="A9571" t="s">
        <v>17590</v>
      </c>
      <c r="B9571" t="s">
        <v>11177</v>
      </c>
      <c r="C9571" t="str">
        <f>HYPERLINK("https://nematode.unl.edu/rhabtis2.jpg")</f>
        <v>https://nematode.unl.edu/rhabtis2.jpg</v>
      </c>
      <c r="D9571" t="s">
        <v>43</v>
      </c>
      <c r="G9571" t="s">
        <v>34</v>
      </c>
      <c r="H9571" t="s">
        <v>18</v>
      </c>
      <c r="I9571" t="s">
        <v>41</v>
      </c>
      <c r="J9571" t="s">
        <v>127</v>
      </c>
      <c r="L9571" t="s">
        <v>11164</v>
      </c>
      <c r="M9571" t="s">
        <v>11165</v>
      </c>
      <c r="N9571" t="s">
        <v>11165</v>
      </c>
      <c r="O9571" t="s">
        <v>23</v>
      </c>
      <c r="P9571" t="s">
        <v>24</v>
      </c>
      <c r="Q9571" t="s">
        <v>1637</v>
      </c>
      <c r="R9571" t="s">
        <v>11165</v>
      </c>
    </row>
    <row r="9572" spans="1:18" x14ac:dyDescent="0.25">
      <c r="A9572" t="s">
        <v>17591</v>
      </c>
      <c r="B9572" t="s">
        <v>11178</v>
      </c>
      <c r="C9572" t="str">
        <f>HYPERLINK("https://nematode.unl.edu/rhabtis20.jpg")</f>
        <v>https://nematode.unl.edu/rhabtis20.jpg</v>
      </c>
      <c r="D9572" t="s">
        <v>43</v>
      </c>
      <c r="G9572" t="s">
        <v>34</v>
      </c>
      <c r="H9572" t="s">
        <v>18</v>
      </c>
      <c r="I9572" t="s">
        <v>19</v>
      </c>
      <c r="J9572" t="s">
        <v>127</v>
      </c>
      <c r="L9572" t="s">
        <v>11164</v>
      </c>
      <c r="M9572" t="s">
        <v>11165</v>
      </c>
      <c r="N9572" t="s">
        <v>11165</v>
      </c>
      <c r="O9572" t="s">
        <v>23</v>
      </c>
      <c r="P9572" t="s">
        <v>24</v>
      </c>
      <c r="Q9572" t="s">
        <v>1637</v>
      </c>
      <c r="R9572" t="s">
        <v>11165</v>
      </c>
    </row>
    <row r="9573" spans="1:18" x14ac:dyDescent="0.25">
      <c r="A9573" t="s">
        <v>17602</v>
      </c>
      <c r="B9573" t="s">
        <v>11179</v>
      </c>
      <c r="C9573" t="str">
        <f>HYPERLINK("https://nematode.unl.edu/rhabtis21.jpg")</f>
        <v>https://nematode.unl.edu/rhabtis21.jpg</v>
      </c>
      <c r="D9573" t="s">
        <v>43</v>
      </c>
      <c r="G9573" t="s">
        <v>1000</v>
      </c>
      <c r="I9573" t="s">
        <v>137</v>
      </c>
      <c r="J9573" t="s">
        <v>127</v>
      </c>
      <c r="L9573" t="s">
        <v>11164</v>
      </c>
      <c r="M9573" t="s">
        <v>11165</v>
      </c>
      <c r="N9573" t="s">
        <v>11165</v>
      </c>
      <c r="O9573" t="s">
        <v>23</v>
      </c>
      <c r="P9573" t="s">
        <v>24</v>
      </c>
      <c r="Q9573" t="s">
        <v>1637</v>
      </c>
      <c r="R9573" t="s">
        <v>11165</v>
      </c>
    </row>
    <row r="9574" spans="1:18" x14ac:dyDescent="0.25">
      <c r="A9574" t="s">
        <v>17595</v>
      </c>
      <c r="B9574" t="s">
        <v>11180</v>
      </c>
      <c r="C9574" t="str">
        <f>HYPERLINK("https://nematode.unl.edu/rhabtis22.jpg")</f>
        <v>https://nematode.unl.edu/rhabtis22.jpg</v>
      </c>
      <c r="D9574" t="s">
        <v>43</v>
      </c>
      <c r="G9574" t="s">
        <v>44</v>
      </c>
      <c r="I9574" t="s">
        <v>316</v>
      </c>
      <c r="J9574" t="s">
        <v>127</v>
      </c>
      <c r="L9574" t="s">
        <v>11164</v>
      </c>
      <c r="M9574" t="s">
        <v>11165</v>
      </c>
      <c r="N9574" t="s">
        <v>11165</v>
      </c>
      <c r="O9574" t="s">
        <v>23</v>
      </c>
      <c r="P9574" t="s">
        <v>24</v>
      </c>
      <c r="Q9574" t="s">
        <v>1637</v>
      </c>
      <c r="R9574" t="s">
        <v>11165</v>
      </c>
    </row>
    <row r="9575" spans="1:18" x14ac:dyDescent="0.25">
      <c r="A9575" t="s">
        <v>17608</v>
      </c>
      <c r="B9575" t="s">
        <v>11181</v>
      </c>
      <c r="C9575" t="str">
        <f>HYPERLINK("https://nematode.unl.edu/rhabtis23.jpg")</f>
        <v>https://nematode.unl.edu/rhabtis23.jpg</v>
      </c>
      <c r="D9575" t="s">
        <v>77</v>
      </c>
      <c r="G9575" t="s">
        <v>28</v>
      </c>
      <c r="J9575" t="s">
        <v>127</v>
      </c>
      <c r="L9575" t="s">
        <v>11164</v>
      </c>
      <c r="M9575" t="s">
        <v>11165</v>
      </c>
      <c r="N9575" t="s">
        <v>11165</v>
      </c>
      <c r="O9575" t="s">
        <v>23</v>
      </c>
      <c r="P9575" t="s">
        <v>24</v>
      </c>
      <c r="Q9575" t="s">
        <v>1637</v>
      </c>
      <c r="R9575" t="s">
        <v>11165</v>
      </c>
    </row>
    <row r="9576" spans="1:18" x14ac:dyDescent="0.25">
      <c r="A9576" t="s">
        <v>17600</v>
      </c>
      <c r="B9576" t="s">
        <v>11182</v>
      </c>
      <c r="C9576" t="str">
        <f>HYPERLINK("https://nematode.unl.edu/rhabtis24.jpg")</f>
        <v>https://nematode.unl.edu/rhabtis24.jpg</v>
      </c>
      <c r="D9576" t="s">
        <v>77</v>
      </c>
      <c r="G9576" t="s">
        <v>11169</v>
      </c>
      <c r="I9576" t="s">
        <v>529</v>
      </c>
      <c r="J9576" t="s">
        <v>127</v>
      </c>
      <c r="L9576" t="s">
        <v>11164</v>
      </c>
      <c r="M9576" t="s">
        <v>11165</v>
      </c>
      <c r="N9576" t="s">
        <v>11165</v>
      </c>
      <c r="O9576" t="s">
        <v>23</v>
      </c>
      <c r="P9576" t="s">
        <v>24</v>
      </c>
      <c r="Q9576" t="s">
        <v>1637</v>
      </c>
      <c r="R9576" t="s">
        <v>11165</v>
      </c>
    </row>
    <row r="9577" spans="1:18" x14ac:dyDescent="0.25">
      <c r="A9577" t="s">
        <v>17604</v>
      </c>
      <c r="B9577" t="s">
        <v>11183</v>
      </c>
      <c r="C9577" t="str">
        <f>HYPERLINK("https://nematode.unl.edu/rhabtis25.jpg")</f>
        <v>https://nematode.unl.edu/rhabtis25.jpg</v>
      </c>
      <c r="D9577" t="s">
        <v>77</v>
      </c>
      <c r="G9577" t="s">
        <v>112</v>
      </c>
      <c r="I9577" t="s">
        <v>41</v>
      </c>
      <c r="J9577" t="s">
        <v>127</v>
      </c>
      <c r="L9577" t="s">
        <v>11164</v>
      </c>
      <c r="M9577" t="s">
        <v>11165</v>
      </c>
      <c r="N9577" t="s">
        <v>11165</v>
      </c>
      <c r="O9577" t="s">
        <v>23</v>
      </c>
      <c r="P9577" t="s">
        <v>24</v>
      </c>
      <c r="Q9577" t="s">
        <v>1637</v>
      </c>
      <c r="R9577" t="s">
        <v>11165</v>
      </c>
    </row>
    <row r="9578" spans="1:18" x14ac:dyDescent="0.25">
      <c r="A9578" t="s">
        <v>17597</v>
      </c>
      <c r="B9578" t="s">
        <v>11184</v>
      </c>
      <c r="C9578" t="str">
        <f>HYPERLINK("https://nematode.unl.edu/rhabtis26.jpg")</f>
        <v>https://nematode.unl.edu/rhabtis26.jpg</v>
      </c>
      <c r="D9578" t="s">
        <v>77</v>
      </c>
      <c r="G9578" t="s">
        <v>11185</v>
      </c>
      <c r="J9578" t="s">
        <v>127</v>
      </c>
      <c r="L9578" t="s">
        <v>11164</v>
      </c>
      <c r="M9578" t="s">
        <v>11165</v>
      </c>
      <c r="N9578" t="s">
        <v>11165</v>
      </c>
      <c r="O9578" t="s">
        <v>23</v>
      </c>
      <c r="P9578" t="s">
        <v>24</v>
      </c>
      <c r="Q9578" t="s">
        <v>1637</v>
      </c>
      <c r="R9578" t="s">
        <v>11165</v>
      </c>
    </row>
    <row r="9579" spans="1:18" x14ac:dyDescent="0.25">
      <c r="A9579" t="s">
        <v>17586</v>
      </c>
      <c r="B9579" t="s">
        <v>11186</v>
      </c>
      <c r="C9579" t="str">
        <f>HYPERLINK("https://nematode.unl.edu/rhabtis3.jpg")</f>
        <v>https://nematode.unl.edu/rhabtis3.jpg</v>
      </c>
      <c r="D9579" t="s">
        <v>43</v>
      </c>
      <c r="G9579" t="s">
        <v>96</v>
      </c>
      <c r="H9579" t="s">
        <v>18</v>
      </c>
      <c r="I9579" t="s">
        <v>41</v>
      </c>
      <c r="J9579" t="s">
        <v>127</v>
      </c>
      <c r="L9579" t="s">
        <v>11164</v>
      </c>
      <c r="M9579" t="s">
        <v>11165</v>
      </c>
      <c r="N9579" t="s">
        <v>11165</v>
      </c>
      <c r="O9579" t="s">
        <v>23</v>
      </c>
      <c r="P9579" t="s">
        <v>24</v>
      </c>
      <c r="Q9579" t="s">
        <v>1637</v>
      </c>
      <c r="R9579" t="s">
        <v>11165</v>
      </c>
    </row>
    <row r="9580" spans="1:18" x14ac:dyDescent="0.25">
      <c r="A9580" t="s">
        <v>17596</v>
      </c>
      <c r="B9580" t="s">
        <v>11187</v>
      </c>
      <c r="C9580" t="str">
        <f>HYPERLINK("https://nematode.unl.edu/rhabtis4.jpg")</f>
        <v>https://nematode.unl.edu/rhabtis4.jpg</v>
      </c>
      <c r="D9580" t="s">
        <v>77</v>
      </c>
      <c r="G9580" t="s">
        <v>44</v>
      </c>
      <c r="I9580" t="s">
        <v>137</v>
      </c>
      <c r="J9580" t="s">
        <v>127</v>
      </c>
      <c r="L9580" t="s">
        <v>11164</v>
      </c>
      <c r="M9580" t="s">
        <v>11165</v>
      </c>
      <c r="N9580" t="s">
        <v>11165</v>
      </c>
      <c r="O9580" t="s">
        <v>23</v>
      </c>
      <c r="P9580" t="s">
        <v>24</v>
      </c>
      <c r="Q9580" t="s">
        <v>1637</v>
      </c>
      <c r="R9580" t="s">
        <v>11165</v>
      </c>
    </row>
    <row r="9581" spans="1:18" x14ac:dyDescent="0.25">
      <c r="A9581" t="s">
        <v>17592</v>
      </c>
      <c r="B9581" t="s">
        <v>11188</v>
      </c>
      <c r="C9581" t="str">
        <f>HYPERLINK("https://nematode.unl.edu/rhabtis5.jpg")</f>
        <v>https://nematode.unl.edu/rhabtis5.jpg</v>
      </c>
      <c r="D9581" t="s">
        <v>77</v>
      </c>
      <c r="G9581" t="s">
        <v>34</v>
      </c>
      <c r="H9581" t="s">
        <v>18</v>
      </c>
      <c r="J9581" t="s">
        <v>127</v>
      </c>
      <c r="L9581" t="s">
        <v>11164</v>
      </c>
      <c r="M9581" t="s">
        <v>11165</v>
      </c>
      <c r="N9581" t="s">
        <v>11165</v>
      </c>
      <c r="O9581" t="s">
        <v>23</v>
      </c>
      <c r="P9581" t="s">
        <v>24</v>
      </c>
      <c r="Q9581" t="s">
        <v>1637</v>
      </c>
      <c r="R9581" t="s">
        <v>11165</v>
      </c>
    </row>
    <row r="9582" spans="1:18" x14ac:dyDescent="0.25">
      <c r="A9582" t="s">
        <v>17593</v>
      </c>
      <c r="B9582" t="s">
        <v>11189</v>
      </c>
      <c r="C9582" t="str">
        <f>HYPERLINK("https://nematode.unl.edu/rhabtis6.jpg")</f>
        <v>https://nematode.unl.edu/rhabtis6.jpg</v>
      </c>
      <c r="D9582" t="s">
        <v>77</v>
      </c>
      <c r="G9582" t="s">
        <v>34</v>
      </c>
      <c r="H9582" t="s">
        <v>18</v>
      </c>
      <c r="J9582" t="s">
        <v>127</v>
      </c>
      <c r="L9582" t="s">
        <v>11164</v>
      </c>
      <c r="M9582" t="s">
        <v>11165</v>
      </c>
      <c r="N9582" t="s">
        <v>11165</v>
      </c>
      <c r="O9582" t="s">
        <v>23</v>
      </c>
      <c r="P9582" t="s">
        <v>24</v>
      </c>
      <c r="Q9582" t="s">
        <v>1637</v>
      </c>
      <c r="R9582" t="s">
        <v>11165</v>
      </c>
    </row>
    <row r="9583" spans="1:18" x14ac:dyDescent="0.25">
      <c r="A9583" t="s">
        <v>17603</v>
      </c>
      <c r="B9583" t="s">
        <v>11190</v>
      </c>
      <c r="C9583" t="str">
        <f>HYPERLINK("https://nematode.unl.edu/rhabtis7.jpg")</f>
        <v>https://nematode.unl.edu/rhabtis7.jpg</v>
      </c>
      <c r="D9583" t="s">
        <v>77</v>
      </c>
      <c r="G9583" t="s">
        <v>11191</v>
      </c>
      <c r="J9583" t="s">
        <v>127</v>
      </c>
      <c r="L9583" t="s">
        <v>11164</v>
      </c>
      <c r="M9583" t="s">
        <v>11165</v>
      </c>
      <c r="N9583" t="s">
        <v>11165</v>
      </c>
      <c r="O9583" t="s">
        <v>23</v>
      </c>
      <c r="P9583" t="s">
        <v>24</v>
      </c>
      <c r="Q9583" t="s">
        <v>1637</v>
      </c>
      <c r="R9583" t="s">
        <v>11165</v>
      </c>
    </row>
    <row r="9584" spans="1:18" x14ac:dyDescent="0.25">
      <c r="A9584" t="s">
        <v>17609</v>
      </c>
      <c r="B9584" t="s">
        <v>11192</v>
      </c>
      <c r="C9584" t="str">
        <f>HYPERLINK("https://nematode.unl.edu/rhabtis8.jpg")</f>
        <v>https://nematode.unl.edu/rhabtis8.jpg</v>
      </c>
      <c r="D9584" t="s">
        <v>77</v>
      </c>
      <c r="G9584" t="s">
        <v>28</v>
      </c>
      <c r="J9584" t="s">
        <v>127</v>
      </c>
      <c r="L9584" t="s">
        <v>11164</v>
      </c>
      <c r="M9584" t="s">
        <v>11165</v>
      </c>
      <c r="N9584" t="s">
        <v>11165</v>
      </c>
      <c r="O9584" t="s">
        <v>23</v>
      </c>
      <c r="P9584" t="s">
        <v>24</v>
      </c>
      <c r="Q9584" t="s">
        <v>1637</v>
      </c>
      <c r="R9584" t="s">
        <v>11165</v>
      </c>
    </row>
    <row r="9585" spans="1:18" x14ac:dyDescent="0.25">
      <c r="A9585" t="s">
        <v>17605</v>
      </c>
      <c r="B9585" t="s">
        <v>11193</v>
      </c>
      <c r="C9585" t="str">
        <f>HYPERLINK("https://nematode.unl.edu/rhabtis9.jpg")</f>
        <v>https://nematode.unl.edu/rhabtis9.jpg</v>
      </c>
      <c r="D9585" t="s">
        <v>77</v>
      </c>
      <c r="G9585" t="s">
        <v>112</v>
      </c>
      <c r="I9585" t="s">
        <v>19</v>
      </c>
      <c r="J9585" t="s">
        <v>127</v>
      </c>
      <c r="L9585" t="s">
        <v>11164</v>
      </c>
      <c r="M9585" t="s">
        <v>11165</v>
      </c>
      <c r="N9585" t="s">
        <v>11165</v>
      </c>
      <c r="O9585" t="s">
        <v>23</v>
      </c>
      <c r="P9585" t="s">
        <v>24</v>
      </c>
      <c r="Q9585" t="s">
        <v>1637</v>
      </c>
      <c r="R9585" t="s">
        <v>11165</v>
      </c>
    </row>
    <row r="9586" spans="1:18" x14ac:dyDescent="0.25">
      <c r="A9586" t="s">
        <v>17552</v>
      </c>
      <c r="B9586" t="s">
        <v>1634</v>
      </c>
      <c r="C9586" t="str">
        <f>HYPERLINK("https://nematode.unl.edu/rhater1.jpg")</f>
        <v>https://nematode.unl.edu/rhater1.jpg</v>
      </c>
      <c r="D9586" t="s">
        <v>16</v>
      </c>
      <c r="G9586" t="s">
        <v>34</v>
      </c>
      <c r="H9586" t="s">
        <v>18</v>
      </c>
      <c r="I9586" t="s">
        <v>41</v>
      </c>
      <c r="J9586" t="s">
        <v>20</v>
      </c>
      <c r="M9586" t="s">
        <v>1635</v>
      </c>
      <c r="N9586" t="s">
        <v>1636</v>
      </c>
      <c r="O9586" t="s">
        <v>23</v>
      </c>
      <c r="P9586" t="s">
        <v>24</v>
      </c>
      <c r="Q9586" t="s">
        <v>1637</v>
      </c>
      <c r="R9586" t="s">
        <v>1638</v>
      </c>
    </row>
    <row r="9587" spans="1:18" x14ac:dyDescent="0.25">
      <c r="A9587" t="s">
        <v>17553</v>
      </c>
      <c r="B9587" t="s">
        <v>1639</v>
      </c>
      <c r="C9587" t="str">
        <f>HYPERLINK("https://nematode.unl.edu/rhater2.jpg")</f>
        <v>https://nematode.unl.edu/rhater2.jpg</v>
      </c>
      <c r="D9587" t="s">
        <v>16</v>
      </c>
      <c r="G9587" t="s">
        <v>34</v>
      </c>
      <c r="H9587" t="s">
        <v>18</v>
      </c>
      <c r="I9587" t="s">
        <v>19</v>
      </c>
      <c r="J9587" t="s">
        <v>20</v>
      </c>
      <c r="M9587" t="s">
        <v>1635</v>
      </c>
      <c r="N9587" t="s">
        <v>1636</v>
      </c>
      <c r="O9587" t="s">
        <v>23</v>
      </c>
      <c r="P9587" t="s">
        <v>24</v>
      </c>
      <c r="Q9587" t="s">
        <v>1637</v>
      </c>
      <c r="R9587" t="s">
        <v>1638</v>
      </c>
    </row>
    <row r="9588" spans="1:18" x14ac:dyDescent="0.25">
      <c r="A9588" t="s">
        <v>17558</v>
      </c>
      <c r="B9588" t="s">
        <v>1640</v>
      </c>
      <c r="C9588" t="str">
        <f>HYPERLINK("https://nematode.unl.edu/rhater3.jpg")</f>
        <v>https://nematode.unl.edu/rhater3.jpg</v>
      </c>
      <c r="D9588" t="s">
        <v>16</v>
      </c>
      <c r="G9588" t="s">
        <v>28</v>
      </c>
      <c r="I9588" t="s">
        <v>19</v>
      </c>
      <c r="J9588" t="s">
        <v>20</v>
      </c>
      <c r="L9588" t="s">
        <v>85</v>
      </c>
      <c r="M9588" t="s">
        <v>1635</v>
      </c>
      <c r="N9588" t="s">
        <v>1636</v>
      </c>
      <c r="O9588" t="s">
        <v>23</v>
      </c>
      <c r="P9588" t="s">
        <v>24</v>
      </c>
      <c r="Q9588" t="s">
        <v>1637</v>
      </c>
      <c r="R9588" t="s">
        <v>1638</v>
      </c>
    </row>
    <row r="9589" spans="1:18" x14ac:dyDescent="0.25">
      <c r="A9589" t="s">
        <v>17554</v>
      </c>
      <c r="B9589" t="s">
        <v>1641</v>
      </c>
      <c r="C9589" t="str">
        <f>HYPERLINK("https://nematode.unl.edu/rhater4.jpg")</f>
        <v>https://nematode.unl.edu/rhater4.jpg</v>
      </c>
      <c r="D9589" t="s">
        <v>16</v>
      </c>
      <c r="G9589" t="s">
        <v>34</v>
      </c>
      <c r="H9589" t="s">
        <v>18</v>
      </c>
      <c r="I9589" t="s">
        <v>19</v>
      </c>
      <c r="J9589" t="s">
        <v>20</v>
      </c>
      <c r="M9589" t="s">
        <v>1635</v>
      </c>
      <c r="N9589" t="s">
        <v>1636</v>
      </c>
      <c r="O9589" t="s">
        <v>23</v>
      </c>
      <c r="P9589" t="s">
        <v>24</v>
      </c>
      <c r="Q9589" t="s">
        <v>1637</v>
      </c>
      <c r="R9589" t="s">
        <v>1638</v>
      </c>
    </row>
    <row r="9590" spans="1:18" x14ac:dyDescent="0.25">
      <c r="A9590" t="s">
        <v>17559</v>
      </c>
      <c r="B9590" t="s">
        <v>1642</v>
      </c>
      <c r="C9590" t="str">
        <f>HYPERLINK("https://nematode.unl.edu/rhater5.jpg")</f>
        <v>https://nematode.unl.edu/rhater5.jpg</v>
      </c>
      <c r="D9590" t="s">
        <v>16</v>
      </c>
      <c r="G9590" t="s">
        <v>28</v>
      </c>
      <c r="I9590" t="s">
        <v>19</v>
      </c>
      <c r="M9590" t="s">
        <v>1635</v>
      </c>
      <c r="N9590" t="s">
        <v>1636</v>
      </c>
      <c r="O9590" t="s">
        <v>23</v>
      </c>
      <c r="P9590" t="s">
        <v>24</v>
      </c>
      <c r="Q9590" t="s">
        <v>1637</v>
      </c>
      <c r="R9590" t="s">
        <v>1638</v>
      </c>
    </row>
    <row r="9591" spans="1:18" x14ac:dyDescent="0.25">
      <c r="A9591" t="s">
        <v>17555</v>
      </c>
      <c r="B9591" t="s">
        <v>1643</v>
      </c>
      <c r="C9591" t="str">
        <f>HYPERLINK("https://nematode.unl.edu/rhater6.jpg")</f>
        <v>https://nematode.unl.edu/rhater6.jpg</v>
      </c>
      <c r="D9591" t="s">
        <v>16</v>
      </c>
      <c r="G9591" t="s">
        <v>34</v>
      </c>
      <c r="H9591" t="s">
        <v>18</v>
      </c>
      <c r="I9591" t="s">
        <v>19</v>
      </c>
      <c r="J9591" t="s">
        <v>20</v>
      </c>
      <c r="M9591" t="s">
        <v>1635</v>
      </c>
      <c r="N9591" t="s">
        <v>1636</v>
      </c>
      <c r="O9591" t="s">
        <v>23</v>
      </c>
      <c r="P9591" t="s">
        <v>24</v>
      </c>
      <c r="Q9591" t="s">
        <v>1637</v>
      </c>
      <c r="R9591" t="s">
        <v>1638</v>
      </c>
    </row>
    <row r="9592" spans="1:18" x14ac:dyDescent="0.25">
      <c r="A9592" t="s">
        <v>17556</v>
      </c>
      <c r="B9592" t="s">
        <v>1644</v>
      </c>
      <c r="C9592" t="str">
        <f>HYPERLINK("https://nematode.unl.edu/rhater7.jpg")</f>
        <v>https://nematode.unl.edu/rhater7.jpg</v>
      </c>
      <c r="G9592" t="s">
        <v>34</v>
      </c>
      <c r="H9592" t="s">
        <v>18</v>
      </c>
      <c r="I9592" t="s">
        <v>41</v>
      </c>
      <c r="J9592" t="s">
        <v>20</v>
      </c>
      <c r="L9592" t="s">
        <v>183</v>
      </c>
      <c r="M9592" t="s">
        <v>1635</v>
      </c>
      <c r="N9592" t="s">
        <v>1636</v>
      </c>
      <c r="O9592" t="s">
        <v>23</v>
      </c>
      <c r="P9592" t="s">
        <v>24</v>
      </c>
      <c r="Q9592" t="s">
        <v>1637</v>
      </c>
      <c r="R9592" t="s">
        <v>1638</v>
      </c>
    </row>
    <row r="9593" spans="1:18" x14ac:dyDescent="0.25">
      <c r="A9593" t="s">
        <v>17557</v>
      </c>
      <c r="B9593" t="s">
        <v>1645</v>
      </c>
      <c r="C9593" t="str">
        <f>HYPERLINK("https://nematode.unl.edu/rhater8.jpg")</f>
        <v>https://nematode.unl.edu/rhater8.jpg</v>
      </c>
      <c r="D9593" t="s">
        <v>16</v>
      </c>
      <c r="G9593" t="s">
        <v>87</v>
      </c>
      <c r="I9593" t="s">
        <v>41</v>
      </c>
      <c r="M9593" t="s">
        <v>1635</v>
      </c>
      <c r="N9593" t="s">
        <v>1636</v>
      </c>
      <c r="O9593" t="s">
        <v>23</v>
      </c>
      <c r="P9593" t="s">
        <v>24</v>
      </c>
      <c r="Q9593" t="s">
        <v>1637</v>
      </c>
      <c r="R9593" t="s">
        <v>1638</v>
      </c>
    </row>
    <row r="9594" spans="1:18" x14ac:dyDescent="0.25">
      <c r="A9594" t="s">
        <v>17611</v>
      </c>
      <c r="B9594" t="s">
        <v>11194</v>
      </c>
      <c r="C9594" t="str">
        <f>HYPERLINK("https://nematode.unl.edu/rhoides1.jpg")</f>
        <v>https://nematode.unl.edu/rhoides1.jpg</v>
      </c>
      <c r="D9594" t="s">
        <v>43</v>
      </c>
      <c r="G9594" t="s">
        <v>96</v>
      </c>
      <c r="H9594" t="s">
        <v>18</v>
      </c>
      <c r="J9594" t="s">
        <v>20</v>
      </c>
      <c r="L9594" t="s">
        <v>138</v>
      </c>
      <c r="M9594" t="s">
        <v>11195</v>
      </c>
      <c r="N9594" t="s">
        <v>11195</v>
      </c>
      <c r="O9594" t="s">
        <v>23</v>
      </c>
      <c r="P9594" t="s">
        <v>24</v>
      </c>
      <c r="Q9594" t="s">
        <v>1637</v>
      </c>
      <c r="R9594" t="s">
        <v>11195</v>
      </c>
    </row>
    <row r="9595" spans="1:18" x14ac:dyDescent="0.25">
      <c r="A9595" t="s">
        <v>17614</v>
      </c>
      <c r="B9595" t="s">
        <v>11196</v>
      </c>
      <c r="C9595" t="str">
        <f>HYPERLINK("https://nematode.unl.edu/rhoides12.jpg")</f>
        <v>https://nematode.unl.edu/rhoides12.jpg</v>
      </c>
      <c r="D9595" t="s">
        <v>16</v>
      </c>
      <c r="G9595" t="s">
        <v>34</v>
      </c>
      <c r="H9595" t="s">
        <v>18</v>
      </c>
      <c r="J9595" t="s">
        <v>20</v>
      </c>
      <c r="M9595" t="s">
        <v>11195</v>
      </c>
      <c r="N9595" t="s">
        <v>11195</v>
      </c>
      <c r="O9595" t="s">
        <v>23</v>
      </c>
      <c r="P9595" t="s">
        <v>24</v>
      </c>
      <c r="Q9595" t="s">
        <v>1637</v>
      </c>
      <c r="R9595" t="s">
        <v>11195</v>
      </c>
    </row>
    <row r="9596" spans="1:18" x14ac:dyDescent="0.25">
      <c r="A9596" t="s">
        <v>17617</v>
      </c>
      <c r="B9596" t="s">
        <v>11197</v>
      </c>
      <c r="C9596" t="str">
        <f>HYPERLINK("https://nematode.unl.edu/rhoides13.jpg")</f>
        <v>https://nematode.unl.edu/rhoides13.jpg</v>
      </c>
      <c r="D9596" t="s">
        <v>16</v>
      </c>
      <c r="G9596" t="s">
        <v>28</v>
      </c>
      <c r="I9596" t="s">
        <v>19</v>
      </c>
      <c r="M9596" t="s">
        <v>11195</v>
      </c>
      <c r="N9596" t="s">
        <v>11195</v>
      </c>
      <c r="O9596" t="s">
        <v>23</v>
      </c>
      <c r="P9596" t="s">
        <v>24</v>
      </c>
      <c r="Q9596" t="s">
        <v>1637</v>
      </c>
      <c r="R9596" t="s">
        <v>11195</v>
      </c>
    </row>
    <row r="9597" spans="1:18" x14ac:dyDescent="0.25">
      <c r="A9597" t="s">
        <v>17612</v>
      </c>
      <c r="B9597" t="s">
        <v>11198</v>
      </c>
      <c r="C9597" t="str">
        <f>HYPERLINK("https://nematode.unl.edu/rhoides2.jpg")</f>
        <v>https://nematode.unl.edu/rhoides2.jpg</v>
      </c>
      <c r="D9597" t="s">
        <v>43</v>
      </c>
      <c r="G9597" t="s">
        <v>96</v>
      </c>
      <c r="H9597" t="s">
        <v>18</v>
      </c>
      <c r="J9597" t="s">
        <v>20</v>
      </c>
      <c r="L9597" t="s">
        <v>138</v>
      </c>
      <c r="M9597" t="s">
        <v>11195</v>
      </c>
      <c r="N9597" t="s">
        <v>11195</v>
      </c>
      <c r="O9597" t="s">
        <v>23</v>
      </c>
      <c r="P9597" t="s">
        <v>24</v>
      </c>
      <c r="Q9597" t="s">
        <v>1637</v>
      </c>
      <c r="R9597" t="s">
        <v>11195</v>
      </c>
    </row>
    <row r="9598" spans="1:18" x14ac:dyDescent="0.25">
      <c r="A9598" t="s">
        <v>17619</v>
      </c>
      <c r="B9598" t="s">
        <v>11199</v>
      </c>
      <c r="C9598" t="str">
        <f>HYPERLINK("https://nematode.unl.edu/rhoides3.jpg")</f>
        <v>https://nematode.unl.edu/rhoides3.jpg</v>
      </c>
      <c r="D9598" t="s">
        <v>43</v>
      </c>
      <c r="G9598" t="s">
        <v>51</v>
      </c>
      <c r="L9598" t="s">
        <v>138</v>
      </c>
      <c r="M9598" t="s">
        <v>11195</v>
      </c>
      <c r="N9598" t="s">
        <v>11195</v>
      </c>
      <c r="O9598" t="s">
        <v>23</v>
      </c>
      <c r="P9598" t="s">
        <v>24</v>
      </c>
      <c r="Q9598" t="s">
        <v>1637</v>
      </c>
      <c r="R9598" t="s">
        <v>11195</v>
      </c>
    </row>
    <row r="9599" spans="1:18" x14ac:dyDescent="0.25">
      <c r="A9599" t="s">
        <v>17616</v>
      </c>
      <c r="B9599" t="s">
        <v>11200</v>
      </c>
      <c r="C9599" t="str">
        <f>HYPERLINK("https://nematode.unl.edu/rhoides4.jpg")</f>
        <v>https://nematode.unl.edu/rhoides4.jpg</v>
      </c>
      <c r="D9599" t="s">
        <v>43</v>
      </c>
      <c r="G9599" t="s">
        <v>181</v>
      </c>
      <c r="I9599" t="s">
        <v>45</v>
      </c>
      <c r="L9599" t="s">
        <v>138</v>
      </c>
      <c r="M9599" t="s">
        <v>11195</v>
      </c>
      <c r="N9599" t="s">
        <v>11195</v>
      </c>
      <c r="O9599" t="s">
        <v>23</v>
      </c>
      <c r="P9599" t="s">
        <v>24</v>
      </c>
      <c r="Q9599" t="s">
        <v>1637</v>
      </c>
      <c r="R9599" t="s">
        <v>11195</v>
      </c>
    </row>
    <row r="9600" spans="1:18" x14ac:dyDescent="0.25">
      <c r="A9600" t="s">
        <v>17613</v>
      </c>
      <c r="B9600" t="s">
        <v>11201</v>
      </c>
      <c r="C9600" t="str">
        <f>HYPERLINK("https://nematode.unl.edu/rhoides5.jpg")</f>
        <v>https://nematode.unl.edu/rhoides5.jpg</v>
      </c>
      <c r="D9600" t="s">
        <v>16</v>
      </c>
      <c r="G9600" t="s">
        <v>96</v>
      </c>
      <c r="H9600" t="s">
        <v>18</v>
      </c>
      <c r="J9600" t="s">
        <v>20</v>
      </c>
      <c r="L9600" t="s">
        <v>193</v>
      </c>
      <c r="M9600" t="s">
        <v>11195</v>
      </c>
      <c r="N9600" t="s">
        <v>11195</v>
      </c>
      <c r="O9600" t="s">
        <v>23</v>
      </c>
      <c r="P9600" t="s">
        <v>24</v>
      </c>
      <c r="Q9600" t="s">
        <v>1637</v>
      </c>
      <c r="R9600" t="s">
        <v>11195</v>
      </c>
    </row>
    <row r="9601" spans="1:18" x14ac:dyDescent="0.25">
      <c r="A9601" t="s">
        <v>17615</v>
      </c>
      <c r="B9601" t="s">
        <v>11202</v>
      </c>
      <c r="C9601" t="str">
        <f>HYPERLINK("https://nematode.unl.edu/rhoides6.jpg")</f>
        <v>https://nematode.unl.edu/rhoides6.jpg</v>
      </c>
      <c r="D9601" t="s">
        <v>16</v>
      </c>
      <c r="G9601" t="s">
        <v>34</v>
      </c>
      <c r="H9601" t="s">
        <v>18</v>
      </c>
      <c r="J9601" t="s">
        <v>20</v>
      </c>
      <c r="L9601" t="s">
        <v>193</v>
      </c>
      <c r="M9601" t="s">
        <v>11195</v>
      </c>
      <c r="N9601" t="s">
        <v>11195</v>
      </c>
      <c r="O9601" t="s">
        <v>23</v>
      </c>
      <c r="P9601" t="s">
        <v>24</v>
      </c>
      <c r="Q9601" t="s">
        <v>1637</v>
      </c>
      <c r="R9601" t="s">
        <v>11195</v>
      </c>
    </row>
    <row r="9602" spans="1:18" x14ac:dyDescent="0.25">
      <c r="A9602" t="s">
        <v>17618</v>
      </c>
      <c r="B9602" t="s">
        <v>11203</v>
      </c>
      <c r="C9602" t="str">
        <f>HYPERLINK("https://nematode.unl.edu/rhoides7.jpg")</f>
        <v>https://nematode.unl.edu/rhoides7.jpg</v>
      </c>
      <c r="D9602" t="s">
        <v>16</v>
      </c>
      <c r="G9602" t="s">
        <v>28</v>
      </c>
      <c r="J9602" t="s">
        <v>20</v>
      </c>
      <c r="L9602" t="s">
        <v>193</v>
      </c>
      <c r="M9602" t="s">
        <v>11195</v>
      </c>
      <c r="N9602" t="s">
        <v>11195</v>
      </c>
      <c r="O9602" t="s">
        <v>23</v>
      </c>
      <c r="P9602" t="s">
        <v>24</v>
      </c>
      <c r="Q9602" t="s">
        <v>1637</v>
      </c>
      <c r="R9602" t="s">
        <v>11195</v>
      </c>
    </row>
    <row r="9603" spans="1:18" x14ac:dyDescent="0.25">
      <c r="A9603" t="s">
        <v>17620</v>
      </c>
      <c r="B9603" t="s">
        <v>11204</v>
      </c>
      <c r="C9603" t="str">
        <f>HYPERLINK("https://nematode.unl.edu/rhong1.jpg")</f>
        <v>https://nematode.unl.edu/rhong1.jpg</v>
      </c>
      <c r="D9603" t="s">
        <v>43</v>
      </c>
      <c r="G9603" t="s">
        <v>34</v>
      </c>
      <c r="H9603" t="s">
        <v>18</v>
      </c>
      <c r="J9603" t="s">
        <v>20</v>
      </c>
      <c r="L9603" t="s">
        <v>35</v>
      </c>
      <c r="M9603" t="s">
        <v>11205</v>
      </c>
      <c r="N9603" t="s">
        <v>11205</v>
      </c>
      <c r="O9603" t="s">
        <v>23</v>
      </c>
      <c r="P9603" t="s">
        <v>24</v>
      </c>
      <c r="Q9603" t="s">
        <v>1637</v>
      </c>
      <c r="R9603" t="s">
        <v>11195</v>
      </c>
    </row>
    <row r="9604" spans="1:18" x14ac:dyDescent="0.25">
      <c r="A9604" t="s">
        <v>17622</v>
      </c>
      <c r="B9604" t="s">
        <v>11206</v>
      </c>
      <c r="C9604" t="str">
        <f>HYPERLINK("https://nematode.unl.edu/rhong2.jpg")</f>
        <v>https://nematode.unl.edu/rhong2.jpg</v>
      </c>
      <c r="D9604" t="s">
        <v>43</v>
      </c>
      <c r="G9604" t="s">
        <v>51</v>
      </c>
      <c r="J9604" t="s">
        <v>20</v>
      </c>
      <c r="L9604" t="s">
        <v>35</v>
      </c>
      <c r="M9604" t="s">
        <v>11205</v>
      </c>
      <c r="N9604" t="s">
        <v>11205</v>
      </c>
      <c r="O9604" t="s">
        <v>23</v>
      </c>
      <c r="P9604" t="s">
        <v>24</v>
      </c>
      <c r="Q9604" t="s">
        <v>1637</v>
      </c>
      <c r="R9604" t="s">
        <v>11195</v>
      </c>
    </row>
    <row r="9605" spans="1:18" x14ac:dyDescent="0.25">
      <c r="A9605" t="s">
        <v>17621</v>
      </c>
      <c r="B9605" t="s">
        <v>11207</v>
      </c>
      <c r="C9605" t="str">
        <f>HYPERLINK("https://nematode.unl.edu/rhong3.jpg")</f>
        <v>https://nematode.unl.edu/rhong3.jpg</v>
      </c>
      <c r="D9605" t="s">
        <v>43</v>
      </c>
      <c r="G9605" t="s">
        <v>28</v>
      </c>
      <c r="I9605" t="s">
        <v>19</v>
      </c>
      <c r="J9605" t="s">
        <v>20</v>
      </c>
      <c r="L9605" t="s">
        <v>35</v>
      </c>
      <c r="M9605" t="s">
        <v>11205</v>
      </c>
      <c r="N9605" t="s">
        <v>11205</v>
      </c>
      <c r="O9605" t="s">
        <v>23</v>
      </c>
      <c r="P9605" t="s">
        <v>24</v>
      </c>
      <c r="Q9605" t="s">
        <v>1637</v>
      </c>
      <c r="R9605" t="s">
        <v>11195</v>
      </c>
    </row>
    <row r="9606" spans="1:18" x14ac:dyDescent="0.25">
      <c r="A9606" t="s">
        <v>16666</v>
      </c>
      <c r="B9606" t="s">
        <v>11216</v>
      </c>
      <c r="C9606" t="str">
        <f>HYPERLINK("https://nematode.unl.edu/rotana1.jpg")</f>
        <v>https://nematode.unl.edu/rotana1.jpg</v>
      </c>
      <c r="D9606" t="s">
        <v>16</v>
      </c>
      <c r="G9606" t="s">
        <v>44</v>
      </c>
      <c r="I9606" t="s">
        <v>137</v>
      </c>
      <c r="J9606" t="s">
        <v>3679</v>
      </c>
      <c r="M9606" t="s">
        <v>11217</v>
      </c>
      <c r="N9606" t="s">
        <v>11217</v>
      </c>
      <c r="O9606" t="s">
        <v>23</v>
      </c>
      <c r="P9606" t="s">
        <v>24</v>
      </c>
      <c r="Q9606" t="s">
        <v>2454</v>
      </c>
      <c r="R9606" t="s">
        <v>11218</v>
      </c>
    </row>
    <row r="9607" spans="1:18" x14ac:dyDescent="0.25">
      <c r="A9607" t="s">
        <v>16667</v>
      </c>
      <c r="B9607" t="s">
        <v>11219</v>
      </c>
      <c r="C9607" t="str">
        <f>HYPERLINK("https://nematode.unl.edu/rotana2.jpg")</f>
        <v>https://nematode.unl.edu/rotana2.jpg</v>
      </c>
      <c r="D9607" t="s">
        <v>16</v>
      </c>
      <c r="G9607" t="s">
        <v>44</v>
      </c>
      <c r="I9607" t="s">
        <v>19</v>
      </c>
      <c r="J9607" t="s">
        <v>3679</v>
      </c>
      <c r="M9607" t="s">
        <v>11217</v>
      </c>
      <c r="N9607" t="s">
        <v>11217</v>
      </c>
      <c r="O9607" t="s">
        <v>23</v>
      </c>
      <c r="P9607" t="s">
        <v>24</v>
      </c>
      <c r="Q9607" t="s">
        <v>2454</v>
      </c>
      <c r="R9607" t="s">
        <v>11218</v>
      </c>
    </row>
    <row r="9608" spans="1:18" x14ac:dyDescent="0.25">
      <c r="A9608" t="s">
        <v>16665</v>
      </c>
      <c r="B9608" t="s">
        <v>11220</v>
      </c>
      <c r="C9608" t="str">
        <f>HYPERLINK("https://nematode.unl.edu/rotana3.jpg")</f>
        <v>https://nematode.unl.edu/rotana3.jpg</v>
      </c>
      <c r="D9608" t="s">
        <v>77</v>
      </c>
      <c r="G9608" t="s">
        <v>34</v>
      </c>
      <c r="H9608" t="s">
        <v>18</v>
      </c>
      <c r="I9608" t="s">
        <v>41</v>
      </c>
      <c r="J9608" t="s">
        <v>3679</v>
      </c>
      <c r="M9608" t="s">
        <v>11217</v>
      </c>
      <c r="N9608" t="s">
        <v>11217</v>
      </c>
      <c r="O9608" t="s">
        <v>23</v>
      </c>
      <c r="P9608" t="s">
        <v>24</v>
      </c>
      <c r="Q9608" t="s">
        <v>2454</v>
      </c>
      <c r="R9608" t="s">
        <v>11218</v>
      </c>
    </row>
    <row r="9609" spans="1:18" x14ac:dyDescent="0.25">
      <c r="A9609" t="s">
        <v>16670</v>
      </c>
      <c r="B9609" t="s">
        <v>11221</v>
      </c>
      <c r="C9609" t="str">
        <f>HYPERLINK("https://nematode.unl.edu/rotana4.jpg")</f>
        <v>https://nematode.unl.edu/rotana4.jpg</v>
      </c>
      <c r="D9609" t="s">
        <v>43</v>
      </c>
      <c r="G9609" t="s">
        <v>53</v>
      </c>
      <c r="I9609" t="s">
        <v>41</v>
      </c>
      <c r="J9609" t="s">
        <v>3679</v>
      </c>
      <c r="M9609" t="s">
        <v>11217</v>
      </c>
      <c r="N9609" t="s">
        <v>11217</v>
      </c>
      <c r="O9609" t="s">
        <v>23</v>
      </c>
      <c r="P9609" t="s">
        <v>24</v>
      </c>
      <c r="Q9609" t="s">
        <v>2454</v>
      </c>
      <c r="R9609" t="s">
        <v>11218</v>
      </c>
    </row>
    <row r="9610" spans="1:18" x14ac:dyDescent="0.25">
      <c r="A9610" t="s">
        <v>16671</v>
      </c>
      <c r="B9610" t="s">
        <v>11222</v>
      </c>
      <c r="C9610" t="str">
        <f>HYPERLINK("https://nematode.unl.edu/rotana5.jpg")</f>
        <v>https://nematode.unl.edu/rotana5.jpg</v>
      </c>
      <c r="D9610" t="s">
        <v>43</v>
      </c>
      <c r="G9610" t="s">
        <v>53</v>
      </c>
      <c r="I9610" t="s">
        <v>41</v>
      </c>
      <c r="J9610" t="s">
        <v>3679</v>
      </c>
      <c r="M9610" t="s">
        <v>11217</v>
      </c>
      <c r="N9610" t="s">
        <v>11217</v>
      </c>
      <c r="O9610" t="s">
        <v>23</v>
      </c>
      <c r="P9610" t="s">
        <v>24</v>
      </c>
      <c r="Q9610" t="s">
        <v>2454</v>
      </c>
      <c r="R9610" t="s">
        <v>11218</v>
      </c>
    </row>
    <row r="9611" spans="1:18" x14ac:dyDescent="0.25">
      <c r="A9611" t="s">
        <v>16668</v>
      </c>
      <c r="B9611" t="s">
        <v>11223</v>
      </c>
      <c r="C9611" t="str">
        <f>HYPERLINK("https://nematode.unl.edu/rotana6.jpg")</f>
        <v>https://nematode.unl.edu/rotana6.jpg</v>
      </c>
      <c r="D9611" t="s">
        <v>43</v>
      </c>
      <c r="G9611" t="s">
        <v>44</v>
      </c>
      <c r="I9611" t="s">
        <v>137</v>
      </c>
      <c r="J9611" t="s">
        <v>3679</v>
      </c>
      <c r="M9611" t="s">
        <v>11217</v>
      </c>
      <c r="N9611" t="s">
        <v>11217</v>
      </c>
      <c r="O9611" t="s">
        <v>23</v>
      </c>
      <c r="P9611" t="s">
        <v>24</v>
      </c>
      <c r="Q9611" t="s">
        <v>2454</v>
      </c>
      <c r="R9611" t="s">
        <v>11218</v>
      </c>
    </row>
    <row r="9612" spans="1:18" x14ac:dyDescent="0.25">
      <c r="A9612" t="s">
        <v>16669</v>
      </c>
      <c r="B9612" t="s">
        <v>11224</v>
      </c>
      <c r="C9612" t="str">
        <f>HYPERLINK("https://nematode.unl.edu/rotana7.jpg")</f>
        <v>https://nematode.unl.edu/rotana7.jpg</v>
      </c>
      <c r="D9612" t="s">
        <v>43</v>
      </c>
      <c r="G9612" t="s">
        <v>44</v>
      </c>
      <c r="I9612" t="s">
        <v>19</v>
      </c>
      <c r="M9612" t="s">
        <v>11217</v>
      </c>
      <c r="N9612" t="s">
        <v>11217</v>
      </c>
      <c r="O9612" t="s">
        <v>23</v>
      </c>
      <c r="P9612" t="s">
        <v>24</v>
      </c>
      <c r="Q9612" t="s">
        <v>2454</v>
      </c>
      <c r="R9612" t="s">
        <v>11218</v>
      </c>
    </row>
    <row r="9613" spans="1:18" x14ac:dyDescent="0.25">
      <c r="A9613" t="s">
        <v>18568</v>
      </c>
      <c r="B9613" t="s">
        <v>11225</v>
      </c>
      <c r="C9613" t="str">
        <f>HYPERLINK("https://nematode.unl.edu/sakiac1.jpg")</f>
        <v>https://nematode.unl.edu/sakiac1.jpg</v>
      </c>
      <c r="D9613" t="s">
        <v>43</v>
      </c>
      <c r="G9613" t="s">
        <v>44</v>
      </c>
      <c r="I9613" t="s">
        <v>19</v>
      </c>
      <c r="J9613" t="s">
        <v>1517</v>
      </c>
      <c r="L9613" t="s">
        <v>1526</v>
      </c>
      <c r="M9613" t="s">
        <v>11226</v>
      </c>
      <c r="N9613" t="s">
        <v>11226</v>
      </c>
      <c r="O9613" t="s">
        <v>23</v>
      </c>
      <c r="P9613" t="s">
        <v>24</v>
      </c>
      <c r="Q9613" t="s">
        <v>69</v>
      </c>
      <c r="R9613" t="s">
        <v>11226</v>
      </c>
    </row>
    <row r="9614" spans="1:18" x14ac:dyDescent="0.25">
      <c r="A9614" t="s">
        <v>18567</v>
      </c>
      <c r="B9614" t="s">
        <v>11227</v>
      </c>
      <c r="C9614" t="str">
        <f>HYPERLINK("https://nematode.unl.edu/sakiac2.jpg")</f>
        <v>https://nematode.unl.edu/sakiac2.jpg</v>
      </c>
      <c r="D9614" t="s">
        <v>43</v>
      </c>
      <c r="G9614" t="s">
        <v>34</v>
      </c>
      <c r="H9614" t="s">
        <v>18</v>
      </c>
      <c r="I9614" t="s">
        <v>41</v>
      </c>
      <c r="J9614" t="s">
        <v>1517</v>
      </c>
      <c r="L9614" t="s">
        <v>1526</v>
      </c>
      <c r="M9614" t="s">
        <v>11226</v>
      </c>
      <c r="N9614" t="s">
        <v>11226</v>
      </c>
      <c r="O9614" t="s">
        <v>23</v>
      </c>
      <c r="P9614" t="s">
        <v>24</v>
      </c>
      <c r="Q9614" t="s">
        <v>69</v>
      </c>
      <c r="R9614" t="s">
        <v>11226</v>
      </c>
    </row>
    <row r="9615" spans="1:18" x14ac:dyDescent="0.25">
      <c r="A9615" t="s">
        <v>18569</v>
      </c>
      <c r="B9615" t="s">
        <v>11228</v>
      </c>
      <c r="C9615" t="str">
        <f>HYPERLINK("https://nematode.unl.edu/sakiac3.jpg")</f>
        <v>https://nematode.unl.edu/sakiac3.jpg</v>
      </c>
      <c r="D9615" t="s">
        <v>43</v>
      </c>
      <c r="G9615" t="s">
        <v>3931</v>
      </c>
      <c r="I9615" t="s">
        <v>529</v>
      </c>
      <c r="J9615" t="s">
        <v>1517</v>
      </c>
      <c r="L9615" t="s">
        <v>1526</v>
      </c>
      <c r="M9615" t="s">
        <v>11226</v>
      </c>
      <c r="N9615" t="s">
        <v>11226</v>
      </c>
      <c r="O9615" t="s">
        <v>23</v>
      </c>
      <c r="P9615" t="s">
        <v>24</v>
      </c>
      <c r="Q9615" t="s">
        <v>69</v>
      </c>
      <c r="R9615" t="s">
        <v>11226</v>
      </c>
    </row>
    <row r="9616" spans="1:18" x14ac:dyDescent="0.25">
      <c r="A9616" t="s">
        <v>18571</v>
      </c>
      <c r="B9616" t="s">
        <v>11229</v>
      </c>
      <c r="C9616" t="str">
        <f>HYPERLINK("https://nematode.unl.edu/sakiac4.jpg")</f>
        <v>https://nematode.unl.edu/sakiac4.jpg</v>
      </c>
      <c r="D9616" t="s">
        <v>43</v>
      </c>
      <c r="G9616" t="s">
        <v>51</v>
      </c>
      <c r="I9616" t="s">
        <v>41</v>
      </c>
      <c r="J9616" t="s">
        <v>1517</v>
      </c>
      <c r="L9616" t="s">
        <v>1526</v>
      </c>
      <c r="M9616" t="s">
        <v>11226</v>
      </c>
      <c r="N9616" t="s">
        <v>11226</v>
      </c>
      <c r="O9616" t="s">
        <v>23</v>
      </c>
      <c r="P9616" t="s">
        <v>24</v>
      </c>
      <c r="Q9616" t="s">
        <v>69</v>
      </c>
      <c r="R9616" t="s">
        <v>11226</v>
      </c>
    </row>
    <row r="9617" spans="1:18" x14ac:dyDescent="0.25">
      <c r="A9617" t="s">
        <v>18570</v>
      </c>
      <c r="B9617" t="s">
        <v>11230</v>
      </c>
      <c r="C9617" t="str">
        <f>HYPERLINK("https://nematode.unl.edu/sakiac5.jpg")</f>
        <v>https://nematode.unl.edu/sakiac5.jpg</v>
      </c>
      <c r="D9617" t="s">
        <v>43</v>
      </c>
      <c r="G9617" t="s">
        <v>28</v>
      </c>
      <c r="J9617" t="s">
        <v>1517</v>
      </c>
      <c r="L9617" t="s">
        <v>1526</v>
      </c>
      <c r="M9617" t="s">
        <v>11226</v>
      </c>
      <c r="N9617" t="s">
        <v>11226</v>
      </c>
      <c r="O9617" t="s">
        <v>23</v>
      </c>
      <c r="P9617" t="s">
        <v>24</v>
      </c>
      <c r="Q9617" t="s">
        <v>69</v>
      </c>
      <c r="R9617" t="s">
        <v>11226</v>
      </c>
    </row>
    <row r="9618" spans="1:18" x14ac:dyDescent="0.25">
      <c r="A9618" t="s">
        <v>19265</v>
      </c>
      <c r="B9618" t="s">
        <v>11231</v>
      </c>
      <c r="C9618" t="str">
        <f>HYPERLINK("https://nematode.unl.edu/sectos1.jpg")</f>
        <v>https://nematode.unl.edu/sectos1.jpg</v>
      </c>
      <c r="D9618" t="s">
        <v>16</v>
      </c>
      <c r="G9618" t="s">
        <v>34</v>
      </c>
      <c r="H9618" t="s">
        <v>18</v>
      </c>
      <c r="M9618" t="s">
        <v>11232</v>
      </c>
      <c r="N9618" t="s">
        <v>11232</v>
      </c>
      <c r="O9618" t="s">
        <v>73</v>
      </c>
      <c r="P9618" t="s">
        <v>81</v>
      </c>
      <c r="Q9618" t="s">
        <v>119</v>
      </c>
      <c r="R9618" t="s">
        <v>11232</v>
      </c>
    </row>
    <row r="9619" spans="1:18" x14ac:dyDescent="0.25">
      <c r="A9619" t="s">
        <v>19266</v>
      </c>
      <c r="B9619" t="s">
        <v>11233</v>
      </c>
      <c r="C9619" t="str">
        <f>HYPERLINK("https://nematode.unl.edu/sectos2.jpg")</f>
        <v>https://nematode.unl.edu/sectos2.jpg</v>
      </c>
      <c r="D9619" t="s">
        <v>16</v>
      </c>
      <c r="G9619" t="s">
        <v>87</v>
      </c>
      <c r="I9619" t="s">
        <v>19</v>
      </c>
      <c r="J9619" t="s">
        <v>20</v>
      </c>
      <c r="L9619" t="s">
        <v>85</v>
      </c>
      <c r="M9619" t="s">
        <v>11232</v>
      </c>
      <c r="N9619" t="s">
        <v>11232</v>
      </c>
      <c r="O9619" t="s">
        <v>73</v>
      </c>
      <c r="P9619" t="s">
        <v>81</v>
      </c>
      <c r="Q9619" t="s">
        <v>119</v>
      </c>
      <c r="R9619" t="s">
        <v>11232</v>
      </c>
    </row>
    <row r="9620" spans="1:18" x14ac:dyDescent="0.25">
      <c r="A9620" t="s">
        <v>19267</v>
      </c>
      <c r="B9620" t="s">
        <v>11234</v>
      </c>
      <c r="C9620" t="str">
        <f>HYPERLINK("https://nematode.unl.edu/sectos3.jpg")</f>
        <v>https://nematode.unl.edu/sectos3.jpg</v>
      </c>
      <c r="D9620" t="s">
        <v>16</v>
      </c>
      <c r="G9620" t="s">
        <v>28</v>
      </c>
      <c r="I9620" t="s">
        <v>19</v>
      </c>
      <c r="J9620" t="s">
        <v>20</v>
      </c>
      <c r="L9620" t="s">
        <v>85</v>
      </c>
      <c r="M9620" t="s">
        <v>11232</v>
      </c>
      <c r="N9620" t="s">
        <v>11232</v>
      </c>
      <c r="O9620" t="s">
        <v>73</v>
      </c>
      <c r="P9620" t="s">
        <v>81</v>
      </c>
      <c r="Q9620" t="s">
        <v>119</v>
      </c>
      <c r="R9620" t="s">
        <v>11232</v>
      </c>
    </row>
    <row r="9621" spans="1:18" x14ac:dyDescent="0.25">
      <c r="A9621" t="s">
        <v>19264</v>
      </c>
      <c r="B9621" t="s">
        <v>11235</v>
      </c>
      <c r="C9621" t="str">
        <f>HYPERLINK("https://nematode.unl.edu/sectos4.jpg")</f>
        <v>https://nematode.unl.edu/sectos4.jpg</v>
      </c>
      <c r="D9621" t="s">
        <v>16</v>
      </c>
      <c r="G9621" t="s">
        <v>17</v>
      </c>
      <c r="H9621" t="s">
        <v>18</v>
      </c>
      <c r="I9621" t="s">
        <v>137</v>
      </c>
      <c r="L9621" t="s">
        <v>85</v>
      </c>
      <c r="M9621" t="s">
        <v>11232</v>
      </c>
      <c r="N9621" t="s">
        <v>11232</v>
      </c>
      <c r="O9621" t="s">
        <v>73</v>
      </c>
      <c r="P9621" t="s">
        <v>81</v>
      </c>
      <c r="Q9621" t="s">
        <v>119</v>
      </c>
      <c r="R9621" t="s">
        <v>11232</v>
      </c>
    </row>
    <row r="9622" spans="1:18" x14ac:dyDescent="0.25">
      <c r="A9622" t="s">
        <v>13153</v>
      </c>
      <c r="B9622" t="s">
        <v>11236</v>
      </c>
      <c r="C9622" t="str">
        <f>HYPERLINK("https://nematode.unl.edu/seinurp1.jpg")</f>
        <v>https://nematode.unl.edu/seinurp1.jpg</v>
      </c>
      <c r="D9622" t="s">
        <v>43</v>
      </c>
      <c r="G9622" t="s">
        <v>28</v>
      </c>
      <c r="J9622" t="s">
        <v>127</v>
      </c>
      <c r="M9622" t="s">
        <v>11237</v>
      </c>
      <c r="N9622" t="s">
        <v>11237</v>
      </c>
      <c r="O9622" t="s">
        <v>23</v>
      </c>
      <c r="P9622" t="s">
        <v>24</v>
      </c>
      <c r="Q9622" t="s">
        <v>102</v>
      </c>
      <c r="R9622" t="s">
        <v>11237</v>
      </c>
    </row>
    <row r="9623" spans="1:18" x14ac:dyDescent="0.25">
      <c r="A9623" t="s">
        <v>13149</v>
      </c>
      <c r="B9623" t="s">
        <v>11238</v>
      </c>
      <c r="C9623" t="str">
        <f>HYPERLINK("https://nematode.unl.edu/seinurp2.jpg")</f>
        <v>https://nematode.unl.edu/seinurp2.jpg</v>
      </c>
      <c r="D9623" t="s">
        <v>77</v>
      </c>
      <c r="G9623" t="s">
        <v>34</v>
      </c>
      <c r="H9623" t="s">
        <v>18</v>
      </c>
      <c r="J9623" t="s">
        <v>127</v>
      </c>
      <c r="L9623" t="s">
        <v>162</v>
      </c>
      <c r="M9623" t="s">
        <v>11237</v>
      </c>
      <c r="N9623" t="s">
        <v>11237</v>
      </c>
      <c r="O9623" t="s">
        <v>23</v>
      </c>
      <c r="P9623" t="s">
        <v>24</v>
      </c>
      <c r="Q9623" t="s">
        <v>102</v>
      </c>
      <c r="R9623" t="s">
        <v>11237</v>
      </c>
    </row>
    <row r="9624" spans="1:18" x14ac:dyDescent="0.25">
      <c r="A9624" t="s">
        <v>13152</v>
      </c>
      <c r="B9624" t="s">
        <v>11239</v>
      </c>
      <c r="C9624" t="str">
        <f>HYPERLINK("https://nematode.unl.edu/seinurp3.jpg")</f>
        <v>https://nematode.unl.edu/seinurp3.jpg</v>
      </c>
      <c r="D9624" t="s">
        <v>77</v>
      </c>
      <c r="G9624" t="s">
        <v>414</v>
      </c>
      <c r="I9624" t="s">
        <v>19</v>
      </c>
      <c r="J9624" t="s">
        <v>127</v>
      </c>
      <c r="L9624" t="s">
        <v>162</v>
      </c>
      <c r="M9624" t="s">
        <v>11237</v>
      </c>
      <c r="N9624" t="s">
        <v>11237</v>
      </c>
      <c r="O9624" t="s">
        <v>23</v>
      </c>
      <c r="P9624" t="s">
        <v>24</v>
      </c>
      <c r="Q9624" t="s">
        <v>102</v>
      </c>
      <c r="R9624" t="s">
        <v>11237</v>
      </c>
    </row>
    <row r="9625" spans="1:18" x14ac:dyDescent="0.25">
      <c r="A9625" t="s">
        <v>13154</v>
      </c>
      <c r="B9625" t="s">
        <v>11240</v>
      </c>
      <c r="C9625" t="str">
        <f>HYPERLINK("https://nematode.unl.edu/seinurp4.jpg")</f>
        <v>https://nematode.unl.edu/seinurp4.jpg</v>
      </c>
      <c r="D9625" t="s">
        <v>77</v>
      </c>
      <c r="G9625" t="s">
        <v>28</v>
      </c>
      <c r="L9625" t="s">
        <v>162</v>
      </c>
      <c r="M9625" t="s">
        <v>11237</v>
      </c>
      <c r="N9625" t="s">
        <v>11237</v>
      </c>
      <c r="O9625" t="s">
        <v>23</v>
      </c>
      <c r="P9625" t="s">
        <v>24</v>
      </c>
      <c r="Q9625" t="s">
        <v>102</v>
      </c>
      <c r="R9625" t="s">
        <v>11237</v>
      </c>
    </row>
    <row r="9626" spans="1:18" x14ac:dyDescent="0.25">
      <c r="A9626" t="s">
        <v>13150</v>
      </c>
      <c r="B9626" t="s">
        <v>11241</v>
      </c>
      <c r="C9626" t="str">
        <f>HYPERLINK("https://nematode.unl.edu/seinurp5.jpg")</f>
        <v>https://nematode.unl.edu/seinurp5.jpg</v>
      </c>
      <c r="D9626" t="s">
        <v>43</v>
      </c>
      <c r="G9626" t="s">
        <v>34</v>
      </c>
      <c r="H9626" t="s">
        <v>18</v>
      </c>
      <c r="I9626" t="s">
        <v>19</v>
      </c>
      <c r="J9626" t="s">
        <v>127</v>
      </c>
      <c r="M9626" t="s">
        <v>11237</v>
      </c>
      <c r="N9626" t="s">
        <v>11237</v>
      </c>
      <c r="O9626" t="s">
        <v>23</v>
      </c>
      <c r="P9626" t="s">
        <v>24</v>
      </c>
      <c r="Q9626" t="s">
        <v>102</v>
      </c>
      <c r="R9626" t="s">
        <v>11237</v>
      </c>
    </row>
    <row r="9627" spans="1:18" x14ac:dyDescent="0.25">
      <c r="A9627" t="s">
        <v>13156</v>
      </c>
      <c r="B9627" t="s">
        <v>11242</v>
      </c>
      <c r="C9627" t="str">
        <f>HYPERLINK("https://nematode.unl.edu/seinurp6.jpg")</f>
        <v>https://nematode.unl.edu/seinurp6.jpg</v>
      </c>
      <c r="D9627" t="s">
        <v>43</v>
      </c>
      <c r="G9627" t="s">
        <v>51</v>
      </c>
      <c r="J9627" t="s">
        <v>127</v>
      </c>
      <c r="M9627" t="s">
        <v>11237</v>
      </c>
      <c r="N9627" t="s">
        <v>11237</v>
      </c>
      <c r="O9627" t="s">
        <v>23</v>
      </c>
      <c r="P9627" t="s">
        <v>24</v>
      </c>
      <c r="Q9627" t="s">
        <v>102</v>
      </c>
      <c r="R9627" t="s">
        <v>11237</v>
      </c>
    </row>
    <row r="9628" spans="1:18" x14ac:dyDescent="0.25">
      <c r="A9628" t="s">
        <v>13151</v>
      </c>
      <c r="B9628" t="s">
        <v>11243</v>
      </c>
      <c r="C9628" t="str">
        <f>HYPERLINK("https://nematode.unl.edu/seinurp7.jpg")</f>
        <v>https://nematode.unl.edu/seinurp7.jpg</v>
      </c>
      <c r="D9628" t="s">
        <v>43</v>
      </c>
      <c r="G9628" t="s">
        <v>34</v>
      </c>
      <c r="H9628" t="s">
        <v>18</v>
      </c>
      <c r="J9628" t="s">
        <v>127</v>
      </c>
      <c r="L9628" t="s">
        <v>128</v>
      </c>
      <c r="M9628" t="s">
        <v>11237</v>
      </c>
      <c r="N9628" t="s">
        <v>11237</v>
      </c>
      <c r="O9628" t="s">
        <v>23</v>
      </c>
      <c r="P9628" t="s">
        <v>24</v>
      </c>
      <c r="Q9628" t="s">
        <v>102</v>
      </c>
      <c r="R9628" t="s">
        <v>11237</v>
      </c>
    </row>
    <row r="9629" spans="1:18" x14ac:dyDescent="0.25">
      <c r="A9629" t="s">
        <v>13155</v>
      </c>
      <c r="B9629" t="s">
        <v>11244</v>
      </c>
      <c r="C9629" t="str">
        <f>HYPERLINK("https://nematode.unl.edu/seinurp8.jpg")</f>
        <v>https://nematode.unl.edu/seinurp8.jpg</v>
      </c>
      <c r="D9629" t="s">
        <v>16</v>
      </c>
      <c r="G9629" t="s">
        <v>28</v>
      </c>
      <c r="I9629" t="s">
        <v>19</v>
      </c>
      <c r="L9629" t="s">
        <v>128</v>
      </c>
      <c r="M9629" t="s">
        <v>11237</v>
      </c>
      <c r="N9629" t="s">
        <v>11237</v>
      </c>
      <c r="O9629" t="s">
        <v>23</v>
      </c>
      <c r="P9629" t="s">
        <v>24</v>
      </c>
      <c r="Q9629" t="s">
        <v>102</v>
      </c>
      <c r="R9629" t="s">
        <v>11237</v>
      </c>
    </row>
    <row r="9630" spans="1:18" x14ac:dyDescent="0.25">
      <c r="A9630" t="s">
        <v>20861</v>
      </c>
      <c r="B9630" t="s">
        <v>11245</v>
      </c>
      <c r="C9630" t="str">
        <f>HYPERLINK("https://nematode.unl.edu/sovul1.jpg")</f>
        <v>https://nematode.unl.edu/sovul1.jpg</v>
      </c>
      <c r="D9630" t="s">
        <v>43</v>
      </c>
      <c r="G9630" t="s">
        <v>44</v>
      </c>
      <c r="I9630" t="s">
        <v>91</v>
      </c>
      <c r="J9630" t="s">
        <v>20</v>
      </c>
      <c r="L9630" t="s">
        <v>29</v>
      </c>
      <c r="M9630" t="s">
        <v>11246</v>
      </c>
      <c r="N9630" t="s">
        <v>11246</v>
      </c>
      <c r="O9630" t="s">
        <v>73</v>
      </c>
      <c r="P9630" t="s">
        <v>81</v>
      </c>
      <c r="Q9630" t="s">
        <v>339</v>
      </c>
      <c r="R9630" t="s">
        <v>11247</v>
      </c>
    </row>
    <row r="9631" spans="1:18" x14ac:dyDescent="0.25">
      <c r="A9631" t="s">
        <v>20852</v>
      </c>
      <c r="B9631" t="s">
        <v>11248</v>
      </c>
      <c r="C9631" t="str">
        <f>HYPERLINK("https://nematode.unl.edu/sovul10.jpg")</f>
        <v>https://nematode.unl.edu/sovul10.jpg</v>
      </c>
      <c r="D9631" t="s">
        <v>43</v>
      </c>
      <c r="G9631" t="s">
        <v>34</v>
      </c>
      <c r="H9631" t="s">
        <v>18</v>
      </c>
      <c r="J9631" t="s">
        <v>20</v>
      </c>
      <c r="L9631" t="s">
        <v>29</v>
      </c>
      <c r="M9631" t="s">
        <v>11246</v>
      </c>
      <c r="N9631" t="s">
        <v>11246</v>
      </c>
      <c r="O9631" t="s">
        <v>73</v>
      </c>
      <c r="P9631" t="s">
        <v>81</v>
      </c>
      <c r="Q9631" t="s">
        <v>339</v>
      </c>
      <c r="R9631" t="s">
        <v>11247</v>
      </c>
    </row>
    <row r="9632" spans="1:18" x14ac:dyDescent="0.25">
      <c r="A9632" t="s">
        <v>20870</v>
      </c>
      <c r="B9632" t="s">
        <v>11249</v>
      </c>
      <c r="C9632" t="str">
        <f>HYPERLINK("https://nematode.unl.edu/sovul11.jpg")</f>
        <v>https://nematode.unl.edu/sovul11.jpg</v>
      </c>
      <c r="D9632" t="s">
        <v>43</v>
      </c>
      <c r="G9632" t="s">
        <v>51</v>
      </c>
      <c r="I9632" t="s">
        <v>19</v>
      </c>
      <c r="J9632" t="s">
        <v>20</v>
      </c>
      <c r="L9632" t="s">
        <v>29</v>
      </c>
      <c r="M9632" t="s">
        <v>11246</v>
      </c>
      <c r="N9632" t="s">
        <v>11246</v>
      </c>
      <c r="O9632" t="s">
        <v>73</v>
      </c>
      <c r="P9632" t="s">
        <v>81</v>
      </c>
      <c r="Q9632" t="s">
        <v>339</v>
      </c>
      <c r="R9632" t="s">
        <v>11247</v>
      </c>
    </row>
    <row r="9633" spans="1:18" x14ac:dyDescent="0.25">
      <c r="A9633" t="s">
        <v>20866</v>
      </c>
      <c r="B9633" t="s">
        <v>11250</v>
      </c>
      <c r="C9633" t="str">
        <f>HYPERLINK("https://nematode.unl.edu/sovul12.jpg")</f>
        <v>https://nematode.unl.edu/sovul12.jpg</v>
      </c>
      <c r="D9633" t="s">
        <v>43</v>
      </c>
      <c r="G9633" t="s">
        <v>28</v>
      </c>
      <c r="J9633" t="s">
        <v>20</v>
      </c>
      <c r="L9633" t="s">
        <v>29</v>
      </c>
      <c r="M9633" t="s">
        <v>11246</v>
      </c>
      <c r="N9633" t="s">
        <v>11246</v>
      </c>
      <c r="O9633" t="s">
        <v>73</v>
      </c>
      <c r="P9633" t="s">
        <v>81</v>
      </c>
      <c r="Q9633" t="s">
        <v>339</v>
      </c>
      <c r="R9633" t="s">
        <v>11247</v>
      </c>
    </row>
    <row r="9634" spans="1:18" x14ac:dyDescent="0.25">
      <c r="A9634" t="s">
        <v>20864</v>
      </c>
      <c r="B9634" t="s">
        <v>11251</v>
      </c>
      <c r="C9634" t="str">
        <f>HYPERLINK("https://nematode.unl.edu/sovul13.jpg")</f>
        <v>https://nematode.unl.edu/sovul13.jpg</v>
      </c>
      <c r="D9634" t="s">
        <v>43</v>
      </c>
      <c r="G9634" t="s">
        <v>243</v>
      </c>
      <c r="I9634" t="s">
        <v>41</v>
      </c>
      <c r="J9634" t="s">
        <v>20</v>
      </c>
      <c r="L9634" t="s">
        <v>29</v>
      </c>
      <c r="M9634" t="s">
        <v>11246</v>
      </c>
      <c r="N9634" t="s">
        <v>11246</v>
      </c>
      <c r="O9634" t="s">
        <v>73</v>
      </c>
      <c r="P9634" t="s">
        <v>81</v>
      </c>
      <c r="Q9634" t="s">
        <v>339</v>
      </c>
      <c r="R9634" t="s">
        <v>11247</v>
      </c>
    </row>
    <row r="9635" spans="1:18" x14ac:dyDescent="0.25">
      <c r="A9635" t="s">
        <v>20853</v>
      </c>
      <c r="B9635" t="s">
        <v>11252</v>
      </c>
      <c r="C9635" t="str">
        <f>HYPERLINK("https://nematode.unl.edu/sovul14.jpg")</f>
        <v>https://nematode.unl.edu/sovul14.jpg</v>
      </c>
      <c r="D9635" t="s">
        <v>43</v>
      </c>
      <c r="G9635" t="s">
        <v>34</v>
      </c>
      <c r="H9635" t="s">
        <v>18</v>
      </c>
      <c r="J9635" t="s">
        <v>20</v>
      </c>
      <c r="L9635" t="s">
        <v>29</v>
      </c>
      <c r="M9635" t="s">
        <v>11246</v>
      </c>
      <c r="N9635" t="s">
        <v>11246</v>
      </c>
      <c r="O9635" t="s">
        <v>73</v>
      </c>
      <c r="P9635" t="s">
        <v>81</v>
      </c>
      <c r="Q9635" t="s">
        <v>339</v>
      </c>
      <c r="R9635" t="s">
        <v>11247</v>
      </c>
    </row>
    <row r="9636" spans="1:18" x14ac:dyDescent="0.25">
      <c r="A9636" t="s">
        <v>20871</v>
      </c>
      <c r="B9636" t="s">
        <v>11253</v>
      </c>
      <c r="C9636" t="str">
        <f>HYPERLINK("https://nematode.unl.edu/sovul15.jpg")</f>
        <v>https://nematode.unl.edu/sovul15.jpg</v>
      </c>
      <c r="D9636" t="s">
        <v>43</v>
      </c>
      <c r="G9636" t="s">
        <v>51</v>
      </c>
      <c r="I9636" t="s">
        <v>41</v>
      </c>
      <c r="J9636" t="s">
        <v>20</v>
      </c>
      <c r="L9636" t="s">
        <v>29</v>
      </c>
      <c r="M9636" t="s">
        <v>11246</v>
      </c>
      <c r="N9636" t="s">
        <v>11246</v>
      </c>
      <c r="O9636" t="s">
        <v>73</v>
      </c>
      <c r="P9636" t="s">
        <v>81</v>
      </c>
      <c r="Q9636" t="s">
        <v>339</v>
      </c>
      <c r="R9636" t="s">
        <v>11247</v>
      </c>
    </row>
    <row r="9637" spans="1:18" x14ac:dyDescent="0.25">
      <c r="A9637" t="s">
        <v>20867</v>
      </c>
      <c r="B9637" t="s">
        <v>11254</v>
      </c>
      <c r="C9637" t="str">
        <f>HYPERLINK("https://nematode.unl.edu/sovul16.jpg")</f>
        <v>https://nematode.unl.edu/sovul16.jpg</v>
      </c>
      <c r="D9637" t="s">
        <v>43</v>
      </c>
      <c r="G9637" t="s">
        <v>28</v>
      </c>
      <c r="I9637" t="s">
        <v>41</v>
      </c>
      <c r="J9637" t="s">
        <v>20</v>
      </c>
      <c r="L9637" t="s">
        <v>29</v>
      </c>
      <c r="M9637" t="s">
        <v>11246</v>
      </c>
      <c r="N9637" t="s">
        <v>11246</v>
      </c>
      <c r="O9637" t="s">
        <v>73</v>
      </c>
      <c r="P9637" t="s">
        <v>81</v>
      </c>
      <c r="Q9637" t="s">
        <v>339</v>
      </c>
      <c r="R9637" t="s">
        <v>11247</v>
      </c>
    </row>
    <row r="9638" spans="1:18" x14ac:dyDescent="0.25">
      <c r="A9638" t="s">
        <v>20862</v>
      </c>
      <c r="B9638" t="s">
        <v>11255</v>
      </c>
      <c r="C9638" t="str">
        <f>HYPERLINK("https://nematode.unl.edu/sovul17.jpg")</f>
        <v>https://nematode.unl.edu/sovul17.jpg</v>
      </c>
      <c r="D9638" t="s">
        <v>43</v>
      </c>
      <c r="G9638" t="s">
        <v>44</v>
      </c>
      <c r="J9638" t="s">
        <v>20</v>
      </c>
      <c r="L9638" t="s">
        <v>29</v>
      </c>
      <c r="M9638" t="s">
        <v>11246</v>
      </c>
      <c r="N9638" t="s">
        <v>11246</v>
      </c>
      <c r="O9638" t="s">
        <v>73</v>
      </c>
      <c r="P9638" t="s">
        <v>81</v>
      </c>
      <c r="Q9638" t="s">
        <v>339</v>
      </c>
      <c r="R9638" t="s">
        <v>11247</v>
      </c>
    </row>
    <row r="9639" spans="1:18" x14ac:dyDescent="0.25">
      <c r="A9639" t="s">
        <v>20854</v>
      </c>
      <c r="B9639" t="s">
        <v>11256</v>
      </c>
      <c r="C9639" t="str">
        <f>HYPERLINK("https://nematode.unl.edu/sovul18.jpg")</f>
        <v>https://nematode.unl.edu/sovul18.jpg</v>
      </c>
      <c r="D9639" t="s">
        <v>43</v>
      </c>
      <c r="G9639" t="s">
        <v>34</v>
      </c>
      <c r="H9639" t="s">
        <v>18</v>
      </c>
      <c r="I9639" t="s">
        <v>19</v>
      </c>
      <c r="J9639" t="s">
        <v>20</v>
      </c>
      <c r="L9639" t="s">
        <v>29</v>
      </c>
      <c r="M9639" t="s">
        <v>11246</v>
      </c>
      <c r="N9639" t="s">
        <v>11246</v>
      </c>
      <c r="O9639" t="s">
        <v>73</v>
      </c>
      <c r="P9639" t="s">
        <v>81</v>
      </c>
      <c r="Q9639" t="s">
        <v>339</v>
      </c>
      <c r="R9639" t="s">
        <v>11247</v>
      </c>
    </row>
    <row r="9640" spans="1:18" x14ac:dyDescent="0.25">
      <c r="A9640" t="s">
        <v>20872</v>
      </c>
      <c r="B9640" t="s">
        <v>11257</v>
      </c>
      <c r="C9640" t="str">
        <f>HYPERLINK("https://nematode.unl.edu/sovul19.jpg")</f>
        <v>https://nematode.unl.edu/sovul19.jpg</v>
      </c>
      <c r="D9640" t="s">
        <v>43</v>
      </c>
      <c r="G9640" t="s">
        <v>51</v>
      </c>
      <c r="J9640" t="s">
        <v>20</v>
      </c>
      <c r="L9640" t="s">
        <v>29</v>
      </c>
      <c r="M9640" t="s">
        <v>11246</v>
      </c>
      <c r="N9640" t="s">
        <v>11246</v>
      </c>
      <c r="O9640" t="s">
        <v>73</v>
      </c>
      <c r="P9640" t="s">
        <v>81</v>
      </c>
      <c r="Q9640" t="s">
        <v>339</v>
      </c>
      <c r="R9640" t="s">
        <v>11247</v>
      </c>
    </row>
    <row r="9641" spans="1:18" x14ac:dyDescent="0.25">
      <c r="A9641" t="s">
        <v>20851</v>
      </c>
      <c r="B9641" t="s">
        <v>11258</v>
      </c>
      <c r="C9641" t="str">
        <f>HYPERLINK("https://nematode.unl.edu/sovul2.jpg")</f>
        <v>https://nematode.unl.edu/sovul2.jpg</v>
      </c>
      <c r="G9641" t="s">
        <v>96</v>
      </c>
      <c r="H9641" t="s">
        <v>18</v>
      </c>
      <c r="I9641" t="s">
        <v>19</v>
      </c>
      <c r="J9641" t="s">
        <v>20</v>
      </c>
      <c r="L9641" t="s">
        <v>29</v>
      </c>
      <c r="M9641" t="s">
        <v>11246</v>
      </c>
      <c r="N9641" t="s">
        <v>11246</v>
      </c>
      <c r="O9641" t="s">
        <v>73</v>
      </c>
      <c r="P9641" t="s">
        <v>81</v>
      </c>
      <c r="Q9641" t="s">
        <v>339</v>
      </c>
      <c r="R9641" t="s">
        <v>11247</v>
      </c>
    </row>
    <row r="9642" spans="1:18" x14ac:dyDescent="0.25">
      <c r="A9642" t="s">
        <v>20868</v>
      </c>
      <c r="B9642" t="s">
        <v>11259</v>
      </c>
      <c r="C9642" t="str">
        <f>HYPERLINK("https://nematode.unl.edu/sovul20.jpg")</f>
        <v>https://nematode.unl.edu/sovul20.jpg</v>
      </c>
      <c r="D9642" t="s">
        <v>43</v>
      </c>
      <c r="G9642" t="s">
        <v>28</v>
      </c>
      <c r="J9642" t="s">
        <v>20</v>
      </c>
      <c r="L9642" t="s">
        <v>29</v>
      </c>
      <c r="M9642" t="s">
        <v>11246</v>
      </c>
      <c r="N9642" t="s">
        <v>11246</v>
      </c>
      <c r="O9642" t="s">
        <v>73</v>
      </c>
      <c r="P9642" t="s">
        <v>81</v>
      </c>
      <c r="Q9642" t="s">
        <v>339</v>
      </c>
      <c r="R9642" t="s">
        <v>11247</v>
      </c>
    </row>
    <row r="9643" spans="1:18" x14ac:dyDescent="0.25">
      <c r="A9643" t="s">
        <v>20855</v>
      </c>
      <c r="B9643" t="s">
        <v>11260</v>
      </c>
      <c r="C9643" t="str">
        <f>HYPERLINK("https://nematode.unl.edu/sovul21.jpg")</f>
        <v>https://nematode.unl.edu/sovul21.jpg</v>
      </c>
      <c r="D9643" t="s">
        <v>43</v>
      </c>
      <c r="G9643" t="s">
        <v>34</v>
      </c>
      <c r="H9643" t="s">
        <v>18</v>
      </c>
      <c r="I9643" t="s">
        <v>41</v>
      </c>
      <c r="J9643" t="s">
        <v>20</v>
      </c>
      <c r="L9643" t="s">
        <v>29</v>
      </c>
      <c r="M9643" t="s">
        <v>11246</v>
      </c>
      <c r="N9643" t="s">
        <v>11246</v>
      </c>
      <c r="O9643" t="s">
        <v>73</v>
      </c>
      <c r="P9643" t="s">
        <v>81</v>
      </c>
      <c r="Q9643" t="s">
        <v>339</v>
      </c>
      <c r="R9643" t="s">
        <v>11247</v>
      </c>
    </row>
    <row r="9644" spans="1:18" x14ac:dyDescent="0.25">
      <c r="A9644" t="s">
        <v>20869</v>
      </c>
      <c r="B9644" t="s">
        <v>11261</v>
      </c>
      <c r="C9644" t="str">
        <f>HYPERLINK("https://nematode.unl.edu/sovul3.jpg")</f>
        <v>https://nematode.unl.edu/sovul3.jpg</v>
      </c>
      <c r="D9644" t="s">
        <v>43</v>
      </c>
      <c r="G9644" t="s">
        <v>28</v>
      </c>
      <c r="J9644" t="s">
        <v>20</v>
      </c>
      <c r="L9644" t="s">
        <v>29</v>
      </c>
      <c r="M9644" t="s">
        <v>11246</v>
      </c>
      <c r="N9644" t="s">
        <v>11246</v>
      </c>
      <c r="O9644" t="s">
        <v>73</v>
      </c>
      <c r="P9644" t="s">
        <v>81</v>
      </c>
      <c r="Q9644" t="s">
        <v>339</v>
      </c>
      <c r="R9644" t="s">
        <v>11247</v>
      </c>
    </row>
    <row r="9645" spans="1:18" x14ac:dyDescent="0.25">
      <c r="A9645" t="s">
        <v>20856</v>
      </c>
      <c r="B9645" t="s">
        <v>11262</v>
      </c>
      <c r="C9645" t="str">
        <f>HYPERLINK("https://nematode.unl.edu/sovul4.jpg")</f>
        <v>https://nematode.unl.edu/sovul4.jpg</v>
      </c>
      <c r="D9645" t="s">
        <v>43</v>
      </c>
      <c r="G9645" t="s">
        <v>34</v>
      </c>
      <c r="H9645" t="s">
        <v>18</v>
      </c>
      <c r="J9645" t="s">
        <v>20</v>
      </c>
      <c r="L9645" t="s">
        <v>29</v>
      </c>
      <c r="M9645" t="s">
        <v>11246</v>
      </c>
      <c r="N9645" t="s">
        <v>11246</v>
      </c>
      <c r="O9645" t="s">
        <v>73</v>
      </c>
      <c r="P9645" t="s">
        <v>81</v>
      </c>
      <c r="Q9645" t="s">
        <v>339</v>
      </c>
      <c r="R9645" t="s">
        <v>11247</v>
      </c>
    </row>
    <row r="9646" spans="1:18" x14ac:dyDescent="0.25">
      <c r="A9646" t="s">
        <v>20859</v>
      </c>
      <c r="B9646" t="s">
        <v>11263</v>
      </c>
      <c r="C9646" t="str">
        <f>HYPERLINK("https://nematode.unl.edu/sovul5.jpg")</f>
        <v>https://nematode.unl.edu/sovul5.jpg</v>
      </c>
      <c r="D9646" t="s">
        <v>77</v>
      </c>
      <c r="G9646" t="s">
        <v>87</v>
      </c>
      <c r="I9646" t="s">
        <v>41</v>
      </c>
      <c r="J9646" t="s">
        <v>20</v>
      </c>
      <c r="L9646" t="s">
        <v>29</v>
      </c>
      <c r="M9646" t="s">
        <v>11246</v>
      </c>
      <c r="N9646" t="s">
        <v>11246</v>
      </c>
      <c r="O9646" t="s">
        <v>73</v>
      </c>
      <c r="P9646" t="s">
        <v>81</v>
      </c>
      <c r="Q9646" t="s">
        <v>339</v>
      </c>
      <c r="R9646" t="s">
        <v>11247</v>
      </c>
    </row>
    <row r="9647" spans="1:18" x14ac:dyDescent="0.25">
      <c r="A9647" t="s">
        <v>20857</v>
      </c>
      <c r="B9647" t="s">
        <v>11264</v>
      </c>
      <c r="C9647" t="str">
        <f>HYPERLINK("https://nematode.unl.edu/sovul6.jpg")</f>
        <v>https://nematode.unl.edu/sovul6.jpg</v>
      </c>
      <c r="D9647" t="s">
        <v>43</v>
      </c>
      <c r="G9647" t="s">
        <v>34</v>
      </c>
      <c r="H9647" t="s">
        <v>18</v>
      </c>
      <c r="I9647" t="s">
        <v>41</v>
      </c>
      <c r="J9647" t="s">
        <v>20</v>
      </c>
      <c r="L9647" t="s">
        <v>29</v>
      </c>
      <c r="M9647" t="s">
        <v>11246</v>
      </c>
      <c r="N9647" t="s">
        <v>11246</v>
      </c>
      <c r="O9647" t="s">
        <v>73</v>
      </c>
      <c r="P9647" t="s">
        <v>81</v>
      </c>
      <c r="Q9647" t="s">
        <v>339</v>
      </c>
      <c r="R9647" t="s">
        <v>11247</v>
      </c>
    </row>
    <row r="9648" spans="1:18" x14ac:dyDescent="0.25">
      <c r="A9648" t="s">
        <v>20858</v>
      </c>
      <c r="B9648" t="s">
        <v>11265</v>
      </c>
      <c r="C9648" t="str">
        <f>HYPERLINK("https://nematode.unl.edu/sovul7.jpg")</f>
        <v>https://nematode.unl.edu/sovul7.jpg</v>
      </c>
      <c r="D9648" t="s">
        <v>43</v>
      </c>
      <c r="G9648" t="s">
        <v>34</v>
      </c>
      <c r="H9648" t="s">
        <v>18</v>
      </c>
      <c r="I9648" t="s">
        <v>41</v>
      </c>
      <c r="J9648" t="s">
        <v>20</v>
      </c>
      <c r="L9648" t="s">
        <v>29</v>
      </c>
      <c r="M9648" t="s">
        <v>11246</v>
      </c>
      <c r="N9648" t="s">
        <v>11246</v>
      </c>
      <c r="O9648" t="s">
        <v>73</v>
      </c>
      <c r="P9648" t="s">
        <v>81</v>
      </c>
      <c r="Q9648" t="s">
        <v>339</v>
      </c>
      <c r="R9648" t="s">
        <v>11247</v>
      </c>
    </row>
    <row r="9649" spans="1:18" x14ac:dyDescent="0.25">
      <c r="A9649" t="s">
        <v>20863</v>
      </c>
      <c r="B9649" t="s">
        <v>11266</v>
      </c>
      <c r="C9649" t="str">
        <f>HYPERLINK("https://nematode.unl.edu/sovul8.jpg")</f>
        <v>https://nematode.unl.edu/sovul8.jpg</v>
      </c>
      <c r="D9649" t="s">
        <v>43</v>
      </c>
      <c r="G9649" t="s">
        <v>44</v>
      </c>
      <c r="I9649" t="s">
        <v>1008</v>
      </c>
      <c r="J9649" t="s">
        <v>20</v>
      </c>
      <c r="L9649" t="s">
        <v>29</v>
      </c>
      <c r="M9649" t="s">
        <v>11246</v>
      </c>
      <c r="N9649" t="s">
        <v>11246</v>
      </c>
      <c r="O9649" t="s">
        <v>73</v>
      </c>
      <c r="P9649" t="s">
        <v>81</v>
      </c>
      <c r="Q9649" t="s">
        <v>339</v>
      </c>
      <c r="R9649" t="s">
        <v>11247</v>
      </c>
    </row>
    <row r="9650" spans="1:18" x14ac:dyDescent="0.25">
      <c r="A9650" t="s">
        <v>20860</v>
      </c>
      <c r="B9650" t="s">
        <v>11267</v>
      </c>
      <c r="C9650" t="str">
        <f>HYPERLINK("https://nematode.unl.edu/sovul9.jpg")</f>
        <v>https://nematode.unl.edu/sovul9.jpg</v>
      </c>
      <c r="D9650" t="s">
        <v>43</v>
      </c>
      <c r="G9650" t="s">
        <v>87</v>
      </c>
      <c r="I9650" t="s">
        <v>19</v>
      </c>
      <c r="J9650" t="s">
        <v>20</v>
      </c>
      <c r="L9650" t="s">
        <v>29</v>
      </c>
      <c r="M9650" t="s">
        <v>11246</v>
      </c>
      <c r="N9650" t="s">
        <v>11246</v>
      </c>
      <c r="O9650" t="s">
        <v>73</v>
      </c>
      <c r="P9650" t="s">
        <v>81</v>
      </c>
      <c r="Q9650" t="s">
        <v>339</v>
      </c>
      <c r="R9650" t="s">
        <v>11247</v>
      </c>
    </row>
    <row r="9651" spans="1:18" x14ac:dyDescent="0.25">
      <c r="A9651" t="s">
        <v>20865</v>
      </c>
      <c r="B9651" t="s">
        <v>11268</v>
      </c>
      <c r="C9651" t="str">
        <f>HYPERLINK("https://nematode.unl.edu/sovulcmp.jpg")</f>
        <v>https://nematode.unl.edu/sovulcmp.jpg</v>
      </c>
      <c r="G9651" t="s">
        <v>108</v>
      </c>
      <c r="M9651" t="s">
        <v>11246</v>
      </c>
      <c r="N9651" t="s">
        <v>11246</v>
      </c>
      <c r="O9651" t="s">
        <v>73</v>
      </c>
      <c r="P9651" t="s">
        <v>81</v>
      </c>
      <c r="Q9651" t="s">
        <v>339</v>
      </c>
      <c r="R9651" t="s">
        <v>11247</v>
      </c>
    </row>
    <row r="9652" spans="1:18" x14ac:dyDescent="0.25">
      <c r="A9652" t="s">
        <v>22457</v>
      </c>
      <c r="B9652" t="s">
        <v>11269</v>
      </c>
      <c r="C9652" t="str">
        <f>HYPERLINK("https://nematode.unl.edu/sporon1.jpg")</f>
        <v>https://nematode.unl.edu/sporon1.jpg</v>
      </c>
      <c r="D9652" t="s">
        <v>77</v>
      </c>
      <c r="G9652" t="s">
        <v>44</v>
      </c>
      <c r="I9652" t="s">
        <v>91</v>
      </c>
      <c r="J9652" t="s">
        <v>1202</v>
      </c>
      <c r="L9652" t="s">
        <v>11270</v>
      </c>
      <c r="M9652" t="s">
        <v>11271</v>
      </c>
      <c r="N9652" t="s">
        <v>11271</v>
      </c>
      <c r="O9652" t="s">
        <v>73</v>
      </c>
      <c r="P9652" t="s">
        <v>1268</v>
      </c>
      <c r="Q9652" t="s">
        <v>3811</v>
      </c>
      <c r="R9652" t="s">
        <v>11271</v>
      </c>
    </row>
    <row r="9653" spans="1:18" x14ac:dyDescent="0.25">
      <c r="A9653" t="s">
        <v>22452</v>
      </c>
      <c r="B9653" t="s">
        <v>11272</v>
      </c>
      <c r="C9653" t="str">
        <f>HYPERLINK("https://nematode.unl.edu/sporon2.jpg")</f>
        <v>https://nematode.unl.edu/sporon2.jpg</v>
      </c>
      <c r="D9653" t="s">
        <v>43</v>
      </c>
      <c r="G9653" t="s">
        <v>34</v>
      </c>
      <c r="H9653" t="s">
        <v>18</v>
      </c>
      <c r="J9653" t="s">
        <v>1202</v>
      </c>
      <c r="L9653" t="s">
        <v>11270</v>
      </c>
      <c r="M9653" t="s">
        <v>11271</v>
      </c>
      <c r="N9653" t="s">
        <v>11271</v>
      </c>
      <c r="O9653" t="s">
        <v>73</v>
      </c>
      <c r="P9653" t="s">
        <v>1268</v>
      </c>
      <c r="Q9653" t="s">
        <v>3811</v>
      </c>
      <c r="R9653" t="s">
        <v>11271</v>
      </c>
    </row>
    <row r="9654" spans="1:18" x14ac:dyDescent="0.25">
      <c r="A9654" t="s">
        <v>22461</v>
      </c>
      <c r="B9654" t="s">
        <v>11273</v>
      </c>
      <c r="C9654" t="str">
        <f>HYPERLINK("https://nematode.unl.edu/sporon3.jpg")</f>
        <v>https://nematode.unl.edu/sporon3.jpg</v>
      </c>
      <c r="D9654" t="s">
        <v>43</v>
      </c>
      <c r="G9654" t="s">
        <v>51</v>
      </c>
      <c r="I9654" t="s">
        <v>516</v>
      </c>
      <c r="J9654" t="s">
        <v>1202</v>
      </c>
      <c r="L9654" t="s">
        <v>11270</v>
      </c>
      <c r="M9654" t="s">
        <v>11271</v>
      </c>
      <c r="N9654" t="s">
        <v>11271</v>
      </c>
      <c r="O9654" t="s">
        <v>73</v>
      </c>
      <c r="P9654" t="s">
        <v>1268</v>
      </c>
      <c r="Q9654" t="s">
        <v>3811</v>
      </c>
      <c r="R9654" t="s">
        <v>11271</v>
      </c>
    </row>
    <row r="9655" spans="1:18" x14ac:dyDescent="0.25">
      <c r="A9655" t="s">
        <v>22460</v>
      </c>
      <c r="B9655" t="s">
        <v>11274</v>
      </c>
      <c r="C9655" t="str">
        <f>HYPERLINK("https://nematode.unl.edu/sporon4.jpg")</f>
        <v>https://nematode.unl.edu/sporon4.jpg</v>
      </c>
      <c r="D9655" t="s">
        <v>43</v>
      </c>
      <c r="G9655" t="s">
        <v>28</v>
      </c>
      <c r="J9655" t="s">
        <v>1202</v>
      </c>
      <c r="L9655" t="s">
        <v>11270</v>
      </c>
      <c r="M9655" t="s">
        <v>11271</v>
      </c>
      <c r="N9655" t="s">
        <v>11271</v>
      </c>
      <c r="O9655" t="s">
        <v>73</v>
      </c>
      <c r="P9655" t="s">
        <v>1268</v>
      </c>
      <c r="Q9655" t="s">
        <v>3811</v>
      </c>
      <c r="R9655" t="s">
        <v>11271</v>
      </c>
    </row>
    <row r="9656" spans="1:18" x14ac:dyDescent="0.25">
      <c r="A9656" t="s">
        <v>22453</v>
      </c>
      <c r="B9656" t="s">
        <v>11275</v>
      </c>
      <c r="C9656" t="str">
        <f>HYPERLINK("https://nematode.unl.edu/sporon5.jpg")</f>
        <v>https://nematode.unl.edu/sporon5.jpg</v>
      </c>
      <c r="G9656" t="s">
        <v>34</v>
      </c>
      <c r="H9656" t="s">
        <v>18</v>
      </c>
      <c r="I9656" t="s">
        <v>41</v>
      </c>
      <c r="J9656" t="s">
        <v>1202</v>
      </c>
      <c r="L9656" t="s">
        <v>11270</v>
      </c>
      <c r="M9656" t="s">
        <v>11271</v>
      </c>
      <c r="N9656" t="s">
        <v>11271</v>
      </c>
      <c r="O9656" t="s">
        <v>73</v>
      </c>
      <c r="P9656" t="s">
        <v>1268</v>
      </c>
      <c r="Q9656" t="s">
        <v>3811</v>
      </c>
      <c r="R9656" t="s">
        <v>11271</v>
      </c>
    </row>
    <row r="9657" spans="1:18" x14ac:dyDescent="0.25">
      <c r="A9657" t="s">
        <v>22455</v>
      </c>
      <c r="B9657" t="s">
        <v>11276</v>
      </c>
      <c r="C9657" t="str">
        <f>HYPERLINK("https://nematode.unl.edu/sporon6.jpg")</f>
        <v>https://nematode.unl.edu/sporon6.jpg</v>
      </c>
      <c r="D9657" t="s">
        <v>43</v>
      </c>
      <c r="G9657" t="s">
        <v>87</v>
      </c>
      <c r="I9657" t="s">
        <v>529</v>
      </c>
      <c r="J9657" t="s">
        <v>1202</v>
      </c>
      <c r="L9657" t="s">
        <v>11270</v>
      </c>
      <c r="M9657" t="s">
        <v>11271</v>
      </c>
      <c r="N9657" t="s">
        <v>11271</v>
      </c>
      <c r="O9657" t="s">
        <v>73</v>
      </c>
      <c r="P9657" t="s">
        <v>1268</v>
      </c>
      <c r="Q9657" t="s">
        <v>3811</v>
      </c>
      <c r="R9657" t="s">
        <v>11271</v>
      </c>
    </row>
    <row r="9658" spans="1:18" x14ac:dyDescent="0.25">
      <c r="A9658" t="s">
        <v>22451</v>
      </c>
      <c r="B9658" t="s">
        <v>11277</v>
      </c>
      <c r="C9658" t="str">
        <f>HYPERLINK("https://nematode.unl.edu/sporonus1.jpg")</f>
        <v>https://nematode.unl.edu/sporonus1.jpg</v>
      </c>
      <c r="D9658" t="s">
        <v>43</v>
      </c>
      <c r="G9658" t="s">
        <v>96</v>
      </c>
      <c r="H9658" t="s">
        <v>18</v>
      </c>
      <c r="I9658" t="s">
        <v>45</v>
      </c>
      <c r="J9658" t="s">
        <v>3662</v>
      </c>
      <c r="M9658" t="s">
        <v>11271</v>
      </c>
      <c r="N9658" t="s">
        <v>11271</v>
      </c>
      <c r="O9658" t="s">
        <v>73</v>
      </c>
      <c r="P9658" t="s">
        <v>1268</v>
      </c>
      <c r="Q9658" t="s">
        <v>3811</v>
      </c>
      <c r="R9658" t="s">
        <v>11271</v>
      </c>
    </row>
    <row r="9659" spans="1:18" x14ac:dyDescent="0.25">
      <c r="A9659" t="s">
        <v>22459</v>
      </c>
      <c r="B9659" t="s">
        <v>11278</v>
      </c>
      <c r="C9659" t="str">
        <f>HYPERLINK("https://nematode.unl.edu/sporonus2.jpg")</f>
        <v>https://nematode.unl.edu/sporonus2.jpg</v>
      </c>
      <c r="G9659" t="s">
        <v>181</v>
      </c>
      <c r="I9659" t="s">
        <v>45</v>
      </c>
      <c r="J9659" t="s">
        <v>3662</v>
      </c>
      <c r="M9659" t="s">
        <v>11271</v>
      </c>
      <c r="N9659" t="s">
        <v>11271</v>
      </c>
      <c r="O9659" t="s">
        <v>73</v>
      </c>
      <c r="P9659" t="s">
        <v>1268</v>
      </c>
      <c r="Q9659" t="s">
        <v>3811</v>
      </c>
      <c r="R9659" t="s">
        <v>11271</v>
      </c>
    </row>
    <row r="9660" spans="1:18" x14ac:dyDescent="0.25">
      <c r="A9660" t="s">
        <v>22454</v>
      </c>
      <c r="B9660" t="s">
        <v>11279</v>
      </c>
      <c r="C9660" t="str">
        <f>HYPERLINK("https://nematode.unl.edu/sporonus3.jpg")</f>
        <v>https://nematode.unl.edu/sporonus3.jpg</v>
      </c>
      <c r="G9660" t="s">
        <v>34</v>
      </c>
      <c r="H9660" t="s">
        <v>18</v>
      </c>
      <c r="I9660" t="s">
        <v>19</v>
      </c>
      <c r="J9660" t="s">
        <v>3662</v>
      </c>
      <c r="M9660" t="s">
        <v>11271</v>
      </c>
      <c r="N9660" t="s">
        <v>11271</v>
      </c>
      <c r="O9660" t="s">
        <v>73</v>
      </c>
      <c r="P9660" t="s">
        <v>1268</v>
      </c>
      <c r="Q9660" t="s">
        <v>3811</v>
      </c>
      <c r="R9660" t="s">
        <v>11271</v>
      </c>
    </row>
    <row r="9661" spans="1:18" x14ac:dyDescent="0.25">
      <c r="A9661" t="s">
        <v>22456</v>
      </c>
      <c r="B9661" t="s">
        <v>11280</v>
      </c>
      <c r="C9661" t="str">
        <f>HYPERLINK("https://nematode.unl.edu/sporonus4.jpg")</f>
        <v>https://nematode.unl.edu/sporonus4.jpg</v>
      </c>
      <c r="D9661" t="s">
        <v>43</v>
      </c>
      <c r="G9661" t="s">
        <v>87</v>
      </c>
      <c r="J9661" t="s">
        <v>3662</v>
      </c>
      <c r="M9661" t="s">
        <v>11271</v>
      </c>
      <c r="N9661" t="s">
        <v>11271</v>
      </c>
      <c r="O9661" t="s">
        <v>73</v>
      </c>
      <c r="P9661" t="s">
        <v>1268</v>
      </c>
      <c r="Q9661" t="s">
        <v>3811</v>
      </c>
      <c r="R9661" t="s">
        <v>11271</v>
      </c>
    </row>
    <row r="9662" spans="1:18" x14ac:dyDescent="0.25">
      <c r="A9662" t="s">
        <v>22458</v>
      </c>
      <c r="B9662" t="s">
        <v>11281</v>
      </c>
      <c r="C9662" t="str">
        <f>HYPERLINK("https://nematode.unl.edu/sporonus5.jpg")</f>
        <v>https://nematode.unl.edu/sporonus5.jpg</v>
      </c>
      <c r="D9662" t="s">
        <v>43</v>
      </c>
      <c r="G9662" t="s">
        <v>1295</v>
      </c>
      <c r="I9662" t="s">
        <v>529</v>
      </c>
      <c r="J9662" t="s">
        <v>3662</v>
      </c>
      <c r="M9662" t="s">
        <v>11271</v>
      </c>
      <c r="N9662" t="s">
        <v>11271</v>
      </c>
      <c r="O9662" t="s">
        <v>73</v>
      </c>
      <c r="P9662" t="s">
        <v>1268</v>
      </c>
      <c r="Q9662" t="s">
        <v>3811</v>
      </c>
      <c r="R9662" t="s">
        <v>11271</v>
      </c>
    </row>
    <row r="9663" spans="1:18" x14ac:dyDescent="0.25">
      <c r="A9663" t="s">
        <v>17650</v>
      </c>
      <c r="B9663" t="s">
        <v>11303</v>
      </c>
      <c r="C9663" t="str">
        <f>HYPERLINK("https://nematode.unl.edu/stegl1.jpg")</f>
        <v>https://nematode.unl.edu/stegl1.jpg</v>
      </c>
      <c r="D9663" t="s">
        <v>16</v>
      </c>
      <c r="G9663" t="s">
        <v>44</v>
      </c>
      <c r="I9663" t="s">
        <v>1008</v>
      </c>
      <c r="J9663" t="s">
        <v>20</v>
      </c>
      <c r="L9663" t="s">
        <v>206</v>
      </c>
      <c r="M9663" t="s">
        <v>11304</v>
      </c>
      <c r="N9663" t="s">
        <v>11304</v>
      </c>
      <c r="O9663" t="s">
        <v>23</v>
      </c>
      <c r="P9663" t="s">
        <v>24</v>
      </c>
      <c r="Q9663" t="s">
        <v>11284</v>
      </c>
      <c r="R9663" t="s">
        <v>11283</v>
      </c>
    </row>
    <row r="9664" spans="1:18" x14ac:dyDescent="0.25">
      <c r="A9664" t="s">
        <v>17652</v>
      </c>
      <c r="B9664" t="s">
        <v>11305</v>
      </c>
      <c r="C9664" t="str">
        <f>HYPERLINK("https://nematode.unl.edu/stegl2.jpg")</f>
        <v>https://nematode.unl.edu/stegl2.jpg</v>
      </c>
      <c r="D9664" t="s">
        <v>16</v>
      </c>
      <c r="G9664" t="s">
        <v>28</v>
      </c>
      <c r="I9664" t="s">
        <v>19</v>
      </c>
      <c r="J9664" t="s">
        <v>20</v>
      </c>
      <c r="L9664" t="s">
        <v>206</v>
      </c>
      <c r="M9664" t="s">
        <v>11304</v>
      </c>
      <c r="N9664" t="s">
        <v>11304</v>
      </c>
      <c r="O9664" t="s">
        <v>23</v>
      </c>
      <c r="P9664" t="s">
        <v>24</v>
      </c>
      <c r="Q9664" t="s">
        <v>11284</v>
      </c>
      <c r="R9664" t="s">
        <v>11283</v>
      </c>
    </row>
    <row r="9665" spans="1:18" x14ac:dyDescent="0.25">
      <c r="A9665" t="s">
        <v>17647</v>
      </c>
      <c r="B9665" t="s">
        <v>11306</v>
      </c>
      <c r="C9665" t="str">
        <f>HYPERLINK("https://nematode.unl.edu/stegl3.jpg")</f>
        <v>https://nematode.unl.edu/stegl3.jpg</v>
      </c>
      <c r="D9665" t="s">
        <v>16</v>
      </c>
      <c r="G9665" t="s">
        <v>96</v>
      </c>
      <c r="H9665" t="s">
        <v>18</v>
      </c>
      <c r="I9665" t="s">
        <v>19</v>
      </c>
      <c r="J9665" t="s">
        <v>20</v>
      </c>
      <c r="L9665" t="s">
        <v>206</v>
      </c>
      <c r="M9665" t="s">
        <v>11304</v>
      </c>
      <c r="N9665" t="s">
        <v>11304</v>
      </c>
      <c r="O9665" t="s">
        <v>23</v>
      </c>
      <c r="P9665" t="s">
        <v>24</v>
      </c>
      <c r="Q9665" t="s">
        <v>11284</v>
      </c>
      <c r="R9665" t="s">
        <v>11283</v>
      </c>
    </row>
    <row r="9666" spans="1:18" x14ac:dyDescent="0.25">
      <c r="A9666" t="s">
        <v>17651</v>
      </c>
      <c r="B9666" t="s">
        <v>11307</v>
      </c>
      <c r="C9666" t="str">
        <f>HYPERLINK("https://nematode.unl.edu/stegl4.jpg")</f>
        <v>https://nematode.unl.edu/stegl4.jpg</v>
      </c>
      <c r="D9666" t="s">
        <v>16</v>
      </c>
      <c r="G9666" t="s">
        <v>44</v>
      </c>
      <c r="I9666" t="s">
        <v>91</v>
      </c>
      <c r="J9666" t="s">
        <v>20</v>
      </c>
      <c r="L9666" t="s">
        <v>206</v>
      </c>
      <c r="M9666" t="s">
        <v>11304</v>
      </c>
      <c r="N9666" t="s">
        <v>11304</v>
      </c>
      <c r="O9666" t="s">
        <v>23</v>
      </c>
      <c r="P9666" t="s">
        <v>24</v>
      </c>
      <c r="Q9666" t="s">
        <v>11284</v>
      </c>
      <c r="R9666" t="s">
        <v>11283</v>
      </c>
    </row>
    <row r="9667" spans="1:18" x14ac:dyDescent="0.25">
      <c r="A9667" t="s">
        <v>17653</v>
      </c>
      <c r="B9667" t="s">
        <v>11308</v>
      </c>
      <c r="C9667" t="str">
        <f>HYPERLINK("https://nematode.unl.edu/stegl5.jpg")</f>
        <v>https://nematode.unl.edu/stegl5.jpg</v>
      </c>
      <c r="D9667" t="s">
        <v>16</v>
      </c>
      <c r="G9667" t="s">
        <v>28</v>
      </c>
      <c r="I9667" t="s">
        <v>19</v>
      </c>
      <c r="J9667" t="s">
        <v>20</v>
      </c>
      <c r="L9667" t="s">
        <v>206</v>
      </c>
      <c r="M9667" t="s">
        <v>11304</v>
      </c>
      <c r="N9667" t="s">
        <v>11304</v>
      </c>
      <c r="O9667" t="s">
        <v>23</v>
      </c>
      <c r="P9667" t="s">
        <v>24</v>
      </c>
      <c r="Q9667" t="s">
        <v>11284</v>
      </c>
      <c r="R9667" t="s">
        <v>11283</v>
      </c>
    </row>
    <row r="9668" spans="1:18" x14ac:dyDescent="0.25">
      <c r="A9668" t="s">
        <v>17648</v>
      </c>
      <c r="B9668" t="s">
        <v>11309</v>
      </c>
      <c r="C9668" t="str">
        <f>HYPERLINK("https://nematode.unl.edu/stegl6.jpg")</f>
        <v>https://nematode.unl.edu/stegl6.jpg</v>
      </c>
      <c r="D9668" t="s">
        <v>16</v>
      </c>
      <c r="G9668" t="s">
        <v>17</v>
      </c>
      <c r="H9668" t="s">
        <v>18</v>
      </c>
      <c r="J9668" t="s">
        <v>20</v>
      </c>
      <c r="L9668" t="s">
        <v>206</v>
      </c>
      <c r="M9668" t="s">
        <v>11304</v>
      </c>
      <c r="N9668" t="s">
        <v>11304</v>
      </c>
      <c r="O9668" t="s">
        <v>23</v>
      </c>
      <c r="P9668" t="s">
        <v>24</v>
      </c>
      <c r="Q9668" t="s">
        <v>11284</v>
      </c>
      <c r="R9668" t="s">
        <v>11283</v>
      </c>
    </row>
    <row r="9669" spans="1:18" x14ac:dyDescent="0.25">
      <c r="A9669" t="s">
        <v>17649</v>
      </c>
      <c r="B9669" t="s">
        <v>11310</v>
      </c>
      <c r="C9669" t="str">
        <f>HYPERLINK("https://nematode.unl.edu/stegl7.jpg")</f>
        <v>https://nematode.unl.edu/stegl7.jpg</v>
      </c>
      <c r="D9669" t="s">
        <v>16</v>
      </c>
      <c r="G9669" t="s">
        <v>34</v>
      </c>
      <c r="H9669" t="s">
        <v>18</v>
      </c>
      <c r="I9669" t="s">
        <v>19</v>
      </c>
      <c r="J9669" t="s">
        <v>20</v>
      </c>
      <c r="L9669" t="s">
        <v>206</v>
      </c>
      <c r="M9669" t="s">
        <v>11304</v>
      </c>
      <c r="N9669" t="s">
        <v>11304</v>
      </c>
      <c r="O9669" t="s">
        <v>23</v>
      </c>
      <c r="P9669" t="s">
        <v>24</v>
      </c>
      <c r="Q9669" t="s">
        <v>11284</v>
      </c>
      <c r="R9669" t="s">
        <v>11283</v>
      </c>
    </row>
    <row r="9670" spans="1:18" x14ac:dyDescent="0.25">
      <c r="A9670" t="s">
        <v>17637</v>
      </c>
      <c r="B9670" t="s">
        <v>11282</v>
      </c>
      <c r="C9670" t="str">
        <f>HYPERLINK("https://nematode.unl.edu/steiner1.jpg")</f>
        <v>https://nematode.unl.edu/steiner1.jpg</v>
      </c>
      <c r="D9670" t="s">
        <v>16</v>
      </c>
      <c r="G9670" t="s">
        <v>44</v>
      </c>
      <c r="I9670" t="s">
        <v>45</v>
      </c>
      <c r="J9670" t="s">
        <v>20</v>
      </c>
      <c r="L9670" t="s">
        <v>38</v>
      </c>
      <c r="M9670" t="s">
        <v>11283</v>
      </c>
      <c r="N9670" t="s">
        <v>11283</v>
      </c>
      <c r="O9670" t="s">
        <v>23</v>
      </c>
      <c r="P9670" t="s">
        <v>24</v>
      </c>
      <c r="Q9670" t="s">
        <v>11284</v>
      </c>
      <c r="R9670" t="s">
        <v>11283</v>
      </c>
    </row>
    <row r="9671" spans="1:18" x14ac:dyDescent="0.25">
      <c r="A9671" t="s">
        <v>17640</v>
      </c>
      <c r="B9671" t="s">
        <v>11285</v>
      </c>
      <c r="C9671" t="str">
        <f>HYPERLINK("https://nematode.unl.edu/steiner10.jpg")</f>
        <v>https://nematode.unl.edu/steiner10.jpg</v>
      </c>
      <c r="D9671" t="s">
        <v>16</v>
      </c>
      <c r="G9671" t="s">
        <v>53</v>
      </c>
      <c r="I9671" t="s">
        <v>529</v>
      </c>
      <c r="J9671" t="s">
        <v>20</v>
      </c>
      <c r="L9671" t="s">
        <v>64</v>
      </c>
      <c r="M9671" t="s">
        <v>11283</v>
      </c>
      <c r="N9671" t="s">
        <v>11283</v>
      </c>
      <c r="O9671" t="s">
        <v>23</v>
      </c>
      <c r="P9671" t="s">
        <v>24</v>
      </c>
      <c r="Q9671" t="s">
        <v>11284</v>
      </c>
      <c r="R9671" t="s">
        <v>11283</v>
      </c>
    </row>
    <row r="9672" spans="1:18" x14ac:dyDescent="0.25">
      <c r="A9672" t="s">
        <v>17633</v>
      </c>
      <c r="B9672" t="s">
        <v>11286</v>
      </c>
      <c r="C9672" t="str">
        <f>HYPERLINK("https://nematode.unl.edu/steiner11.jpg")</f>
        <v>https://nematode.unl.edu/steiner11.jpg</v>
      </c>
      <c r="D9672" t="s">
        <v>16</v>
      </c>
      <c r="G9672" t="s">
        <v>10277</v>
      </c>
      <c r="H9672" t="s">
        <v>18</v>
      </c>
      <c r="I9672" t="s">
        <v>516</v>
      </c>
      <c r="J9672" t="s">
        <v>20</v>
      </c>
      <c r="M9672" t="s">
        <v>11283</v>
      </c>
      <c r="N9672" t="s">
        <v>11283</v>
      </c>
      <c r="O9672" t="s">
        <v>23</v>
      </c>
      <c r="P9672" t="s">
        <v>24</v>
      </c>
      <c r="Q9672" t="s">
        <v>11284</v>
      </c>
      <c r="R9672" t="s">
        <v>11283</v>
      </c>
    </row>
    <row r="9673" spans="1:18" x14ac:dyDescent="0.25">
      <c r="A9673" t="s">
        <v>17638</v>
      </c>
      <c r="B9673" t="s">
        <v>11287</v>
      </c>
      <c r="C9673" t="str">
        <f>HYPERLINK("https://nematode.unl.edu/steiner12.jpg")</f>
        <v>https://nematode.unl.edu/steiner12.jpg</v>
      </c>
      <c r="D9673" t="s">
        <v>16</v>
      </c>
      <c r="G9673" t="s">
        <v>44</v>
      </c>
      <c r="I9673" t="s">
        <v>45</v>
      </c>
      <c r="J9673" t="s">
        <v>20</v>
      </c>
      <c r="L9673" t="s">
        <v>38</v>
      </c>
      <c r="M9673" t="s">
        <v>11283</v>
      </c>
      <c r="N9673" t="s">
        <v>11283</v>
      </c>
      <c r="O9673" t="s">
        <v>23</v>
      </c>
      <c r="P9673" t="s">
        <v>24</v>
      </c>
      <c r="Q9673" t="s">
        <v>11284</v>
      </c>
      <c r="R9673" t="s">
        <v>11283</v>
      </c>
    </row>
    <row r="9674" spans="1:18" x14ac:dyDescent="0.25">
      <c r="A9674" t="s">
        <v>17644</v>
      </c>
      <c r="B9674" t="s">
        <v>11288</v>
      </c>
      <c r="C9674" t="str">
        <f>HYPERLINK("https://nematode.unl.edu/steiner13.jpg")</f>
        <v>https://nematode.unl.edu/steiner13.jpg</v>
      </c>
      <c r="D9674" t="s">
        <v>16</v>
      </c>
      <c r="G9674" t="s">
        <v>28</v>
      </c>
      <c r="I9674" t="s">
        <v>516</v>
      </c>
      <c r="J9674" t="s">
        <v>20</v>
      </c>
      <c r="L9674" t="s">
        <v>138</v>
      </c>
      <c r="M9674" t="s">
        <v>11283</v>
      </c>
      <c r="N9674" t="s">
        <v>11283</v>
      </c>
      <c r="O9674" t="s">
        <v>23</v>
      </c>
      <c r="P9674" t="s">
        <v>24</v>
      </c>
      <c r="Q9674" t="s">
        <v>11284</v>
      </c>
      <c r="R9674" t="s">
        <v>11283</v>
      </c>
    </row>
    <row r="9675" spans="1:18" x14ac:dyDescent="0.25">
      <c r="A9675" t="s">
        <v>17635</v>
      </c>
      <c r="B9675" t="s">
        <v>11289</v>
      </c>
      <c r="C9675" t="str">
        <f>HYPERLINK("https://nematode.unl.edu/steiner14.jpg")</f>
        <v>https://nematode.unl.edu/steiner14.jpg</v>
      </c>
      <c r="D9675" t="s">
        <v>16</v>
      </c>
      <c r="G9675" t="s">
        <v>87</v>
      </c>
      <c r="I9675" t="s">
        <v>41</v>
      </c>
      <c r="L9675" t="s">
        <v>38</v>
      </c>
      <c r="M9675" t="s">
        <v>11283</v>
      </c>
      <c r="N9675" t="s">
        <v>11283</v>
      </c>
      <c r="O9675" t="s">
        <v>23</v>
      </c>
      <c r="P9675" t="s">
        <v>24</v>
      </c>
      <c r="Q9675" t="s">
        <v>11284</v>
      </c>
      <c r="R9675" t="s">
        <v>11283</v>
      </c>
    </row>
    <row r="9676" spans="1:18" x14ac:dyDescent="0.25">
      <c r="A9676" t="s">
        <v>17641</v>
      </c>
      <c r="B9676" t="s">
        <v>11290</v>
      </c>
      <c r="C9676" t="str">
        <f>HYPERLINK("https://nematode.unl.edu/steiner15.jpg")</f>
        <v>https://nematode.unl.edu/steiner15.jpg</v>
      </c>
      <c r="G9676" t="s">
        <v>53</v>
      </c>
      <c r="I9676" t="s">
        <v>41</v>
      </c>
      <c r="J9676" t="s">
        <v>20</v>
      </c>
      <c r="L9676" t="s">
        <v>141</v>
      </c>
      <c r="M9676" t="s">
        <v>11283</v>
      </c>
      <c r="N9676" t="s">
        <v>11283</v>
      </c>
      <c r="O9676" t="s">
        <v>23</v>
      </c>
      <c r="P9676" t="s">
        <v>24</v>
      </c>
      <c r="Q9676" t="s">
        <v>11284</v>
      </c>
      <c r="R9676" t="s">
        <v>11283</v>
      </c>
    </row>
    <row r="9677" spans="1:18" x14ac:dyDescent="0.25">
      <c r="A9677" t="s">
        <v>17639</v>
      </c>
      <c r="B9677" t="s">
        <v>11291</v>
      </c>
      <c r="C9677" t="str">
        <f>HYPERLINK("https://nematode.unl.edu/steiner16.jpg")</f>
        <v>https://nematode.unl.edu/steiner16.jpg</v>
      </c>
      <c r="D9677" t="s">
        <v>16</v>
      </c>
      <c r="G9677" t="s">
        <v>3931</v>
      </c>
      <c r="I9677" t="s">
        <v>41</v>
      </c>
      <c r="J9677" t="s">
        <v>20</v>
      </c>
      <c r="L9677" t="s">
        <v>64</v>
      </c>
      <c r="M9677" t="s">
        <v>11283</v>
      </c>
      <c r="N9677" t="s">
        <v>11283</v>
      </c>
      <c r="O9677" t="s">
        <v>23</v>
      </c>
      <c r="P9677" t="s">
        <v>24</v>
      </c>
      <c r="Q9677" t="s">
        <v>11284</v>
      </c>
      <c r="R9677" t="s">
        <v>11283</v>
      </c>
    </row>
    <row r="9678" spans="1:18" x14ac:dyDescent="0.25">
      <c r="A9678" t="s">
        <v>17628</v>
      </c>
      <c r="B9678" t="s">
        <v>11292</v>
      </c>
      <c r="C9678" t="str">
        <f>HYPERLINK("https://nematode.unl.edu/steiner17.jpg")</f>
        <v>https://nematode.unl.edu/steiner17.jpg</v>
      </c>
      <c r="D9678" t="s">
        <v>16</v>
      </c>
      <c r="G9678" t="s">
        <v>34</v>
      </c>
      <c r="H9678" t="s">
        <v>18</v>
      </c>
      <c r="I9678" t="s">
        <v>41</v>
      </c>
      <c r="J9678" t="s">
        <v>20</v>
      </c>
      <c r="L9678" t="s">
        <v>64</v>
      </c>
      <c r="M9678" t="s">
        <v>11283</v>
      </c>
      <c r="N9678" t="s">
        <v>11283</v>
      </c>
      <c r="O9678" t="s">
        <v>23</v>
      </c>
      <c r="P9678" t="s">
        <v>24</v>
      </c>
      <c r="Q9678" t="s">
        <v>11284</v>
      </c>
      <c r="R9678" t="s">
        <v>11283</v>
      </c>
    </row>
    <row r="9679" spans="1:18" x14ac:dyDescent="0.25">
      <c r="A9679" t="s">
        <v>17642</v>
      </c>
      <c r="B9679" t="s">
        <v>11293</v>
      </c>
      <c r="C9679" t="str">
        <f>HYPERLINK("https://nematode.unl.edu/steiner18.jpg")</f>
        <v>https://nematode.unl.edu/steiner18.jpg</v>
      </c>
      <c r="D9679" t="s">
        <v>16</v>
      </c>
      <c r="G9679" t="s">
        <v>53</v>
      </c>
      <c r="I9679" t="s">
        <v>529</v>
      </c>
      <c r="J9679" t="s">
        <v>20</v>
      </c>
      <c r="L9679" t="s">
        <v>64</v>
      </c>
      <c r="M9679" t="s">
        <v>11283</v>
      </c>
      <c r="N9679" t="s">
        <v>11283</v>
      </c>
      <c r="O9679" t="s">
        <v>23</v>
      </c>
      <c r="P9679" t="s">
        <v>24</v>
      </c>
      <c r="Q9679" t="s">
        <v>11284</v>
      </c>
      <c r="R9679" t="s">
        <v>11283</v>
      </c>
    </row>
    <row r="9680" spans="1:18" x14ac:dyDescent="0.25">
      <c r="A9680" t="s">
        <v>17629</v>
      </c>
      <c r="B9680" t="s">
        <v>11294</v>
      </c>
      <c r="C9680" t="str">
        <f>HYPERLINK("https://nematode.unl.edu/steiner2.jpg")</f>
        <v>https://nematode.unl.edu/steiner2.jpg</v>
      </c>
      <c r="D9680" t="s">
        <v>16</v>
      </c>
      <c r="G9680" t="s">
        <v>34</v>
      </c>
      <c r="H9680" t="s">
        <v>18</v>
      </c>
      <c r="I9680" t="s">
        <v>19</v>
      </c>
      <c r="J9680" t="s">
        <v>20</v>
      </c>
      <c r="L9680" t="s">
        <v>141</v>
      </c>
      <c r="M9680" t="s">
        <v>11283</v>
      </c>
      <c r="N9680" t="s">
        <v>11283</v>
      </c>
      <c r="O9680" t="s">
        <v>23</v>
      </c>
      <c r="P9680" t="s">
        <v>24</v>
      </c>
      <c r="Q9680" t="s">
        <v>11284</v>
      </c>
      <c r="R9680" t="s">
        <v>11283</v>
      </c>
    </row>
    <row r="9681" spans="1:18" x14ac:dyDescent="0.25">
      <c r="A9681" t="s">
        <v>17636</v>
      </c>
      <c r="B9681" t="s">
        <v>11295</v>
      </c>
      <c r="C9681" t="str">
        <f>HYPERLINK("https://nematode.unl.edu/steiner3.jpg")</f>
        <v>https://nematode.unl.edu/steiner3.jpg</v>
      </c>
      <c r="D9681" t="s">
        <v>16</v>
      </c>
      <c r="G9681" t="s">
        <v>87</v>
      </c>
      <c r="J9681" t="s">
        <v>20</v>
      </c>
      <c r="M9681" t="s">
        <v>11283</v>
      </c>
      <c r="N9681" t="s">
        <v>11283</v>
      </c>
      <c r="O9681" t="s">
        <v>23</v>
      </c>
      <c r="P9681" t="s">
        <v>24</v>
      </c>
      <c r="Q9681" t="s">
        <v>11284</v>
      </c>
      <c r="R9681" t="s">
        <v>11283</v>
      </c>
    </row>
    <row r="9682" spans="1:18" x14ac:dyDescent="0.25">
      <c r="A9682" t="s">
        <v>17645</v>
      </c>
      <c r="B9682" t="s">
        <v>11296</v>
      </c>
      <c r="C9682" t="str">
        <f>HYPERLINK("https://nematode.unl.edu/steiner4.jpg")</f>
        <v>https://nematode.unl.edu/steiner4.jpg</v>
      </c>
      <c r="D9682" t="s">
        <v>16</v>
      </c>
      <c r="G9682" t="s">
        <v>28</v>
      </c>
      <c r="I9682" t="s">
        <v>516</v>
      </c>
      <c r="J9682" t="s">
        <v>20</v>
      </c>
      <c r="L9682" t="s">
        <v>38</v>
      </c>
      <c r="M9682" t="s">
        <v>11283</v>
      </c>
      <c r="N9682" t="s">
        <v>11283</v>
      </c>
      <c r="O9682" t="s">
        <v>23</v>
      </c>
      <c r="P9682" t="s">
        <v>24</v>
      </c>
      <c r="Q9682" t="s">
        <v>11284</v>
      </c>
      <c r="R9682" t="s">
        <v>11283</v>
      </c>
    </row>
    <row r="9683" spans="1:18" x14ac:dyDescent="0.25">
      <c r="A9683" t="s">
        <v>17630</v>
      </c>
      <c r="B9683" t="s">
        <v>11297</v>
      </c>
      <c r="C9683" t="str">
        <f>HYPERLINK("https://nematode.unl.edu/steiner5.jpg")</f>
        <v>https://nematode.unl.edu/steiner5.jpg</v>
      </c>
      <c r="D9683" t="s">
        <v>16</v>
      </c>
      <c r="G9683" t="s">
        <v>34</v>
      </c>
      <c r="H9683" t="s">
        <v>18</v>
      </c>
      <c r="I9683" t="s">
        <v>41</v>
      </c>
      <c r="J9683" t="s">
        <v>20</v>
      </c>
      <c r="L9683" t="s">
        <v>220</v>
      </c>
      <c r="M9683" t="s">
        <v>11283</v>
      </c>
      <c r="N9683" t="s">
        <v>11283</v>
      </c>
      <c r="O9683" t="s">
        <v>23</v>
      </c>
      <c r="P9683" t="s">
        <v>24</v>
      </c>
      <c r="Q9683" t="s">
        <v>11284</v>
      </c>
      <c r="R9683" t="s">
        <v>11283</v>
      </c>
    </row>
    <row r="9684" spans="1:18" x14ac:dyDescent="0.25">
      <c r="A9684" t="s">
        <v>17634</v>
      </c>
      <c r="B9684" t="s">
        <v>11298</v>
      </c>
      <c r="C9684" t="str">
        <f>HYPERLINK("https://nematode.unl.edu/steiner6.jpg")</f>
        <v>https://nematode.unl.edu/steiner6.jpg</v>
      </c>
      <c r="D9684" t="s">
        <v>16</v>
      </c>
      <c r="G9684" t="s">
        <v>384</v>
      </c>
      <c r="I9684" t="s">
        <v>529</v>
      </c>
      <c r="J9684" t="s">
        <v>20</v>
      </c>
      <c r="L9684" t="s">
        <v>38</v>
      </c>
      <c r="M9684" t="s">
        <v>11283</v>
      </c>
      <c r="N9684" t="s">
        <v>11283</v>
      </c>
      <c r="O9684" t="s">
        <v>23</v>
      </c>
      <c r="P9684" t="s">
        <v>24</v>
      </c>
      <c r="Q9684" t="s">
        <v>11284</v>
      </c>
      <c r="R9684" t="s">
        <v>11283</v>
      </c>
    </row>
    <row r="9685" spans="1:18" x14ac:dyDescent="0.25">
      <c r="A9685" t="s">
        <v>17631</v>
      </c>
      <c r="B9685" t="s">
        <v>11299</v>
      </c>
      <c r="C9685" t="str">
        <f>HYPERLINK("https://nematode.unl.edu/steiner7.jpg")</f>
        <v>https://nematode.unl.edu/steiner7.jpg</v>
      </c>
      <c r="D9685" t="s">
        <v>16</v>
      </c>
      <c r="G9685" t="s">
        <v>34</v>
      </c>
      <c r="H9685" t="s">
        <v>18</v>
      </c>
      <c r="I9685" t="s">
        <v>41</v>
      </c>
      <c r="J9685" t="s">
        <v>20</v>
      </c>
      <c r="L9685" t="s">
        <v>38</v>
      </c>
      <c r="M9685" t="s">
        <v>11283</v>
      </c>
      <c r="N9685" t="s">
        <v>11283</v>
      </c>
      <c r="O9685" t="s">
        <v>23</v>
      </c>
      <c r="P9685" t="s">
        <v>24</v>
      </c>
      <c r="Q9685" t="s">
        <v>11284</v>
      </c>
      <c r="R9685" t="s">
        <v>11283</v>
      </c>
    </row>
    <row r="9686" spans="1:18" x14ac:dyDescent="0.25">
      <c r="A9686" t="s">
        <v>17643</v>
      </c>
      <c r="B9686" t="s">
        <v>11300</v>
      </c>
      <c r="C9686" t="str">
        <f>HYPERLINK("https://nematode.unl.edu/steiner8.jpg")</f>
        <v>https://nematode.unl.edu/steiner8.jpg</v>
      </c>
      <c r="D9686" t="s">
        <v>16</v>
      </c>
      <c r="G9686" t="s">
        <v>1742</v>
      </c>
      <c r="I9686" t="s">
        <v>529</v>
      </c>
      <c r="J9686" t="s">
        <v>20</v>
      </c>
      <c r="L9686" t="s">
        <v>38</v>
      </c>
      <c r="M9686" t="s">
        <v>11283</v>
      </c>
      <c r="N9686" t="s">
        <v>11283</v>
      </c>
      <c r="O9686" t="s">
        <v>23</v>
      </c>
      <c r="P9686" t="s">
        <v>24</v>
      </c>
      <c r="Q9686" t="s">
        <v>11284</v>
      </c>
      <c r="R9686" t="s">
        <v>11283</v>
      </c>
    </row>
    <row r="9687" spans="1:18" x14ac:dyDescent="0.25">
      <c r="A9687" t="s">
        <v>17646</v>
      </c>
      <c r="B9687" t="s">
        <v>11301</v>
      </c>
      <c r="C9687" t="str">
        <f>HYPERLINK("https://nematode.unl.edu/steiner9.jpg")</f>
        <v>https://nematode.unl.edu/steiner9.jpg</v>
      </c>
      <c r="D9687" t="s">
        <v>16</v>
      </c>
      <c r="G9687" t="s">
        <v>28</v>
      </c>
      <c r="I9687" t="s">
        <v>41</v>
      </c>
      <c r="J9687" t="s">
        <v>20</v>
      </c>
      <c r="L9687" t="s">
        <v>38</v>
      </c>
      <c r="M9687" t="s">
        <v>11283</v>
      </c>
      <c r="N9687" t="s">
        <v>11283</v>
      </c>
      <c r="O9687" t="s">
        <v>23</v>
      </c>
      <c r="P9687" t="s">
        <v>24</v>
      </c>
      <c r="Q9687" t="s">
        <v>11284</v>
      </c>
      <c r="R9687" t="s">
        <v>11283</v>
      </c>
    </row>
    <row r="9688" spans="1:18" x14ac:dyDescent="0.25">
      <c r="A9688" t="s">
        <v>17632</v>
      </c>
      <c r="B9688" t="s">
        <v>11302</v>
      </c>
      <c r="C9688" t="str">
        <f>HYPERLINK("https://nematode.unl.edu/steinho1.jpg")</f>
        <v>https://nematode.unl.edu/steinho1.jpg</v>
      </c>
      <c r="D9688" t="s">
        <v>16</v>
      </c>
      <c r="G9688" t="s">
        <v>34</v>
      </c>
      <c r="H9688" t="s">
        <v>18</v>
      </c>
      <c r="L9688" t="s">
        <v>85</v>
      </c>
      <c r="M9688" t="s">
        <v>11283</v>
      </c>
      <c r="N9688" t="s">
        <v>11283</v>
      </c>
      <c r="O9688" t="s">
        <v>23</v>
      </c>
      <c r="P9688" t="s">
        <v>24</v>
      </c>
      <c r="Q9688" t="s">
        <v>11284</v>
      </c>
      <c r="R9688" t="s">
        <v>11283</v>
      </c>
    </row>
    <row r="9689" spans="1:18" x14ac:dyDescent="0.25">
      <c r="A9689" t="s">
        <v>12948</v>
      </c>
      <c r="B9689" t="s">
        <v>11311</v>
      </c>
      <c r="C9689" t="str">
        <f>HYPERLINK("https://nematode.unl.edu/suban1.jpg")</f>
        <v>https://nematode.unl.edu/suban1.jpg</v>
      </c>
      <c r="D9689" t="s">
        <v>77</v>
      </c>
      <c r="G9689" t="s">
        <v>44</v>
      </c>
      <c r="I9689" t="s">
        <v>499</v>
      </c>
      <c r="J9689" t="s">
        <v>20</v>
      </c>
      <c r="L9689" t="s">
        <v>407</v>
      </c>
      <c r="M9689" t="s">
        <v>11312</v>
      </c>
      <c r="N9689" t="s">
        <v>11312</v>
      </c>
      <c r="O9689" t="s">
        <v>23</v>
      </c>
      <c r="P9689" t="s">
        <v>24</v>
      </c>
      <c r="Q9689" t="s">
        <v>712</v>
      </c>
      <c r="R9689" t="s">
        <v>11312</v>
      </c>
    </row>
    <row r="9690" spans="1:18" x14ac:dyDescent="0.25">
      <c r="A9690" t="s">
        <v>12952</v>
      </c>
      <c r="B9690" t="s">
        <v>11313</v>
      </c>
      <c r="C9690" t="str">
        <f>HYPERLINK("https://nematode.unl.edu/suban10.jpg")</f>
        <v>https://nematode.unl.edu/suban10.jpg</v>
      </c>
      <c r="D9690" t="s">
        <v>16</v>
      </c>
      <c r="G9690" t="s">
        <v>28</v>
      </c>
      <c r="I9690" t="s">
        <v>137</v>
      </c>
      <c r="J9690" t="s">
        <v>20</v>
      </c>
      <c r="M9690" t="s">
        <v>11312</v>
      </c>
      <c r="N9690" t="s">
        <v>11312</v>
      </c>
      <c r="O9690" t="s">
        <v>23</v>
      </c>
      <c r="P9690" t="s">
        <v>24</v>
      </c>
      <c r="Q9690" t="s">
        <v>712</v>
      </c>
      <c r="R9690" t="s">
        <v>11312</v>
      </c>
    </row>
    <row r="9691" spans="1:18" x14ac:dyDescent="0.25">
      <c r="A9691" t="s">
        <v>12949</v>
      </c>
      <c r="B9691" t="s">
        <v>11314</v>
      </c>
      <c r="C9691" t="str">
        <f>HYPERLINK("https://nematode.unl.edu/suban11.jpg")</f>
        <v>https://nematode.unl.edu/suban11.jpg</v>
      </c>
      <c r="D9691" t="s">
        <v>16</v>
      </c>
      <c r="G9691" t="s">
        <v>44</v>
      </c>
      <c r="I9691" t="s">
        <v>45</v>
      </c>
      <c r="J9691" t="s">
        <v>20</v>
      </c>
      <c r="L9691" t="s">
        <v>1707</v>
      </c>
      <c r="M9691" t="s">
        <v>11312</v>
      </c>
      <c r="N9691" t="s">
        <v>11312</v>
      </c>
      <c r="O9691" t="s">
        <v>23</v>
      </c>
      <c r="P9691" t="s">
        <v>24</v>
      </c>
      <c r="Q9691" t="s">
        <v>712</v>
      </c>
      <c r="R9691" t="s">
        <v>11312</v>
      </c>
    </row>
    <row r="9692" spans="1:18" x14ac:dyDescent="0.25">
      <c r="A9692" t="s">
        <v>12942</v>
      </c>
      <c r="B9692" t="s">
        <v>11315</v>
      </c>
      <c r="C9692" t="str">
        <f>HYPERLINK("https://nematode.unl.edu/suban12.jpg")</f>
        <v>https://nematode.unl.edu/suban12.jpg</v>
      </c>
      <c r="D9692" t="s">
        <v>16</v>
      </c>
      <c r="G9692" t="s">
        <v>34</v>
      </c>
      <c r="H9692" t="s">
        <v>18</v>
      </c>
      <c r="J9692" t="s">
        <v>20</v>
      </c>
      <c r="L9692" t="s">
        <v>1707</v>
      </c>
      <c r="M9692" t="s">
        <v>11312</v>
      </c>
      <c r="N9692" t="s">
        <v>11312</v>
      </c>
      <c r="O9692" t="s">
        <v>23</v>
      </c>
      <c r="P9692" t="s">
        <v>24</v>
      </c>
      <c r="Q9692" t="s">
        <v>712</v>
      </c>
      <c r="R9692" t="s">
        <v>11312</v>
      </c>
    </row>
    <row r="9693" spans="1:18" x14ac:dyDescent="0.25">
      <c r="A9693" t="s">
        <v>12953</v>
      </c>
      <c r="B9693" t="s">
        <v>11316</v>
      </c>
      <c r="C9693" t="str">
        <f>HYPERLINK("https://nematode.unl.edu/suban13.jpg")</f>
        <v>https://nematode.unl.edu/suban13.jpg</v>
      </c>
      <c r="D9693" t="s">
        <v>16</v>
      </c>
      <c r="G9693" t="s">
        <v>28</v>
      </c>
      <c r="J9693" t="s">
        <v>20</v>
      </c>
      <c r="L9693" t="s">
        <v>1707</v>
      </c>
      <c r="M9693" t="s">
        <v>11312</v>
      </c>
      <c r="N9693" t="s">
        <v>11312</v>
      </c>
      <c r="O9693" t="s">
        <v>23</v>
      </c>
      <c r="P9693" t="s">
        <v>24</v>
      </c>
      <c r="Q9693" t="s">
        <v>712</v>
      </c>
      <c r="R9693" t="s">
        <v>11312</v>
      </c>
    </row>
    <row r="9694" spans="1:18" x14ac:dyDescent="0.25">
      <c r="A9694" t="s">
        <v>12943</v>
      </c>
      <c r="B9694" t="s">
        <v>11317</v>
      </c>
      <c r="C9694" t="str">
        <f>HYPERLINK("https://nematode.unl.edu/suban14.jpg")</f>
        <v>https://nematode.unl.edu/suban14.jpg</v>
      </c>
      <c r="D9694" t="s">
        <v>16</v>
      </c>
      <c r="G9694" t="s">
        <v>34</v>
      </c>
      <c r="H9694" t="s">
        <v>18</v>
      </c>
      <c r="I9694" t="s">
        <v>19</v>
      </c>
      <c r="J9694" t="s">
        <v>20</v>
      </c>
      <c r="L9694" t="s">
        <v>1707</v>
      </c>
      <c r="M9694" t="s">
        <v>11312</v>
      </c>
      <c r="N9694" t="s">
        <v>11312</v>
      </c>
      <c r="O9694" t="s">
        <v>23</v>
      </c>
      <c r="P9694" t="s">
        <v>24</v>
      </c>
      <c r="Q9694" t="s">
        <v>712</v>
      </c>
      <c r="R9694" t="s">
        <v>11312</v>
      </c>
    </row>
    <row r="9695" spans="1:18" x14ac:dyDescent="0.25">
      <c r="A9695" t="s">
        <v>12944</v>
      </c>
      <c r="B9695" t="s">
        <v>11318</v>
      </c>
      <c r="C9695" t="str">
        <f>HYPERLINK("https://nematode.unl.edu/suban2.jpg")</f>
        <v>https://nematode.unl.edu/suban2.jpg</v>
      </c>
      <c r="D9695" t="s">
        <v>77</v>
      </c>
      <c r="G9695" t="s">
        <v>34</v>
      </c>
      <c r="H9695" t="s">
        <v>18</v>
      </c>
      <c r="J9695" t="s">
        <v>20</v>
      </c>
      <c r="L9695" t="s">
        <v>1707</v>
      </c>
      <c r="M9695" t="s">
        <v>11312</v>
      </c>
      <c r="N9695" t="s">
        <v>11312</v>
      </c>
      <c r="O9695" t="s">
        <v>23</v>
      </c>
      <c r="P9695" t="s">
        <v>24</v>
      </c>
      <c r="Q9695" t="s">
        <v>712</v>
      </c>
      <c r="R9695" t="s">
        <v>11312</v>
      </c>
    </row>
    <row r="9696" spans="1:18" x14ac:dyDescent="0.25">
      <c r="A9696" t="s">
        <v>12954</v>
      </c>
      <c r="B9696" t="s">
        <v>11319</v>
      </c>
      <c r="C9696" t="str">
        <f>HYPERLINK("https://nematode.unl.edu/suban3.jpg")</f>
        <v>https://nematode.unl.edu/suban3.jpg</v>
      </c>
      <c r="D9696" t="s">
        <v>77</v>
      </c>
      <c r="G9696" t="s">
        <v>28</v>
      </c>
      <c r="I9696" t="s">
        <v>19</v>
      </c>
      <c r="J9696" t="s">
        <v>20</v>
      </c>
      <c r="L9696" t="s">
        <v>1707</v>
      </c>
      <c r="M9696" t="s">
        <v>11312</v>
      </c>
      <c r="N9696" t="s">
        <v>11312</v>
      </c>
      <c r="O9696" t="s">
        <v>23</v>
      </c>
      <c r="P9696" t="s">
        <v>24</v>
      </c>
      <c r="Q9696" t="s">
        <v>712</v>
      </c>
      <c r="R9696" t="s">
        <v>11312</v>
      </c>
    </row>
    <row r="9697" spans="1:18" x14ac:dyDescent="0.25">
      <c r="A9697" t="s">
        <v>12945</v>
      </c>
      <c r="B9697" t="s">
        <v>11320</v>
      </c>
      <c r="C9697" t="str">
        <f>HYPERLINK("https://nematode.unl.edu/suban4.jpg")</f>
        <v>https://nematode.unl.edu/suban4.jpg</v>
      </c>
      <c r="D9697" t="s">
        <v>77</v>
      </c>
      <c r="G9697" t="s">
        <v>34</v>
      </c>
      <c r="H9697" t="s">
        <v>18</v>
      </c>
      <c r="I9697" t="s">
        <v>41</v>
      </c>
      <c r="J9697" t="s">
        <v>20</v>
      </c>
      <c r="L9697" t="s">
        <v>1707</v>
      </c>
      <c r="M9697" t="s">
        <v>11312</v>
      </c>
      <c r="N9697" t="s">
        <v>11312</v>
      </c>
      <c r="O9697" t="s">
        <v>23</v>
      </c>
      <c r="P9697" t="s">
        <v>24</v>
      </c>
      <c r="Q9697" t="s">
        <v>712</v>
      </c>
      <c r="R9697" t="s">
        <v>11312</v>
      </c>
    </row>
    <row r="9698" spans="1:18" x14ac:dyDescent="0.25">
      <c r="A9698" t="s">
        <v>12947</v>
      </c>
      <c r="B9698" t="s">
        <v>11321</v>
      </c>
      <c r="C9698" t="str">
        <f>HYPERLINK("https://nematode.unl.edu/suban5.jpg")</f>
        <v>https://nematode.unl.edu/suban5.jpg</v>
      </c>
      <c r="D9698" t="s">
        <v>77</v>
      </c>
      <c r="G9698" t="s">
        <v>384</v>
      </c>
      <c r="I9698" t="s">
        <v>41</v>
      </c>
      <c r="J9698" t="s">
        <v>20</v>
      </c>
      <c r="L9698" t="s">
        <v>1707</v>
      </c>
      <c r="M9698" t="s">
        <v>11312</v>
      </c>
      <c r="N9698" t="s">
        <v>11312</v>
      </c>
      <c r="O9698" t="s">
        <v>23</v>
      </c>
      <c r="P9698" t="s">
        <v>24</v>
      </c>
      <c r="Q9698" t="s">
        <v>712</v>
      </c>
      <c r="R9698" t="s">
        <v>11312</v>
      </c>
    </row>
    <row r="9699" spans="1:18" x14ac:dyDescent="0.25">
      <c r="A9699" t="s">
        <v>12951</v>
      </c>
      <c r="B9699" t="s">
        <v>11322</v>
      </c>
      <c r="C9699" t="str">
        <f>HYPERLINK("https://nematode.unl.edu/suban6.jpg")</f>
        <v>https://nematode.unl.edu/suban6.jpg</v>
      </c>
      <c r="D9699" t="s">
        <v>77</v>
      </c>
      <c r="G9699" t="s">
        <v>112</v>
      </c>
      <c r="I9699" t="s">
        <v>41</v>
      </c>
      <c r="J9699" t="s">
        <v>20</v>
      </c>
      <c r="L9699" t="s">
        <v>1707</v>
      </c>
      <c r="M9699" t="s">
        <v>11312</v>
      </c>
      <c r="N9699" t="s">
        <v>11312</v>
      </c>
      <c r="O9699" t="s">
        <v>23</v>
      </c>
      <c r="P9699" t="s">
        <v>24</v>
      </c>
      <c r="Q9699" t="s">
        <v>712</v>
      </c>
      <c r="R9699" t="s">
        <v>11312</v>
      </c>
    </row>
    <row r="9700" spans="1:18" x14ac:dyDescent="0.25">
      <c r="A9700" t="s">
        <v>12955</v>
      </c>
      <c r="B9700" t="s">
        <v>11323</v>
      </c>
      <c r="C9700" t="str">
        <f>HYPERLINK("https://nematode.unl.edu/suban7.jpg")</f>
        <v>https://nematode.unl.edu/suban7.jpg</v>
      </c>
      <c r="D9700" t="s">
        <v>77</v>
      </c>
      <c r="G9700" t="s">
        <v>28</v>
      </c>
      <c r="J9700" t="s">
        <v>20</v>
      </c>
      <c r="L9700" t="s">
        <v>1707</v>
      </c>
      <c r="M9700" t="s">
        <v>11312</v>
      </c>
      <c r="N9700" t="s">
        <v>11312</v>
      </c>
      <c r="O9700" t="s">
        <v>23</v>
      </c>
      <c r="P9700" t="s">
        <v>24</v>
      </c>
      <c r="Q9700" t="s">
        <v>712</v>
      </c>
      <c r="R9700" t="s">
        <v>11312</v>
      </c>
    </row>
    <row r="9701" spans="1:18" x14ac:dyDescent="0.25">
      <c r="A9701" t="s">
        <v>12950</v>
      </c>
      <c r="B9701" t="s">
        <v>11324</v>
      </c>
      <c r="C9701" t="str">
        <f>HYPERLINK("https://nematode.unl.edu/suban8.jpg")</f>
        <v>https://nematode.unl.edu/suban8.jpg</v>
      </c>
      <c r="D9701" t="s">
        <v>16</v>
      </c>
      <c r="G9701" t="s">
        <v>44</v>
      </c>
      <c r="I9701" t="s">
        <v>45</v>
      </c>
      <c r="J9701" t="s">
        <v>20</v>
      </c>
      <c r="L9701" t="s">
        <v>1707</v>
      </c>
      <c r="M9701" t="s">
        <v>11312</v>
      </c>
      <c r="N9701" t="s">
        <v>11312</v>
      </c>
      <c r="O9701" t="s">
        <v>23</v>
      </c>
      <c r="P9701" t="s">
        <v>24</v>
      </c>
      <c r="Q9701" t="s">
        <v>712</v>
      </c>
      <c r="R9701" t="s">
        <v>11312</v>
      </c>
    </row>
    <row r="9702" spans="1:18" x14ac:dyDescent="0.25">
      <c r="A9702" t="s">
        <v>12946</v>
      </c>
      <c r="B9702" t="s">
        <v>11325</v>
      </c>
      <c r="C9702" t="str">
        <f>HYPERLINK("https://nematode.unl.edu/suban9.jpg")</f>
        <v>https://nematode.unl.edu/suban9.jpg</v>
      </c>
      <c r="D9702" t="s">
        <v>16</v>
      </c>
      <c r="G9702" t="s">
        <v>34</v>
      </c>
      <c r="H9702" t="s">
        <v>18</v>
      </c>
      <c r="I9702" t="s">
        <v>137</v>
      </c>
      <c r="J9702" t="s">
        <v>20</v>
      </c>
      <c r="L9702" t="s">
        <v>1707</v>
      </c>
      <c r="M9702" t="s">
        <v>11312</v>
      </c>
      <c r="N9702" t="s">
        <v>11312</v>
      </c>
      <c r="O9702" t="s">
        <v>23</v>
      </c>
      <c r="P9702" t="s">
        <v>24</v>
      </c>
      <c r="Q9702" t="s">
        <v>712</v>
      </c>
      <c r="R9702" t="s">
        <v>11312</v>
      </c>
    </row>
    <row r="9703" spans="1:18" x14ac:dyDescent="0.25">
      <c r="A9703" t="s">
        <v>17655</v>
      </c>
      <c r="B9703" t="s">
        <v>11326</v>
      </c>
      <c r="C9703" t="str">
        <f>HYPERLINK("https://nematode.unl.edu/sycho1.jpg")</f>
        <v>https://nematode.unl.edu/sycho1.jpg</v>
      </c>
      <c r="D9703" t="s">
        <v>77</v>
      </c>
      <c r="G9703" t="s">
        <v>44</v>
      </c>
      <c r="I9703" t="s">
        <v>45</v>
      </c>
      <c r="J9703" t="s">
        <v>11327</v>
      </c>
      <c r="L9703" t="s">
        <v>11328</v>
      </c>
      <c r="M9703" t="s">
        <v>11329</v>
      </c>
      <c r="N9703" t="s">
        <v>11329</v>
      </c>
      <c r="O9703" t="s">
        <v>23</v>
      </c>
      <c r="P9703" t="s">
        <v>24</v>
      </c>
      <c r="Q9703" t="s">
        <v>11330</v>
      </c>
      <c r="R9703" t="s">
        <v>11329</v>
      </c>
    </row>
    <row r="9704" spans="1:18" x14ac:dyDescent="0.25">
      <c r="A9704" t="s">
        <v>17654</v>
      </c>
      <c r="B9704" t="s">
        <v>11331</v>
      </c>
      <c r="C9704" t="str">
        <f>HYPERLINK("https://nematode.unl.edu/sycho2.jpg")</f>
        <v>https://nematode.unl.edu/sycho2.jpg</v>
      </c>
      <c r="D9704" t="s">
        <v>77</v>
      </c>
      <c r="G9704" t="s">
        <v>34</v>
      </c>
      <c r="H9704" t="s">
        <v>18</v>
      </c>
      <c r="I9704" t="s">
        <v>516</v>
      </c>
      <c r="J9704" t="s">
        <v>11327</v>
      </c>
      <c r="L9704" t="s">
        <v>11328</v>
      </c>
      <c r="M9704" t="s">
        <v>11329</v>
      </c>
      <c r="N9704" t="s">
        <v>11329</v>
      </c>
      <c r="O9704" t="s">
        <v>23</v>
      </c>
      <c r="P9704" t="s">
        <v>24</v>
      </c>
      <c r="Q9704" t="s">
        <v>11330</v>
      </c>
      <c r="R9704" t="s">
        <v>11329</v>
      </c>
    </row>
    <row r="9705" spans="1:18" x14ac:dyDescent="0.25">
      <c r="A9705" t="s">
        <v>17656</v>
      </c>
      <c r="B9705" t="s">
        <v>11332</v>
      </c>
      <c r="C9705" t="str">
        <f>HYPERLINK("https://nematode.unl.edu/sycho3.jpg")</f>
        <v>https://nematode.unl.edu/sycho3.jpg</v>
      </c>
      <c r="D9705" t="s">
        <v>77</v>
      </c>
      <c r="G9705" t="s">
        <v>28</v>
      </c>
      <c r="J9705" t="s">
        <v>11327</v>
      </c>
      <c r="L9705" t="s">
        <v>11328</v>
      </c>
      <c r="M9705" t="s">
        <v>11329</v>
      </c>
      <c r="N9705" t="s">
        <v>11329</v>
      </c>
      <c r="O9705" t="s">
        <v>23</v>
      </c>
      <c r="P9705" t="s">
        <v>24</v>
      </c>
      <c r="Q9705" t="s">
        <v>11330</v>
      </c>
      <c r="R9705" t="s">
        <v>11329</v>
      </c>
    </row>
    <row r="9706" spans="1:18" x14ac:dyDescent="0.25">
      <c r="A9706" t="s">
        <v>19724</v>
      </c>
      <c r="B9706" t="s">
        <v>486</v>
      </c>
      <c r="C9706" t="str">
        <f>HYPERLINK("https://nematode.unl.edu/takac1.jpg")</f>
        <v>https://nematode.unl.edu/takac1.jpg</v>
      </c>
      <c r="D9706" t="s">
        <v>43</v>
      </c>
      <c r="G9706" t="s">
        <v>44</v>
      </c>
      <c r="I9706" t="s">
        <v>45</v>
      </c>
      <c r="J9706" t="s">
        <v>20</v>
      </c>
      <c r="L9706" t="s">
        <v>456</v>
      </c>
      <c r="M9706" t="s">
        <v>487</v>
      </c>
      <c r="N9706" t="s">
        <v>488</v>
      </c>
      <c r="O9706" t="s">
        <v>73</v>
      </c>
      <c r="P9706" t="s">
        <v>81</v>
      </c>
      <c r="Q9706" t="s">
        <v>489</v>
      </c>
      <c r="R9706" t="s">
        <v>490</v>
      </c>
    </row>
    <row r="9707" spans="1:18" x14ac:dyDescent="0.25">
      <c r="A9707" t="s">
        <v>19741</v>
      </c>
      <c r="B9707" t="s">
        <v>491</v>
      </c>
      <c r="C9707" t="str">
        <f>HYPERLINK("https://nematode.unl.edu/takac10.jpg")</f>
        <v>https://nematode.unl.edu/takac10.jpg</v>
      </c>
      <c r="D9707" t="s">
        <v>43</v>
      </c>
      <c r="G9707" t="s">
        <v>51</v>
      </c>
      <c r="J9707" t="s">
        <v>20</v>
      </c>
      <c r="L9707" t="s">
        <v>456</v>
      </c>
      <c r="M9707" t="s">
        <v>487</v>
      </c>
      <c r="N9707" t="s">
        <v>488</v>
      </c>
      <c r="O9707" t="s">
        <v>73</v>
      </c>
      <c r="P9707" t="s">
        <v>81</v>
      </c>
      <c r="Q9707" t="s">
        <v>489</v>
      </c>
      <c r="R9707" t="s">
        <v>490</v>
      </c>
    </row>
    <row r="9708" spans="1:18" x14ac:dyDescent="0.25">
      <c r="A9708" t="s">
        <v>19730</v>
      </c>
      <c r="B9708" t="s">
        <v>492</v>
      </c>
      <c r="C9708" t="str">
        <f>HYPERLINK("https://nematode.unl.edu/takac11.jpg")</f>
        <v>https://nematode.unl.edu/takac11.jpg</v>
      </c>
      <c r="D9708" t="s">
        <v>43</v>
      </c>
      <c r="G9708" t="s">
        <v>28</v>
      </c>
      <c r="J9708" t="s">
        <v>20</v>
      </c>
      <c r="L9708" t="s">
        <v>456</v>
      </c>
      <c r="M9708" t="s">
        <v>487</v>
      </c>
      <c r="N9708" t="s">
        <v>488</v>
      </c>
      <c r="O9708" t="s">
        <v>73</v>
      </c>
      <c r="P9708" t="s">
        <v>81</v>
      </c>
      <c r="Q9708" t="s">
        <v>489</v>
      </c>
      <c r="R9708" t="s">
        <v>490</v>
      </c>
    </row>
    <row r="9709" spans="1:18" x14ac:dyDescent="0.25">
      <c r="A9709" t="s">
        <v>19725</v>
      </c>
      <c r="B9709" t="s">
        <v>493</v>
      </c>
      <c r="C9709" t="str">
        <f>HYPERLINK("https://nematode.unl.edu/takac12.jpg")</f>
        <v>https://nematode.unl.edu/takac12.jpg</v>
      </c>
      <c r="D9709" t="s">
        <v>43</v>
      </c>
      <c r="G9709" t="s">
        <v>44</v>
      </c>
      <c r="J9709" t="s">
        <v>20</v>
      </c>
      <c r="L9709" t="s">
        <v>456</v>
      </c>
      <c r="M9709" t="s">
        <v>487</v>
      </c>
      <c r="N9709" t="s">
        <v>488</v>
      </c>
      <c r="O9709" t="s">
        <v>73</v>
      </c>
      <c r="P9709" t="s">
        <v>81</v>
      </c>
      <c r="Q9709" t="s">
        <v>489</v>
      </c>
      <c r="R9709" t="s">
        <v>490</v>
      </c>
    </row>
    <row r="9710" spans="1:18" x14ac:dyDescent="0.25">
      <c r="A9710" t="s">
        <v>19706</v>
      </c>
      <c r="B9710" t="s">
        <v>494</v>
      </c>
      <c r="C9710" t="str">
        <f>HYPERLINK("https://nematode.unl.edu/takac13.jpg")</f>
        <v>https://nematode.unl.edu/takac13.jpg</v>
      </c>
      <c r="D9710" t="s">
        <v>43</v>
      </c>
      <c r="G9710" t="s">
        <v>34</v>
      </c>
      <c r="H9710" t="s">
        <v>18</v>
      </c>
      <c r="I9710" t="s">
        <v>19</v>
      </c>
      <c r="J9710" t="s">
        <v>20</v>
      </c>
      <c r="L9710" t="s">
        <v>456</v>
      </c>
      <c r="M9710" t="s">
        <v>487</v>
      </c>
      <c r="N9710" t="s">
        <v>488</v>
      </c>
      <c r="O9710" t="s">
        <v>73</v>
      </c>
      <c r="P9710" t="s">
        <v>81</v>
      </c>
      <c r="Q9710" t="s">
        <v>489</v>
      </c>
      <c r="R9710" t="s">
        <v>490</v>
      </c>
    </row>
    <row r="9711" spans="1:18" x14ac:dyDescent="0.25">
      <c r="A9711" t="s">
        <v>19718</v>
      </c>
      <c r="B9711" t="s">
        <v>495</v>
      </c>
      <c r="C9711" t="str">
        <f>HYPERLINK("https://nematode.unl.edu/takac14.jpg")</f>
        <v>https://nematode.unl.edu/takac14.jpg</v>
      </c>
      <c r="D9711" t="s">
        <v>43</v>
      </c>
      <c r="G9711" t="s">
        <v>87</v>
      </c>
      <c r="J9711" t="s">
        <v>20</v>
      </c>
      <c r="L9711" t="s">
        <v>456</v>
      </c>
      <c r="M9711" t="s">
        <v>487</v>
      </c>
      <c r="N9711" t="s">
        <v>488</v>
      </c>
      <c r="O9711" t="s">
        <v>73</v>
      </c>
      <c r="P9711" t="s">
        <v>81</v>
      </c>
      <c r="Q9711" t="s">
        <v>489</v>
      </c>
      <c r="R9711" t="s">
        <v>490</v>
      </c>
    </row>
    <row r="9712" spans="1:18" x14ac:dyDescent="0.25">
      <c r="A9712" t="s">
        <v>19742</v>
      </c>
      <c r="B9712" t="s">
        <v>496</v>
      </c>
      <c r="C9712" t="str">
        <f>HYPERLINK("https://nematode.unl.edu/takac15.jpg")</f>
        <v>https://nematode.unl.edu/takac15.jpg</v>
      </c>
      <c r="D9712" t="s">
        <v>43</v>
      </c>
      <c r="G9712" t="s">
        <v>51</v>
      </c>
      <c r="J9712" t="s">
        <v>20</v>
      </c>
      <c r="L9712" t="s">
        <v>456</v>
      </c>
      <c r="M9712" t="s">
        <v>487</v>
      </c>
      <c r="N9712" t="s">
        <v>488</v>
      </c>
      <c r="O9712" t="s">
        <v>73</v>
      </c>
      <c r="P9712" t="s">
        <v>81</v>
      </c>
      <c r="Q9712" t="s">
        <v>489</v>
      </c>
      <c r="R9712" t="s">
        <v>490</v>
      </c>
    </row>
    <row r="9713" spans="1:18" x14ac:dyDescent="0.25">
      <c r="A9713" t="s">
        <v>19731</v>
      </c>
      <c r="B9713" t="s">
        <v>497</v>
      </c>
      <c r="C9713" t="str">
        <f>HYPERLINK("https://nematode.unl.edu/takac16.jpg")</f>
        <v>https://nematode.unl.edu/takac16.jpg</v>
      </c>
      <c r="D9713" t="s">
        <v>43</v>
      </c>
      <c r="G9713" t="s">
        <v>28</v>
      </c>
      <c r="J9713" t="s">
        <v>20</v>
      </c>
      <c r="L9713" t="s">
        <v>456</v>
      </c>
      <c r="M9713" t="s">
        <v>487</v>
      </c>
      <c r="N9713" t="s">
        <v>488</v>
      </c>
      <c r="O9713" t="s">
        <v>73</v>
      </c>
      <c r="P9713" t="s">
        <v>81</v>
      </c>
      <c r="Q9713" t="s">
        <v>489</v>
      </c>
      <c r="R9713" t="s">
        <v>490</v>
      </c>
    </row>
    <row r="9714" spans="1:18" x14ac:dyDescent="0.25">
      <c r="A9714" t="s">
        <v>19726</v>
      </c>
      <c r="B9714" t="s">
        <v>498</v>
      </c>
      <c r="C9714" t="str">
        <f>HYPERLINK("https://nematode.unl.edu/takac17.jpg")</f>
        <v>https://nematode.unl.edu/takac17.jpg</v>
      </c>
      <c r="G9714" t="s">
        <v>44</v>
      </c>
      <c r="I9714" t="s">
        <v>499</v>
      </c>
      <c r="J9714" t="s">
        <v>20</v>
      </c>
      <c r="L9714" t="s">
        <v>456</v>
      </c>
      <c r="M9714" t="s">
        <v>487</v>
      </c>
      <c r="N9714" t="s">
        <v>488</v>
      </c>
      <c r="O9714" t="s">
        <v>73</v>
      </c>
      <c r="P9714" t="s">
        <v>81</v>
      </c>
      <c r="Q9714" t="s">
        <v>489</v>
      </c>
      <c r="R9714" t="s">
        <v>490</v>
      </c>
    </row>
    <row r="9715" spans="1:18" x14ac:dyDescent="0.25">
      <c r="A9715" t="s">
        <v>19707</v>
      </c>
      <c r="B9715" t="s">
        <v>500</v>
      </c>
      <c r="C9715" t="str">
        <f>HYPERLINK("https://nematode.unl.edu/takac18.jpg")</f>
        <v>https://nematode.unl.edu/takac18.jpg</v>
      </c>
      <c r="D9715" t="s">
        <v>43</v>
      </c>
      <c r="G9715" t="s">
        <v>34</v>
      </c>
      <c r="H9715" t="s">
        <v>18</v>
      </c>
      <c r="J9715" t="s">
        <v>20</v>
      </c>
      <c r="L9715" t="s">
        <v>456</v>
      </c>
      <c r="M9715" t="s">
        <v>487</v>
      </c>
      <c r="N9715" t="s">
        <v>488</v>
      </c>
      <c r="O9715" t="s">
        <v>73</v>
      </c>
      <c r="P9715" t="s">
        <v>81</v>
      </c>
      <c r="Q9715" t="s">
        <v>489</v>
      </c>
      <c r="R9715" t="s">
        <v>490</v>
      </c>
    </row>
    <row r="9716" spans="1:18" x14ac:dyDescent="0.25">
      <c r="A9716" t="s">
        <v>19719</v>
      </c>
      <c r="B9716" t="s">
        <v>501</v>
      </c>
      <c r="C9716" t="str">
        <f>HYPERLINK("https://nematode.unl.edu/takac19.jpg")</f>
        <v>https://nematode.unl.edu/takac19.jpg</v>
      </c>
      <c r="D9716" t="s">
        <v>43</v>
      </c>
      <c r="G9716" t="s">
        <v>87</v>
      </c>
      <c r="J9716" t="s">
        <v>20</v>
      </c>
      <c r="L9716" t="s">
        <v>456</v>
      </c>
      <c r="M9716" t="s">
        <v>487</v>
      </c>
      <c r="N9716" t="s">
        <v>488</v>
      </c>
      <c r="O9716" t="s">
        <v>73</v>
      </c>
      <c r="P9716" t="s">
        <v>81</v>
      </c>
      <c r="Q9716" t="s">
        <v>489</v>
      </c>
      <c r="R9716" t="s">
        <v>490</v>
      </c>
    </row>
    <row r="9717" spans="1:18" x14ac:dyDescent="0.25">
      <c r="A9717" t="s">
        <v>19732</v>
      </c>
      <c r="B9717" t="s">
        <v>502</v>
      </c>
      <c r="C9717" t="str">
        <f>HYPERLINK("https://nematode.unl.edu/takac2.jpg")</f>
        <v>https://nematode.unl.edu/takac2.jpg</v>
      </c>
      <c r="D9717" t="s">
        <v>43</v>
      </c>
      <c r="G9717" t="s">
        <v>28</v>
      </c>
      <c r="J9717" t="s">
        <v>20</v>
      </c>
      <c r="L9717" t="s">
        <v>456</v>
      </c>
      <c r="M9717" t="s">
        <v>487</v>
      </c>
      <c r="N9717" t="s">
        <v>488</v>
      </c>
      <c r="O9717" t="s">
        <v>73</v>
      </c>
      <c r="P9717" t="s">
        <v>81</v>
      </c>
      <c r="Q9717" t="s">
        <v>489</v>
      </c>
      <c r="R9717" t="s">
        <v>490</v>
      </c>
    </row>
    <row r="9718" spans="1:18" x14ac:dyDescent="0.25">
      <c r="A9718" t="s">
        <v>19743</v>
      </c>
      <c r="B9718" t="s">
        <v>503</v>
      </c>
      <c r="C9718" t="str">
        <f>HYPERLINK("https://nematode.unl.edu/takac20.jpg")</f>
        <v>https://nematode.unl.edu/takac20.jpg</v>
      </c>
      <c r="D9718" t="s">
        <v>43</v>
      </c>
      <c r="G9718" t="s">
        <v>51</v>
      </c>
      <c r="I9718" t="s">
        <v>19</v>
      </c>
      <c r="J9718" t="s">
        <v>20</v>
      </c>
      <c r="L9718" t="s">
        <v>456</v>
      </c>
      <c r="M9718" t="s">
        <v>487</v>
      </c>
      <c r="N9718" t="s">
        <v>488</v>
      </c>
      <c r="O9718" t="s">
        <v>73</v>
      </c>
      <c r="P9718" t="s">
        <v>81</v>
      </c>
      <c r="Q9718" t="s">
        <v>489</v>
      </c>
      <c r="R9718" t="s">
        <v>490</v>
      </c>
    </row>
    <row r="9719" spans="1:18" x14ac:dyDescent="0.25">
      <c r="A9719" t="s">
        <v>19733</v>
      </c>
      <c r="B9719" t="s">
        <v>504</v>
      </c>
      <c r="C9719" t="str">
        <f>HYPERLINK("https://nematode.unl.edu/takac21.jpg")</f>
        <v>https://nematode.unl.edu/takac21.jpg</v>
      </c>
      <c r="D9719" t="s">
        <v>43</v>
      </c>
      <c r="G9719" t="s">
        <v>28</v>
      </c>
      <c r="J9719" t="s">
        <v>20</v>
      </c>
      <c r="L9719" t="s">
        <v>456</v>
      </c>
      <c r="M9719" t="s">
        <v>487</v>
      </c>
      <c r="N9719" t="s">
        <v>488</v>
      </c>
      <c r="O9719" t="s">
        <v>73</v>
      </c>
      <c r="P9719" t="s">
        <v>81</v>
      </c>
      <c r="Q9719" t="s">
        <v>489</v>
      </c>
      <c r="R9719" t="s">
        <v>490</v>
      </c>
    </row>
    <row r="9720" spans="1:18" x14ac:dyDescent="0.25">
      <c r="A9720" t="s">
        <v>19708</v>
      </c>
      <c r="B9720" t="s">
        <v>505</v>
      </c>
      <c r="C9720" t="str">
        <f>HYPERLINK("https://nematode.unl.edu/takac22.jpg")</f>
        <v>https://nematode.unl.edu/takac22.jpg</v>
      </c>
      <c r="D9720" t="s">
        <v>16</v>
      </c>
      <c r="G9720" t="s">
        <v>34</v>
      </c>
      <c r="H9720" t="s">
        <v>18</v>
      </c>
      <c r="J9720" t="s">
        <v>20</v>
      </c>
      <c r="L9720" t="s">
        <v>456</v>
      </c>
      <c r="M9720" t="s">
        <v>487</v>
      </c>
      <c r="N9720" t="s">
        <v>488</v>
      </c>
      <c r="O9720" t="s">
        <v>73</v>
      </c>
      <c r="P9720" t="s">
        <v>81</v>
      </c>
      <c r="Q9720" t="s">
        <v>489</v>
      </c>
      <c r="R9720" t="s">
        <v>490</v>
      </c>
    </row>
    <row r="9721" spans="1:18" x14ac:dyDescent="0.25">
      <c r="A9721" t="s">
        <v>19720</v>
      </c>
      <c r="B9721" t="s">
        <v>506</v>
      </c>
      <c r="C9721" t="str">
        <f>HYPERLINK("https://nematode.unl.edu/takac23.jpg")</f>
        <v>https://nematode.unl.edu/takac23.jpg</v>
      </c>
      <c r="D9721" t="s">
        <v>16</v>
      </c>
      <c r="G9721" t="s">
        <v>87</v>
      </c>
      <c r="J9721" t="s">
        <v>20</v>
      </c>
      <c r="L9721" t="s">
        <v>456</v>
      </c>
      <c r="M9721" t="s">
        <v>487</v>
      </c>
      <c r="N9721" t="s">
        <v>488</v>
      </c>
      <c r="O9721" t="s">
        <v>73</v>
      </c>
      <c r="P9721" t="s">
        <v>81</v>
      </c>
      <c r="Q9721" t="s">
        <v>489</v>
      </c>
      <c r="R9721" t="s">
        <v>490</v>
      </c>
    </row>
    <row r="9722" spans="1:18" x14ac:dyDescent="0.25">
      <c r="A9722" t="s">
        <v>19734</v>
      </c>
      <c r="B9722" t="s">
        <v>507</v>
      </c>
      <c r="C9722" t="str">
        <f>HYPERLINK("https://nematode.unl.edu/takac24.jpg")</f>
        <v>https://nematode.unl.edu/takac24.jpg</v>
      </c>
      <c r="D9722" t="s">
        <v>16</v>
      </c>
      <c r="G9722" t="s">
        <v>28</v>
      </c>
      <c r="I9722" t="s">
        <v>19</v>
      </c>
      <c r="J9722" t="s">
        <v>20</v>
      </c>
      <c r="L9722" t="s">
        <v>456</v>
      </c>
      <c r="M9722" t="s">
        <v>487</v>
      </c>
      <c r="N9722" t="s">
        <v>488</v>
      </c>
      <c r="O9722" t="s">
        <v>73</v>
      </c>
      <c r="P9722" t="s">
        <v>81</v>
      </c>
      <c r="Q9722" t="s">
        <v>489</v>
      </c>
      <c r="R9722" t="s">
        <v>490</v>
      </c>
    </row>
    <row r="9723" spans="1:18" x14ac:dyDescent="0.25">
      <c r="A9723" t="s">
        <v>19721</v>
      </c>
      <c r="B9723" t="s">
        <v>508</v>
      </c>
      <c r="C9723" t="str">
        <f>HYPERLINK("https://nematode.unl.edu/takac25.jpg")</f>
        <v>https://nematode.unl.edu/takac25.jpg</v>
      </c>
      <c r="D9723" t="s">
        <v>16</v>
      </c>
      <c r="G9723" t="s">
        <v>87</v>
      </c>
      <c r="I9723" t="s">
        <v>19</v>
      </c>
      <c r="J9723" t="s">
        <v>20</v>
      </c>
      <c r="L9723" t="s">
        <v>456</v>
      </c>
      <c r="M9723" t="s">
        <v>487</v>
      </c>
      <c r="N9723" t="s">
        <v>488</v>
      </c>
      <c r="O9723" t="s">
        <v>73</v>
      </c>
      <c r="P9723" t="s">
        <v>81</v>
      </c>
      <c r="Q9723" t="s">
        <v>489</v>
      </c>
      <c r="R9723" t="s">
        <v>490</v>
      </c>
    </row>
    <row r="9724" spans="1:18" x14ac:dyDescent="0.25">
      <c r="A9724" t="s">
        <v>19735</v>
      </c>
      <c r="B9724" t="s">
        <v>509</v>
      </c>
      <c r="C9724" t="str">
        <f>HYPERLINK("https://nematode.unl.edu/takac26.jpg")</f>
        <v>https://nematode.unl.edu/takac26.jpg</v>
      </c>
      <c r="D9724" t="s">
        <v>16</v>
      </c>
      <c r="G9724" t="s">
        <v>28</v>
      </c>
      <c r="I9724" t="s">
        <v>19</v>
      </c>
      <c r="J9724" t="s">
        <v>20</v>
      </c>
      <c r="L9724" t="s">
        <v>456</v>
      </c>
      <c r="M9724" t="s">
        <v>487</v>
      </c>
      <c r="N9724" t="s">
        <v>488</v>
      </c>
      <c r="O9724" t="s">
        <v>73</v>
      </c>
      <c r="P9724" t="s">
        <v>81</v>
      </c>
      <c r="Q9724" t="s">
        <v>489</v>
      </c>
      <c r="R9724" t="s">
        <v>490</v>
      </c>
    </row>
    <row r="9725" spans="1:18" x14ac:dyDescent="0.25">
      <c r="A9725" t="s">
        <v>19709</v>
      </c>
      <c r="B9725" t="s">
        <v>510</v>
      </c>
      <c r="C9725" t="str">
        <f>HYPERLINK("https://nematode.unl.edu/takac27.jpg")</f>
        <v>https://nematode.unl.edu/takac27.jpg</v>
      </c>
      <c r="D9725" t="s">
        <v>16</v>
      </c>
      <c r="G9725" t="s">
        <v>34</v>
      </c>
      <c r="H9725" t="s">
        <v>18</v>
      </c>
      <c r="I9725" t="s">
        <v>19</v>
      </c>
      <c r="J9725" t="s">
        <v>20</v>
      </c>
      <c r="L9725" t="s">
        <v>456</v>
      </c>
      <c r="M9725" t="s">
        <v>487</v>
      </c>
      <c r="N9725" t="s">
        <v>488</v>
      </c>
      <c r="O9725" t="s">
        <v>73</v>
      </c>
      <c r="P9725" t="s">
        <v>81</v>
      </c>
      <c r="Q9725" t="s">
        <v>489</v>
      </c>
      <c r="R9725" t="s">
        <v>490</v>
      </c>
    </row>
    <row r="9726" spans="1:18" x14ac:dyDescent="0.25">
      <c r="A9726" t="s">
        <v>19727</v>
      </c>
      <c r="B9726" t="s">
        <v>511</v>
      </c>
      <c r="C9726" t="str">
        <f>HYPERLINK("https://nematode.unl.edu/takac28.jpg")</f>
        <v>https://nematode.unl.edu/takac28.jpg</v>
      </c>
      <c r="D9726" t="s">
        <v>43</v>
      </c>
      <c r="G9726" t="s">
        <v>44</v>
      </c>
      <c r="I9726" t="s">
        <v>45</v>
      </c>
      <c r="J9726" t="s">
        <v>20</v>
      </c>
      <c r="L9726" t="s">
        <v>456</v>
      </c>
      <c r="M9726" t="s">
        <v>487</v>
      </c>
      <c r="N9726" t="s">
        <v>488</v>
      </c>
      <c r="O9726" t="s">
        <v>73</v>
      </c>
      <c r="P9726" t="s">
        <v>81</v>
      </c>
      <c r="Q9726" t="s">
        <v>489</v>
      </c>
      <c r="R9726" t="s">
        <v>490</v>
      </c>
    </row>
    <row r="9727" spans="1:18" x14ac:dyDescent="0.25">
      <c r="A9727" t="s">
        <v>19736</v>
      </c>
      <c r="B9727" t="s">
        <v>512</v>
      </c>
      <c r="C9727" t="str">
        <f>HYPERLINK("https://nematode.unl.edu/takac29.jpg")</f>
        <v>https://nematode.unl.edu/takac29.jpg</v>
      </c>
      <c r="D9727" t="s">
        <v>43</v>
      </c>
      <c r="G9727" t="s">
        <v>28</v>
      </c>
      <c r="J9727" t="s">
        <v>20</v>
      </c>
      <c r="L9727" t="s">
        <v>456</v>
      </c>
      <c r="M9727" t="s">
        <v>487</v>
      </c>
      <c r="N9727" t="s">
        <v>488</v>
      </c>
      <c r="O9727" t="s">
        <v>73</v>
      </c>
      <c r="P9727" t="s">
        <v>81</v>
      </c>
      <c r="Q9727" t="s">
        <v>489</v>
      </c>
      <c r="R9727" t="s">
        <v>490</v>
      </c>
    </row>
    <row r="9728" spans="1:18" x14ac:dyDescent="0.25">
      <c r="A9728" t="s">
        <v>19744</v>
      </c>
      <c r="B9728" t="s">
        <v>513</v>
      </c>
      <c r="C9728" t="str">
        <f>HYPERLINK("https://nematode.unl.edu/takac3.jpg")</f>
        <v>https://nematode.unl.edu/takac3.jpg</v>
      </c>
      <c r="D9728" t="s">
        <v>43</v>
      </c>
      <c r="G9728" t="s">
        <v>51</v>
      </c>
      <c r="J9728" t="s">
        <v>20</v>
      </c>
      <c r="L9728" t="s">
        <v>456</v>
      </c>
      <c r="M9728" t="s">
        <v>487</v>
      </c>
      <c r="N9728" t="s">
        <v>488</v>
      </c>
      <c r="O9728" t="s">
        <v>73</v>
      </c>
      <c r="P9728" t="s">
        <v>81</v>
      </c>
      <c r="Q9728" t="s">
        <v>489</v>
      </c>
      <c r="R9728" t="s">
        <v>490</v>
      </c>
    </row>
    <row r="9729" spans="1:18" x14ac:dyDescent="0.25">
      <c r="A9729" t="s">
        <v>19745</v>
      </c>
      <c r="B9729" t="s">
        <v>514</v>
      </c>
      <c r="C9729" t="str">
        <f>HYPERLINK("https://nematode.unl.edu/takac30.jpg")</f>
        <v>https://nematode.unl.edu/takac30.jpg</v>
      </c>
      <c r="D9729" t="s">
        <v>43</v>
      </c>
      <c r="G9729" t="s">
        <v>51</v>
      </c>
      <c r="J9729" t="s">
        <v>20</v>
      </c>
      <c r="L9729" t="s">
        <v>456</v>
      </c>
      <c r="M9729" t="s">
        <v>487</v>
      </c>
      <c r="N9729" t="s">
        <v>488</v>
      </c>
      <c r="O9729" t="s">
        <v>73</v>
      </c>
      <c r="P9729" t="s">
        <v>81</v>
      </c>
      <c r="Q9729" t="s">
        <v>489</v>
      </c>
      <c r="R9729" t="s">
        <v>490</v>
      </c>
    </row>
    <row r="9730" spans="1:18" x14ac:dyDescent="0.25">
      <c r="A9730" t="s">
        <v>19722</v>
      </c>
      <c r="B9730" t="s">
        <v>515</v>
      </c>
      <c r="C9730" t="str">
        <f>HYPERLINK("https://nematode.unl.edu/takac31.jpg")</f>
        <v>https://nematode.unl.edu/takac31.jpg</v>
      </c>
      <c r="D9730" t="s">
        <v>43</v>
      </c>
      <c r="G9730" t="s">
        <v>87</v>
      </c>
      <c r="I9730" t="s">
        <v>516</v>
      </c>
      <c r="J9730" t="s">
        <v>20</v>
      </c>
      <c r="L9730" t="s">
        <v>456</v>
      </c>
      <c r="M9730" t="s">
        <v>487</v>
      </c>
      <c r="N9730" t="s">
        <v>488</v>
      </c>
      <c r="O9730" t="s">
        <v>73</v>
      </c>
      <c r="P9730" t="s">
        <v>81</v>
      </c>
      <c r="Q9730" t="s">
        <v>489</v>
      </c>
      <c r="R9730" t="s">
        <v>490</v>
      </c>
    </row>
    <row r="9731" spans="1:18" x14ac:dyDescent="0.25">
      <c r="A9731" t="s">
        <v>19710</v>
      </c>
      <c r="B9731" t="s">
        <v>517</v>
      </c>
      <c r="C9731" t="str">
        <f>HYPERLINK("https://nematode.unl.edu/takac32.jpg")</f>
        <v>https://nematode.unl.edu/takac32.jpg</v>
      </c>
      <c r="D9731" t="s">
        <v>43</v>
      </c>
      <c r="G9731" t="s">
        <v>34</v>
      </c>
      <c r="H9731" t="s">
        <v>18</v>
      </c>
      <c r="J9731" t="s">
        <v>20</v>
      </c>
      <c r="L9731" t="s">
        <v>456</v>
      </c>
      <c r="M9731" t="s">
        <v>487</v>
      </c>
      <c r="N9731" t="s">
        <v>488</v>
      </c>
      <c r="O9731" t="s">
        <v>73</v>
      </c>
      <c r="P9731" t="s">
        <v>81</v>
      </c>
      <c r="Q9731" t="s">
        <v>489</v>
      </c>
      <c r="R9731" t="s">
        <v>490</v>
      </c>
    </row>
    <row r="9732" spans="1:18" x14ac:dyDescent="0.25">
      <c r="A9732" t="s">
        <v>19711</v>
      </c>
      <c r="B9732" t="s">
        <v>518</v>
      </c>
      <c r="C9732" t="str">
        <f>HYPERLINK("https://nematode.unl.edu/takac33.jpg")</f>
        <v>https://nematode.unl.edu/takac33.jpg</v>
      </c>
      <c r="D9732" t="s">
        <v>16</v>
      </c>
      <c r="G9732" t="s">
        <v>34</v>
      </c>
      <c r="H9732" t="s">
        <v>18</v>
      </c>
      <c r="I9732" t="s">
        <v>516</v>
      </c>
      <c r="J9732" t="s">
        <v>20</v>
      </c>
      <c r="L9732" t="s">
        <v>456</v>
      </c>
      <c r="M9732" t="s">
        <v>487</v>
      </c>
      <c r="N9732" t="s">
        <v>488</v>
      </c>
      <c r="O9732" t="s">
        <v>73</v>
      </c>
      <c r="P9732" t="s">
        <v>81</v>
      </c>
      <c r="Q9732" t="s">
        <v>489</v>
      </c>
      <c r="R9732" t="s">
        <v>490</v>
      </c>
    </row>
    <row r="9733" spans="1:18" x14ac:dyDescent="0.25">
      <c r="A9733" t="s">
        <v>19703</v>
      </c>
      <c r="B9733" t="s">
        <v>519</v>
      </c>
      <c r="C9733" t="str">
        <f>HYPERLINK("https://nematode.unl.edu/takac34.jpg")</f>
        <v>https://nematode.unl.edu/takac34.jpg</v>
      </c>
      <c r="D9733" t="s">
        <v>16</v>
      </c>
      <c r="G9733" t="s">
        <v>17</v>
      </c>
      <c r="H9733" t="s">
        <v>18</v>
      </c>
      <c r="I9733" t="s">
        <v>19</v>
      </c>
      <c r="J9733" t="s">
        <v>20</v>
      </c>
      <c r="L9733" t="s">
        <v>456</v>
      </c>
      <c r="M9733" t="s">
        <v>487</v>
      </c>
      <c r="N9733" t="s">
        <v>488</v>
      </c>
      <c r="O9733" t="s">
        <v>73</v>
      </c>
      <c r="P9733" t="s">
        <v>81</v>
      </c>
      <c r="Q9733" t="s">
        <v>489</v>
      </c>
      <c r="R9733" t="s">
        <v>490</v>
      </c>
    </row>
    <row r="9734" spans="1:18" x14ac:dyDescent="0.25">
      <c r="A9734" t="s">
        <v>19737</v>
      </c>
      <c r="B9734" t="s">
        <v>520</v>
      </c>
      <c r="C9734" t="str">
        <f>HYPERLINK("https://nematode.unl.edu/takac35.jpg")</f>
        <v>https://nematode.unl.edu/takac35.jpg</v>
      </c>
      <c r="D9734" t="s">
        <v>16</v>
      </c>
      <c r="G9734" t="s">
        <v>28</v>
      </c>
      <c r="J9734" t="s">
        <v>20</v>
      </c>
      <c r="L9734" t="s">
        <v>456</v>
      </c>
      <c r="M9734" t="s">
        <v>487</v>
      </c>
      <c r="N9734" t="s">
        <v>488</v>
      </c>
      <c r="O9734" t="s">
        <v>73</v>
      </c>
      <c r="P9734" t="s">
        <v>81</v>
      </c>
      <c r="Q9734" t="s">
        <v>489</v>
      </c>
      <c r="R9734" t="s">
        <v>490</v>
      </c>
    </row>
    <row r="9735" spans="1:18" x14ac:dyDescent="0.25">
      <c r="A9735" t="s">
        <v>19712</v>
      </c>
      <c r="B9735" t="s">
        <v>521</v>
      </c>
      <c r="C9735" t="str">
        <f>HYPERLINK("https://nematode.unl.edu/takac36.jpg")</f>
        <v>https://nematode.unl.edu/takac36.jpg</v>
      </c>
      <c r="D9735" t="s">
        <v>16</v>
      </c>
      <c r="G9735" t="s">
        <v>34</v>
      </c>
      <c r="H9735" t="s">
        <v>18</v>
      </c>
      <c r="I9735" t="s">
        <v>137</v>
      </c>
      <c r="J9735" t="s">
        <v>20</v>
      </c>
      <c r="L9735" t="s">
        <v>456</v>
      </c>
      <c r="M9735" t="s">
        <v>487</v>
      </c>
      <c r="N9735" t="s">
        <v>488</v>
      </c>
      <c r="O9735" t="s">
        <v>73</v>
      </c>
      <c r="P9735" t="s">
        <v>81</v>
      </c>
      <c r="Q9735" t="s">
        <v>489</v>
      </c>
      <c r="R9735" t="s">
        <v>490</v>
      </c>
    </row>
    <row r="9736" spans="1:18" x14ac:dyDescent="0.25">
      <c r="A9736" t="s">
        <v>19704</v>
      </c>
      <c r="B9736" t="s">
        <v>522</v>
      </c>
      <c r="C9736" t="str">
        <f>HYPERLINK("https://nematode.unl.edu/takac37.jpg")</f>
        <v>https://nematode.unl.edu/takac37.jpg</v>
      </c>
      <c r="D9736" t="s">
        <v>16</v>
      </c>
      <c r="G9736" t="s">
        <v>17</v>
      </c>
      <c r="H9736" t="s">
        <v>18</v>
      </c>
      <c r="I9736" t="s">
        <v>19</v>
      </c>
      <c r="J9736" t="s">
        <v>20</v>
      </c>
      <c r="L9736" t="s">
        <v>456</v>
      </c>
      <c r="M9736" t="s">
        <v>487</v>
      </c>
      <c r="N9736" t="s">
        <v>488</v>
      </c>
      <c r="O9736" t="s">
        <v>73</v>
      </c>
      <c r="P9736" t="s">
        <v>81</v>
      </c>
      <c r="Q9736" t="s">
        <v>489</v>
      </c>
      <c r="R9736" t="s">
        <v>490</v>
      </c>
    </row>
    <row r="9737" spans="1:18" x14ac:dyDescent="0.25">
      <c r="A9737" t="s">
        <v>19713</v>
      </c>
      <c r="B9737" t="s">
        <v>523</v>
      </c>
      <c r="C9737" t="str">
        <f>HYPERLINK("https://nematode.unl.edu/takac38.jpg")</f>
        <v>https://nematode.unl.edu/takac38.jpg</v>
      </c>
      <c r="D9737" t="s">
        <v>16</v>
      </c>
      <c r="G9737" t="s">
        <v>34</v>
      </c>
      <c r="H9737" t="s">
        <v>18</v>
      </c>
      <c r="I9737" t="s">
        <v>41</v>
      </c>
      <c r="J9737" t="s">
        <v>20</v>
      </c>
      <c r="L9737" t="s">
        <v>456</v>
      </c>
      <c r="M9737" t="s">
        <v>487</v>
      </c>
      <c r="N9737" t="s">
        <v>488</v>
      </c>
      <c r="O9737" t="s">
        <v>73</v>
      </c>
      <c r="P9737" t="s">
        <v>81</v>
      </c>
      <c r="Q9737" t="s">
        <v>489</v>
      </c>
      <c r="R9737" t="s">
        <v>490</v>
      </c>
    </row>
    <row r="9738" spans="1:18" x14ac:dyDescent="0.25">
      <c r="A9738" t="s">
        <v>19714</v>
      </c>
      <c r="B9738" t="s">
        <v>524</v>
      </c>
      <c r="C9738" t="str">
        <f>HYPERLINK("https://nematode.unl.edu/takac39.jpg")</f>
        <v>https://nematode.unl.edu/takac39.jpg</v>
      </c>
      <c r="D9738" t="s">
        <v>16</v>
      </c>
      <c r="G9738" t="s">
        <v>34</v>
      </c>
      <c r="H9738" t="s">
        <v>18</v>
      </c>
      <c r="I9738" t="s">
        <v>516</v>
      </c>
      <c r="J9738" t="s">
        <v>20</v>
      </c>
      <c r="L9738" t="s">
        <v>456</v>
      </c>
      <c r="M9738" t="s">
        <v>487</v>
      </c>
      <c r="N9738" t="s">
        <v>488</v>
      </c>
      <c r="O9738" t="s">
        <v>73</v>
      </c>
      <c r="P9738" t="s">
        <v>81</v>
      </c>
      <c r="Q9738" t="s">
        <v>489</v>
      </c>
      <c r="R9738" t="s">
        <v>490</v>
      </c>
    </row>
    <row r="9739" spans="1:18" x14ac:dyDescent="0.25">
      <c r="A9739" t="s">
        <v>19723</v>
      </c>
      <c r="B9739" t="s">
        <v>525</v>
      </c>
      <c r="C9739" t="str">
        <f>HYPERLINK("https://nematode.unl.edu/takac4.jpg")</f>
        <v>https://nematode.unl.edu/takac4.jpg</v>
      </c>
      <c r="D9739" t="s">
        <v>43</v>
      </c>
      <c r="G9739" t="s">
        <v>87</v>
      </c>
      <c r="I9739" t="s">
        <v>516</v>
      </c>
      <c r="J9739" t="s">
        <v>20</v>
      </c>
      <c r="L9739" t="s">
        <v>456</v>
      </c>
      <c r="M9739" t="s">
        <v>487</v>
      </c>
      <c r="N9739" t="s">
        <v>488</v>
      </c>
      <c r="O9739" t="s">
        <v>73</v>
      </c>
      <c r="P9739" t="s">
        <v>81</v>
      </c>
      <c r="Q9739" t="s">
        <v>489</v>
      </c>
      <c r="R9739" t="s">
        <v>490</v>
      </c>
    </row>
    <row r="9740" spans="1:18" x14ac:dyDescent="0.25">
      <c r="A9740" t="s">
        <v>19738</v>
      </c>
      <c r="B9740" t="s">
        <v>526</v>
      </c>
      <c r="C9740" t="str">
        <f>HYPERLINK("https://nematode.unl.edu/takac40.jpg")</f>
        <v>https://nematode.unl.edu/takac40.jpg</v>
      </c>
      <c r="D9740" t="s">
        <v>16</v>
      </c>
      <c r="G9740" t="s">
        <v>28</v>
      </c>
      <c r="J9740" t="s">
        <v>20</v>
      </c>
      <c r="L9740" t="s">
        <v>456</v>
      </c>
      <c r="M9740" t="s">
        <v>487</v>
      </c>
      <c r="N9740" t="s">
        <v>488</v>
      </c>
      <c r="O9740" t="s">
        <v>73</v>
      </c>
      <c r="P9740" t="s">
        <v>81</v>
      </c>
      <c r="Q9740" t="s">
        <v>489</v>
      </c>
      <c r="R9740" t="s">
        <v>490</v>
      </c>
    </row>
    <row r="9741" spans="1:18" x14ac:dyDescent="0.25">
      <c r="A9741" t="s">
        <v>19715</v>
      </c>
      <c r="B9741" t="s">
        <v>527</v>
      </c>
      <c r="C9741" t="str">
        <f>HYPERLINK("https://nematode.unl.edu/takac5.jpg")</f>
        <v>https://nematode.unl.edu/takac5.jpg</v>
      </c>
      <c r="D9741" t="s">
        <v>43</v>
      </c>
      <c r="G9741" t="s">
        <v>34</v>
      </c>
      <c r="H9741" t="s">
        <v>18</v>
      </c>
      <c r="I9741" t="s">
        <v>19</v>
      </c>
      <c r="J9741" t="s">
        <v>20</v>
      </c>
      <c r="L9741" t="s">
        <v>456</v>
      </c>
      <c r="M9741" t="s">
        <v>487</v>
      </c>
      <c r="N9741" t="s">
        <v>488</v>
      </c>
      <c r="O9741" t="s">
        <v>73</v>
      </c>
      <c r="P9741" t="s">
        <v>81</v>
      </c>
      <c r="Q9741" t="s">
        <v>489</v>
      </c>
      <c r="R9741" t="s">
        <v>490</v>
      </c>
    </row>
    <row r="9742" spans="1:18" x14ac:dyDescent="0.25">
      <c r="A9742" t="s">
        <v>19728</v>
      </c>
      <c r="B9742" t="s">
        <v>528</v>
      </c>
      <c r="C9742" t="str">
        <f>HYPERLINK("https://nematode.unl.edu/takac6.jpg")</f>
        <v>https://nematode.unl.edu/takac6.jpg</v>
      </c>
      <c r="D9742" t="s">
        <v>43</v>
      </c>
      <c r="G9742" t="s">
        <v>243</v>
      </c>
      <c r="I9742" t="s">
        <v>529</v>
      </c>
      <c r="J9742" t="s">
        <v>20</v>
      </c>
      <c r="L9742" t="s">
        <v>456</v>
      </c>
      <c r="M9742" t="s">
        <v>487</v>
      </c>
      <c r="N9742" t="s">
        <v>488</v>
      </c>
      <c r="O9742" t="s">
        <v>73</v>
      </c>
      <c r="P9742" t="s">
        <v>81</v>
      </c>
      <c r="Q9742" t="s">
        <v>489</v>
      </c>
      <c r="R9742" t="s">
        <v>490</v>
      </c>
    </row>
    <row r="9743" spans="1:18" x14ac:dyDescent="0.25">
      <c r="A9743" t="s">
        <v>19716</v>
      </c>
      <c r="B9743" t="s">
        <v>530</v>
      </c>
      <c r="C9743" t="str">
        <f>HYPERLINK("https://nematode.unl.edu/takac7.jpg")</f>
        <v>https://nematode.unl.edu/takac7.jpg</v>
      </c>
      <c r="D9743" t="s">
        <v>43</v>
      </c>
      <c r="G9743" t="s">
        <v>34</v>
      </c>
      <c r="H9743" t="s">
        <v>18</v>
      </c>
      <c r="I9743" t="s">
        <v>41</v>
      </c>
      <c r="J9743" t="s">
        <v>20</v>
      </c>
      <c r="L9743" t="s">
        <v>456</v>
      </c>
      <c r="M9743" t="s">
        <v>487</v>
      </c>
      <c r="N9743" t="s">
        <v>488</v>
      </c>
      <c r="O9743" t="s">
        <v>73</v>
      </c>
      <c r="P9743" t="s">
        <v>81</v>
      </c>
      <c r="Q9743" t="s">
        <v>489</v>
      </c>
      <c r="R9743" t="s">
        <v>490</v>
      </c>
    </row>
    <row r="9744" spans="1:18" x14ac:dyDescent="0.25">
      <c r="A9744" t="s">
        <v>19717</v>
      </c>
      <c r="B9744" t="s">
        <v>531</v>
      </c>
      <c r="C9744" t="str">
        <f>HYPERLINK("https://nematode.unl.edu/takac8.jpg")</f>
        <v>https://nematode.unl.edu/takac8.jpg</v>
      </c>
      <c r="D9744" t="s">
        <v>43</v>
      </c>
      <c r="G9744" t="s">
        <v>34</v>
      </c>
      <c r="H9744" t="s">
        <v>18</v>
      </c>
      <c r="I9744" t="s">
        <v>19</v>
      </c>
      <c r="J9744" t="s">
        <v>20</v>
      </c>
      <c r="L9744" t="s">
        <v>456</v>
      </c>
      <c r="M9744" t="s">
        <v>487</v>
      </c>
      <c r="N9744" t="s">
        <v>488</v>
      </c>
      <c r="O9744" t="s">
        <v>73</v>
      </c>
      <c r="P9744" t="s">
        <v>81</v>
      </c>
      <c r="Q9744" t="s">
        <v>489</v>
      </c>
      <c r="R9744" t="s">
        <v>490</v>
      </c>
    </row>
    <row r="9745" spans="1:18" x14ac:dyDescent="0.25">
      <c r="A9745" t="s">
        <v>19705</v>
      </c>
      <c r="B9745" t="s">
        <v>532</v>
      </c>
      <c r="C9745" t="str">
        <f>HYPERLINK("https://nematode.unl.edu/takac9.jpg")</f>
        <v>https://nematode.unl.edu/takac9.jpg</v>
      </c>
      <c r="D9745" t="s">
        <v>43</v>
      </c>
      <c r="G9745" t="s">
        <v>17</v>
      </c>
      <c r="H9745" t="s">
        <v>18</v>
      </c>
      <c r="I9745" t="s">
        <v>19</v>
      </c>
      <c r="J9745" t="s">
        <v>20</v>
      </c>
      <c r="L9745" t="s">
        <v>456</v>
      </c>
      <c r="M9745" t="s">
        <v>487</v>
      </c>
      <c r="N9745" t="s">
        <v>488</v>
      </c>
      <c r="O9745" t="s">
        <v>73</v>
      </c>
      <c r="P9745" t="s">
        <v>81</v>
      </c>
      <c r="Q9745" t="s">
        <v>489</v>
      </c>
      <c r="R9745" t="s">
        <v>490</v>
      </c>
    </row>
    <row r="9746" spans="1:18" x14ac:dyDescent="0.25">
      <c r="A9746" t="s">
        <v>19729</v>
      </c>
      <c r="B9746" t="s">
        <v>533</v>
      </c>
      <c r="C9746" t="str">
        <f>HYPERLINK("https://nematode.unl.edu/takacmp.jpg")</f>
        <v>https://nematode.unl.edu/takacmp.jpg</v>
      </c>
      <c r="G9746" t="s">
        <v>108</v>
      </c>
      <c r="M9746" t="s">
        <v>487</v>
      </c>
      <c r="N9746" t="s">
        <v>488</v>
      </c>
      <c r="O9746" t="s">
        <v>73</v>
      </c>
      <c r="P9746" t="s">
        <v>81</v>
      </c>
      <c r="Q9746" t="s">
        <v>489</v>
      </c>
      <c r="R9746" t="s">
        <v>490</v>
      </c>
    </row>
    <row r="9747" spans="1:18" x14ac:dyDescent="0.25">
      <c r="A9747" t="s">
        <v>19195</v>
      </c>
      <c r="B9747" t="s">
        <v>115</v>
      </c>
      <c r="C9747" t="str">
        <f>HYPERLINK("https://nematode.unl.edu/takaho1.jpg")</f>
        <v>https://nematode.unl.edu/takaho1.jpg</v>
      </c>
      <c r="D9747" t="s">
        <v>43</v>
      </c>
      <c r="G9747" t="s">
        <v>44</v>
      </c>
      <c r="I9747" t="s">
        <v>91</v>
      </c>
      <c r="J9747" t="s">
        <v>116</v>
      </c>
      <c r="L9747" t="s">
        <v>85</v>
      </c>
      <c r="M9747" t="s">
        <v>117</v>
      </c>
      <c r="N9747" t="s">
        <v>118</v>
      </c>
      <c r="O9747" t="s">
        <v>73</v>
      </c>
      <c r="P9747" t="s">
        <v>81</v>
      </c>
      <c r="Q9747" t="s">
        <v>119</v>
      </c>
      <c r="R9747" t="s">
        <v>118</v>
      </c>
    </row>
    <row r="9748" spans="1:18" x14ac:dyDescent="0.25">
      <c r="A9748" t="s">
        <v>19191</v>
      </c>
      <c r="B9748" t="s">
        <v>120</v>
      </c>
      <c r="C9748" t="str">
        <f>HYPERLINK("https://nematode.unl.edu/takaho2.jpg")</f>
        <v>https://nematode.unl.edu/takaho2.jpg</v>
      </c>
      <c r="D9748" t="s">
        <v>43</v>
      </c>
      <c r="G9748" t="s">
        <v>34</v>
      </c>
      <c r="H9748" t="s">
        <v>18</v>
      </c>
      <c r="I9748" t="s">
        <v>41</v>
      </c>
      <c r="J9748" t="s">
        <v>116</v>
      </c>
      <c r="L9748" t="s">
        <v>85</v>
      </c>
      <c r="M9748" t="s">
        <v>117</v>
      </c>
      <c r="N9748" t="s">
        <v>118</v>
      </c>
      <c r="O9748" t="s">
        <v>73</v>
      </c>
      <c r="P9748" t="s">
        <v>81</v>
      </c>
      <c r="Q9748" t="s">
        <v>119</v>
      </c>
      <c r="R9748" t="s">
        <v>118</v>
      </c>
    </row>
    <row r="9749" spans="1:18" x14ac:dyDescent="0.25">
      <c r="A9749" t="s">
        <v>19196</v>
      </c>
      <c r="B9749" t="s">
        <v>121</v>
      </c>
      <c r="C9749" t="str">
        <f>HYPERLINK("https://nematode.unl.edu/takaho3.jpg")</f>
        <v>https://nematode.unl.edu/takaho3.jpg</v>
      </c>
      <c r="D9749" t="s">
        <v>43</v>
      </c>
      <c r="G9749" t="s">
        <v>122</v>
      </c>
      <c r="I9749" t="s">
        <v>41</v>
      </c>
      <c r="J9749" t="s">
        <v>116</v>
      </c>
      <c r="L9749" t="s">
        <v>85</v>
      </c>
      <c r="M9749" t="s">
        <v>117</v>
      </c>
      <c r="N9749" t="s">
        <v>118</v>
      </c>
      <c r="O9749" t="s">
        <v>73</v>
      </c>
      <c r="P9749" t="s">
        <v>81</v>
      </c>
      <c r="Q9749" t="s">
        <v>119</v>
      </c>
      <c r="R9749" t="s">
        <v>118</v>
      </c>
    </row>
    <row r="9750" spans="1:18" x14ac:dyDescent="0.25">
      <c r="A9750" t="s">
        <v>19194</v>
      </c>
      <c r="B9750" t="s">
        <v>123</v>
      </c>
      <c r="C9750" t="str">
        <f>HYPERLINK("https://nematode.unl.edu/takaho4.jpg")</f>
        <v>https://nematode.unl.edu/takaho4.jpg</v>
      </c>
      <c r="D9750" t="s">
        <v>43</v>
      </c>
      <c r="G9750" t="s">
        <v>87</v>
      </c>
      <c r="I9750" t="s">
        <v>41</v>
      </c>
      <c r="J9750" t="s">
        <v>116</v>
      </c>
      <c r="L9750" t="s">
        <v>85</v>
      </c>
      <c r="M9750" t="s">
        <v>117</v>
      </c>
      <c r="N9750" t="s">
        <v>118</v>
      </c>
      <c r="O9750" t="s">
        <v>73</v>
      </c>
      <c r="P9750" t="s">
        <v>81</v>
      </c>
      <c r="Q9750" t="s">
        <v>119</v>
      </c>
      <c r="R9750" t="s">
        <v>118</v>
      </c>
    </row>
    <row r="9751" spans="1:18" x14ac:dyDescent="0.25">
      <c r="A9751" t="s">
        <v>19200</v>
      </c>
      <c r="B9751" t="s">
        <v>124</v>
      </c>
      <c r="C9751" t="str">
        <f>HYPERLINK("https://nematode.unl.edu/takaho5.jpg")</f>
        <v>https://nematode.unl.edu/takaho5.jpg</v>
      </c>
      <c r="D9751" t="s">
        <v>43</v>
      </c>
      <c r="G9751" t="s">
        <v>51</v>
      </c>
      <c r="I9751" t="s">
        <v>41</v>
      </c>
      <c r="J9751" t="s">
        <v>116</v>
      </c>
      <c r="L9751" t="s">
        <v>85</v>
      </c>
      <c r="M9751" t="s">
        <v>117</v>
      </c>
      <c r="N9751" t="s">
        <v>118</v>
      </c>
      <c r="O9751" t="s">
        <v>73</v>
      </c>
      <c r="P9751" t="s">
        <v>81</v>
      </c>
      <c r="Q9751" t="s">
        <v>119</v>
      </c>
      <c r="R9751" t="s">
        <v>118</v>
      </c>
    </row>
    <row r="9752" spans="1:18" x14ac:dyDescent="0.25">
      <c r="A9752" t="s">
        <v>19197</v>
      </c>
      <c r="B9752" t="s">
        <v>125</v>
      </c>
      <c r="C9752" t="str">
        <f>HYPERLINK("https://nematode.unl.edu/takaho6.jpg")</f>
        <v>https://nematode.unl.edu/takaho6.jpg</v>
      </c>
      <c r="D9752" t="s">
        <v>43</v>
      </c>
      <c r="G9752" t="s">
        <v>28</v>
      </c>
      <c r="J9752" t="s">
        <v>116</v>
      </c>
      <c r="L9752" t="s">
        <v>85</v>
      </c>
      <c r="M9752" t="s">
        <v>117</v>
      </c>
      <c r="N9752" t="s">
        <v>118</v>
      </c>
      <c r="O9752" t="s">
        <v>73</v>
      </c>
      <c r="P9752" t="s">
        <v>81</v>
      </c>
      <c r="Q9752" t="s">
        <v>119</v>
      </c>
      <c r="R9752" t="s">
        <v>118</v>
      </c>
    </row>
    <row r="9753" spans="1:18" x14ac:dyDescent="0.25">
      <c r="A9753" t="s">
        <v>19785</v>
      </c>
      <c r="B9753" t="s">
        <v>580</v>
      </c>
      <c r="C9753" t="str">
        <f>HYPERLINK("https://nematode.unl.edu/takalecmp.jpg")</f>
        <v>https://nematode.unl.edu/takalecmp.jpg</v>
      </c>
      <c r="G9753" t="s">
        <v>108</v>
      </c>
      <c r="M9753" t="s">
        <v>581</v>
      </c>
      <c r="N9753" t="s">
        <v>582</v>
      </c>
      <c r="O9753" t="s">
        <v>73</v>
      </c>
      <c r="P9753" t="s">
        <v>81</v>
      </c>
      <c r="Q9753" t="s">
        <v>489</v>
      </c>
      <c r="R9753" t="s">
        <v>490</v>
      </c>
    </row>
    <row r="9754" spans="1:18" x14ac:dyDescent="0.25">
      <c r="A9754" t="s">
        <v>19791</v>
      </c>
      <c r="B9754" t="s">
        <v>588</v>
      </c>
      <c r="C9754" t="str">
        <f>HYPERLINK("https://nematode.unl.edu/takama1.jpg")</f>
        <v>https://nematode.unl.edu/takama1.jpg</v>
      </c>
      <c r="D9754" t="s">
        <v>16</v>
      </c>
      <c r="G9754" t="s">
        <v>44</v>
      </c>
      <c r="I9754" t="s">
        <v>45</v>
      </c>
      <c r="J9754" t="s">
        <v>20</v>
      </c>
      <c r="L9754" t="s">
        <v>29</v>
      </c>
      <c r="M9754" t="s">
        <v>589</v>
      </c>
      <c r="N9754" t="s">
        <v>590</v>
      </c>
      <c r="O9754" t="s">
        <v>73</v>
      </c>
      <c r="P9754" t="s">
        <v>81</v>
      </c>
      <c r="Q9754" t="s">
        <v>489</v>
      </c>
      <c r="R9754" t="s">
        <v>490</v>
      </c>
    </row>
    <row r="9755" spans="1:18" x14ac:dyDescent="0.25">
      <c r="A9755" t="s">
        <v>19788</v>
      </c>
      <c r="B9755" t="s">
        <v>591</v>
      </c>
      <c r="C9755" t="str">
        <f>HYPERLINK("https://nematode.unl.edu/takama2.jpg")</f>
        <v>https://nematode.unl.edu/takama2.jpg</v>
      </c>
      <c r="D9755" t="s">
        <v>16</v>
      </c>
      <c r="G9755" t="s">
        <v>34</v>
      </c>
      <c r="H9755" t="s">
        <v>18</v>
      </c>
      <c r="J9755" t="s">
        <v>20</v>
      </c>
      <c r="M9755" t="s">
        <v>589</v>
      </c>
      <c r="N9755" t="s">
        <v>590</v>
      </c>
      <c r="O9755" t="s">
        <v>73</v>
      </c>
      <c r="P9755" t="s">
        <v>81</v>
      </c>
      <c r="Q9755" t="s">
        <v>489</v>
      </c>
      <c r="R9755" t="s">
        <v>490</v>
      </c>
    </row>
    <row r="9756" spans="1:18" x14ac:dyDescent="0.25">
      <c r="A9756" t="s">
        <v>19790</v>
      </c>
      <c r="B9756" t="s">
        <v>592</v>
      </c>
      <c r="C9756" t="str">
        <f>HYPERLINK("https://nematode.unl.edu/takama3.jpg")</f>
        <v>https://nematode.unl.edu/takama3.jpg</v>
      </c>
      <c r="D9756" t="s">
        <v>16</v>
      </c>
      <c r="G9756" t="s">
        <v>87</v>
      </c>
      <c r="J9756" t="s">
        <v>20</v>
      </c>
      <c r="M9756" t="s">
        <v>589</v>
      </c>
      <c r="N9756" t="s">
        <v>590</v>
      </c>
      <c r="O9756" t="s">
        <v>73</v>
      </c>
      <c r="P9756" t="s">
        <v>81</v>
      </c>
      <c r="Q9756" t="s">
        <v>489</v>
      </c>
      <c r="R9756" t="s">
        <v>490</v>
      </c>
    </row>
    <row r="9757" spans="1:18" x14ac:dyDescent="0.25">
      <c r="A9757" t="s">
        <v>19792</v>
      </c>
      <c r="B9757" t="s">
        <v>593</v>
      </c>
      <c r="C9757" t="str">
        <f>HYPERLINK("https://nematode.unl.edu/takama4.jpg")</f>
        <v>https://nematode.unl.edu/takama4.jpg</v>
      </c>
      <c r="D9757" t="s">
        <v>16</v>
      </c>
      <c r="G9757" t="s">
        <v>28</v>
      </c>
      <c r="I9757" t="s">
        <v>19</v>
      </c>
      <c r="J9757" t="s">
        <v>20</v>
      </c>
      <c r="L9757" t="s">
        <v>29</v>
      </c>
      <c r="M9757" t="s">
        <v>589</v>
      </c>
      <c r="N9757" t="s">
        <v>590</v>
      </c>
      <c r="O9757" t="s">
        <v>73</v>
      </c>
      <c r="P9757" t="s">
        <v>81</v>
      </c>
      <c r="Q9757" t="s">
        <v>489</v>
      </c>
      <c r="R9757" t="s">
        <v>490</v>
      </c>
    </row>
    <row r="9758" spans="1:18" x14ac:dyDescent="0.25">
      <c r="A9758" t="s">
        <v>19793</v>
      </c>
      <c r="B9758" t="s">
        <v>594</v>
      </c>
      <c r="C9758" t="str">
        <f>HYPERLINK("https://nematode.unl.edu/takama5.jpg")</f>
        <v>https://nematode.unl.edu/takama5.jpg</v>
      </c>
      <c r="D9758" t="s">
        <v>16</v>
      </c>
      <c r="G9758" t="s">
        <v>28</v>
      </c>
      <c r="J9758" t="s">
        <v>20</v>
      </c>
      <c r="L9758" t="s">
        <v>85</v>
      </c>
      <c r="M9758" t="s">
        <v>589</v>
      </c>
      <c r="N9758" t="s">
        <v>590</v>
      </c>
      <c r="O9758" t="s">
        <v>73</v>
      </c>
      <c r="P9758" t="s">
        <v>81</v>
      </c>
      <c r="Q9758" t="s">
        <v>489</v>
      </c>
      <c r="R9758" t="s">
        <v>490</v>
      </c>
    </row>
    <row r="9759" spans="1:18" x14ac:dyDescent="0.25">
      <c r="A9759" t="s">
        <v>19789</v>
      </c>
      <c r="B9759" t="s">
        <v>595</v>
      </c>
      <c r="C9759" t="str">
        <f>HYPERLINK("https://nematode.unl.edu/takama6.jpg")</f>
        <v>https://nematode.unl.edu/takama6.jpg</v>
      </c>
      <c r="D9759" t="s">
        <v>16</v>
      </c>
      <c r="G9759" t="s">
        <v>34</v>
      </c>
      <c r="H9759" t="s">
        <v>18</v>
      </c>
      <c r="J9759" t="s">
        <v>20</v>
      </c>
      <c r="L9759" t="s">
        <v>35</v>
      </c>
      <c r="M9759" t="s">
        <v>589</v>
      </c>
      <c r="N9759" t="s">
        <v>590</v>
      </c>
      <c r="O9759" t="s">
        <v>73</v>
      </c>
      <c r="P9759" t="s">
        <v>81</v>
      </c>
      <c r="Q9759" t="s">
        <v>489</v>
      </c>
      <c r="R9759" t="s">
        <v>490</v>
      </c>
    </row>
    <row r="9760" spans="1:18" x14ac:dyDescent="0.25">
      <c r="A9760" t="s">
        <v>19799</v>
      </c>
      <c r="B9760" t="s">
        <v>596</v>
      </c>
      <c r="C9760" t="str">
        <f>HYPERLINK("https://nematode.unl.edu/takan1.jpg")</f>
        <v>https://nematode.unl.edu/takan1.jpg</v>
      </c>
      <c r="D9760" t="s">
        <v>16</v>
      </c>
      <c r="G9760" t="s">
        <v>87</v>
      </c>
      <c r="I9760" t="s">
        <v>41</v>
      </c>
      <c r="J9760" t="s">
        <v>20</v>
      </c>
      <c r="L9760" t="s">
        <v>85</v>
      </c>
      <c r="M9760" t="s">
        <v>597</v>
      </c>
      <c r="N9760" t="s">
        <v>598</v>
      </c>
      <c r="O9760" t="s">
        <v>73</v>
      </c>
      <c r="P9760" t="s">
        <v>81</v>
      </c>
      <c r="Q9760" t="s">
        <v>489</v>
      </c>
      <c r="R9760" t="s">
        <v>490</v>
      </c>
    </row>
    <row r="9761" spans="1:18" x14ac:dyDescent="0.25">
      <c r="A9761" t="s">
        <v>19810</v>
      </c>
      <c r="B9761" t="s">
        <v>599</v>
      </c>
      <c r="C9761" t="str">
        <f>HYPERLINK("https://nematode.unl.edu/takan10.jpg")</f>
        <v>https://nematode.unl.edu/takan10.jpg</v>
      </c>
      <c r="D9761" t="s">
        <v>43</v>
      </c>
      <c r="G9761" t="s">
        <v>51</v>
      </c>
      <c r="I9761" t="s">
        <v>516</v>
      </c>
      <c r="J9761" t="s">
        <v>20</v>
      </c>
      <c r="L9761" t="s">
        <v>38</v>
      </c>
      <c r="M9761" t="s">
        <v>597</v>
      </c>
      <c r="N9761" t="s">
        <v>598</v>
      </c>
      <c r="O9761" t="s">
        <v>73</v>
      </c>
      <c r="P9761" t="s">
        <v>81</v>
      </c>
      <c r="Q9761" t="s">
        <v>489</v>
      </c>
      <c r="R9761" t="s">
        <v>490</v>
      </c>
    </row>
    <row r="9762" spans="1:18" x14ac:dyDescent="0.25">
      <c r="A9762" t="s">
        <v>19806</v>
      </c>
      <c r="B9762" t="s">
        <v>600</v>
      </c>
      <c r="C9762" t="str">
        <f>HYPERLINK("https://nematode.unl.edu/takan11.jpg")</f>
        <v>https://nematode.unl.edu/takan11.jpg</v>
      </c>
      <c r="D9762" t="s">
        <v>43</v>
      </c>
      <c r="G9762" t="s">
        <v>28</v>
      </c>
      <c r="I9762" t="s">
        <v>516</v>
      </c>
      <c r="J9762" t="s">
        <v>20</v>
      </c>
      <c r="L9762" t="s">
        <v>38</v>
      </c>
      <c r="M9762" t="s">
        <v>597</v>
      </c>
      <c r="N9762" t="s">
        <v>598</v>
      </c>
      <c r="O9762" t="s">
        <v>73</v>
      </c>
      <c r="P9762" t="s">
        <v>81</v>
      </c>
      <c r="Q9762" t="s">
        <v>489</v>
      </c>
      <c r="R9762" t="s">
        <v>490</v>
      </c>
    </row>
    <row r="9763" spans="1:18" x14ac:dyDescent="0.25">
      <c r="A9763" t="s">
        <v>19804</v>
      </c>
      <c r="B9763" t="s">
        <v>601</v>
      </c>
      <c r="C9763" t="str">
        <f>HYPERLINK("https://nematode.unl.edu/takan12.jpg")</f>
        <v>https://nematode.unl.edu/takan12.jpg</v>
      </c>
      <c r="D9763" t="s">
        <v>43</v>
      </c>
      <c r="G9763" t="s">
        <v>44</v>
      </c>
      <c r="I9763" t="s">
        <v>45</v>
      </c>
      <c r="J9763" t="s">
        <v>20</v>
      </c>
      <c r="L9763" t="s">
        <v>38</v>
      </c>
      <c r="M9763" t="s">
        <v>597</v>
      </c>
      <c r="N9763" t="s">
        <v>598</v>
      </c>
      <c r="O9763" t="s">
        <v>73</v>
      </c>
      <c r="P9763" t="s">
        <v>81</v>
      </c>
      <c r="Q9763" t="s">
        <v>489</v>
      </c>
      <c r="R9763" t="s">
        <v>490</v>
      </c>
    </row>
    <row r="9764" spans="1:18" x14ac:dyDescent="0.25">
      <c r="A9764" t="s">
        <v>19800</v>
      </c>
      <c r="B9764" t="s">
        <v>602</v>
      </c>
      <c r="C9764" t="str">
        <f>HYPERLINK("https://nematode.unl.edu/takan13.jpg")</f>
        <v>https://nematode.unl.edu/takan13.jpg</v>
      </c>
      <c r="D9764" t="s">
        <v>16</v>
      </c>
      <c r="G9764" t="s">
        <v>87</v>
      </c>
      <c r="I9764" t="s">
        <v>41</v>
      </c>
      <c r="J9764" t="s">
        <v>20</v>
      </c>
      <c r="L9764" t="s">
        <v>38</v>
      </c>
      <c r="M9764" t="s">
        <v>597</v>
      </c>
      <c r="N9764" t="s">
        <v>598</v>
      </c>
      <c r="O9764" t="s">
        <v>73</v>
      </c>
      <c r="P9764" t="s">
        <v>81</v>
      </c>
      <c r="Q9764" t="s">
        <v>489</v>
      </c>
      <c r="R9764" t="s">
        <v>490</v>
      </c>
    </row>
    <row r="9765" spans="1:18" x14ac:dyDescent="0.25">
      <c r="A9765" t="s">
        <v>19794</v>
      </c>
      <c r="B9765" t="s">
        <v>603</v>
      </c>
      <c r="C9765" t="str">
        <f>HYPERLINK("https://nematode.unl.edu/takan14.jpg")</f>
        <v>https://nematode.unl.edu/takan14.jpg</v>
      </c>
      <c r="G9765" t="s">
        <v>34</v>
      </c>
      <c r="H9765" t="s">
        <v>18</v>
      </c>
      <c r="I9765" t="s">
        <v>41</v>
      </c>
      <c r="J9765" t="s">
        <v>20</v>
      </c>
      <c r="L9765" t="s">
        <v>38</v>
      </c>
      <c r="M9765" t="s">
        <v>597</v>
      </c>
      <c r="N9765" t="s">
        <v>598</v>
      </c>
      <c r="O9765" t="s">
        <v>73</v>
      </c>
      <c r="P9765" t="s">
        <v>81</v>
      </c>
      <c r="Q9765" t="s">
        <v>489</v>
      </c>
      <c r="R9765" t="s">
        <v>490</v>
      </c>
    </row>
    <row r="9766" spans="1:18" x14ac:dyDescent="0.25">
      <c r="A9766" t="s">
        <v>19807</v>
      </c>
      <c r="B9766" t="s">
        <v>604</v>
      </c>
      <c r="C9766" t="str">
        <f>HYPERLINK("https://nematode.unl.edu/takan15.jpg")</f>
        <v>https://nematode.unl.edu/takan15.jpg</v>
      </c>
      <c r="D9766" t="s">
        <v>16</v>
      </c>
      <c r="G9766" t="s">
        <v>28</v>
      </c>
      <c r="J9766" t="s">
        <v>20</v>
      </c>
      <c r="L9766" t="s">
        <v>38</v>
      </c>
      <c r="M9766" t="s">
        <v>597</v>
      </c>
      <c r="N9766" t="s">
        <v>598</v>
      </c>
      <c r="O9766" t="s">
        <v>73</v>
      </c>
      <c r="P9766" t="s">
        <v>81</v>
      </c>
      <c r="Q9766" t="s">
        <v>489</v>
      </c>
      <c r="R9766" t="s">
        <v>490</v>
      </c>
    </row>
    <row r="9767" spans="1:18" x14ac:dyDescent="0.25">
      <c r="A9767" t="s">
        <v>19795</v>
      </c>
      <c r="B9767" t="s">
        <v>605</v>
      </c>
      <c r="C9767" t="str">
        <f>HYPERLINK("https://nematode.unl.edu/takan16.jpg")</f>
        <v>https://nematode.unl.edu/takan16.jpg</v>
      </c>
      <c r="D9767" t="s">
        <v>16</v>
      </c>
      <c r="G9767" t="s">
        <v>34</v>
      </c>
      <c r="H9767" t="s">
        <v>18</v>
      </c>
      <c r="J9767" t="s">
        <v>20</v>
      </c>
      <c r="L9767" t="s">
        <v>38</v>
      </c>
      <c r="M9767" t="s">
        <v>597</v>
      </c>
      <c r="N9767" t="s">
        <v>598</v>
      </c>
      <c r="O9767" t="s">
        <v>73</v>
      </c>
      <c r="P9767" t="s">
        <v>81</v>
      </c>
      <c r="Q9767" t="s">
        <v>489</v>
      </c>
      <c r="R9767" t="s">
        <v>490</v>
      </c>
    </row>
    <row r="9768" spans="1:18" x14ac:dyDescent="0.25">
      <c r="A9768" t="s">
        <v>19796</v>
      </c>
      <c r="B9768" t="s">
        <v>606</v>
      </c>
      <c r="C9768" t="str">
        <f>HYPERLINK("https://nematode.unl.edu/takan2.jpg")</f>
        <v>https://nematode.unl.edu/takan2.jpg</v>
      </c>
      <c r="G9768" t="s">
        <v>34</v>
      </c>
      <c r="H9768" t="s">
        <v>18</v>
      </c>
      <c r="I9768" t="s">
        <v>41</v>
      </c>
      <c r="J9768" t="s">
        <v>20</v>
      </c>
      <c r="L9768" t="s">
        <v>38</v>
      </c>
      <c r="M9768" t="s">
        <v>597</v>
      </c>
      <c r="N9768" t="s">
        <v>598</v>
      </c>
      <c r="O9768" t="s">
        <v>73</v>
      </c>
      <c r="P9768" t="s">
        <v>81</v>
      </c>
      <c r="Q9768" t="s">
        <v>489</v>
      </c>
      <c r="R9768" t="s">
        <v>490</v>
      </c>
    </row>
    <row r="9769" spans="1:18" x14ac:dyDescent="0.25">
      <c r="A9769" t="s">
        <v>19808</v>
      </c>
      <c r="B9769" t="s">
        <v>607</v>
      </c>
      <c r="C9769" t="str">
        <f>HYPERLINK("https://nematode.unl.edu/takan3.jpg")</f>
        <v>https://nematode.unl.edu/takan3.jpg</v>
      </c>
      <c r="D9769" t="s">
        <v>16</v>
      </c>
      <c r="G9769" t="s">
        <v>28</v>
      </c>
      <c r="I9769" t="s">
        <v>41</v>
      </c>
      <c r="J9769" t="s">
        <v>20</v>
      </c>
      <c r="L9769" t="s">
        <v>38</v>
      </c>
      <c r="M9769" t="s">
        <v>597</v>
      </c>
      <c r="N9769" t="s">
        <v>598</v>
      </c>
      <c r="O9769" t="s">
        <v>73</v>
      </c>
      <c r="P9769" t="s">
        <v>81</v>
      </c>
      <c r="Q9769" t="s">
        <v>489</v>
      </c>
      <c r="R9769" t="s">
        <v>490</v>
      </c>
    </row>
    <row r="9770" spans="1:18" x14ac:dyDescent="0.25">
      <c r="A9770" t="s">
        <v>19801</v>
      </c>
      <c r="B9770" t="s">
        <v>608</v>
      </c>
      <c r="C9770" t="str">
        <f>HYPERLINK("https://nematode.unl.edu/takan4.jpg")</f>
        <v>https://nematode.unl.edu/takan4.jpg</v>
      </c>
      <c r="D9770" t="s">
        <v>16</v>
      </c>
      <c r="G9770" t="s">
        <v>87</v>
      </c>
      <c r="I9770" t="s">
        <v>19</v>
      </c>
      <c r="J9770" t="s">
        <v>20</v>
      </c>
      <c r="L9770" t="s">
        <v>38</v>
      </c>
      <c r="M9770" t="s">
        <v>597</v>
      </c>
      <c r="N9770" t="s">
        <v>598</v>
      </c>
      <c r="O9770" t="s">
        <v>73</v>
      </c>
      <c r="P9770" t="s">
        <v>81</v>
      </c>
      <c r="Q9770" t="s">
        <v>489</v>
      </c>
      <c r="R9770" t="s">
        <v>490</v>
      </c>
    </row>
    <row r="9771" spans="1:18" x14ac:dyDescent="0.25">
      <c r="A9771" t="s">
        <v>19802</v>
      </c>
      <c r="B9771" t="s">
        <v>609</v>
      </c>
      <c r="C9771" t="str">
        <f>HYPERLINK("https://nematode.unl.edu/takan5.jpg")</f>
        <v>https://nematode.unl.edu/takan5.jpg</v>
      </c>
      <c r="D9771" t="s">
        <v>16</v>
      </c>
      <c r="G9771" t="s">
        <v>87</v>
      </c>
      <c r="I9771" t="s">
        <v>41</v>
      </c>
      <c r="J9771" t="s">
        <v>20</v>
      </c>
      <c r="L9771" t="s">
        <v>38</v>
      </c>
      <c r="M9771" t="s">
        <v>597</v>
      </c>
      <c r="N9771" t="s">
        <v>598</v>
      </c>
      <c r="O9771" t="s">
        <v>73</v>
      </c>
      <c r="P9771" t="s">
        <v>81</v>
      </c>
      <c r="Q9771" t="s">
        <v>489</v>
      </c>
      <c r="R9771" t="s">
        <v>490</v>
      </c>
    </row>
    <row r="9772" spans="1:18" x14ac:dyDescent="0.25">
      <c r="A9772" t="s">
        <v>19797</v>
      </c>
      <c r="B9772" t="s">
        <v>610</v>
      </c>
      <c r="C9772" t="str">
        <f>HYPERLINK("https://nematode.unl.edu/takan6.jpg")</f>
        <v>https://nematode.unl.edu/takan6.jpg</v>
      </c>
      <c r="G9772" t="s">
        <v>34</v>
      </c>
      <c r="H9772" t="s">
        <v>18</v>
      </c>
      <c r="I9772" t="s">
        <v>41</v>
      </c>
      <c r="J9772" t="s">
        <v>20</v>
      </c>
      <c r="L9772" t="s">
        <v>38</v>
      </c>
      <c r="M9772" t="s">
        <v>597</v>
      </c>
      <c r="N9772" t="s">
        <v>598</v>
      </c>
      <c r="O9772" t="s">
        <v>73</v>
      </c>
      <c r="P9772" t="s">
        <v>81</v>
      </c>
      <c r="Q9772" t="s">
        <v>489</v>
      </c>
      <c r="R9772" t="s">
        <v>490</v>
      </c>
    </row>
    <row r="9773" spans="1:18" x14ac:dyDescent="0.25">
      <c r="A9773" t="s">
        <v>19809</v>
      </c>
      <c r="B9773" t="s">
        <v>611</v>
      </c>
      <c r="C9773" t="str">
        <f>HYPERLINK("https://nematode.unl.edu/takan7.jpg")</f>
        <v>https://nematode.unl.edu/takan7.jpg</v>
      </c>
      <c r="D9773" t="s">
        <v>16</v>
      </c>
      <c r="G9773" t="s">
        <v>28</v>
      </c>
      <c r="I9773" t="s">
        <v>19</v>
      </c>
      <c r="J9773" t="s">
        <v>20</v>
      </c>
      <c r="L9773" t="s">
        <v>38</v>
      </c>
      <c r="M9773" t="s">
        <v>597</v>
      </c>
      <c r="N9773" t="s">
        <v>598</v>
      </c>
      <c r="O9773" t="s">
        <v>73</v>
      </c>
      <c r="P9773" t="s">
        <v>81</v>
      </c>
      <c r="Q9773" t="s">
        <v>489</v>
      </c>
      <c r="R9773" t="s">
        <v>490</v>
      </c>
    </row>
    <row r="9774" spans="1:18" x14ac:dyDescent="0.25">
      <c r="A9774" t="s">
        <v>19798</v>
      </c>
      <c r="B9774" t="s">
        <v>612</v>
      </c>
      <c r="C9774" t="str">
        <f>HYPERLINK("https://nematode.unl.edu/takan8.jpg")</f>
        <v>https://nematode.unl.edu/takan8.jpg</v>
      </c>
      <c r="D9774" t="s">
        <v>43</v>
      </c>
      <c r="G9774" t="s">
        <v>34</v>
      </c>
      <c r="H9774" t="s">
        <v>18</v>
      </c>
      <c r="J9774" t="s">
        <v>20</v>
      </c>
      <c r="L9774" t="s">
        <v>38</v>
      </c>
      <c r="M9774" t="s">
        <v>597</v>
      </c>
      <c r="N9774" t="s">
        <v>598</v>
      </c>
      <c r="O9774" t="s">
        <v>73</v>
      </c>
      <c r="P9774" t="s">
        <v>81</v>
      </c>
      <c r="Q9774" t="s">
        <v>489</v>
      </c>
      <c r="R9774" t="s">
        <v>490</v>
      </c>
    </row>
    <row r="9775" spans="1:18" x14ac:dyDescent="0.25">
      <c r="A9775" t="s">
        <v>19803</v>
      </c>
      <c r="B9775" t="s">
        <v>613</v>
      </c>
      <c r="C9775" t="str">
        <f>HYPERLINK("https://nematode.unl.edu/takan9.jpg")</f>
        <v>https://nematode.unl.edu/takan9.jpg</v>
      </c>
      <c r="D9775" t="s">
        <v>43</v>
      </c>
      <c r="G9775" t="s">
        <v>87</v>
      </c>
      <c r="J9775" t="s">
        <v>20</v>
      </c>
      <c r="L9775" t="s">
        <v>38</v>
      </c>
      <c r="M9775" t="s">
        <v>597</v>
      </c>
      <c r="N9775" t="s">
        <v>598</v>
      </c>
      <c r="O9775" t="s">
        <v>73</v>
      </c>
      <c r="P9775" t="s">
        <v>81</v>
      </c>
      <c r="Q9775" t="s">
        <v>489</v>
      </c>
      <c r="R9775" t="s">
        <v>490</v>
      </c>
    </row>
    <row r="9776" spans="1:18" x14ac:dyDescent="0.25">
      <c r="A9776" t="s">
        <v>19820</v>
      </c>
      <c r="B9776" t="s">
        <v>615</v>
      </c>
      <c r="C9776" t="str">
        <f>HYPERLINK("https://nematode.unl.edu/takas1.jpg")</f>
        <v>https://nematode.unl.edu/takas1.jpg</v>
      </c>
      <c r="D9776" t="s">
        <v>43</v>
      </c>
      <c r="G9776" t="s">
        <v>44</v>
      </c>
      <c r="I9776" t="s">
        <v>45</v>
      </c>
      <c r="J9776" t="s">
        <v>20</v>
      </c>
      <c r="L9776" t="s">
        <v>141</v>
      </c>
      <c r="M9776" t="s">
        <v>616</v>
      </c>
      <c r="N9776" t="s">
        <v>617</v>
      </c>
      <c r="O9776" t="s">
        <v>73</v>
      </c>
      <c r="P9776" t="s">
        <v>81</v>
      </c>
      <c r="Q9776" t="s">
        <v>489</v>
      </c>
      <c r="R9776" t="s">
        <v>490</v>
      </c>
    </row>
    <row r="9777" spans="1:18" x14ac:dyDescent="0.25">
      <c r="A9777" t="s">
        <v>19823</v>
      </c>
      <c r="B9777" t="s">
        <v>618</v>
      </c>
      <c r="C9777" t="str">
        <f>HYPERLINK("https://nematode.unl.edu/takas10.jpg")</f>
        <v>https://nematode.unl.edu/takas10.jpg</v>
      </c>
      <c r="D9777" t="s">
        <v>16</v>
      </c>
      <c r="G9777" t="s">
        <v>28</v>
      </c>
      <c r="J9777" t="s">
        <v>20</v>
      </c>
      <c r="L9777" t="s">
        <v>141</v>
      </c>
      <c r="M9777" t="s">
        <v>616</v>
      </c>
      <c r="N9777" t="s">
        <v>617</v>
      </c>
      <c r="O9777" t="s">
        <v>73</v>
      </c>
      <c r="P9777" t="s">
        <v>81</v>
      </c>
      <c r="Q9777" t="s">
        <v>489</v>
      </c>
      <c r="R9777" t="s">
        <v>490</v>
      </c>
    </row>
    <row r="9778" spans="1:18" x14ac:dyDescent="0.25">
      <c r="A9778" t="s">
        <v>19824</v>
      </c>
      <c r="B9778" t="s">
        <v>619</v>
      </c>
      <c r="C9778" t="str">
        <f>HYPERLINK("https://nematode.unl.edu/takas11.jpg")</f>
        <v>https://nematode.unl.edu/takas11.jpg</v>
      </c>
      <c r="D9778" t="s">
        <v>16</v>
      </c>
      <c r="G9778" t="s">
        <v>28</v>
      </c>
      <c r="J9778" t="s">
        <v>20</v>
      </c>
      <c r="M9778" t="s">
        <v>616</v>
      </c>
      <c r="N9778" t="s">
        <v>617</v>
      </c>
      <c r="O9778" t="s">
        <v>73</v>
      </c>
      <c r="P9778" t="s">
        <v>81</v>
      </c>
      <c r="Q9778" t="s">
        <v>489</v>
      </c>
      <c r="R9778" t="s">
        <v>490</v>
      </c>
    </row>
    <row r="9779" spans="1:18" x14ac:dyDescent="0.25">
      <c r="A9779" t="s">
        <v>19816</v>
      </c>
      <c r="B9779" t="s">
        <v>620</v>
      </c>
      <c r="C9779" t="str">
        <f>HYPERLINK("https://nematode.unl.edu/takas12.jpg")</f>
        <v>https://nematode.unl.edu/takas12.jpg</v>
      </c>
      <c r="D9779" t="s">
        <v>16</v>
      </c>
      <c r="G9779" t="s">
        <v>87</v>
      </c>
      <c r="J9779" t="s">
        <v>20</v>
      </c>
      <c r="L9779" t="s">
        <v>38</v>
      </c>
      <c r="M9779" t="s">
        <v>616</v>
      </c>
      <c r="N9779" t="s">
        <v>617</v>
      </c>
      <c r="O9779" t="s">
        <v>73</v>
      </c>
      <c r="P9779" t="s">
        <v>81</v>
      </c>
      <c r="Q9779" t="s">
        <v>489</v>
      </c>
      <c r="R9779" t="s">
        <v>490</v>
      </c>
    </row>
    <row r="9780" spans="1:18" x14ac:dyDescent="0.25">
      <c r="A9780" t="s">
        <v>19813</v>
      </c>
      <c r="B9780" t="s">
        <v>621</v>
      </c>
      <c r="C9780" t="str">
        <f>HYPERLINK("https://nematode.unl.edu/takas13.jpg")</f>
        <v>https://nematode.unl.edu/takas13.jpg</v>
      </c>
      <c r="D9780" t="s">
        <v>16</v>
      </c>
      <c r="G9780" t="s">
        <v>34</v>
      </c>
      <c r="H9780" t="s">
        <v>18</v>
      </c>
      <c r="J9780" t="s">
        <v>20</v>
      </c>
      <c r="L9780" t="s">
        <v>38</v>
      </c>
      <c r="M9780" t="s">
        <v>616</v>
      </c>
      <c r="N9780" t="s">
        <v>617</v>
      </c>
      <c r="O9780" t="s">
        <v>73</v>
      </c>
      <c r="P9780" t="s">
        <v>81</v>
      </c>
      <c r="Q9780" t="s">
        <v>489</v>
      </c>
      <c r="R9780" t="s">
        <v>490</v>
      </c>
    </row>
    <row r="9781" spans="1:18" x14ac:dyDescent="0.25">
      <c r="A9781" t="s">
        <v>19825</v>
      </c>
      <c r="B9781" t="s">
        <v>622</v>
      </c>
      <c r="C9781" t="str">
        <f>HYPERLINK("https://nematode.unl.edu/takas2.jpg")</f>
        <v>https://nematode.unl.edu/takas2.jpg</v>
      </c>
      <c r="D9781" t="s">
        <v>43</v>
      </c>
      <c r="G9781" t="s">
        <v>28</v>
      </c>
      <c r="J9781" t="s">
        <v>20</v>
      </c>
      <c r="L9781" t="s">
        <v>141</v>
      </c>
      <c r="M9781" t="s">
        <v>616</v>
      </c>
      <c r="N9781" t="s">
        <v>617</v>
      </c>
      <c r="O9781" t="s">
        <v>73</v>
      </c>
      <c r="P9781" t="s">
        <v>81</v>
      </c>
      <c r="Q9781" t="s">
        <v>489</v>
      </c>
      <c r="R9781" t="s">
        <v>490</v>
      </c>
    </row>
    <row r="9782" spans="1:18" x14ac:dyDescent="0.25">
      <c r="A9782" t="s">
        <v>19829</v>
      </c>
      <c r="B9782" t="s">
        <v>623</v>
      </c>
      <c r="C9782" t="str">
        <f>HYPERLINK("https://nematode.unl.edu/takas3.jpg")</f>
        <v>https://nematode.unl.edu/takas3.jpg</v>
      </c>
      <c r="D9782" t="s">
        <v>43</v>
      </c>
      <c r="G9782" t="s">
        <v>51</v>
      </c>
      <c r="I9782" t="s">
        <v>19</v>
      </c>
      <c r="J9782" t="s">
        <v>20</v>
      </c>
      <c r="L9782" t="s">
        <v>141</v>
      </c>
      <c r="M9782" t="s">
        <v>616</v>
      </c>
      <c r="N9782" t="s">
        <v>617</v>
      </c>
      <c r="O9782" t="s">
        <v>73</v>
      </c>
      <c r="P9782" t="s">
        <v>81</v>
      </c>
      <c r="Q9782" t="s">
        <v>489</v>
      </c>
      <c r="R9782" t="s">
        <v>490</v>
      </c>
    </row>
    <row r="9783" spans="1:18" x14ac:dyDescent="0.25">
      <c r="A9783" t="s">
        <v>19811</v>
      </c>
      <c r="B9783" t="s">
        <v>624</v>
      </c>
      <c r="C9783" t="str">
        <f>HYPERLINK("https://nematode.unl.edu/takas4.jpg")</f>
        <v>https://nematode.unl.edu/takas4.jpg</v>
      </c>
      <c r="D9783" t="s">
        <v>43</v>
      </c>
      <c r="G9783" t="s">
        <v>96</v>
      </c>
      <c r="H9783" t="s">
        <v>18</v>
      </c>
      <c r="J9783" t="s">
        <v>20</v>
      </c>
      <c r="L9783" t="s">
        <v>141</v>
      </c>
      <c r="M9783" t="s">
        <v>616</v>
      </c>
      <c r="N9783" t="s">
        <v>617</v>
      </c>
      <c r="O9783" t="s">
        <v>73</v>
      </c>
      <c r="P9783" t="s">
        <v>81</v>
      </c>
      <c r="Q9783" t="s">
        <v>489</v>
      </c>
      <c r="R9783" t="s">
        <v>490</v>
      </c>
    </row>
    <row r="9784" spans="1:18" x14ac:dyDescent="0.25">
      <c r="A9784" t="s">
        <v>19814</v>
      </c>
      <c r="B9784" t="s">
        <v>625</v>
      </c>
      <c r="C9784" t="str">
        <f>HYPERLINK("https://nematode.unl.edu/takas5.jpg")</f>
        <v>https://nematode.unl.edu/takas5.jpg</v>
      </c>
      <c r="D9784" t="s">
        <v>16</v>
      </c>
      <c r="G9784" t="s">
        <v>34</v>
      </c>
      <c r="H9784" t="s">
        <v>18</v>
      </c>
      <c r="I9784" t="s">
        <v>19</v>
      </c>
      <c r="L9784" t="s">
        <v>141</v>
      </c>
      <c r="M9784" t="s">
        <v>616</v>
      </c>
      <c r="N9784" t="s">
        <v>617</v>
      </c>
      <c r="O9784" t="s">
        <v>73</v>
      </c>
      <c r="P9784" t="s">
        <v>81</v>
      </c>
      <c r="Q9784" t="s">
        <v>489</v>
      </c>
      <c r="R9784" t="s">
        <v>490</v>
      </c>
    </row>
    <row r="9785" spans="1:18" x14ac:dyDescent="0.25">
      <c r="A9785" t="s">
        <v>19817</v>
      </c>
      <c r="B9785" t="s">
        <v>626</v>
      </c>
      <c r="C9785" t="str">
        <f>HYPERLINK("https://nematode.unl.edu/takas6.jpg")</f>
        <v>https://nematode.unl.edu/takas6.jpg</v>
      </c>
      <c r="D9785" t="s">
        <v>16</v>
      </c>
      <c r="G9785" t="s">
        <v>87</v>
      </c>
      <c r="I9785" t="s">
        <v>19</v>
      </c>
      <c r="J9785" t="s">
        <v>20</v>
      </c>
      <c r="L9785" t="s">
        <v>141</v>
      </c>
      <c r="M9785" t="s">
        <v>616</v>
      </c>
      <c r="N9785" t="s">
        <v>617</v>
      </c>
      <c r="O9785" t="s">
        <v>73</v>
      </c>
      <c r="P9785" t="s">
        <v>81</v>
      </c>
      <c r="Q9785" t="s">
        <v>489</v>
      </c>
      <c r="R9785" t="s">
        <v>490</v>
      </c>
    </row>
    <row r="9786" spans="1:18" x14ac:dyDescent="0.25">
      <c r="A9786" t="s">
        <v>19826</v>
      </c>
      <c r="B9786" t="s">
        <v>627</v>
      </c>
      <c r="C9786" t="str">
        <f>HYPERLINK("https://nematode.unl.edu/takas7.jpg")</f>
        <v>https://nematode.unl.edu/takas7.jpg</v>
      </c>
      <c r="D9786" t="s">
        <v>16</v>
      </c>
      <c r="G9786" t="s">
        <v>28</v>
      </c>
      <c r="J9786" t="s">
        <v>20</v>
      </c>
      <c r="M9786" t="s">
        <v>616</v>
      </c>
      <c r="N9786" t="s">
        <v>617</v>
      </c>
      <c r="O9786" t="s">
        <v>73</v>
      </c>
      <c r="P9786" t="s">
        <v>81</v>
      </c>
      <c r="Q9786" t="s">
        <v>489</v>
      </c>
      <c r="R9786" t="s">
        <v>490</v>
      </c>
    </row>
    <row r="9787" spans="1:18" x14ac:dyDescent="0.25">
      <c r="A9787" t="s">
        <v>19815</v>
      </c>
      <c r="B9787" t="s">
        <v>628</v>
      </c>
      <c r="C9787" t="str">
        <f>HYPERLINK("https://nematode.unl.edu/takas8.jpg")</f>
        <v>https://nematode.unl.edu/takas8.jpg</v>
      </c>
      <c r="D9787" t="s">
        <v>16</v>
      </c>
      <c r="G9787" t="s">
        <v>34</v>
      </c>
      <c r="H9787" t="s">
        <v>18</v>
      </c>
      <c r="J9787" t="s">
        <v>20</v>
      </c>
      <c r="L9787" t="s">
        <v>141</v>
      </c>
      <c r="M9787" t="s">
        <v>616</v>
      </c>
      <c r="N9787" t="s">
        <v>617</v>
      </c>
      <c r="O9787" t="s">
        <v>73</v>
      </c>
      <c r="P9787" t="s">
        <v>81</v>
      </c>
      <c r="Q9787" t="s">
        <v>489</v>
      </c>
      <c r="R9787" t="s">
        <v>490</v>
      </c>
    </row>
    <row r="9788" spans="1:18" x14ac:dyDescent="0.25">
      <c r="A9788" t="s">
        <v>19818</v>
      </c>
      <c r="B9788" t="s">
        <v>629</v>
      </c>
      <c r="C9788" t="str">
        <f>HYPERLINK("https://nematode.unl.edu/takas9.jpg")</f>
        <v>https://nematode.unl.edu/takas9.jpg</v>
      </c>
      <c r="D9788" t="s">
        <v>16</v>
      </c>
      <c r="G9788" t="s">
        <v>87</v>
      </c>
      <c r="J9788" t="s">
        <v>20</v>
      </c>
      <c r="L9788" t="s">
        <v>193</v>
      </c>
      <c r="M9788" t="s">
        <v>616</v>
      </c>
      <c r="N9788" t="s">
        <v>617</v>
      </c>
      <c r="O9788" t="s">
        <v>73</v>
      </c>
      <c r="P9788" t="s">
        <v>81</v>
      </c>
      <c r="Q9788" t="s">
        <v>489</v>
      </c>
      <c r="R9788" t="s">
        <v>490</v>
      </c>
    </row>
    <row r="9789" spans="1:18" x14ac:dyDescent="0.25">
      <c r="A9789" t="s">
        <v>19821</v>
      </c>
      <c r="B9789" t="s">
        <v>630</v>
      </c>
      <c r="C9789" t="str">
        <f>HYPERLINK("https://nematode.unl.edu/takasacmp.jpg")</f>
        <v>https://nematode.unl.edu/takasacmp.jpg</v>
      </c>
      <c r="G9789" t="s">
        <v>243</v>
      </c>
      <c r="M9789" t="s">
        <v>616</v>
      </c>
      <c r="N9789" t="s">
        <v>617</v>
      </c>
      <c r="O9789" t="s">
        <v>73</v>
      </c>
      <c r="P9789" t="s">
        <v>81</v>
      </c>
      <c r="Q9789" t="s">
        <v>489</v>
      </c>
      <c r="R9789" t="s">
        <v>490</v>
      </c>
    </row>
    <row r="9790" spans="1:18" x14ac:dyDescent="0.25">
      <c r="A9790" t="s">
        <v>19192</v>
      </c>
      <c r="B9790" t="s">
        <v>126</v>
      </c>
      <c r="C9790" t="str">
        <f>HYPERLINK("https://nematode.unl.edu/takasp1.jpg")</f>
        <v>https://nematode.unl.edu/takasp1.jpg</v>
      </c>
      <c r="D9790" t="s">
        <v>77</v>
      </c>
      <c r="G9790" t="s">
        <v>34</v>
      </c>
      <c r="H9790" t="s">
        <v>18</v>
      </c>
      <c r="I9790" t="s">
        <v>19</v>
      </c>
      <c r="J9790" t="s">
        <v>127</v>
      </c>
      <c r="L9790" t="s">
        <v>128</v>
      </c>
      <c r="M9790" t="s">
        <v>117</v>
      </c>
      <c r="N9790" t="s">
        <v>118</v>
      </c>
      <c r="O9790" t="s">
        <v>73</v>
      </c>
      <c r="P9790" t="s">
        <v>81</v>
      </c>
      <c r="Q9790" t="s">
        <v>119</v>
      </c>
      <c r="R9790" t="s">
        <v>118</v>
      </c>
    </row>
    <row r="9791" spans="1:18" x14ac:dyDescent="0.25">
      <c r="A9791" t="s">
        <v>19198</v>
      </c>
      <c r="B9791" t="s">
        <v>129</v>
      </c>
      <c r="C9791" t="str">
        <f>HYPERLINK("https://nematode.unl.edu/takasp2.jpg")</f>
        <v>https://nematode.unl.edu/takasp2.jpg</v>
      </c>
      <c r="D9791" t="s">
        <v>77</v>
      </c>
      <c r="G9791" t="s">
        <v>28</v>
      </c>
      <c r="I9791" t="s">
        <v>19</v>
      </c>
      <c r="J9791" t="s">
        <v>127</v>
      </c>
      <c r="M9791" t="s">
        <v>117</v>
      </c>
      <c r="N9791" t="s">
        <v>118</v>
      </c>
      <c r="O9791" t="s">
        <v>73</v>
      </c>
      <c r="P9791" t="s">
        <v>81</v>
      </c>
      <c r="Q9791" t="s">
        <v>119</v>
      </c>
      <c r="R9791" t="s">
        <v>118</v>
      </c>
    </row>
    <row r="9792" spans="1:18" x14ac:dyDescent="0.25">
      <c r="A9792" t="s">
        <v>19193</v>
      </c>
      <c r="B9792" t="s">
        <v>130</v>
      </c>
      <c r="C9792" t="str">
        <f>HYPERLINK("https://nematode.unl.edu/takasp3.jpg")</f>
        <v>https://nematode.unl.edu/takasp3.jpg</v>
      </c>
      <c r="D9792" t="s">
        <v>77</v>
      </c>
      <c r="G9792" t="s">
        <v>34</v>
      </c>
      <c r="H9792" t="s">
        <v>18</v>
      </c>
      <c r="J9792" t="s">
        <v>127</v>
      </c>
      <c r="L9792" t="s">
        <v>131</v>
      </c>
      <c r="M9792" t="s">
        <v>117</v>
      </c>
      <c r="N9792" t="s">
        <v>118</v>
      </c>
      <c r="O9792" t="s">
        <v>73</v>
      </c>
      <c r="P9792" t="s">
        <v>81</v>
      </c>
      <c r="Q9792" t="s">
        <v>119</v>
      </c>
      <c r="R9792" t="s">
        <v>118</v>
      </c>
    </row>
    <row r="9793" spans="1:18" x14ac:dyDescent="0.25">
      <c r="A9793" t="s">
        <v>19199</v>
      </c>
      <c r="B9793" t="s">
        <v>132</v>
      </c>
      <c r="C9793" t="str">
        <f>HYPERLINK("https://nematode.unl.edu/takasp4.jpg")</f>
        <v>https://nematode.unl.edu/takasp4.jpg</v>
      </c>
      <c r="D9793" t="s">
        <v>77</v>
      </c>
      <c r="G9793" t="s">
        <v>28</v>
      </c>
      <c r="I9793" t="s">
        <v>41</v>
      </c>
      <c r="J9793" t="s">
        <v>127</v>
      </c>
      <c r="L9793" t="s">
        <v>131</v>
      </c>
      <c r="M9793" t="s">
        <v>117</v>
      </c>
      <c r="N9793" t="s">
        <v>118</v>
      </c>
      <c r="O9793" t="s">
        <v>73</v>
      </c>
      <c r="P9793" t="s">
        <v>81</v>
      </c>
      <c r="Q9793" t="s">
        <v>119</v>
      </c>
      <c r="R9793" t="s">
        <v>118</v>
      </c>
    </row>
    <row r="9794" spans="1:18" x14ac:dyDescent="0.25">
      <c r="A9794" t="s">
        <v>19749</v>
      </c>
      <c r="B9794" t="s">
        <v>540</v>
      </c>
      <c r="C9794" t="str">
        <f>HYPERLINK("https://nematode.unl.edu/takco1.jpg")</f>
        <v>https://nematode.unl.edu/takco1.jpg</v>
      </c>
      <c r="D9794" t="s">
        <v>16</v>
      </c>
      <c r="G9794" t="s">
        <v>34</v>
      </c>
      <c r="H9794" t="s">
        <v>18</v>
      </c>
      <c r="I9794" t="s">
        <v>516</v>
      </c>
      <c r="J9794" t="s">
        <v>20</v>
      </c>
      <c r="L9794" t="s">
        <v>141</v>
      </c>
      <c r="M9794" t="s">
        <v>541</v>
      </c>
      <c r="N9794" t="s">
        <v>542</v>
      </c>
      <c r="O9794" t="s">
        <v>73</v>
      </c>
      <c r="P9794" t="s">
        <v>81</v>
      </c>
      <c r="Q9794" t="s">
        <v>489</v>
      </c>
      <c r="R9794" t="s">
        <v>490</v>
      </c>
    </row>
    <row r="9795" spans="1:18" x14ac:dyDescent="0.25">
      <c r="A9795" t="s">
        <v>19753</v>
      </c>
      <c r="B9795" t="s">
        <v>543</v>
      </c>
      <c r="C9795" t="str">
        <f>HYPERLINK("https://nematode.unl.edu/takco2.jpg")</f>
        <v>https://nematode.unl.edu/takco2.jpg</v>
      </c>
      <c r="D9795" t="s">
        <v>16</v>
      </c>
      <c r="G9795" t="s">
        <v>28</v>
      </c>
      <c r="J9795" t="s">
        <v>20</v>
      </c>
      <c r="L9795" t="s">
        <v>352</v>
      </c>
      <c r="M9795" t="s">
        <v>541</v>
      </c>
      <c r="N9795" t="s">
        <v>542</v>
      </c>
      <c r="O9795" t="s">
        <v>73</v>
      </c>
      <c r="P9795" t="s">
        <v>81</v>
      </c>
      <c r="Q9795" t="s">
        <v>489</v>
      </c>
      <c r="R9795" t="s">
        <v>490</v>
      </c>
    </row>
    <row r="9796" spans="1:18" x14ac:dyDescent="0.25">
      <c r="A9796" t="s">
        <v>19751</v>
      </c>
      <c r="B9796" t="s">
        <v>544</v>
      </c>
      <c r="C9796" t="str">
        <f>HYPERLINK("https://nematode.unl.edu/takco3.jpg")</f>
        <v>https://nematode.unl.edu/takco3.jpg</v>
      </c>
      <c r="D9796" t="s">
        <v>43</v>
      </c>
      <c r="G9796" t="s">
        <v>44</v>
      </c>
      <c r="J9796" t="s">
        <v>20</v>
      </c>
      <c r="L9796" t="s">
        <v>141</v>
      </c>
      <c r="M9796" t="s">
        <v>541</v>
      </c>
      <c r="N9796" t="s">
        <v>542</v>
      </c>
      <c r="O9796" t="s">
        <v>73</v>
      </c>
      <c r="P9796" t="s">
        <v>81</v>
      </c>
      <c r="Q9796" t="s">
        <v>489</v>
      </c>
      <c r="R9796" t="s">
        <v>490</v>
      </c>
    </row>
    <row r="9797" spans="1:18" x14ac:dyDescent="0.25">
      <c r="A9797" t="s">
        <v>19754</v>
      </c>
      <c r="B9797" t="s">
        <v>545</v>
      </c>
      <c r="C9797" t="str">
        <f>HYPERLINK("https://nematode.unl.edu/takco4.jpg")</f>
        <v>https://nematode.unl.edu/takco4.jpg</v>
      </c>
      <c r="D9797" t="s">
        <v>43</v>
      </c>
      <c r="G9797" t="s">
        <v>28</v>
      </c>
      <c r="J9797" t="s">
        <v>20</v>
      </c>
      <c r="L9797" t="s">
        <v>64</v>
      </c>
      <c r="M9797" t="s">
        <v>541</v>
      </c>
      <c r="N9797" t="s">
        <v>542</v>
      </c>
      <c r="O9797" t="s">
        <v>73</v>
      </c>
      <c r="P9797" t="s">
        <v>81</v>
      </c>
      <c r="Q9797" t="s">
        <v>489</v>
      </c>
      <c r="R9797" t="s">
        <v>490</v>
      </c>
    </row>
    <row r="9798" spans="1:18" x14ac:dyDescent="0.25">
      <c r="A9798" t="s">
        <v>19755</v>
      </c>
      <c r="B9798" t="s">
        <v>546</v>
      </c>
      <c r="C9798" t="str">
        <f>HYPERLINK("https://nematode.unl.edu/takco5.jpg")</f>
        <v>https://nematode.unl.edu/takco5.jpg</v>
      </c>
      <c r="D9798" t="s">
        <v>43</v>
      </c>
      <c r="G9798" t="s">
        <v>51</v>
      </c>
      <c r="J9798" t="s">
        <v>20</v>
      </c>
      <c r="L9798" t="s">
        <v>141</v>
      </c>
      <c r="M9798" t="s">
        <v>541</v>
      </c>
      <c r="N9798" t="s">
        <v>542</v>
      </c>
      <c r="O9798" t="s">
        <v>73</v>
      </c>
      <c r="P9798" t="s">
        <v>81</v>
      </c>
      <c r="Q9798" t="s">
        <v>489</v>
      </c>
      <c r="R9798" t="s">
        <v>490</v>
      </c>
    </row>
    <row r="9799" spans="1:18" x14ac:dyDescent="0.25">
      <c r="A9799" t="s">
        <v>19748</v>
      </c>
      <c r="B9799" t="s">
        <v>547</v>
      </c>
      <c r="C9799" t="str">
        <f>HYPERLINK("https://nematode.unl.edu/takco6.jpg")</f>
        <v>https://nematode.unl.edu/takco6.jpg</v>
      </c>
      <c r="D9799" t="s">
        <v>43</v>
      </c>
      <c r="G9799" t="s">
        <v>17</v>
      </c>
      <c r="H9799" t="s">
        <v>18</v>
      </c>
      <c r="J9799" t="s">
        <v>20</v>
      </c>
      <c r="L9799" t="s">
        <v>220</v>
      </c>
      <c r="M9799" t="s">
        <v>541</v>
      </c>
      <c r="N9799" t="s">
        <v>542</v>
      </c>
      <c r="O9799" t="s">
        <v>73</v>
      </c>
      <c r="P9799" t="s">
        <v>81</v>
      </c>
      <c r="Q9799" t="s">
        <v>489</v>
      </c>
      <c r="R9799" t="s">
        <v>490</v>
      </c>
    </row>
    <row r="9800" spans="1:18" x14ac:dyDescent="0.25">
      <c r="A9800" t="s">
        <v>19750</v>
      </c>
      <c r="B9800" t="s">
        <v>548</v>
      </c>
      <c r="C9800" t="str">
        <f>HYPERLINK("https://nematode.unl.edu/takco7.jpg")</f>
        <v>https://nematode.unl.edu/takco7.jpg</v>
      </c>
      <c r="D9800" t="s">
        <v>43</v>
      </c>
      <c r="G9800" t="s">
        <v>34</v>
      </c>
      <c r="H9800" t="s">
        <v>18</v>
      </c>
      <c r="I9800" t="s">
        <v>19</v>
      </c>
      <c r="L9800" t="s">
        <v>193</v>
      </c>
      <c r="M9800" t="s">
        <v>541</v>
      </c>
      <c r="N9800" t="s">
        <v>542</v>
      </c>
      <c r="O9800" t="s">
        <v>73</v>
      </c>
      <c r="P9800" t="s">
        <v>81</v>
      </c>
      <c r="Q9800" t="s">
        <v>489</v>
      </c>
      <c r="R9800" t="s">
        <v>490</v>
      </c>
    </row>
    <row r="9801" spans="1:18" x14ac:dyDescent="0.25">
      <c r="A9801" t="s">
        <v>19701</v>
      </c>
      <c r="B9801" t="s">
        <v>534</v>
      </c>
      <c r="C9801" t="str">
        <f>HYPERLINK("https://nematode.unl.edu/takcul1.jpg")</f>
        <v>https://nematode.unl.edu/takcul1.jpg</v>
      </c>
      <c r="D9801" t="s">
        <v>43</v>
      </c>
      <c r="G9801" t="s">
        <v>96</v>
      </c>
      <c r="H9801" t="s">
        <v>18</v>
      </c>
      <c r="I9801" t="s">
        <v>137</v>
      </c>
      <c r="J9801" t="s">
        <v>127</v>
      </c>
      <c r="L9801" t="s">
        <v>128</v>
      </c>
      <c r="M9801" t="s">
        <v>487</v>
      </c>
      <c r="N9801" t="s">
        <v>488</v>
      </c>
      <c r="O9801" t="s">
        <v>73</v>
      </c>
      <c r="P9801" t="s">
        <v>81</v>
      </c>
      <c r="Q9801" t="s">
        <v>489</v>
      </c>
      <c r="R9801" t="s">
        <v>490</v>
      </c>
    </row>
    <row r="9802" spans="1:18" x14ac:dyDescent="0.25">
      <c r="A9802" t="s">
        <v>19746</v>
      </c>
      <c r="B9802" t="s">
        <v>535</v>
      </c>
      <c r="C9802" t="str">
        <f>HYPERLINK("https://nematode.unl.edu/takcul2.jpg")</f>
        <v>https://nematode.unl.edu/takcul2.jpg</v>
      </c>
      <c r="D9802" t="s">
        <v>43</v>
      </c>
      <c r="G9802" t="s">
        <v>51</v>
      </c>
      <c r="I9802" t="s">
        <v>19</v>
      </c>
      <c r="J9802" t="s">
        <v>127</v>
      </c>
      <c r="M9802" t="s">
        <v>487</v>
      </c>
      <c r="N9802" t="s">
        <v>488</v>
      </c>
      <c r="O9802" t="s">
        <v>73</v>
      </c>
      <c r="P9802" t="s">
        <v>81</v>
      </c>
      <c r="Q9802" t="s">
        <v>489</v>
      </c>
      <c r="R9802" t="s">
        <v>490</v>
      </c>
    </row>
    <row r="9803" spans="1:18" x14ac:dyDescent="0.25">
      <c r="A9803" t="s">
        <v>19739</v>
      </c>
      <c r="B9803" t="s">
        <v>536</v>
      </c>
      <c r="C9803" t="str">
        <f>HYPERLINK("https://nematode.unl.edu/takcul3.jpg")</f>
        <v>https://nematode.unl.edu/takcul3.jpg</v>
      </c>
      <c r="D9803" t="s">
        <v>43</v>
      </c>
      <c r="G9803" t="s">
        <v>28</v>
      </c>
      <c r="I9803" t="s">
        <v>137</v>
      </c>
      <c r="J9803" t="s">
        <v>127</v>
      </c>
      <c r="L9803" t="s">
        <v>128</v>
      </c>
      <c r="M9803" t="s">
        <v>487</v>
      </c>
      <c r="N9803" t="s">
        <v>488</v>
      </c>
      <c r="O9803" t="s">
        <v>73</v>
      </c>
      <c r="P9803" t="s">
        <v>81</v>
      </c>
      <c r="Q9803" t="s">
        <v>489</v>
      </c>
      <c r="R9803" t="s">
        <v>490</v>
      </c>
    </row>
    <row r="9804" spans="1:18" x14ac:dyDescent="0.25">
      <c r="A9804" t="s">
        <v>19740</v>
      </c>
      <c r="B9804" t="s">
        <v>537</v>
      </c>
      <c r="C9804" t="str">
        <f>HYPERLINK("https://nematode.unl.edu/takcul4.jpg")</f>
        <v>https://nematode.unl.edu/takcul4.jpg</v>
      </c>
      <c r="D9804" t="s">
        <v>77</v>
      </c>
      <c r="G9804" t="s">
        <v>28</v>
      </c>
      <c r="J9804" t="s">
        <v>127</v>
      </c>
      <c r="L9804" t="s">
        <v>131</v>
      </c>
      <c r="M9804" t="s">
        <v>487</v>
      </c>
      <c r="N9804" t="s">
        <v>488</v>
      </c>
      <c r="O9804" t="s">
        <v>73</v>
      </c>
      <c r="P9804" t="s">
        <v>81</v>
      </c>
      <c r="Q9804" t="s">
        <v>489</v>
      </c>
      <c r="R9804" t="s">
        <v>490</v>
      </c>
    </row>
    <row r="9805" spans="1:18" x14ac:dyDescent="0.25">
      <c r="A9805" t="s">
        <v>19747</v>
      </c>
      <c r="B9805" t="s">
        <v>538</v>
      </c>
      <c r="C9805" t="str">
        <f>HYPERLINK("https://nematode.unl.edu/takcul5.jpg")</f>
        <v>https://nematode.unl.edu/takcul5.jpg</v>
      </c>
      <c r="D9805" t="s">
        <v>43</v>
      </c>
      <c r="G9805" t="s">
        <v>51</v>
      </c>
      <c r="I9805" t="s">
        <v>19</v>
      </c>
      <c r="J9805" t="s">
        <v>127</v>
      </c>
      <c r="L9805" t="s">
        <v>131</v>
      </c>
      <c r="M9805" t="s">
        <v>487</v>
      </c>
      <c r="N9805" t="s">
        <v>488</v>
      </c>
      <c r="O9805" t="s">
        <v>73</v>
      </c>
      <c r="P9805" t="s">
        <v>81</v>
      </c>
      <c r="Q9805" t="s">
        <v>489</v>
      </c>
      <c r="R9805" t="s">
        <v>490</v>
      </c>
    </row>
    <row r="9806" spans="1:18" x14ac:dyDescent="0.25">
      <c r="A9806" t="s">
        <v>19702</v>
      </c>
      <c r="B9806" t="s">
        <v>539</v>
      </c>
      <c r="C9806" t="str">
        <f>HYPERLINK("https://nematode.unl.edu/takcul6.jpg")</f>
        <v>https://nematode.unl.edu/takcul6.jpg</v>
      </c>
      <c r="D9806" t="s">
        <v>43</v>
      </c>
      <c r="G9806" t="s">
        <v>96</v>
      </c>
      <c r="H9806" t="s">
        <v>18</v>
      </c>
      <c r="I9806" t="s">
        <v>19</v>
      </c>
      <c r="J9806" t="s">
        <v>127</v>
      </c>
      <c r="L9806" t="s">
        <v>131</v>
      </c>
      <c r="M9806" t="s">
        <v>487</v>
      </c>
      <c r="N9806" t="s">
        <v>488</v>
      </c>
      <c r="O9806" t="s">
        <v>73</v>
      </c>
      <c r="P9806" t="s">
        <v>81</v>
      </c>
      <c r="Q9806" t="s">
        <v>489</v>
      </c>
      <c r="R9806" t="s">
        <v>490</v>
      </c>
    </row>
    <row r="9807" spans="1:18" x14ac:dyDescent="0.25">
      <c r="A9807" t="s">
        <v>19774</v>
      </c>
      <c r="B9807" t="s">
        <v>552</v>
      </c>
      <c r="C9807" t="str">
        <f>HYPERLINK("https://nematode.unl.edu/takcy1.jpg")</f>
        <v>https://nematode.unl.edu/takcy1.jpg</v>
      </c>
      <c r="D9807" t="s">
        <v>16</v>
      </c>
      <c r="G9807" t="s">
        <v>28</v>
      </c>
      <c r="M9807" t="s">
        <v>553</v>
      </c>
      <c r="N9807" t="s">
        <v>554</v>
      </c>
      <c r="O9807" t="s">
        <v>73</v>
      </c>
      <c r="P9807" t="s">
        <v>81</v>
      </c>
      <c r="Q9807" t="s">
        <v>489</v>
      </c>
      <c r="R9807" t="s">
        <v>490</v>
      </c>
    </row>
    <row r="9808" spans="1:18" x14ac:dyDescent="0.25">
      <c r="A9808" t="s">
        <v>19759</v>
      </c>
      <c r="B9808" t="s">
        <v>555</v>
      </c>
      <c r="C9808" t="str">
        <f>HYPERLINK("https://nematode.unl.edu/takcy10.jpg")</f>
        <v>https://nematode.unl.edu/takcy10.jpg</v>
      </c>
      <c r="D9808" t="s">
        <v>16</v>
      </c>
      <c r="G9808" t="s">
        <v>34</v>
      </c>
      <c r="H9808" t="s">
        <v>18</v>
      </c>
      <c r="I9808" t="s">
        <v>516</v>
      </c>
      <c r="J9808" t="s">
        <v>20</v>
      </c>
      <c r="M9808" t="s">
        <v>553</v>
      </c>
      <c r="N9808" t="s">
        <v>554</v>
      </c>
      <c r="O9808" t="s">
        <v>73</v>
      </c>
      <c r="P9808" t="s">
        <v>81</v>
      </c>
      <c r="Q9808" t="s">
        <v>489</v>
      </c>
      <c r="R9808" t="s">
        <v>490</v>
      </c>
    </row>
    <row r="9809" spans="1:18" x14ac:dyDescent="0.25">
      <c r="A9809" t="s">
        <v>19767</v>
      </c>
      <c r="B9809" t="s">
        <v>556</v>
      </c>
      <c r="C9809" t="str">
        <f>HYPERLINK("https://nematode.unl.edu/takcy11.jpg")</f>
        <v>https://nematode.unl.edu/takcy11.jpg</v>
      </c>
      <c r="D9809" t="s">
        <v>16</v>
      </c>
      <c r="G9809" t="s">
        <v>87</v>
      </c>
      <c r="M9809" t="s">
        <v>553</v>
      </c>
      <c r="N9809" t="s">
        <v>554</v>
      </c>
      <c r="O9809" t="s">
        <v>73</v>
      </c>
      <c r="P9809" t="s">
        <v>81</v>
      </c>
      <c r="Q9809" t="s">
        <v>489</v>
      </c>
      <c r="R9809" t="s">
        <v>490</v>
      </c>
    </row>
    <row r="9810" spans="1:18" x14ac:dyDescent="0.25">
      <c r="A9810" t="s">
        <v>19775</v>
      </c>
      <c r="B9810" t="s">
        <v>557</v>
      </c>
      <c r="C9810" t="str">
        <f>HYPERLINK("https://nematode.unl.edu/takcy12.jpg")</f>
        <v>https://nematode.unl.edu/takcy12.jpg</v>
      </c>
      <c r="D9810" t="s">
        <v>16</v>
      </c>
      <c r="G9810" t="s">
        <v>28</v>
      </c>
      <c r="M9810" t="s">
        <v>553</v>
      </c>
      <c r="N9810" t="s">
        <v>554</v>
      </c>
      <c r="O9810" t="s">
        <v>73</v>
      </c>
      <c r="P9810" t="s">
        <v>81</v>
      </c>
      <c r="Q9810" t="s">
        <v>489</v>
      </c>
      <c r="R9810" t="s">
        <v>490</v>
      </c>
    </row>
    <row r="9811" spans="1:18" x14ac:dyDescent="0.25">
      <c r="A9811" t="s">
        <v>19760</v>
      </c>
      <c r="B9811" t="s">
        <v>558</v>
      </c>
      <c r="C9811" t="str">
        <f>HYPERLINK("https://nematode.unl.edu/takcy13.jpg")</f>
        <v>https://nematode.unl.edu/takcy13.jpg</v>
      </c>
      <c r="D9811" t="s">
        <v>16</v>
      </c>
      <c r="G9811" t="s">
        <v>34</v>
      </c>
      <c r="H9811" t="s">
        <v>18</v>
      </c>
      <c r="I9811" t="s">
        <v>516</v>
      </c>
      <c r="J9811" t="s">
        <v>20</v>
      </c>
      <c r="L9811" t="s">
        <v>141</v>
      </c>
      <c r="M9811" t="s">
        <v>553</v>
      </c>
      <c r="N9811" t="s">
        <v>554</v>
      </c>
      <c r="O9811" t="s">
        <v>73</v>
      </c>
      <c r="P9811" t="s">
        <v>81</v>
      </c>
      <c r="Q9811" t="s">
        <v>489</v>
      </c>
      <c r="R9811" t="s">
        <v>490</v>
      </c>
    </row>
    <row r="9812" spans="1:18" x14ac:dyDescent="0.25">
      <c r="A9812" t="s">
        <v>19768</v>
      </c>
      <c r="B9812" t="s">
        <v>559</v>
      </c>
      <c r="C9812" t="str">
        <f>HYPERLINK("https://nematode.unl.edu/takcy14.jpg")</f>
        <v>https://nematode.unl.edu/takcy14.jpg</v>
      </c>
      <c r="D9812" t="s">
        <v>16</v>
      </c>
      <c r="G9812" t="s">
        <v>87</v>
      </c>
      <c r="I9812" t="s">
        <v>516</v>
      </c>
      <c r="J9812" t="s">
        <v>20</v>
      </c>
      <c r="L9812" t="s">
        <v>141</v>
      </c>
      <c r="M9812" t="s">
        <v>553</v>
      </c>
      <c r="N9812" t="s">
        <v>554</v>
      </c>
      <c r="O9812" t="s">
        <v>73</v>
      </c>
      <c r="P9812" t="s">
        <v>81</v>
      </c>
      <c r="Q9812" t="s">
        <v>489</v>
      </c>
      <c r="R9812" t="s">
        <v>490</v>
      </c>
    </row>
    <row r="9813" spans="1:18" x14ac:dyDescent="0.25">
      <c r="A9813" t="s">
        <v>19776</v>
      </c>
      <c r="B9813" t="s">
        <v>560</v>
      </c>
      <c r="C9813" t="str">
        <f>HYPERLINK("https://nematode.unl.edu/takcy15.jpg")</f>
        <v>https://nematode.unl.edu/takcy15.jpg</v>
      </c>
      <c r="D9813" t="s">
        <v>16</v>
      </c>
      <c r="G9813" t="s">
        <v>28</v>
      </c>
      <c r="J9813" t="s">
        <v>20</v>
      </c>
      <c r="L9813" t="s">
        <v>141</v>
      </c>
      <c r="M9813" t="s">
        <v>553</v>
      </c>
      <c r="N9813" t="s">
        <v>554</v>
      </c>
      <c r="O9813" t="s">
        <v>73</v>
      </c>
      <c r="P9813" t="s">
        <v>81</v>
      </c>
      <c r="Q9813" t="s">
        <v>489</v>
      </c>
      <c r="R9813" t="s">
        <v>490</v>
      </c>
    </row>
    <row r="9814" spans="1:18" x14ac:dyDescent="0.25">
      <c r="A9814" t="s">
        <v>19761</v>
      </c>
      <c r="B9814" t="s">
        <v>561</v>
      </c>
      <c r="C9814" t="str">
        <f>HYPERLINK("https://nematode.unl.edu/takcy16.jpg")</f>
        <v>https://nematode.unl.edu/takcy16.jpg</v>
      </c>
      <c r="D9814" t="s">
        <v>16</v>
      </c>
      <c r="G9814" t="s">
        <v>34</v>
      </c>
      <c r="H9814" t="s">
        <v>18</v>
      </c>
      <c r="I9814" t="s">
        <v>19</v>
      </c>
      <c r="J9814" t="s">
        <v>20</v>
      </c>
      <c r="M9814" t="s">
        <v>553</v>
      </c>
      <c r="N9814" t="s">
        <v>554</v>
      </c>
      <c r="O9814" t="s">
        <v>73</v>
      </c>
      <c r="P9814" t="s">
        <v>81</v>
      </c>
      <c r="Q9814" t="s">
        <v>489</v>
      </c>
      <c r="R9814" t="s">
        <v>490</v>
      </c>
    </row>
    <row r="9815" spans="1:18" x14ac:dyDescent="0.25">
      <c r="A9815" t="s">
        <v>19777</v>
      </c>
      <c r="B9815" t="s">
        <v>562</v>
      </c>
      <c r="C9815" t="str">
        <f>HYPERLINK("https://nematode.unl.edu/takcy17.jpg")</f>
        <v>https://nematode.unl.edu/takcy17.jpg</v>
      </c>
      <c r="D9815" t="s">
        <v>16</v>
      </c>
      <c r="G9815" t="s">
        <v>28</v>
      </c>
      <c r="J9815" t="s">
        <v>20</v>
      </c>
      <c r="M9815" t="s">
        <v>553</v>
      </c>
      <c r="N9815" t="s">
        <v>554</v>
      </c>
      <c r="O9815" t="s">
        <v>73</v>
      </c>
      <c r="P9815" t="s">
        <v>81</v>
      </c>
      <c r="Q9815" t="s">
        <v>489</v>
      </c>
      <c r="R9815" t="s">
        <v>490</v>
      </c>
    </row>
    <row r="9816" spans="1:18" x14ac:dyDescent="0.25">
      <c r="A9816" t="s">
        <v>19762</v>
      </c>
      <c r="B9816" t="s">
        <v>563</v>
      </c>
      <c r="C9816" t="str">
        <f>HYPERLINK("https://nematode.unl.edu/takcy18.jpg")</f>
        <v>https://nematode.unl.edu/takcy18.jpg</v>
      </c>
      <c r="D9816" t="s">
        <v>16</v>
      </c>
      <c r="G9816" t="s">
        <v>34</v>
      </c>
      <c r="H9816" t="s">
        <v>18</v>
      </c>
      <c r="I9816" t="s">
        <v>19</v>
      </c>
      <c r="M9816" t="s">
        <v>553</v>
      </c>
      <c r="N9816" t="s">
        <v>554</v>
      </c>
      <c r="O9816" t="s">
        <v>73</v>
      </c>
      <c r="P9816" t="s">
        <v>81</v>
      </c>
      <c r="Q9816" t="s">
        <v>489</v>
      </c>
      <c r="R9816" t="s">
        <v>490</v>
      </c>
    </row>
    <row r="9817" spans="1:18" x14ac:dyDescent="0.25">
      <c r="A9817" t="s">
        <v>19758</v>
      </c>
      <c r="B9817" t="s">
        <v>564</v>
      </c>
      <c r="C9817" t="str">
        <f>HYPERLINK("https://nematode.unl.edu/takcy19.jpg")</f>
        <v>https://nematode.unl.edu/takcy19.jpg</v>
      </c>
      <c r="D9817" t="s">
        <v>16</v>
      </c>
      <c r="G9817" t="s">
        <v>17</v>
      </c>
      <c r="H9817" t="s">
        <v>18</v>
      </c>
      <c r="I9817" t="s">
        <v>19</v>
      </c>
      <c r="J9817" t="s">
        <v>20</v>
      </c>
      <c r="M9817" t="s">
        <v>553</v>
      </c>
      <c r="N9817" t="s">
        <v>554</v>
      </c>
      <c r="O9817" t="s">
        <v>73</v>
      </c>
      <c r="P9817" t="s">
        <v>81</v>
      </c>
      <c r="Q9817" t="s">
        <v>489</v>
      </c>
      <c r="R9817" t="s">
        <v>490</v>
      </c>
    </row>
    <row r="9818" spans="1:18" x14ac:dyDescent="0.25">
      <c r="A9818" t="s">
        <v>19769</v>
      </c>
      <c r="B9818" t="s">
        <v>565</v>
      </c>
      <c r="C9818" t="str">
        <f>HYPERLINK("https://nematode.unl.edu/takcy2.jpg")</f>
        <v>https://nematode.unl.edu/takcy2.jpg</v>
      </c>
      <c r="D9818" t="s">
        <v>16</v>
      </c>
      <c r="G9818" t="s">
        <v>87</v>
      </c>
      <c r="J9818" t="s">
        <v>20</v>
      </c>
      <c r="L9818" t="s">
        <v>141</v>
      </c>
      <c r="M9818" t="s">
        <v>553</v>
      </c>
      <c r="N9818" t="s">
        <v>554</v>
      </c>
      <c r="O9818" t="s">
        <v>73</v>
      </c>
      <c r="P9818" t="s">
        <v>81</v>
      </c>
      <c r="Q9818" t="s">
        <v>489</v>
      </c>
      <c r="R9818" t="s">
        <v>490</v>
      </c>
    </row>
    <row r="9819" spans="1:18" x14ac:dyDescent="0.25">
      <c r="A9819" t="s">
        <v>19763</v>
      </c>
      <c r="B9819" t="s">
        <v>566</v>
      </c>
      <c r="C9819" t="str">
        <f>HYPERLINK("https://nematode.unl.edu/takcy3.jpg")</f>
        <v>https://nematode.unl.edu/takcy3.jpg</v>
      </c>
      <c r="D9819" t="s">
        <v>16</v>
      </c>
      <c r="G9819" t="s">
        <v>34</v>
      </c>
      <c r="H9819" t="s">
        <v>18</v>
      </c>
      <c r="J9819" t="s">
        <v>20</v>
      </c>
      <c r="L9819" t="s">
        <v>141</v>
      </c>
      <c r="M9819" t="s">
        <v>553</v>
      </c>
      <c r="N9819" t="s">
        <v>554</v>
      </c>
      <c r="O9819" t="s">
        <v>73</v>
      </c>
      <c r="P9819" t="s">
        <v>81</v>
      </c>
      <c r="Q9819" t="s">
        <v>489</v>
      </c>
      <c r="R9819" t="s">
        <v>490</v>
      </c>
    </row>
    <row r="9820" spans="1:18" x14ac:dyDescent="0.25">
      <c r="A9820" t="s">
        <v>19770</v>
      </c>
      <c r="B9820" t="s">
        <v>567</v>
      </c>
      <c r="C9820" t="str">
        <f>HYPERLINK("https://nematode.unl.edu/takcy4.jpg")</f>
        <v>https://nematode.unl.edu/takcy4.jpg</v>
      </c>
      <c r="G9820" t="s">
        <v>87</v>
      </c>
      <c r="M9820" t="s">
        <v>553</v>
      </c>
      <c r="N9820" t="s">
        <v>554</v>
      </c>
      <c r="O9820" t="s">
        <v>73</v>
      </c>
      <c r="P9820" t="s">
        <v>81</v>
      </c>
      <c r="Q9820" t="s">
        <v>489</v>
      </c>
      <c r="R9820" t="s">
        <v>490</v>
      </c>
    </row>
    <row r="9821" spans="1:18" x14ac:dyDescent="0.25">
      <c r="A9821" t="s">
        <v>19764</v>
      </c>
      <c r="B9821" t="s">
        <v>568</v>
      </c>
      <c r="C9821" t="str">
        <f>HYPERLINK("https://nematode.unl.edu/takcy5.jpg")</f>
        <v>https://nematode.unl.edu/takcy5.jpg</v>
      </c>
      <c r="D9821" t="s">
        <v>16</v>
      </c>
      <c r="G9821" t="s">
        <v>34</v>
      </c>
      <c r="H9821" t="s">
        <v>18</v>
      </c>
      <c r="I9821" t="s">
        <v>41</v>
      </c>
      <c r="J9821" t="s">
        <v>20</v>
      </c>
      <c r="M9821" t="s">
        <v>553</v>
      </c>
      <c r="N9821" t="s">
        <v>554</v>
      </c>
      <c r="O9821" t="s">
        <v>73</v>
      </c>
      <c r="P9821" t="s">
        <v>81</v>
      </c>
      <c r="Q9821" t="s">
        <v>489</v>
      </c>
      <c r="R9821" t="s">
        <v>490</v>
      </c>
    </row>
    <row r="9822" spans="1:18" x14ac:dyDescent="0.25">
      <c r="A9822" t="s">
        <v>19778</v>
      </c>
      <c r="B9822" t="s">
        <v>569</v>
      </c>
      <c r="C9822" t="str">
        <f>HYPERLINK("https://nematode.unl.edu/takcy6.jpg")</f>
        <v>https://nematode.unl.edu/takcy6.jpg</v>
      </c>
      <c r="D9822" t="s">
        <v>16</v>
      </c>
      <c r="G9822" t="s">
        <v>28</v>
      </c>
      <c r="J9822" t="s">
        <v>20</v>
      </c>
      <c r="L9822" t="s">
        <v>29</v>
      </c>
      <c r="M9822" t="s">
        <v>553</v>
      </c>
      <c r="N9822" t="s">
        <v>554</v>
      </c>
      <c r="O9822" t="s">
        <v>73</v>
      </c>
      <c r="P9822" t="s">
        <v>81</v>
      </c>
      <c r="Q9822" t="s">
        <v>489</v>
      </c>
      <c r="R9822" t="s">
        <v>490</v>
      </c>
    </row>
    <row r="9823" spans="1:18" x14ac:dyDescent="0.25">
      <c r="A9823" t="s">
        <v>19765</v>
      </c>
      <c r="B9823" t="s">
        <v>570</v>
      </c>
      <c r="C9823" t="str">
        <f>HYPERLINK("https://nematode.unl.edu/takcy7.jpg")</f>
        <v>https://nematode.unl.edu/takcy7.jpg</v>
      </c>
      <c r="G9823" t="s">
        <v>34</v>
      </c>
      <c r="H9823" t="s">
        <v>18</v>
      </c>
      <c r="I9823" t="s">
        <v>19</v>
      </c>
      <c r="J9823" t="s">
        <v>20</v>
      </c>
      <c r="L9823" t="s">
        <v>38</v>
      </c>
      <c r="M9823" t="s">
        <v>553</v>
      </c>
      <c r="N9823" t="s">
        <v>554</v>
      </c>
      <c r="O9823" t="s">
        <v>73</v>
      </c>
      <c r="P9823" t="s">
        <v>81</v>
      </c>
      <c r="Q9823" t="s">
        <v>489</v>
      </c>
      <c r="R9823" t="s">
        <v>490</v>
      </c>
    </row>
    <row r="9824" spans="1:18" x14ac:dyDescent="0.25">
      <c r="A9824" t="s">
        <v>19771</v>
      </c>
      <c r="B9824" t="s">
        <v>571</v>
      </c>
      <c r="C9824" t="str">
        <f>HYPERLINK("https://nematode.unl.edu/takcy8.jpg")</f>
        <v>https://nematode.unl.edu/takcy8.jpg</v>
      </c>
      <c r="D9824" t="s">
        <v>16</v>
      </c>
      <c r="G9824" t="s">
        <v>87</v>
      </c>
      <c r="M9824" t="s">
        <v>553</v>
      </c>
      <c r="N9824" t="s">
        <v>554</v>
      </c>
      <c r="O9824" t="s">
        <v>73</v>
      </c>
      <c r="P9824" t="s">
        <v>81</v>
      </c>
      <c r="Q9824" t="s">
        <v>489</v>
      </c>
      <c r="R9824" t="s">
        <v>490</v>
      </c>
    </row>
    <row r="9825" spans="1:18" x14ac:dyDescent="0.25">
      <c r="A9825" t="s">
        <v>19779</v>
      </c>
      <c r="B9825" t="s">
        <v>572</v>
      </c>
      <c r="C9825" t="str">
        <f>HYPERLINK("https://nematode.unl.edu/takcy9.jpg")</f>
        <v>https://nematode.unl.edu/takcy9.jpg</v>
      </c>
      <c r="D9825" t="s">
        <v>16</v>
      </c>
      <c r="G9825" t="s">
        <v>28</v>
      </c>
      <c r="I9825" t="s">
        <v>19</v>
      </c>
      <c r="J9825" t="s">
        <v>20</v>
      </c>
      <c r="L9825" t="s">
        <v>38</v>
      </c>
      <c r="M9825" t="s">
        <v>553</v>
      </c>
      <c r="N9825" t="s">
        <v>554</v>
      </c>
      <c r="O9825" t="s">
        <v>73</v>
      </c>
      <c r="P9825" t="s">
        <v>81</v>
      </c>
      <c r="Q9825" t="s">
        <v>489</v>
      </c>
      <c r="R9825" t="s">
        <v>490</v>
      </c>
    </row>
    <row r="9826" spans="1:18" x14ac:dyDescent="0.25">
      <c r="A9826" t="s">
        <v>19757</v>
      </c>
      <c r="B9826" t="s">
        <v>573</v>
      </c>
      <c r="C9826" t="str">
        <f>HYPERLINK("https://nematode.unl.edu/takcyli4.jpg")</f>
        <v>https://nematode.unl.edu/takcyli4.jpg</v>
      </c>
      <c r="D9826" t="s">
        <v>77</v>
      </c>
      <c r="G9826" t="s">
        <v>96</v>
      </c>
      <c r="H9826" t="s">
        <v>18</v>
      </c>
      <c r="M9826" t="s">
        <v>553</v>
      </c>
      <c r="N9826" t="s">
        <v>554</v>
      </c>
      <c r="O9826" t="s">
        <v>73</v>
      </c>
      <c r="P9826" t="s">
        <v>81</v>
      </c>
      <c r="Q9826" t="s">
        <v>489</v>
      </c>
      <c r="R9826" t="s">
        <v>490</v>
      </c>
    </row>
    <row r="9827" spans="1:18" x14ac:dyDescent="0.25">
      <c r="A9827" t="s">
        <v>19781</v>
      </c>
      <c r="B9827" t="s">
        <v>574</v>
      </c>
      <c r="C9827" t="str">
        <f>HYPERLINK("https://nematode.unl.edu/takcyli5.jpg")</f>
        <v>https://nematode.unl.edu/takcyli5.jpg</v>
      </c>
      <c r="D9827" t="s">
        <v>43</v>
      </c>
      <c r="G9827" t="s">
        <v>51</v>
      </c>
      <c r="J9827" t="s">
        <v>127</v>
      </c>
      <c r="L9827" t="s">
        <v>128</v>
      </c>
      <c r="M9827" t="s">
        <v>553</v>
      </c>
      <c r="N9827" t="s">
        <v>554</v>
      </c>
      <c r="O9827" t="s">
        <v>73</v>
      </c>
      <c r="P9827" t="s">
        <v>81</v>
      </c>
      <c r="Q9827" t="s">
        <v>489</v>
      </c>
      <c r="R9827" t="s">
        <v>490</v>
      </c>
    </row>
    <row r="9828" spans="1:18" x14ac:dyDescent="0.25">
      <c r="A9828" t="s">
        <v>19780</v>
      </c>
      <c r="B9828" t="s">
        <v>575</v>
      </c>
      <c r="C9828" t="str">
        <f>HYPERLINK("https://nematode.unl.edu/takcyli6.jpg")</f>
        <v>https://nematode.unl.edu/takcyli6.jpg</v>
      </c>
      <c r="D9828" t="s">
        <v>43</v>
      </c>
      <c r="G9828" t="s">
        <v>28</v>
      </c>
      <c r="I9828" t="s">
        <v>19</v>
      </c>
      <c r="J9828" t="s">
        <v>127</v>
      </c>
      <c r="M9828" t="s">
        <v>553</v>
      </c>
      <c r="N9828" t="s">
        <v>554</v>
      </c>
      <c r="O9828" t="s">
        <v>73</v>
      </c>
      <c r="P9828" t="s">
        <v>81</v>
      </c>
      <c r="Q9828" t="s">
        <v>489</v>
      </c>
      <c r="R9828" t="s">
        <v>490</v>
      </c>
    </row>
    <row r="9829" spans="1:18" x14ac:dyDescent="0.25">
      <c r="A9829" t="s">
        <v>19766</v>
      </c>
      <c r="B9829" t="s">
        <v>576</v>
      </c>
      <c r="C9829" t="str">
        <f>HYPERLINK("https://nematode.unl.edu/takcyli7.jpg")</f>
        <v>https://nematode.unl.edu/takcyli7.jpg</v>
      </c>
      <c r="D9829" t="s">
        <v>43</v>
      </c>
      <c r="G9829" t="s">
        <v>34</v>
      </c>
      <c r="H9829" t="s">
        <v>18</v>
      </c>
      <c r="I9829" t="s">
        <v>41</v>
      </c>
      <c r="J9829" t="s">
        <v>127</v>
      </c>
      <c r="L9829" t="s">
        <v>128</v>
      </c>
      <c r="M9829" t="s">
        <v>553</v>
      </c>
      <c r="N9829" t="s">
        <v>554</v>
      </c>
      <c r="O9829" t="s">
        <v>73</v>
      </c>
      <c r="P9829" t="s">
        <v>81</v>
      </c>
      <c r="Q9829" t="s">
        <v>489</v>
      </c>
      <c r="R9829" t="s">
        <v>490</v>
      </c>
    </row>
    <row r="9830" spans="1:18" x14ac:dyDescent="0.25">
      <c r="A9830" t="s">
        <v>19756</v>
      </c>
      <c r="B9830" t="s">
        <v>577</v>
      </c>
      <c r="C9830" t="str">
        <f>HYPERLINK("https://nematode.unl.edu/takcyli8.jpg")</f>
        <v>https://nematode.unl.edu/takcyli8.jpg</v>
      </c>
      <c r="D9830" t="s">
        <v>43</v>
      </c>
      <c r="G9830" t="s">
        <v>386</v>
      </c>
      <c r="H9830" t="s">
        <v>18</v>
      </c>
      <c r="I9830" t="s">
        <v>41</v>
      </c>
      <c r="J9830" t="s">
        <v>127</v>
      </c>
      <c r="L9830" t="s">
        <v>128</v>
      </c>
      <c r="M9830" t="s">
        <v>553</v>
      </c>
      <c r="N9830" t="s">
        <v>554</v>
      </c>
      <c r="O9830" t="s">
        <v>73</v>
      </c>
      <c r="P9830" t="s">
        <v>81</v>
      </c>
      <c r="Q9830" t="s">
        <v>489</v>
      </c>
      <c r="R9830" t="s">
        <v>490</v>
      </c>
    </row>
    <row r="9831" spans="1:18" x14ac:dyDescent="0.25">
      <c r="A9831" t="s">
        <v>19772</v>
      </c>
      <c r="B9831" t="s">
        <v>578</v>
      </c>
      <c r="C9831" t="str">
        <f>HYPERLINK("https://nematode.unl.edu/takcyli9.jpg")</f>
        <v>https://nematode.unl.edu/takcyli9.jpg</v>
      </c>
      <c r="D9831" t="s">
        <v>43</v>
      </c>
      <c r="G9831" t="s">
        <v>243</v>
      </c>
      <c r="I9831" t="s">
        <v>41</v>
      </c>
      <c r="J9831" t="s">
        <v>127</v>
      </c>
      <c r="L9831" t="s">
        <v>128</v>
      </c>
      <c r="M9831" t="s">
        <v>553</v>
      </c>
      <c r="N9831" t="s">
        <v>554</v>
      </c>
      <c r="O9831" t="s">
        <v>73</v>
      </c>
      <c r="P9831" t="s">
        <v>81</v>
      </c>
      <c r="Q9831" t="s">
        <v>489</v>
      </c>
      <c r="R9831" t="s">
        <v>490</v>
      </c>
    </row>
    <row r="9832" spans="1:18" x14ac:dyDescent="0.25">
      <c r="A9832" t="s">
        <v>19786</v>
      </c>
      <c r="B9832" t="s">
        <v>583</v>
      </c>
      <c r="C9832" t="str">
        <f>HYPERLINK("https://nematode.unl.edu/takel1.jpg")</f>
        <v>https://nematode.unl.edu/takel1.jpg</v>
      </c>
      <c r="D9832" t="s">
        <v>16</v>
      </c>
      <c r="G9832" t="s">
        <v>28</v>
      </c>
      <c r="I9832" t="s">
        <v>19</v>
      </c>
      <c r="J9832" t="s">
        <v>20</v>
      </c>
      <c r="L9832" t="s">
        <v>85</v>
      </c>
      <c r="M9832" t="s">
        <v>581</v>
      </c>
      <c r="N9832" t="s">
        <v>582</v>
      </c>
      <c r="O9832" t="s">
        <v>73</v>
      </c>
      <c r="P9832" t="s">
        <v>81</v>
      </c>
      <c r="Q9832" t="s">
        <v>489</v>
      </c>
      <c r="R9832" t="s">
        <v>490</v>
      </c>
    </row>
    <row r="9833" spans="1:18" x14ac:dyDescent="0.25">
      <c r="A9833" t="s">
        <v>19782</v>
      </c>
      <c r="B9833" t="s">
        <v>584</v>
      </c>
      <c r="C9833" t="str">
        <f>HYPERLINK("https://nematode.unl.edu/takel2.jpg")</f>
        <v>https://nematode.unl.edu/takel2.jpg</v>
      </c>
      <c r="D9833" t="s">
        <v>16</v>
      </c>
      <c r="G9833" t="s">
        <v>34</v>
      </c>
      <c r="H9833" t="s">
        <v>18</v>
      </c>
      <c r="I9833" t="s">
        <v>19</v>
      </c>
      <c r="J9833" t="s">
        <v>20</v>
      </c>
      <c r="L9833" t="s">
        <v>85</v>
      </c>
      <c r="M9833" t="s">
        <v>581</v>
      </c>
      <c r="N9833" t="s">
        <v>582</v>
      </c>
      <c r="O9833" t="s">
        <v>73</v>
      </c>
      <c r="P9833" t="s">
        <v>81</v>
      </c>
      <c r="Q9833" t="s">
        <v>489</v>
      </c>
      <c r="R9833" t="s">
        <v>490</v>
      </c>
    </row>
    <row r="9834" spans="1:18" x14ac:dyDescent="0.25">
      <c r="A9834" t="s">
        <v>19784</v>
      </c>
      <c r="B9834" t="s">
        <v>585</v>
      </c>
      <c r="C9834" t="str">
        <f>HYPERLINK("https://nematode.unl.edu/takel3.jpg")</f>
        <v>https://nematode.unl.edu/takel3.jpg</v>
      </c>
      <c r="D9834" t="s">
        <v>16</v>
      </c>
      <c r="G9834" t="s">
        <v>44</v>
      </c>
      <c r="I9834" t="s">
        <v>91</v>
      </c>
      <c r="J9834" t="s">
        <v>20</v>
      </c>
      <c r="L9834" t="s">
        <v>38</v>
      </c>
      <c r="M9834" t="s">
        <v>581</v>
      </c>
      <c r="N9834" t="s">
        <v>582</v>
      </c>
      <c r="O9834" t="s">
        <v>73</v>
      </c>
      <c r="P9834" t="s">
        <v>81</v>
      </c>
      <c r="Q9834" t="s">
        <v>489</v>
      </c>
      <c r="R9834" t="s">
        <v>490</v>
      </c>
    </row>
    <row r="9835" spans="1:18" x14ac:dyDescent="0.25">
      <c r="A9835" t="s">
        <v>19783</v>
      </c>
      <c r="B9835" t="s">
        <v>586</v>
      </c>
      <c r="C9835" t="str">
        <f>HYPERLINK("https://nematode.unl.edu/takel4.jpg")</f>
        <v>https://nematode.unl.edu/takel4.jpg</v>
      </c>
      <c r="D9835" t="s">
        <v>16</v>
      </c>
      <c r="G9835" t="s">
        <v>34</v>
      </c>
      <c r="H9835" t="s">
        <v>18</v>
      </c>
      <c r="I9835" t="s">
        <v>19</v>
      </c>
      <c r="J9835" t="s">
        <v>20</v>
      </c>
      <c r="L9835" t="s">
        <v>38</v>
      </c>
      <c r="M9835" t="s">
        <v>581</v>
      </c>
      <c r="N9835" t="s">
        <v>582</v>
      </c>
      <c r="O9835" t="s">
        <v>73</v>
      </c>
      <c r="P9835" t="s">
        <v>81</v>
      </c>
      <c r="Q9835" t="s">
        <v>489</v>
      </c>
      <c r="R9835" t="s">
        <v>490</v>
      </c>
    </row>
    <row r="9836" spans="1:18" x14ac:dyDescent="0.25">
      <c r="A9836" t="s">
        <v>19787</v>
      </c>
      <c r="B9836" t="s">
        <v>587</v>
      </c>
      <c r="C9836" t="str">
        <f>HYPERLINK("https://nematode.unl.edu/takel5.jpg")</f>
        <v>https://nematode.unl.edu/takel5.jpg</v>
      </c>
      <c r="D9836" t="s">
        <v>16</v>
      </c>
      <c r="G9836" t="s">
        <v>28</v>
      </c>
      <c r="J9836" t="s">
        <v>20</v>
      </c>
      <c r="L9836" t="s">
        <v>38</v>
      </c>
      <c r="M9836" t="s">
        <v>581</v>
      </c>
      <c r="N9836" t="s">
        <v>582</v>
      </c>
      <c r="O9836" t="s">
        <v>73</v>
      </c>
      <c r="P9836" t="s">
        <v>81</v>
      </c>
      <c r="Q9836" t="s">
        <v>489</v>
      </c>
      <c r="R9836" t="s">
        <v>490</v>
      </c>
    </row>
    <row r="9837" spans="1:18" x14ac:dyDescent="0.25">
      <c r="A9837" t="s">
        <v>21820</v>
      </c>
      <c r="B9837" t="s">
        <v>11333</v>
      </c>
      <c r="C9837" t="str">
        <f>HYPERLINK("https://nematode.unl.edu/talamau1.jpg")</f>
        <v>https://nematode.unl.edu/talamau1.jpg</v>
      </c>
      <c r="D9837" t="s">
        <v>43</v>
      </c>
      <c r="G9837" t="s">
        <v>44</v>
      </c>
      <c r="I9837" t="s">
        <v>91</v>
      </c>
      <c r="J9837" t="s">
        <v>20</v>
      </c>
      <c r="L9837" t="s">
        <v>1707</v>
      </c>
      <c r="M9837" t="s">
        <v>11334</v>
      </c>
      <c r="N9837" t="s">
        <v>11334</v>
      </c>
      <c r="O9837" t="s">
        <v>73</v>
      </c>
      <c r="P9837" t="s">
        <v>81</v>
      </c>
      <c r="Q9837" t="s">
        <v>82</v>
      </c>
      <c r="R9837" t="s">
        <v>11335</v>
      </c>
    </row>
    <row r="9838" spans="1:18" x14ac:dyDescent="0.25">
      <c r="A9838" t="s">
        <v>21823</v>
      </c>
      <c r="B9838" t="s">
        <v>11336</v>
      </c>
      <c r="C9838" t="str">
        <f>HYPERLINK("https://nematode.unl.edu/talamau2.jpg")</f>
        <v>https://nematode.unl.edu/talamau2.jpg</v>
      </c>
      <c r="G9838" t="s">
        <v>205</v>
      </c>
      <c r="I9838" t="s">
        <v>45</v>
      </c>
      <c r="J9838" t="s">
        <v>20</v>
      </c>
      <c r="L9838" t="s">
        <v>1707</v>
      </c>
      <c r="M9838" t="s">
        <v>11334</v>
      </c>
      <c r="N9838" t="s">
        <v>11334</v>
      </c>
      <c r="O9838" t="s">
        <v>73</v>
      </c>
      <c r="P9838" t="s">
        <v>81</v>
      </c>
      <c r="Q9838" t="s">
        <v>82</v>
      </c>
      <c r="R9838" t="s">
        <v>11335</v>
      </c>
    </row>
    <row r="9839" spans="1:18" x14ac:dyDescent="0.25">
      <c r="A9839" t="s">
        <v>21815</v>
      </c>
      <c r="B9839" t="s">
        <v>11337</v>
      </c>
      <c r="C9839" t="str">
        <f>HYPERLINK("https://nematode.unl.edu/talamau3.jpg")</f>
        <v>https://nematode.unl.edu/talamau3.jpg</v>
      </c>
      <c r="D9839" t="s">
        <v>43</v>
      </c>
      <c r="G9839" t="s">
        <v>34</v>
      </c>
      <c r="H9839" t="s">
        <v>18</v>
      </c>
      <c r="I9839" t="s">
        <v>91</v>
      </c>
      <c r="J9839" t="s">
        <v>20</v>
      </c>
      <c r="L9839" t="s">
        <v>1707</v>
      </c>
      <c r="M9839" t="s">
        <v>11334</v>
      </c>
      <c r="N9839" t="s">
        <v>11334</v>
      </c>
      <c r="O9839" t="s">
        <v>73</v>
      </c>
      <c r="P9839" t="s">
        <v>81</v>
      </c>
      <c r="Q9839" t="s">
        <v>82</v>
      </c>
      <c r="R9839" t="s">
        <v>11335</v>
      </c>
    </row>
    <row r="9840" spans="1:18" x14ac:dyDescent="0.25">
      <c r="A9840" t="s">
        <v>21818</v>
      </c>
      <c r="B9840" t="s">
        <v>11338</v>
      </c>
      <c r="C9840" t="str">
        <f>HYPERLINK("https://nematode.unl.edu/talamau4.jpg")</f>
        <v>https://nematode.unl.edu/talamau4.jpg</v>
      </c>
      <c r="D9840" t="s">
        <v>43</v>
      </c>
      <c r="G9840" t="s">
        <v>87</v>
      </c>
      <c r="J9840" t="s">
        <v>20</v>
      </c>
      <c r="L9840" t="s">
        <v>1707</v>
      </c>
      <c r="M9840" t="s">
        <v>11334</v>
      </c>
      <c r="N9840" t="s">
        <v>11334</v>
      </c>
      <c r="O9840" t="s">
        <v>73</v>
      </c>
      <c r="P9840" t="s">
        <v>81</v>
      </c>
      <c r="Q9840" t="s">
        <v>82</v>
      </c>
      <c r="R9840" t="s">
        <v>11335</v>
      </c>
    </row>
    <row r="9841" spans="1:18" x14ac:dyDescent="0.25">
      <c r="A9841" t="s">
        <v>21830</v>
      </c>
      <c r="B9841" t="s">
        <v>11339</v>
      </c>
      <c r="C9841" t="str">
        <f>HYPERLINK("https://nematode.unl.edu/talamau5.jpg")</f>
        <v>https://nematode.unl.edu/talamau5.jpg</v>
      </c>
      <c r="D9841" t="s">
        <v>43</v>
      </c>
      <c r="G9841" t="s">
        <v>51</v>
      </c>
      <c r="J9841" t="s">
        <v>20</v>
      </c>
      <c r="L9841" t="s">
        <v>1707</v>
      </c>
      <c r="M9841" t="s">
        <v>11334</v>
      </c>
      <c r="N9841" t="s">
        <v>11334</v>
      </c>
      <c r="O9841" t="s">
        <v>73</v>
      </c>
      <c r="P9841" t="s">
        <v>81</v>
      </c>
      <c r="Q9841" t="s">
        <v>82</v>
      </c>
      <c r="R9841" t="s">
        <v>11335</v>
      </c>
    </row>
    <row r="9842" spans="1:18" x14ac:dyDescent="0.25">
      <c r="A9842" t="s">
        <v>21831</v>
      </c>
      <c r="B9842" t="s">
        <v>11340</v>
      </c>
      <c r="C9842" t="str">
        <f>HYPERLINK("https://nematode.unl.edu/talamau6.jpg")</f>
        <v>https://nematode.unl.edu/talamau6.jpg</v>
      </c>
      <c r="D9842" t="s">
        <v>43</v>
      </c>
      <c r="G9842" t="s">
        <v>51</v>
      </c>
      <c r="J9842" t="s">
        <v>20</v>
      </c>
      <c r="L9842" t="s">
        <v>1707</v>
      </c>
      <c r="M9842" t="s">
        <v>11334</v>
      </c>
      <c r="N9842" t="s">
        <v>11334</v>
      </c>
      <c r="O9842" t="s">
        <v>73</v>
      </c>
      <c r="P9842" t="s">
        <v>81</v>
      </c>
      <c r="Q9842" t="s">
        <v>82</v>
      </c>
      <c r="R9842" t="s">
        <v>11335</v>
      </c>
    </row>
    <row r="9843" spans="1:18" x14ac:dyDescent="0.25">
      <c r="A9843" t="s">
        <v>21825</v>
      </c>
      <c r="B9843" t="s">
        <v>11341</v>
      </c>
      <c r="C9843" t="str">
        <f>HYPERLINK("https://nematode.unl.edu/talamau7.jpg")</f>
        <v>https://nematode.unl.edu/talamau7.jpg</v>
      </c>
      <c r="D9843" t="s">
        <v>43</v>
      </c>
      <c r="G9843" t="s">
        <v>28</v>
      </c>
      <c r="J9843" t="s">
        <v>20</v>
      </c>
      <c r="L9843" t="s">
        <v>1707</v>
      </c>
      <c r="M9843" t="s">
        <v>11334</v>
      </c>
      <c r="N9843" t="s">
        <v>11334</v>
      </c>
      <c r="O9843" t="s">
        <v>73</v>
      </c>
      <c r="P9843" t="s">
        <v>81</v>
      </c>
      <c r="Q9843" t="s">
        <v>82</v>
      </c>
      <c r="R9843" t="s">
        <v>11335</v>
      </c>
    </row>
    <row r="9844" spans="1:18" x14ac:dyDescent="0.25">
      <c r="A9844" t="s">
        <v>21821</v>
      </c>
      <c r="B9844" t="s">
        <v>11342</v>
      </c>
      <c r="C9844" t="str">
        <f>HYPERLINK("https://nematode.unl.edu/talesp1.jpg")</f>
        <v>https://nematode.unl.edu/talesp1.jpg</v>
      </c>
      <c r="D9844" t="s">
        <v>43</v>
      </c>
      <c r="G9844" t="s">
        <v>44</v>
      </c>
      <c r="I9844" t="s">
        <v>516</v>
      </c>
      <c r="J9844" t="s">
        <v>1517</v>
      </c>
      <c r="L9844" t="s">
        <v>1526</v>
      </c>
      <c r="M9844" t="s">
        <v>11334</v>
      </c>
      <c r="N9844" t="s">
        <v>11334</v>
      </c>
      <c r="O9844" t="s">
        <v>73</v>
      </c>
      <c r="P9844" t="s">
        <v>81</v>
      </c>
      <c r="Q9844" t="s">
        <v>82</v>
      </c>
      <c r="R9844" t="s">
        <v>11335</v>
      </c>
    </row>
    <row r="9845" spans="1:18" x14ac:dyDescent="0.25">
      <c r="A9845" t="s">
        <v>21826</v>
      </c>
      <c r="B9845" t="s">
        <v>11343</v>
      </c>
      <c r="C9845" t="str">
        <f>HYPERLINK("https://nematode.unl.edu/talesp10.jpg")</f>
        <v>https://nematode.unl.edu/talesp10.jpg</v>
      </c>
      <c r="D9845" t="s">
        <v>43</v>
      </c>
      <c r="G9845" t="s">
        <v>28</v>
      </c>
      <c r="I9845" t="s">
        <v>41</v>
      </c>
      <c r="J9845" t="s">
        <v>1517</v>
      </c>
      <c r="L9845" t="s">
        <v>1526</v>
      </c>
      <c r="M9845" t="s">
        <v>11334</v>
      </c>
      <c r="N9845" t="s">
        <v>11334</v>
      </c>
      <c r="O9845" t="s">
        <v>73</v>
      </c>
      <c r="P9845" t="s">
        <v>81</v>
      </c>
      <c r="Q9845" t="s">
        <v>82</v>
      </c>
      <c r="R9845" t="s">
        <v>11335</v>
      </c>
    </row>
    <row r="9846" spans="1:18" x14ac:dyDescent="0.25">
      <c r="A9846" t="s">
        <v>21822</v>
      </c>
      <c r="B9846" t="s">
        <v>11344</v>
      </c>
      <c r="C9846" t="str">
        <f>HYPERLINK("https://nematode.unl.edu/talesp11.jpg")</f>
        <v>https://nematode.unl.edu/talesp11.jpg</v>
      </c>
      <c r="D9846" t="s">
        <v>43</v>
      </c>
      <c r="G9846" t="s">
        <v>44</v>
      </c>
      <c r="I9846" t="s">
        <v>516</v>
      </c>
      <c r="J9846" t="s">
        <v>1517</v>
      </c>
      <c r="L9846" t="s">
        <v>1526</v>
      </c>
      <c r="M9846" t="s">
        <v>11334</v>
      </c>
      <c r="N9846" t="s">
        <v>11334</v>
      </c>
      <c r="O9846" t="s">
        <v>73</v>
      </c>
      <c r="P9846" t="s">
        <v>81</v>
      </c>
      <c r="Q9846" t="s">
        <v>82</v>
      </c>
      <c r="R9846" t="s">
        <v>11335</v>
      </c>
    </row>
    <row r="9847" spans="1:18" x14ac:dyDescent="0.25">
      <c r="A9847" t="s">
        <v>21816</v>
      </c>
      <c r="B9847" t="s">
        <v>11345</v>
      </c>
      <c r="C9847" t="str">
        <f>HYPERLINK("https://nematode.unl.edu/talesp12.jpg")</f>
        <v>https://nematode.unl.edu/talesp12.jpg</v>
      </c>
      <c r="D9847" t="s">
        <v>43</v>
      </c>
      <c r="G9847" t="s">
        <v>34</v>
      </c>
      <c r="H9847" t="s">
        <v>18</v>
      </c>
      <c r="I9847" t="s">
        <v>41</v>
      </c>
      <c r="J9847" t="s">
        <v>1517</v>
      </c>
      <c r="L9847" t="s">
        <v>1526</v>
      </c>
      <c r="M9847" t="s">
        <v>11334</v>
      </c>
      <c r="N9847" t="s">
        <v>11334</v>
      </c>
      <c r="O9847" t="s">
        <v>73</v>
      </c>
      <c r="P9847" t="s">
        <v>81</v>
      </c>
      <c r="Q9847" t="s">
        <v>82</v>
      </c>
      <c r="R9847" t="s">
        <v>11335</v>
      </c>
    </row>
    <row r="9848" spans="1:18" x14ac:dyDescent="0.25">
      <c r="A9848" t="s">
        <v>21812</v>
      </c>
      <c r="B9848" t="s">
        <v>11346</v>
      </c>
      <c r="C9848" t="str">
        <f>HYPERLINK("https://nematode.unl.edu/talesp13.jpg")</f>
        <v>https://nematode.unl.edu/talesp13.jpg</v>
      </c>
      <c r="D9848" t="s">
        <v>43</v>
      </c>
      <c r="G9848" t="s">
        <v>386</v>
      </c>
      <c r="H9848" t="s">
        <v>18</v>
      </c>
      <c r="I9848" t="s">
        <v>41</v>
      </c>
      <c r="J9848" t="s">
        <v>1517</v>
      </c>
      <c r="L9848" t="s">
        <v>1526</v>
      </c>
      <c r="M9848" t="s">
        <v>11334</v>
      </c>
      <c r="N9848" t="s">
        <v>11334</v>
      </c>
      <c r="O9848" t="s">
        <v>73</v>
      </c>
      <c r="P9848" t="s">
        <v>81</v>
      </c>
      <c r="Q9848" t="s">
        <v>82</v>
      </c>
      <c r="R9848" t="s">
        <v>11335</v>
      </c>
    </row>
    <row r="9849" spans="1:18" x14ac:dyDescent="0.25">
      <c r="A9849" t="s">
        <v>21832</v>
      </c>
      <c r="B9849" t="s">
        <v>11347</v>
      </c>
      <c r="C9849" t="str">
        <f>HYPERLINK("https://nematode.unl.edu/talesp14.jpg")</f>
        <v>https://nematode.unl.edu/talesp14.jpg</v>
      </c>
      <c r="D9849" t="s">
        <v>43</v>
      </c>
      <c r="G9849" t="s">
        <v>51</v>
      </c>
      <c r="J9849" t="s">
        <v>1517</v>
      </c>
      <c r="L9849" t="s">
        <v>1526</v>
      </c>
      <c r="M9849" t="s">
        <v>11334</v>
      </c>
      <c r="N9849" t="s">
        <v>11334</v>
      </c>
      <c r="O9849" t="s">
        <v>73</v>
      </c>
      <c r="P9849" t="s">
        <v>81</v>
      </c>
      <c r="Q9849" t="s">
        <v>82</v>
      </c>
      <c r="R9849" t="s">
        <v>11335</v>
      </c>
    </row>
    <row r="9850" spans="1:18" x14ac:dyDescent="0.25">
      <c r="A9850" t="s">
        <v>21827</v>
      </c>
      <c r="B9850" t="s">
        <v>11348</v>
      </c>
      <c r="C9850" t="str">
        <f>HYPERLINK("https://nematode.unl.edu/talesp15.jpg")</f>
        <v>https://nematode.unl.edu/talesp15.jpg</v>
      </c>
      <c r="D9850" t="s">
        <v>43</v>
      </c>
      <c r="G9850" t="s">
        <v>28</v>
      </c>
      <c r="I9850" t="s">
        <v>41</v>
      </c>
      <c r="J9850" t="s">
        <v>1517</v>
      </c>
      <c r="L9850" t="s">
        <v>1526</v>
      </c>
      <c r="M9850" t="s">
        <v>11334</v>
      </c>
      <c r="N9850" t="s">
        <v>11334</v>
      </c>
      <c r="O9850" t="s">
        <v>73</v>
      </c>
      <c r="P9850" t="s">
        <v>81</v>
      </c>
      <c r="Q9850" t="s">
        <v>82</v>
      </c>
      <c r="R9850" t="s">
        <v>11335</v>
      </c>
    </row>
    <row r="9851" spans="1:18" x14ac:dyDescent="0.25">
      <c r="A9851" t="s">
        <v>21814</v>
      </c>
      <c r="B9851" t="s">
        <v>11349</v>
      </c>
      <c r="C9851" t="str">
        <f>HYPERLINK("https://nematode.unl.edu/talesp2.jpg")</f>
        <v>https://nematode.unl.edu/talesp2.jpg</v>
      </c>
      <c r="D9851" t="s">
        <v>43</v>
      </c>
      <c r="G9851" t="s">
        <v>96</v>
      </c>
      <c r="H9851" t="s">
        <v>18</v>
      </c>
      <c r="I9851" t="s">
        <v>19</v>
      </c>
      <c r="J9851" t="s">
        <v>1517</v>
      </c>
      <c r="L9851" t="s">
        <v>1526</v>
      </c>
      <c r="M9851" t="s">
        <v>11334</v>
      </c>
      <c r="N9851" t="s">
        <v>11334</v>
      </c>
      <c r="O9851" t="s">
        <v>73</v>
      </c>
      <c r="P9851" t="s">
        <v>81</v>
      </c>
      <c r="Q9851" t="s">
        <v>82</v>
      </c>
      <c r="R9851" t="s">
        <v>11335</v>
      </c>
    </row>
    <row r="9852" spans="1:18" x14ac:dyDescent="0.25">
      <c r="A9852" t="s">
        <v>21824</v>
      </c>
      <c r="B9852" t="s">
        <v>11350</v>
      </c>
      <c r="C9852" t="str">
        <f>HYPERLINK("https://nematode.unl.edu/talesp3.jpg")</f>
        <v>https://nematode.unl.edu/talesp3.jpg</v>
      </c>
      <c r="G9852" t="s">
        <v>205</v>
      </c>
      <c r="J9852" t="s">
        <v>1517</v>
      </c>
      <c r="L9852" t="s">
        <v>1526</v>
      </c>
      <c r="M9852" t="s">
        <v>11334</v>
      </c>
      <c r="N9852" t="s">
        <v>11334</v>
      </c>
      <c r="O9852" t="s">
        <v>73</v>
      </c>
      <c r="P9852" t="s">
        <v>81</v>
      </c>
      <c r="Q9852" t="s">
        <v>82</v>
      </c>
      <c r="R9852" t="s">
        <v>11335</v>
      </c>
    </row>
    <row r="9853" spans="1:18" x14ac:dyDescent="0.25">
      <c r="A9853" t="s">
        <v>21828</v>
      </c>
      <c r="B9853" t="s">
        <v>11351</v>
      </c>
      <c r="C9853" t="str">
        <f>HYPERLINK("https://nematode.unl.edu/talesp4.jpg")</f>
        <v>https://nematode.unl.edu/talesp4.jpg</v>
      </c>
      <c r="D9853" t="s">
        <v>43</v>
      </c>
      <c r="G9853" t="s">
        <v>28</v>
      </c>
      <c r="J9853" t="s">
        <v>1517</v>
      </c>
      <c r="L9853" t="s">
        <v>1526</v>
      </c>
      <c r="M9853" t="s">
        <v>11334</v>
      </c>
      <c r="N9853" t="s">
        <v>11334</v>
      </c>
      <c r="O9853" t="s">
        <v>73</v>
      </c>
      <c r="P9853" t="s">
        <v>81</v>
      </c>
      <c r="Q9853" t="s">
        <v>82</v>
      </c>
      <c r="R9853" t="s">
        <v>11335</v>
      </c>
    </row>
    <row r="9854" spans="1:18" x14ac:dyDescent="0.25">
      <c r="A9854" t="s">
        <v>21817</v>
      </c>
      <c r="B9854" t="s">
        <v>11352</v>
      </c>
      <c r="C9854" t="str">
        <f>HYPERLINK("https://nematode.unl.edu/talesp5.jpg")</f>
        <v>https://nematode.unl.edu/talesp5.jpg</v>
      </c>
      <c r="D9854" t="s">
        <v>43</v>
      </c>
      <c r="G9854" t="s">
        <v>34</v>
      </c>
      <c r="H9854" t="s">
        <v>18</v>
      </c>
      <c r="I9854" t="s">
        <v>41</v>
      </c>
      <c r="J9854" t="s">
        <v>1517</v>
      </c>
      <c r="L9854" t="s">
        <v>1526</v>
      </c>
      <c r="M9854" t="s">
        <v>11334</v>
      </c>
      <c r="N9854" t="s">
        <v>11334</v>
      </c>
      <c r="O9854" t="s">
        <v>73</v>
      </c>
      <c r="P9854" t="s">
        <v>81</v>
      </c>
      <c r="Q9854" t="s">
        <v>82</v>
      </c>
      <c r="R9854" t="s">
        <v>11335</v>
      </c>
    </row>
    <row r="9855" spans="1:18" x14ac:dyDescent="0.25">
      <c r="A9855" t="s">
        <v>21813</v>
      </c>
      <c r="B9855" t="s">
        <v>11353</v>
      </c>
      <c r="C9855" t="str">
        <f>HYPERLINK("https://nematode.unl.edu/talesp6.jpg")</f>
        <v>https://nematode.unl.edu/talesp6.jpg</v>
      </c>
      <c r="D9855" t="s">
        <v>43</v>
      </c>
      <c r="G9855" t="s">
        <v>386</v>
      </c>
      <c r="H9855" t="s">
        <v>18</v>
      </c>
      <c r="I9855" t="s">
        <v>41</v>
      </c>
      <c r="J9855" t="s">
        <v>1517</v>
      </c>
      <c r="L9855" t="s">
        <v>1526</v>
      </c>
      <c r="M9855" t="s">
        <v>11334</v>
      </c>
      <c r="N9855" t="s">
        <v>11334</v>
      </c>
      <c r="O9855" t="s">
        <v>73</v>
      </c>
      <c r="P9855" t="s">
        <v>81</v>
      </c>
      <c r="Q9855" t="s">
        <v>82</v>
      </c>
      <c r="R9855" t="s">
        <v>11335</v>
      </c>
    </row>
    <row r="9856" spans="1:18" x14ac:dyDescent="0.25">
      <c r="A9856" t="s">
        <v>21819</v>
      </c>
      <c r="B9856" t="s">
        <v>11354</v>
      </c>
      <c r="C9856" t="str">
        <f>HYPERLINK("https://nematode.unl.edu/talesp7.jpg")</f>
        <v>https://nematode.unl.edu/talesp7.jpg</v>
      </c>
      <c r="D9856" t="s">
        <v>43</v>
      </c>
      <c r="G9856" t="s">
        <v>87</v>
      </c>
      <c r="I9856" t="s">
        <v>41</v>
      </c>
      <c r="J9856" t="s">
        <v>1517</v>
      </c>
      <c r="L9856" t="s">
        <v>1526</v>
      </c>
      <c r="M9856" t="s">
        <v>11334</v>
      </c>
      <c r="N9856" t="s">
        <v>11334</v>
      </c>
      <c r="O9856" t="s">
        <v>73</v>
      </c>
      <c r="P9856" t="s">
        <v>81</v>
      </c>
      <c r="Q9856" t="s">
        <v>82</v>
      </c>
      <c r="R9856" t="s">
        <v>11335</v>
      </c>
    </row>
    <row r="9857" spans="1:18" x14ac:dyDescent="0.25">
      <c r="A9857" t="s">
        <v>21833</v>
      </c>
      <c r="B9857" t="s">
        <v>11355</v>
      </c>
      <c r="C9857" t="str">
        <f>HYPERLINK("https://nematode.unl.edu/talesp8.jpg")</f>
        <v>https://nematode.unl.edu/talesp8.jpg</v>
      </c>
      <c r="D9857" t="s">
        <v>43</v>
      </c>
      <c r="G9857" t="s">
        <v>51</v>
      </c>
      <c r="J9857" t="s">
        <v>1517</v>
      </c>
      <c r="L9857" t="s">
        <v>1526</v>
      </c>
      <c r="M9857" t="s">
        <v>11334</v>
      </c>
      <c r="N9857" t="s">
        <v>11334</v>
      </c>
      <c r="O9857" t="s">
        <v>73</v>
      </c>
      <c r="P9857" t="s">
        <v>81</v>
      </c>
      <c r="Q9857" t="s">
        <v>82</v>
      </c>
      <c r="R9857" t="s">
        <v>11335</v>
      </c>
    </row>
    <row r="9858" spans="1:18" x14ac:dyDescent="0.25">
      <c r="A9858" t="s">
        <v>21829</v>
      </c>
      <c r="B9858" t="s">
        <v>11356</v>
      </c>
      <c r="C9858" t="str">
        <f>HYPERLINK("https://nematode.unl.edu/talesp9.jpg")</f>
        <v>https://nematode.unl.edu/talesp9.jpg</v>
      </c>
      <c r="D9858" t="s">
        <v>43</v>
      </c>
      <c r="G9858" t="s">
        <v>28</v>
      </c>
      <c r="J9858" t="s">
        <v>1517</v>
      </c>
      <c r="L9858" t="s">
        <v>1526</v>
      </c>
      <c r="M9858" t="s">
        <v>11334</v>
      </c>
      <c r="N9858" t="s">
        <v>11334</v>
      </c>
      <c r="O9858" t="s">
        <v>73</v>
      </c>
      <c r="P9858" t="s">
        <v>81</v>
      </c>
      <c r="Q9858" t="s">
        <v>82</v>
      </c>
      <c r="R9858" t="s">
        <v>11335</v>
      </c>
    </row>
    <row r="9859" spans="1:18" x14ac:dyDescent="0.25">
      <c r="A9859" t="s">
        <v>21936</v>
      </c>
      <c r="B9859" t="s">
        <v>11369</v>
      </c>
      <c r="C9859" t="str">
        <f>HYPERLINK("https://nematode.unl.edu/teella1.jpg")</f>
        <v>https://nematode.unl.edu/teella1.jpg</v>
      </c>
      <c r="D9859" t="s">
        <v>43</v>
      </c>
      <c r="G9859" t="s">
        <v>34</v>
      </c>
      <c r="H9859" t="s">
        <v>18</v>
      </c>
      <c r="I9859" t="s">
        <v>19</v>
      </c>
      <c r="J9859" t="s">
        <v>267</v>
      </c>
      <c r="M9859" t="s">
        <v>11370</v>
      </c>
      <c r="N9859" t="s">
        <v>11370</v>
      </c>
      <c r="O9859" t="s">
        <v>73</v>
      </c>
      <c r="P9859" t="s">
        <v>81</v>
      </c>
      <c r="Q9859" t="s">
        <v>11362</v>
      </c>
      <c r="R9859" t="s">
        <v>11361</v>
      </c>
    </row>
    <row r="9860" spans="1:18" x14ac:dyDescent="0.25">
      <c r="A9860" t="s">
        <v>21941</v>
      </c>
      <c r="B9860" t="s">
        <v>11371</v>
      </c>
      <c r="C9860" t="str">
        <f>HYPERLINK("https://nematode.unl.edu/teella10.jpg")</f>
        <v>https://nematode.unl.edu/teella10.jpg</v>
      </c>
      <c r="D9860" t="s">
        <v>77</v>
      </c>
      <c r="G9860" t="s">
        <v>112</v>
      </c>
      <c r="I9860" t="s">
        <v>19</v>
      </c>
      <c r="J9860" t="s">
        <v>267</v>
      </c>
      <c r="M9860" t="s">
        <v>11370</v>
      </c>
      <c r="N9860" t="s">
        <v>11370</v>
      </c>
      <c r="O9860" t="s">
        <v>73</v>
      </c>
      <c r="P9860" t="s">
        <v>81</v>
      </c>
      <c r="Q9860" t="s">
        <v>11362</v>
      </c>
      <c r="R9860" t="s">
        <v>11361</v>
      </c>
    </row>
    <row r="9861" spans="1:18" x14ac:dyDescent="0.25">
      <c r="A9861" t="s">
        <v>21937</v>
      </c>
      <c r="B9861" t="s">
        <v>11372</v>
      </c>
      <c r="C9861" t="str">
        <f>HYPERLINK("https://nematode.unl.edu/teella11.jpg")</f>
        <v>https://nematode.unl.edu/teella11.jpg</v>
      </c>
      <c r="D9861" t="s">
        <v>77</v>
      </c>
      <c r="G9861" t="s">
        <v>34</v>
      </c>
      <c r="H9861" t="s">
        <v>18</v>
      </c>
      <c r="I9861" t="s">
        <v>19</v>
      </c>
      <c r="J9861" t="s">
        <v>267</v>
      </c>
      <c r="M9861" t="s">
        <v>11370</v>
      </c>
      <c r="N9861" t="s">
        <v>11370</v>
      </c>
      <c r="O9861" t="s">
        <v>73</v>
      </c>
      <c r="P9861" t="s">
        <v>81</v>
      </c>
      <c r="Q9861" t="s">
        <v>11362</v>
      </c>
      <c r="R9861" t="s">
        <v>11361</v>
      </c>
    </row>
    <row r="9862" spans="1:18" x14ac:dyDescent="0.25">
      <c r="A9862" t="s">
        <v>21949</v>
      </c>
      <c r="B9862" t="s">
        <v>11373</v>
      </c>
      <c r="C9862" t="str">
        <f>HYPERLINK("https://nematode.unl.edu/teella12.jpg")</f>
        <v>https://nematode.unl.edu/teella12.jpg</v>
      </c>
      <c r="G9862" t="s">
        <v>2113</v>
      </c>
      <c r="J9862" t="s">
        <v>267</v>
      </c>
      <c r="M9862" t="s">
        <v>11370</v>
      </c>
      <c r="N9862" t="s">
        <v>11370</v>
      </c>
      <c r="O9862" t="s">
        <v>73</v>
      </c>
      <c r="P9862" t="s">
        <v>81</v>
      </c>
      <c r="Q9862" t="s">
        <v>11362</v>
      </c>
      <c r="R9862" t="s">
        <v>11361</v>
      </c>
    </row>
    <row r="9863" spans="1:18" x14ac:dyDescent="0.25">
      <c r="A9863" t="s">
        <v>21940</v>
      </c>
      <c r="B9863" t="s">
        <v>11374</v>
      </c>
      <c r="C9863" t="str">
        <f>HYPERLINK("https://nematode.unl.edu/teella13.jpg")</f>
        <v>https://nematode.unl.edu/teella13.jpg</v>
      </c>
      <c r="D9863" t="s">
        <v>77</v>
      </c>
      <c r="G9863" t="s">
        <v>87</v>
      </c>
      <c r="J9863" t="s">
        <v>267</v>
      </c>
      <c r="M9863" t="s">
        <v>11370</v>
      </c>
      <c r="N9863" t="s">
        <v>11370</v>
      </c>
      <c r="O9863" t="s">
        <v>73</v>
      </c>
      <c r="P9863" t="s">
        <v>81</v>
      </c>
      <c r="Q9863" t="s">
        <v>11362</v>
      </c>
      <c r="R9863" t="s">
        <v>11361</v>
      </c>
    </row>
    <row r="9864" spans="1:18" x14ac:dyDescent="0.25">
      <c r="A9864" t="s">
        <v>21943</v>
      </c>
      <c r="B9864" t="s">
        <v>11375</v>
      </c>
      <c r="C9864" t="str">
        <f>HYPERLINK("https://nematode.unl.edu/teella14.jpg")</f>
        <v>https://nematode.unl.edu/teella14.jpg</v>
      </c>
      <c r="D9864" t="s">
        <v>77</v>
      </c>
      <c r="G9864" t="s">
        <v>28</v>
      </c>
      <c r="I9864" t="s">
        <v>41</v>
      </c>
      <c r="J9864" t="s">
        <v>267</v>
      </c>
      <c r="M9864" t="s">
        <v>11370</v>
      </c>
      <c r="N9864" t="s">
        <v>11370</v>
      </c>
      <c r="O9864" t="s">
        <v>73</v>
      </c>
      <c r="P9864" t="s">
        <v>81</v>
      </c>
      <c r="Q9864" t="s">
        <v>11362</v>
      </c>
      <c r="R9864" t="s">
        <v>11361</v>
      </c>
    </row>
    <row r="9865" spans="1:18" x14ac:dyDescent="0.25">
      <c r="A9865" t="s">
        <v>21942</v>
      </c>
      <c r="B9865" t="s">
        <v>11376</v>
      </c>
      <c r="C9865" t="str">
        <f>HYPERLINK("https://nematode.unl.edu/teella15.jpg")</f>
        <v>https://nematode.unl.edu/teella15.jpg</v>
      </c>
      <c r="D9865" t="s">
        <v>77</v>
      </c>
      <c r="G9865" t="s">
        <v>112</v>
      </c>
      <c r="J9865" t="s">
        <v>267</v>
      </c>
      <c r="M9865" t="s">
        <v>11370</v>
      </c>
      <c r="N9865" t="s">
        <v>11370</v>
      </c>
      <c r="O9865" t="s">
        <v>73</v>
      </c>
      <c r="P9865" t="s">
        <v>81</v>
      </c>
      <c r="Q9865" t="s">
        <v>11362</v>
      </c>
      <c r="R9865" t="s">
        <v>11361</v>
      </c>
    </row>
    <row r="9866" spans="1:18" x14ac:dyDescent="0.25">
      <c r="A9866" t="s">
        <v>21938</v>
      </c>
      <c r="B9866" t="s">
        <v>11377</v>
      </c>
      <c r="C9866" t="str">
        <f>HYPERLINK("https://nematode.unl.edu/teella16.jpg")</f>
        <v>https://nematode.unl.edu/teella16.jpg</v>
      </c>
      <c r="D9866" t="s">
        <v>16</v>
      </c>
      <c r="G9866" t="s">
        <v>34</v>
      </c>
      <c r="H9866" t="s">
        <v>18</v>
      </c>
      <c r="J9866" t="s">
        <v>267</v>
      </c>
      <c r="M9866" t="s">
        <v>11370</v>
      </c>
      <c r="N9866" t="s">
        <v>11370</v>
      </c>
      <c r="O9866" t="s">
        <v>73</v>
      </c>
      <c r="P9866" t="s">
        <v>81</v>
      </c>
      <c r="Q9866" t="s">
        <v>11362</v>
      </c>
      <c r="R9866" t="s">
        <v>11361</v>
      </c>
    </row>
    <row r="9867" spans="1:18" x14ac:dyDescent="0.25">
      <c r="A9867" t="s">
        <v>21944</v>
      </c>
      <c r="B9867" t="s">
        <v>11378</v>
      </c>
      <c r="C9867" t="str">
        <f>HYPERLINK("https://nematode.unl.edu/teella17.jpg")</f>
        <v>https://nematode.unl.edu/teella17.jpg</v>
      </c>
      <c r="D9867" t="s">
        <v>16</v>
      </c>
      <c r="G9867" t="s">
        <v>28</v>
      </c>
      <c r="I9867" t="s">
        <v>19</v>
      </c>
      <c r="J9867" t="s">
        <v>267</v>
      </c>
      <c r="M9867" t="s">
        <v>11370</v>
      </c>
      <c r="N9867" t="s">
        <v>11370</v>
      </c>
      <c r="O9867" t="s">
        <v>73</v>
      </c>
      <c r="P9867" t="s">
        <v>81</v>
      </c>
      <c r="Q9867" t="s">
        <v>11362</v>
      </c>
      <c r="R9867" t="s">
        <v>11361</v>
      </c>
    </row>
    <row r="9868" spans="1:18" x14ac:dyDescent="0.25">
      <c r="A9868" t="s">
        <v>21950</v>
      </c>
      <c r="B9868" t="s">
        <v>11379</v>
      </c>
      <c r="C9868" t="str">
        <f>HYPERLINK("https://nematode.unl.edu/teella2.jpg")</f>
        <v>https://nematode.unl.edu/teella2.jpg</v>
      </c>
      <c r="D9868" t="s">
        <v>43</v>
      </c>
      <c r="G9868" t="s">
        <v>51</v>
      </c>
      <c r="J9868" t="s">
        <v>267</v>
      </c>
      <c r="M9868" t="s">
        <v>11370</v>
      </c>
      <c r="N9868" t="s">
        <v>11370</v>
      </c>
      <c r="O9868" t="s">
        <v>73</v>
      </c>
      <c r="P9868" t="s">
        <v>81</v>
      </c>
      <c r="Q9868" t="s">
        <v>11362</v>
      </c>
      <c r="R9868" t="s">
        <v>11361</v>
      </c>
    </row>
    <row r="9869" spans="1:18" x14ac:dyDescent="0.25">
      <c r="A9869" t="s">
        <v>21945</v>
      </c>
      <c r="B9869" t="s">
        <v>11380</v>
      </c>
      <c r="C9869" t="str">
        <f>HYPERLINK("https://nematode.unl.edu/teella3.jpg")</f>
        <v>https://nematode.unl.edu/teella3.jpg</v>
      </c>
      <c r="D9869" t="s">
        <v>43</v>
      </c>
      <c r="G9869" t="s">
        <v>28</v>
      </c>
      <c r="J9869" t="s">
        <v>267</v>
      </c>
      <c r="M9869" t="s">
        <v>11370</v>
      </c>
      <c r="N9869" t="s">
        <v>11370</v>
      </c>
      <c r="O9869" t="s">
        <v>73</v>
      </c>
      <c r="P9869" t="s">
        <v>81</v>
      </c>
      <c r="Q9869" t="s">
        <v>11362</v>
      </c>
      <c r="R9869" t="s">
        <v>11361</v>
      </c>
    </row>
    <row r="9870" spans="1:18" x14ac:dyDescent="0.25">
      <c r="A9870" t="s">
        <v>21951</v>
      </c>
      <c r="B9870" t="s">
        <v>11381</v>
      </c>
      <c r="C9870" t="str">
        <f>HYPERLINK("https://nematode.unl.edu/teella4.jpg")</f>
        <v>https://nematode.unl.edu/teella4.jpg</v>
      </c>
      <c r="D9870" t="s">
        <v>43</v>
      </c>
      <c r="G9870" t="s">
        <v>51</v>
      </c>
      <c r="I9870" t="s">
        <v>19</v>
      </c>
      <c r="M9870" t="s">
        <v>11370</v>
      </c>
      <c r="N9870" t="s">
        <v>11370</v>
      </c>
      <c r="O9870" t="s">
        <v>73</v>
      </c>
      <c r="P9870" t="s">
        <v>81</v>
      </c>
      <c r="Q9870" t="s">
        <v>11362</v>
      </c>
      <c r="R9870" t="s">
        <v>11361</v>
      </c>
    </row>
    <row r="9871" spans="1:18" x14ac:dyDescent="0.25">
      <c r="A9871" t="s">
        <v>21946</v>
      </c>
      <c r="B9871" t="s">
        <v>11382</v>
      </c>
      <c r="C9871" t="str">
        <f>HYPERLINK("https://nematode.unl.edu/teella5.jpg")</f>
        <v>https://nematode.unl.edu/teella5.jpg</v>
      </c>
      <c r="D9871" t="s">
        <v>43</v>
      </c>
      <c r="G9871" t="s">
        <v>28</v>
      </c>
      <c r="M9871" t="s">
        <v>11370</v>
      </c>
      <c r="N9871" t="s">
        <v>11370</v>
      </c>
      <c r="O9871" t="s">
        <v>73</v>
      </c>
      <c r="P9871" t="s">
        <v>81</v>
      </c>
      <c r="Q9871" t="s">
        <v>11362</v>
      </c>
      <c r="R9871" t="s">
        <v>11361</v>
      </c>
    </row>
    <row r="9872" spans="1:18" x14ac:dyDescent="0.25">
      <c r="A9872" t="s">
        <v>21939</v>
      </c>
      <c r="B9872" t="s">
        <v>11383</v>
      </c>
      <c r="C9872" t="str">
        <f>HYPERLINK("https://nematode.unl.edu/teella6.jpg")</f>
        <v>https://nematode.unl.edu/teella6.jpg</v>
      </c>
      <c r="D9872" t="s">
        <v>43</v>
      </c>
      <c r="G9872" t="s">
        <v>34</v>
      </c>
      <c r="H9872" t="s">
        <v>18</v>
      </c>
      <c r="I9872" t="s">
        <v>19</v>
      </c>
      <c r="J9872" t="s">
        <v>267</v>
      </c>
      <c r="M9872" t="s">
        <v>11370</v>
      </c>
      <c r="N9872" t="s">
        <v>11370</v>
      </c>
      <c r="O9872" t="s">
        <v>73</v>
      </c>
      <c r="P9872" t="s">
        <v>81</v>
      </c>
      <c r="Q9872" t="s">
        <v>11362</v>
      </c>
      <c r="R9872" t="s">
        <v>11361</v>
      </c>
    </row>
    <row r="9873" spans="1:18" x14ac:dyDescent="0.25">
      <c r="A9873" t="s">
        <v>21952</v>
      </c>
      <c r="B9873" t="s">
        <v>11384</v>
      </c>
      <c r="C9873" t="str">
        <f>HYPERLINK("https://nematode.unl.edu/teella7.jpg")</f>
        <v>https://nematode.unl.edu/teella7.jpg</v>
      </c>
      <c r="D9873" t="s">
        <v>43</v>
      </c>
      <c r="G9873" t="s">
        <v>51</v>
      </c>
      <c r="I9873" t="s">
        <v>19</v>
      </c>
      <c r="J9873" t="s">
        <v>267</v>
      </c>
      <c r="M9873" t="s">
        <v>11370</v>
      </c>
      <c r="N9873" t="s">
        <v>11370</v>
      </c>
      <c r="O9873" t="s">
        <v>73</v>
      </c>
      <c r="P9873" t="s">
        <v>81</v>
      </c>
      <c r="Q9873" t="s">
        <v>11362</v>
      </c>
      <c r="R9873" t="s">
        <v>11361</v>
      </c>
    </row>
    <row r="9874" spans="1:18" x14ac:dyDescent="0.25">
      <c r="A9874" t="s">
        <v>21947</v>
      </c>
      <c r="B9874" t="s">
        <v>11385</v>
      </c>
      <c r="C9874" t="str">
        <f>HYPERLINK("https://nematode.unl.edu/teella8.jpg")</f>
        <v>https://nematode.unl.edu/teella8.jpg</v>
      </c>
      <c r="D9874" t="s">
        <v>43</v>
      </c>
      <c r="G9874" t="s">
        <v>28</v>
      </c>
      <c r="J9874" t="s">
        <v>267</v>
      </c>
      <c r="M9874" t="s">
        <v>11370</v>
      </c>
      <c r="N9874" t="s">
        <v>11370</v>
      </c>
      <c r="O9874" t="s">
        <v>73</v>
      </c>
      <c r="P9874" t="s">
        <v>81</v>
      </c>
      <c r="Q9874" t="s">
        <v>11362</v>
      </c>
      <c r="R9874" t="s">
        <v>11361</v>
      </c>
    </row>
    <row r="9875" spans="1:18" x14ac:dyDescent="0.25">
      <c r="A9875" t="s">
        <v>21948</v>
      </c>
      <c r="B9875" t="s">
        <v>11386</v>
      </c>
      <c r="C9875" t="str">
        <f>HYPERLINK("https://nematode.unl.edu/teella9.jpg")</f>
        <v>https://nematode.unl.edu/teella9.jpg</v>
      </c>
      <c r="D9875" t="s">
        <v>77</v>
      </c>
      <c r="G9875" t="s">
        <v>28</v>
      </c>
      <c r="I9875" t="s">
        <v>19</v>
      </c>
      <c r="J9875" t="s">
        <v>267</v>
      </c>
      <c r="M9875" t="s">
        <v>11370</v>
      </c>
      <c r="N9875" t="s">
        <v>11370</v>
      </c>
      <c r="O9875" t="s">
        <v>73</v>
      </c>
      <c r="P9875" t="s">
        <v>81</v>
      </c>
      <c r="Q9875" t="s">
        <v>11362</v>
      </c>
      <c r="R9875" t="s">
        <v>11361</v>
      </c>
    </row>
    <row r="9876" spans="1:18" x14ac:dyDescent="0.25">
      <c r="A9876" t="s">
        <v>17674</v>
      </c>
      <c r="B9876" t="s">
        <v>1779</v>
      </c>
      <c r="C9876" t="str">
        <f>HYPERLINK("https://nematode.unl.edu/terat1.jpg")</f>
        <v>https://nematode.unl.edu/terat1.jpg</v>
      </c>
      <c r="D9876" t="s">
        <v>43</v>
      </c>
      <c r="G9876" t="s">
        <v>44</v>
      </c>
      <c r="I9876" t="s">
        <v>45</v>
      </c>
      <c r="J9876" t="s">
        <v>1780</v>
      </c>
      <c r="M9876" t="s">
        <v>1781</v>
      </c>
      <c r="N9876" t="s">
        <v>1782</v>
      </c>
      <c r="O9876" t="s">
        <v>23</v>
      </c>
      <c r="P9876" t="s">
        <v>24</v>
      </c>
      <c r="Q9876" t="s">
        <v>1783</v>
      </c>
      <c r="R9876" t="s">
        <v>1784</v>
      </c>
    </row>
    <row r="9877" spans="1:18" x14ac:dyDescent="0.25">
      <c r="A9877" t="s">
        <v>17671</v>
      </c>
      <c r="B9877" t="s">
        <v>1785</v>
      </c>
      <c r="C9877" t="str">
        <f>HYPERLINK("https://nematode.unl.edu/terat19.jpg")</f>
        <v>https://nematode.unl.edu/terat19.jpg</v>
      </c>
      <c r="D9877" t="s">
        <v>43</v>
      </c>
      <c r="G9877" t="s">
        <v>34</v>
      </c>
      <c r="H9877" t="s">
        <v>18</v>
      </c>
      <c r="I9877" t="s">
        <v>41</v>
      </c>
      <c r="J9877" t="s">
        <v>1780</v>
      </c>
      <c r="M9877" t="s">
        <v>1781</v>
      </c>
      <c r="N9877" t="s">
        <v>1782</v>
      </c>
      <c r="O9877" t="s">
        <v>23</v>
      </c>
      <c r="P9877" t="s">
        <v>24</v>
      </c>
      <c r="Q9877" t="s">
        <v>1783</v>
      </c>
      <c r="R9877" t="s">
        <v>1784</v>
      </c>
    </row>
    <row r="9878" spans="1:18" x14ac:dyDescent="0.25">
      <c r="A9878" t="s">
        <v>17675</v>
      </c>
      <c r="B9878" t="s">
        <v>1786</v>
      </c>
      <c r="C9878" t="str">
        <f>HYPERLINK("https://nematode.unl.edu/terat2.jpg")</f>
        <v>https://nematode.unl.edu/terat2.jpg</v>
      </c>
      <c r="D9878" t="s">
        <v>43</v>
      </c>
      <c r="G9878" t="s">
        <v>44</v>
      </c>
      <c r="I9878" t="s">
        <v>137</v>
      </c>
      <c r="J9878" t="s">
        <v>1780</v>
      </c>
      <c r="M9878" t="s">
        <v>1781</v>
      </c>
      <c r="N9878" t="s">
        <v>1782</v>
      </c>
      <c r="O9878" t="s">
        <v>23</v>
      </c>
      <c r="P9878" t="s">
        <v>24</v>
      </c>
      <c r="Q9878" t="s">
        <v>1783</v>
      </c>
      <c r="R9878" t="s">
        <v>1784</v>
      </c>
    </row>
    <row r="9879" spans="1:18" x14ac:dyDescent="0.25">
      <c r="A9879" t="s">
        <v>17672</v>
      </c>
      <c r="B9879" t="s">
        <v>1787</v>
      </c>
      <c r="C9879" t="str">
        <f>HYPERLINK("https://nematode.unl.edu/terat3.jpg")</f>
        <v>https://nematode.unl.edu/terat3.jpg</v>
      </c>
      <c r="D9879" t="s">
        <v>43</v>
      </c>
      <c r="G9879" t="s">
        <v>34</v>
      </c>
      <c r="H9879" t="s">
        <v>18</v>
      </c>
      <c r="J9879" t="s">
        <v>1780</v>
      </c>
      <c r="M9879" t="s">
        <v>1781</v>
      </c>
      <c r="N9879" t="s">
        <v>1782</v>
      </c>
      <c r="O9879" t="s">
        <v>23</v>
      </c>
      <c r="P9879" t="s">
        <v>24</v>
      </c>
      <c r="Q9879" t="s">
        <v>1783</v>
      </c>
      <c r="R9879" t="s">
        <v>1784</v>
      </c>
    </row>
    <row r="9880" spans="1:18" x14ac:dyDescent="0.25">
      <c r="A9880" t="s">
        <v>17677</v>
      </c>
      <c r="B9880" t="s">
        <v>1788</v>
      </c>
      <c r="C9880" t="str">
        <f>HYPERLINK("https://nematode.unl.edu/terat4.jpg")</f>
        <v>https://nematode.unl.edu/terat4.jpg</v>
      </c>
      <c r="D9880" t="s">
        <v>43</v>
      </c>
      <c r="G9880" t="s">
        <v>51</v>
      </c>
      <c r="I9880" t="s">
        <v>19</v>
      </c>
      <c r="J9880" t="s">
        <v>1780</v>
      </c>
      <c r="M9880" t="s">
        <v>1781</v>
      </c>
      <c r="N9880" t="s">
        <v>1782</v>
      </c>
      <c r="O9880" t="s">
        <v>23</v>
      </c>
      <c r="P9880" t="s">
        <v>24</v>
      </c>
      <c r="Q9880" t="s">
        <v>1783</v>
      </c>
      <c r="R9880" t="s">
        <v>1784</v>
      </c>
    </row>
    <row r="9881" spans="1:18" x14ac:dyDescent="0.25">
      <c r="A9881" t="s">
        <v>17673</v>
      </c>
      <c r="B9881" t="s">
        <v>1789</v>
      </c>
      <c r="C9881" t="str">
        <f>HYPERLINK("https://nematode.unl.edu/terat5.jpg")</f>
        <v>https://nematode.unl.edu/terat5.jpg</v>
      </c>
      <c r="D9881" t="s">
        <v>43</v>
      </c>
      <c r="G9881" t="s">
        <v>87</v>
      </c>
      <c r="J9881" t="s">
        <v>1780</v>
      </c>
      <c r="M9881" t="s">
        <v>1781</v>
      </c>
      <c r="N9881" t="s">
        <v>1782</v>
      </c>
      <c r="O9881" t="s">
        <v>23</v>
      </c>
      <c r="P9881" t="s">
        <v>24</v>
      </c>
      <c r="Q9881" t="s">
        <v>1783</v>
      </c>
      <c r="R9881" t="s">
        <v>1784</v>
      </c>
    </row>
    <row r="9882" spans="1:18" x14ac:dyDescent="0.25">
      <c r="A9882" t="s">
        <v>17676</v>
      </c>
      <c r="B9882" t="s">
        <v>1790</v>
      </c>
      <c r="C9882" t="str">
        <f>HYPERLINK("https://nematode.unl.edu/teratcmp.jpg")</f>
        <v>https://nematode.unl.edu/teratcmp.jpg</v>
      </c>
      <c r="G9882" t="s">
        <v>108</v>
      </c>
      <c r="J9882" t="s">
        <v>482</v>
      </c>
      <c r="M9882" t="s">
        <v>1781</v>
      </c>
      <c r="N9882" t="s">
        <v>1782</v>
      </c>
      <c r="O9882" t="s">
        <v>23</v>
      </c>
      <c r="P9882" t="s">
        <v>24</v>
      </c>
      <c r="Q9882" t="s">
        <v>1783</v>
      </c>
      <c r="R9882" t="s">
        <v>1784</v>
      </c>
    </row>
    <row r="9883" spans="1:18" x14ac:dyDescent="0.25">
      <c r="A9883" t="s">
        <v>17626</v>
      </c>
      <c r="B9883" t="s">
        <v>11357</v>
      </c>
      <c r="C9883" t="str">
        <f>HYPERLINK("https://nematode.unl.edu/teratoa1.jpg")</f>
        <v>https://nematode.unl.edu/teratoa1.jpg</v>
      </c>
      <c r="D9883" t="s">
        <v>16</v>
      </c>
      <c r="G9883" t="s">
        <v>34</v>
      </c>
      <c r="H9883" t="s">
        <v>18</v>
      </c>
      <c r="J9883" t="s">
        <v>267</v>
      </c>
      <c r="M9883" t="s">
        <v>11358</v>
      </c>
      <c r="N9883" t="s">
        <v>11358</v>
      </c>
      <c r="O9883" t="s">
        <v>23</v>
      </c>
      <c r="P9883" t="s">
        <v>24</v>
      </c>
      <c r="Q9883" t="s">
        <v>1637</v>
      </c>
      <c r="R9883" t="s">
        <v>11358</v>
      </c>
    </row>
    <row r="9884" spans="1:18" x14ac:dyDescent="0.25">
      <c r="A9884" t="s">
        <v>17627</v>
      </c>
      <c r="B9884" t="s">
        <v>11359</v>
      </c>
      <c r="C9884" t="str">
        <f>HYPERLINK("https://nematode.unl.edu/teratoa2.jpg")</f>
        <v>https://nematode.unl.edu/teratoa2.jpg</v>
      </c>
      <c r="G9884" t="s">
        <v>28</v>
      </c>
      <c r="M9884" t="s">
        <v>11358</v>
      </c>
      <c r="N9884" t="s">
        <v>11358</v>
      </c>
      <c r="O9884" t="s">
        <v>23</v>
      </c>
      <c r="P9884" t="s">
        <v>24</v>
      </c>
      <c r="Q9884" t="s">
        <v>1637</v>
      </c>
      <c r="R9884" t="s">
        <v>11358</v>
      </c>
    </row>
    <row r="9885" spans="1:18" x14ac:dyDescent="0.25">
      <c r="A9885" t="s">
        <v>21929</v>
      </c>
      <c r="B9885" t="s">
        <v>11360</v>
      </c>
      <c r="C9885" t="str">
        <f>HYPERLINK("https://nematode.unl.edu/theella1.jpg")</f>
        <v>https://nematode.unl.edu/theella1.jpg</v>
      </c>
      <c r="D9885" t="s">
        <v>16</v>
      </c>
      <c r="G9885" t="s">
        <v>34</v>
      </c>
      <c r="H9885" t="s">
        <v>18</v>
      </c>
      <c r="I9885" t="s">
        <v>19</v>
      </c>
      <c r="J9885" t="s">
        <v>20</v>
      </c>
      <c r="L9885" t="s">
        <v>64</v>
      </c>
      <c r="M9885" t="s">
        <v>11361</v>
      </c>
      <c r="N9885" t="s">
        <v>11361</v>
      </c>
      <c r="O9885" t="s">
        <v>73</v>
      </c>
      <c r="P9885" t="s">
        <v>81</v>
      </c>
      <c r="Q9885" t="s">
        <v>11362</v>
      </c>
      <c r="R9885" t="s">
        <v>11361</v>
      </c>
    </row>
    <row r="9886" spans="1:18" x14ac:dyDescent="0.25">
      <c r="A9886" t="s">
        <v>21933</v>
      </c>
      <c r="B9886" t="s">
        <v>11363</v>
      </c>
      <c r="C9886" t="str">
        <f>HYPERLINK("https://nematode.unl.edu/theella2.jpg")</f>
        <v>https://nematode.unl.edu/theella2.jpg</v>
      </c>
      <c r="D9886" t="s">
        <v>16</v>
      </c>
      <c r="G9886" t="s">
        <v>28</v>
      </c>
      <c r="J9886" t="s">
        <v>20</v>
      </c>
      <c r="L9886" t="s">
        <v>64</v>
      </c>
      <c r="M9886" t="s">
        <v>11361</v>
      </c>
      <c r="N9886" t="s">
        <v>11361</v>
      </c>
      <c r="O9886" t="s">
        <v>73</v>
      </c>
      <c r="P9886" t="s">
        <v>81</v>
      </c>
      <c r="Q9886" t="s">
        <v>11362</v>
      </c>
      <c r="R9886" t="s">
        <v>11361</v>
      </c>
    </row>
    <row r="9887" spans="1:18" x14ac:dyDescent="0.25">
      <c r="A9887" t="s">
        <v>21932</v>
      </c>
      <c r="B9887" t="s">
        <v>11364</v>
      </c>
      <c r="C9887" t="str">
        <f>HYPERLINK("https://nematode.unl.edu/theella3.jpg")</f>
        <v>https://nematode.unl.edu/theella3.jpg</v>
      </c>
      <c r="D9887" t="s">
        <v>16</v>
      </c>
      <c r="G9887" t="s">
        <v>87</v>
      </c>
      <c r="I9887" t="s">
        <v>41</v>
      </c>
      <c r="J9887" t="s">
        <v>20</v>
      </c>
      <c r="L9887" t="s">
        <v>64</v>
      </c>
      <c r="M9887" t="s">
        <v>11361</v>
      </c>
      <c r="N9887" t="s">
        <v>11361</v>
      </c>
      <c r="O9887" t="s">
        <v>73</v>
      </c>
      <c r="P9887" t="s">
        <v>81</v>
      </c>
      <c r="Q9887" t="s">
        <v>11362</v>
      </c>
      <c r="R9887" t="s">
        <v>11361</v>
      </c>
    </row>
    <row r="9888" spans="1:18" x14ac:dyDescent="0.25">
      <c r="A9888" t="s">
        <v>21930</v>
      </c>
      <c r="B9888" t="s">
        <v>11365</v>
      </c>
      <c r="C9888" t="str">
        <f>HYPERLINK("https://nematode.unl.edu/theella4.jpg")</f>
        <v>https://nematode.unl.edu/theella4.jpg</v>
      </c>
      <c r="D9888" t="s">
        <v>16</v>
      </c>
      <c r="G9888" t="s">
        <v>34</v>
      </c>
      <c r="H9888" t="s">
        <v>18</v>
      </c>
      <c r="J9888" t="s">
        <v>20</v>
      </c>
      <c r="M9888" t="s">
        <v>11361</v>
      </c>
      <c r="N9888" t="s">
        <v>11361</v>
      </c>
      <c r="O9888" t="s">
        <v>73</v>
      </c>
      <c r="P9888" t="s">
        <v>81</v>
      </c>
      <c r="Q9888" t="s">
        <v>11362</v>
      </c>
      <c r="R9888" t="s">
        <v>11361</v>
      </c>
    </row>
    <row r="9889" spans="1:18" x14ac:dyDescent="0.25">
      <c r="A9889" t="s">
        <v>21934</v>
      </c>
      <c r="B9889" t="s">
        <v>11366</v>
      </c>
      <c r="C9889" t="str">
        <f>HYPERLINK("https://nematode.unl.edu/theella5.jpg")</f>
        <v>https://nematode.unl.edu/theella5.jpg</v>
      </c>
      <c r="D9889" t="s">
        <v>16</v>
      </c>
      <c r="G9889" t="s">
        <v>28</v>
      </c>
      <c r="J9889" t="s">
        <v>20</v>
      </c>
      <c r="M9889" t="s">
        <v>11361</v>
      </c>
      <c r="N9889" t="s">
        <v>11361</v>
      </c>
      <c r="O9889" t="s">
        <v>73</v>
      </c>
      <c r="P9889" t="s">
        <v>81</v>
      </c>
      <c r="Q9889" t="s">
        <v>11362</v>
      </c>
      <c r="R9889" t="s">
        <v>11361</v>
      </c>
    </row>
    <row r="9890" spans="1:18" x14ac:dyDescent="0.25">
      <c r="A9890" t="s">
        <v>21931</v>
      </c>
      <c r="B9890" t="s">
        <v>11367</v>
      </c>
      <c r="C9890" t="str">
        <f>HYPERLINK("https://nematode.unl.edu/theella6.jpg")</f>
        <v>https://nematode.unl.edu/theella6.jpg</v>
      </c>
      <c r="D9890" t="s">
        <v>16</v>
      </c>
      <c r="G9890" t="s">
        <v>34</v>
      </c>
      <c r="H9890" t="s">
        <v>18</v>
      </c>
      <c r="J9890" t="s">
        <v>20</v>
      </c>
      <c r="L9890" t="s">
        <v>85</v>
      </c>
      <c r="M9890" t="s">
        <v>11361</v>
      </c>
      <c r="N9890" t="s">
        <v>11361</v>
      </c>
      <c r="O9890" t="s">
        <v>73</v>
      </c>
      <c r="P9890" t="s">
        <v>81</v>
      </c>
      <c r="Q9890" t="s">
        <v>11362</v>
      </c>
      <c r="R9890" t="s">
        <v>11361</v>
      </c>
    </row>
    <row r="9891" spans="1:18" x14ac:dyDescent="0.25">
      <c r="A9891" t="s">
        <v>21935</v>
      </c>
      <c r="B9891" t="s">
        <v>11368</v>
      </c>
      <c r="C9891" t="str">
        <f>HYPERLINK("https://nematode.unl.edu/theella7.jpg")</f>
        <v>https://nematode.unl.edu/theella7.jpg</v>
      </c>
      <c r="D9891" t="s">
        <v>16</v>
      </c>
      <c r="G9891" t="s">
        <v>28</v>
      </c>
      <c r="J9891" t="s">
        <v>20</v>
      </c>
      <c r="M9891" t="s">
        <v>11361</v>
      </c>
      <c r="N9891" t="s">
        <v>11361</v>
      </c>
      <c r="O9891" t="s">
        <v>73</v>
      </c>
      <c r="P9891" t="s">
        <v>81</v>
      </c>
      <c r="Q9891" t="s">
        <v>11362</v>
      </c>
      <c r="R9891" t="s">
        <v>11361</v>
      </c>
    </row>
    <row r="9892" spans="1:18" x14ac:dyDescent="0.25">
      <c r="A9892" t="s">
        <v>19752</v>
      </c>
      <c r="B9892" t="s">
        <v>549</v>
      </c>
      <c r="C9892" t="str">
        <f>HYPERLINK("https://nematode.unl.edu/thocmp.jpg")</f>
        <v>https://nematode.unl.edu/thocmp.jpg</v>
      </c>
      <c r="G9892" t="s">
        <v>108</v>
      </c>
      <c r="M9892" t="s">
        <v>541</v>
      </c>
      <c r="N9892" t="s">
        <v>542</v>
      </c>
      <c r="O9892" t="s">
        <v>73</v>
      </c>
      <c r="P9892" t="s">
        <v>81</v>
      </c>
      <c r="Q9892" t="s">
        <v>489</v>
      </c>
      <c r="R9892" t="s">
        <v>490</v>
      </c>
    </row>
    <row r="9893" spans="1:18" x14ac:dyDescent="0.25">
      <c r="A9893" t="s">
        <v>19830</v>
      </c>
      <c r="B9893" t="s">
        <v>550</v>
      </c>
      <c r="C9893" t="str">
        <f>HYPERLINK("https://nematode.unl.edu/thoco1.jpg")</f>
        <v>https://nematode.unl.edu/thoco1.jpg</v>
      </c>
      <c r="D9893" t="s">
        <v>16</v>
      </c>
      <c r="G9893" t="s">
        <v>34</v>
      </c>
      <c r="H9893" t="s">
        <v>18</v>
      </c>
      <c r="J9893" t="s">
        <v>20</v>
      </c>
      <c r="L9893" t="s">
        <v>141</v>
      </c>
      <c r="M9893" t="s">
        <v>551</v>
      </c>
      <c r="N9893" t="s">
        <v>542</v>
      </c>
      <c r="O9893" t="s">
        <v>73</v>
      </c>
      <c r="P9893" t="s">
        <v>81</v>
      </c>
      <c r="Q9893" t="s">
        <v>489</v>
      </c>
      <c r="R9893" t="s">
        <v>490</v>
      </c>
    </row>
    <row r="9894" spans="1:18" x14ac:dyDescent="0.25">
      <c r="A9894" t="s">
        <v>16039</v>
      </c>
      <c r="B9894" t="s">
        <v>11722</v>
      </c>
      <c r="C9894" t="str">
        <f>HYPERLINK("https://nematode.unl.edu/thord1.jpg")</f>
        <v>https://nematode.unl.edu/thord1.jpg</v>
      </c>
      <c r="D9894" t="s">
        <v>43</v>
      </c>
      <c r="G9894" t="s">
        <v>44</v>
      </c>
      <c r="I9894" t="s">
        <v>91</v>
      </c>
      <c r="J9894" t="s">
        <v>20</v>
      </c>
      <c r="L9894" t="s">
        <v>64</v>
      </c>
      <c r="M9894" t="s">
        <v>11723</v>
      </c>
      <c r="N9894" t="s">
        <v>11723</v>
      </c>
      <c r="O9894" t="s">
        <v>23</v>
      </c>
      <c r="P9894" t="s">
        <v>24</v>
      </c>
      <c r="Q9894" t="s">
        <v>1071</v>
      </c>
      <c r="R9894" t="s">
        <v>1856</v>
      </c>
    </row>
    <row r="9895" spans="1:18" x14ac:dyDescent="0.25">
      <c r="A9895" t="s">
        <v>16037</v>
      </c>
      <c r="B9895" t="s">
        <v>11724</v>
      </c>
      <c r="C9895" t="str">
        <f>HYPERLINK("https://nematode.unl.edu/thord2.jpg")</f>
        <v>https://nematode.unl.edu/thord2.jpg</v>
      </c>
      <c r="D9895" t="s">
        <v>43</v>
      </c>
      <c r="G9895" t="s">
        <v>34</v>
      </c>
      <c r="H9895" t="s">
        <v>18</v>
      </c>
      <c r="I9895" t="s">
        <v>19</v>
      </c>
      <c r="J9895" t="s">
        <v>20</v>
      </c>
      <c r="L9895" t="s">
        <v>64</v>
      </c>
      <c r="M9895" t="s">
        <v>11723</v>
      </c>
      <c r="N9895" t="s">
        <v>11723</v>
      </c>
      <c r="O9895" t="s">
        <v>23</v>
      </c>
      <c r="P9895" t="s">
        <v>24</v>
      </c>
      <c r="Q9895" t="s">
        <v>1071</v>
      </c>
      <c r="R9895" t="s">
        <v>1856</v>
      </c>
    </row>
    <row r="9896" spans="1:18" x14ac:dyDescent="0.25">
      <c r="A9896" t="s">
        <v>16044</v>
      </c>
      <c r="B9896" t="s">
        <v>11725</v>
      </c>
      <c r="C9896" t="str">
        <f>HYPERLINK("https://nematode.unl.edu/thord3.jpg")</f>
        <v>https://nematode.unl.edu/thord3.jpg</v>
      </c>
      <c r="D9896" t="s">
        <v>43</v>
      </c>
      <c r="G9896" t="s">
        <v>51</v>
      </c>
      <c r="I9896" t="s">
        <v>19</v>
      </c>
      <c r="J9896" t="s">
        <v>20</v>
      </c>
      <c r="L9896" t="s">
        <v>64</v>
      </c>
      <c r="M9896" t="s">
        <v>11723</v>
      </c>
      <c r="N9896" t="s">
        <v>11723</v>
      </c>
      <c r="O9896" t="s">
        <v>23</v>
      </c>
      <c r="P9896" t="s">
        <v>24</v>
      </c>
      <c r="Q9896" t="s">
        <v>1071</v>
      </c>
      <c r="R9896" t="s">
        <v>1856</v>
      </c>
    </row>
    <row r="9897" spans="1:18" x14ac:dyDescent="0.25">
      <c r="A9897" t="s">
        <v>16042</v>
      </c>
      <c r="B9897" t="s">
        <v>11726</v>
      </c>
      <c r="C9897" t="str">
        <f>HYPERLINK("https://nematode.unl.edu/thord4.jpg")</f>
        <v>https://nematode.unl.edu/thord4.jpg</v>
      </c>
      <c r="D9897" t="s">
        <v>43</v>
      </c>
      <c r="G9897" t="s">
        <v>28</v>
      </c>
      <c r="J9897" t="s">
        <v>20</v>
      </c>
      <c r="L9897" t="s">
        <v>64</v>
      </c>
      <c r="M9897" t="s">
        <v>11723</v>
      </c>
      <c r="N9897" t="s">
        <v>11723</v>
      </c>
      <c r="O9897" t="s">
        <v>23</v>
      </c>
      <c r="P9897" t="s">
        <v>24</v>
      </c>
      <c r="Q9897" t="s">
        <v>1071</v>
      </c>
      <c r="R9897" t="s">
        <v>1856</v>
      </c>
    </row>
    <row r="9898" spans="1:18" x14ac:dyDescent="0.25">
      <c r="A9898" t="s">
        <v>16038</v>
      </c>
      <c r="B9898" t="s">
        <v>11727</v>
      </c>
      <c r="C9898" t="str">
        <f>HYPERLINK("https://nematode.unl.edu/thord5.jpg")</f>
        <v>https://nematode.unl.edu/thord5.jpg</v>
      </c>
      <c r="D9898" t="s">
        <v>43</v>
      </c>
      <c r="G9898" t="s">
        <v>34</v>
      </c>
      <c r="H9898" t="s">
        <v>18</v>
      </c>
      <c r="I9898" t="s">
        <v>41</v>
      </c>
      <c r="J9898" t="s">
        <v>20</v>
      </c>
      <c r="L9898" t="s">
        <v>64</v>
      </c>
      <c r="M9898" t="s">
        <v>11723</v>
      </c>
      <c r="N9898" t="s">
        <v>11723</v>
      </c>
      <c r="O9898" t="s">
        <v>23</v>
      </c>
      <c r="P9898" t="s">
        <v>24</v>
      </c>
      <c r="Q9898" t="s">
        <v>1071</v>
      </c>
      <c r="R9898" t="s">
        <v>1856</v>
      </c>
    </row>
    <row r="9899" spans="1:18" x14ac:dyDescent="0.25">
      <c r="A9899" t="s">
        <v>16041</v>
      </c>
      <c r="B9899" t="s">
        <v>11728</v>
      </c>
      <c r="C9899" t="str">
        <f>HYPERLINK("https://nematode.unl.edu/thord6.jpg")</f>
        <v>https://nematode.unl.edu/thord6.jpg</v>
      </c>
      <c r="D9899" t="s">
        <v>43</v>
      </c>
      <c r="G9899" t="s">
        <v>2029</v>
      </c>
      <c r="I9899" t="s">
        <v>41</v>
      </c>
      <c r="J9899" t="s">
        <v>20</v>
      </c>
      <c r="L9899" t="s">
        <v>64</v>
      </c>
      <c r="M9899" t="s">
        <v>11723</v>
      </c>
      <c r="N9899" t="s">
        <v>11723</v>
      </c>
      <c r="O9899" t="s">
        <v>23</v>
      </c>
      <c r="P9899" t="s">
        <v>24</v>
      </c>
      <c r="Q9899" t="s">
        <v>1071</v>
      </c>
      <c r="R9899" t="s">
        <v>1856</v>
      </c>
    </row>
    <row r="9900" spans="1:18" x14ac:dyDescent="0.25">
      <c r="A9900" t="s">
        <v>16040</v>
      </c>
      <c r="B9900" t="s">
        <v>11729</v>
      </c>
      <c r="C9900" t="str">
        <f>HYPERLINK("https://nematode.unl.edu/thord7.jpg")</f>
        <v>https://nematode.unl.edu/thord7.jpg</v>
      </c>
      <c r="D9900" t="s">
        <v>43</v>
      </c>
      <c r="G9900" t="s">
        <v>53</v>
      </c>
      <c r="I9900" t="s">
        <v>41</v>
      </c>
      <c r="J9900" t="s">
        <v>20</v>
      </c>
      <c r="L9900" t="s">
        <v>64</v>
      </c>
      <c r="M9900" t="s">
        <v>11723</v>
      </c>
      <c r="N9900" t="s">
        <v>11723</v>
      </c>
      <c r="O9900" t="s">
        <v>23</v>
      </c>
      <c r="P9900" t="s">
        <v>24</v>
      </c>
      <c r="Q9900" t="s">
        <v>1071</v>
      </c>
      <c r="R9900" t="s">
        <v>1856</v>
      </c>
    </row>
    <row r="9901" spans="1:18" x14ac:dyDescent="0.25">
      <c r="A9901" t="s">
        <v>16043</v>
      </c>
      <c r="B9901" t="s">
        <v>11730</v>
      </c>
      <c r="C9901" t="str">
        <f>HYPERLINK("https://nematode.unl.edu/thord8.jpg")</f>
        <v>https://nematode.unl.edu/thord8.jpg</v>
      </c>
      <c r="D9901" t="s">
        <v>43</v>
      </c>
      <c r="G9901" t="s">
        <v>28</v>
      </c>
      <c r="I9901" t="s">
        <v>41</v>
      </c>
      <c r="J9901" t="s">
        <v>20</v>
      </c>
      <c r="L9901" t="s">
        <v>64</v>
      </c>
      <c r="M9901" t="s">
        <v>11723</v>
      </c>
      <c r="N9901" t="s">
        <v>11723</v>
      </c>
      <c r="O9901" t="s">
        <v>23</v>
      </c>
      <c r="P9901" t="s">
        <v>24</v>
      </c>
      <c r="Q9901" t="s">
        <v>1071</v>
      </c>
      <c r="R9901" t="s">
        <v>1856</v>
      </c>
    </row>
    <row r="9902" spans="1:18" x14ac:dyDescent="0.25">
      <c r="A9902" t="s">
        <v>19997</v>
      </c>
      <c r="B9902" t="s">
        <v>11401</v>
      </c>
      <c r="C9902" t="str">
        <f>HYPERLINK("https://nematode.unl.edu/thorla1.jpg")</f>
        <v>https://nematode.unl.edu/thorla1.jpg</v>
      </c>
      <c r="D9902" t="s">
        <v>43</v>
      </c>
      <c r="G9902" t="s">
        <v>44</v>
      </c>
      <c r="I9902" t="s">
        <v>45</v>
      </c>
      <c r="J9902" t="s">
        <v>3679</v>
      </c>
      <c r="M9902" t="s">
        <v>11402</v>
      </c>
      <c r="N9902" t="s">
        <v>11402</v>
      </c>
      <c r="O9902" t="s">
        <v>73</v>
      </c>
      <c r="P9902" t="s">
        <v>81</v>
      </c>
      <c r="Q9902" t="s">
        <v>489</v>
      </c>
      <c r="R9902" t="s">
        <v>11388</v>
      </c>
    </row>
    <row r="9903" spans="1:18" x14ac:dyDescent="0.25">
      <c r="A9903" t="s">
        <v>19998</v>
      </c>
      <c r="B9903" t="s">
        <v>11403</v>
      </c>
      <c r="C9903" t="str">
        <f>HYPERLINK("https://nematode.unl.edu/thorla10.jpg")</f>
        <v>https://nematode.unl.edu/thorla10.jpg</v>
      </c>
      <c r="D9903" t="s">
        <v>77</v>
      </c>
      <c r="G9903" t="s">
        <v>243</v>
      </c>
      <c r="I9903" t="s">
        <v>41</v>
      </c>
      <c r="M9903" t="s">
        <v>11402</v>
      </c>
      <c r="N9903" t="s">
        <v>11402</v>
      </c>
      <c r="O9903" t="s">
        <v>73</v>
      </c>
      <c r="P9903" t="s">
        <v>81</v>
      </c>
      <c r="Q9903" t="s">
        <v>489</v>
      </c>
      <c r="R9903" t="s">
        <v>11388</v>
      </c>
    </row>
    <row r="9904" spans="1:18" x14ac:dyDescent="0.25">
      <c r="A9904" t="s">
        <v>20003</v>
      </c>
      <c r="B9904" t="s">
        <v>11404</v>
      </c>
      <c r="C9904" t="str">
        <f>HYPERLINK("https://nematode.unl.edu/thorla11.jpg")</f>
        <v>https://nematode.unl.edu/thorla11.jpg</v>
      </c>
      <c r="D9904" t="s">
        <v>43</v>
      </c>
      <c r="G9904" t="s">
        <v>51</v>
      </c>
      <c r="I9904" t="s">
        <v>41</v>
      </c>
      <c r="J9904" t="s">
        <v>3679</v>
      </c>
      <c r="M9904" t="s">
        <v>11402</v>
      </c>
      <c r="N9904" t="s">
        <v>11402</v>
      </c>
      <c r="O9904" t="s">
        <v>73</v>
      </c>
      <c r="P9904" t="s">
        <v>81</v>
      </c>
      <c r="Q9904" t="s">
        <v>489</v>
      </c>
      <c r="R9904" t="s">
        <v>11388</v>
      </c>
    </row>
    <row r="9905" spans="1:18" x14ac:dyDescent="0.25">
      <c r="A9905" t="s">
        <v>19995</v>
      </c>
      <c r="B9905" t="s">
        <v>11405</v>
      </c>
      <c r="C9905" t="str">
        <f>HYPERLINK("https://nematode.unl.edu/thorla2.jpg")</f>
        <v>https://nematode.unl.edu/thorla2.jpg</v>
      </c>
      <c r="D9905" t="s">
        <v>43</v>
      </c>
      <c r="G9905" t="s">
        <v>96</v>
      </c>
      <c r="H9905" t="s">
        <v>18</v>
      </c>
      <c r="J9905" t="s">
        <v>3679</v>
      </c>
      <c r="M9905" t="s">
        <v>11402</v>
      </c>
      <c r="N9905" t="s">
        <v>11402</v>
      </c>
      <c r="O9905" t="s">
        <v>73</v>
      </c>
      <c r="P9905" t="s">
        <v>81</v>
      </c>
      <c r="Q9905" t="s">
        <v>489</v>
      </c>
      <c r="R9905" t="s">
        <v>11388</v>
      </c>
    </row>
    <row r="9906" spans="1:18" x14ac:dyDescent="0.25">
      <c r="A9906" t="s">
        <v>20004</v>
      </c>
      <c r="B9906" t="s">
        <v>11406</v>
      </c>
      <c r="C9906" t="str">
        <f>HYPERLINK("https://nematode.unl.edu/thorla3.jpg")</f>
        <v>https://nematode.unl.edu/thorla3.jpg</v>
      </c>
      <c r="D9906" t="s">
        <v>43</v>
      </c>
      <c r="G9906" t="s">
        <v>51</v>
      </c>
      <c r="I9906" t="s">
        <v>19</v>
      </c>
      <c r="J9906" t="s">
        <v>3679</v>
      </c>
      <c r="M9906" t="s">
        <v>11402</v>
      </c>
      <c r="N9906" t="s">
        <v>11402</v>
      </c>
      <c r="O9906" t="s">
        <v>73</v>
      </c>
      <c r="P9906" t="s">
        <v>81</v>
      </c>
      <c r="Q9906" t="s">
        <v>489</v>
      </c>
      <c r="R9906" t="s">
        <v>11388</v>
      </c>
    </row>
    <row r="9907" spans="1:18" x14ac:dyDescent="0.25">
      <c r="A9907" t="s">
        <v>20000</v>
      </c>
      <c r="B9907" t="s">
        <v>11407</v>
      </c>
      <c r="C9907" t="str">
        <f>HYPERLINK("https://nematode.unl.edu/thorla4.jpg")</f>
        <v>https://nematode.unl.edu/thorla4.jpg</v>
      </c>
      <c r="D9907" t="s">
        <v>43</v>
      </c>
      <c r="G9907" t="s">
        <v>28</v>
      </c>
      <c r="J9907" t="s">
        <v>3679</v>
      </c>
      <c r="M9907" t="s">
        <v>11402</v>
      </c>
      <c r="N9907" t="s">
        <v>11402</v>
      </c>
      <c r="O9907" t="s">
        <v>73</v>
      </c>
      <c r="P9907" t="s">
        <v>81</v>
      </c>
      <c r="Q9907" t="s">
        <v>489</v>
      </c>
      <c r="R9907" t="s">
        <v>11388</v>
      </c>
    </row>
    <row r="9908" spans="1:18" x14ac:dyDescent="0.25">
      <c r="A9908" t="s">
        <v>19996</v>
      </c>
      <c r="B9908" t="s">
        <v>11408</v>
      </c>
      <c r="C9908" t="str">
        <f>HYPERLINK("https://nematode.unl.edu/thorla5.jpg")</f>
        <v>https://nematode.unl.edu/thorla5.jpg</v>
      </c>
      <c r="D9908" t="s">
        <v>43</v>
      </c>
      <c r="G9908" t="s">
        <v>34</v>
      </c>
      <c r="H9908" t="s">
        <v>18</v>
      </c>
      <c r="I9908" t="s">
        <v>41</v>
      </c>
      <c r="J9908" t="s">
        <v>3679</v>
      </c>
      <c r="M9908" t="s">
        <v>11402</v>
      </c>
      <c r="N9908" t="s">
        <v>11402</v>
      </c>
      <c r="O9908" t="s">
        <v>73</v>
      </c>
      <c r="P9908" t="s">
        <v>81</v>
      </c>
      <c r="Q9908" t="s">
        <v>489</v>
      </c>
      <c r="R9908" t="s">
        <v>11388</v>
      </c>
    </row>
    <row r="9909" spans="1:18" x14ac:dyDescent="0.25">
      <c r="A9909" t="s">
        <v>19994</v>
      </c>
      <c r="B9909" t="s">
        <v>11409</v>
      </c>
      <c r="C9909" t="str">
        <f>HYPERLINK("https://nematode.unl.edu/thorla6.jpg")</f>
        <v>https://nematode.unl.edu/thorla6.jpg</v>
      </c>
      <c r="D9909" t="s">
        <v>43</v>
      </c>
      <c r="G9909" t="s">
        <v>386</v>
      </c>
      <c r="H9909" t="s">
        <v>18</v>
      </c>
      <c r="I9909" t="s">
        <v>41</v>
      </c>
      <c r="J9909" t="s">
        <v>3679</v>
      </c>
      <c r="M9909" t="s">
        <v>11402</v>
      </c>
      <c r="N9909" t="s">
        <v>11402</v>
      </c>
      <c r="O9909" t="s">
        <v>73</v>
      </c>
      <c r="P9909" t="s">
        <v>81</v>
      </c>
      <c r="Q9909" t="s">
        <v>489</v>
      </c>
      <c r="R9909" t="s">
        <v>11388</v>
      </c>
    </row>
    <row r="9910" spans="1:18" x14ac:dyDescent="0.25">
      <c r="A9910" t="s">
        <v>19999</v>
      </c>
      <c r="B9910" t="s">
        <v>11410</v>
      </c>
      <c r="C9910" t="str">
        <f>HYPERLINK("https://nematode.unl.edu/thorla7.jpg")</f>
        <v>https://nematode.unl.edu/thorla7.jpg</v>
      </c>
      <c r="D9910" t="s">
        <v>43</v>
      </c>
      <c r="G9910" t="s">
        <v>11411</v>
      </c>
      <c r="I9910" t="s">
        <v>41</v>
      </c>
      <c r="J9910" t="s">
        <v>3679</v>
      </c>
      <c r="M9910" t="s">
        <v>11402</v>
      </c>
      <c r="N9910" t="s">
        <v>11402</v>
      </c>
      <c r="O9910" t="s">
        <v>73</v>
      </c>
      <c r="P9910" t="s">
        <v>81</v>
      </c>
      <c r="Q9910" t="s">
        <v>489</v>
      </c>
      <c r="R9910" t="s">
        <v>11388</v>
      </c>
    </row>
    <row r="9911" spans="1:18" x14ac:dyDescent="0.25">
      <c r="A9911" t="s">
        <v>20002</v>
      </c>
      <c r="B9911" t="s">
        <v>11412</v>
      </c>
      <c r="C9911" t="str">
        <f>HYPERLINK("https://nematode.unl.edu/thorla8.jpg")</f>
        <v>https://nematode.unl.edu/thorla8.jpg</v>
      </c>
      <c r="D9911" t="s">
        <v>43</v>
      </c>
      <c r="G9911" t="s">
        <v>11413</v>
      </c>
      <c r="I9911" t="s">
        <v>41</v>
      </c>
      <c r="J9911" t="s">
        <v>3679</v>
      </c>
      <c r="M9911" t="s">
        <v>11402</v>
      </c>
      <c r="N9911" t="s">
        <v>11402</v>
      </c>
      <c r="O9911" t="s">
        <v>73</v>
      </c>
      <c r="P9911" t="s">
        <v>81</v>
      </c>
      <c r="Q9911" t="s">
        <v>489</v>
      </c>
      <c r="R9911" t="s">
        <v>11388</v>
      </c>
    </row>
    <row r="9912" spans="1:18" x14ac:dyDescent="0.25">
      <c r="A9912" t="s">
        <v>20001</v>
      </c>
      <c r="B9912" t="s">
        <v>11414</v>
      </c>
      <c r="C9912" t="str">
        <f>HYPERLINK("https://nematode.unl.edu/thorla9.jpg")</f>
        <v>https://nematode.unl.edu/thorla9.jpg</v>
      </c>
      <c r="D9912" t="s">
        <v>43</v>
      </c>
      <c r="G9912" t="s">
        <v>11415</v>
      </c>
      <c r="J9912" t="s">
        <v>3679</v>
      </c>
      <c r="M9912" t="s">
        <v>11402</v>
      </c>
      <c r="N9912" t="s">
        <v>11402</v>
      </c>
      <c r="O9912" t="s">
        <v>73</v>
      </c>
      <c r="P9912" t="s">
        <v>81</v>
      </c>
      <c r="Q9912" t="s">
        <v>489</v>
      </c>
      <c r="R9912" t="s">
        <v>11388</v>
      </c>
    </row>
    <row r="9913" spans="1:18" x14ac:dyDescent="0.25">
      <c r="A9913" t="s">
        <v>21922</v>
      </c>
      <c r="B9913" t="s">
        <v>11387</v>
      </c>
      <c r="C9913" t="str">
        <f>HYPERLINK("https://nematode.unl.edu/thornec1.jpg")</f>
        <v>https://nematode.unl.edu/thornec1.jpg</v>
      </c>
      <c r="D9913" t="s">
        <v>16</v>
      </c>
      <c r="G9913" t="s">
        <v>44</v>
      </c>
      <c r="I9913" t="s">
        <v>516</v>
      </c>
      <c r="J9913" t="s">
        <v>1517</v>
      </c>
      <c r="L9913" t="s">
        <v>1526</v>
      </c>
      <c r="M9913" t="s">
        <v>11388</v>
      </c>
      <c r="N9913" t="s">
        <v>11388</v>
      </c>
      <c r="O9913" t="s">
        <v>73</v>
      </c>
      <c r="P9913" t="s">
        <v>81</v>
      </c>
      <c r="Q9913" t="s">
        <v>3842</v>
      </c>
      <c r="R9913" t="s">
        <v>11388</v>
      </c>
    </row>
    <row r="9914" spans="1:18" x14ac:dyDescent="0.25">
      <c r="A9914" t="s">
        <v>21916</v>
      </c>
      <c r="B9914" t="s">
        <v>11389</v>
      </c>
      <c r="C9914" t="str">
        <f>HYPERLINK("https://nematode.unl.edu/thornec2.jpg")</f>
        <v>https://nematode.unl.edu/thornec2.jpg</v>
      </c>
      <c r="D9914" t="s">
        <v>16</v>
      </c>
      <c r="G9914" t="s">
        <v>34</v>
      </c>
      <c r="H9914" t="s">
        <v>18</v>
      </c>
      <c r="I9914" t="s">
        <v>19</v>
      </c>
      <c r="J9914" t="s">
        <v>1517</v>
      </c>
      <c r="L9914" t="s">
        <v>1526</v>
      </c>
      <c r="M9914" t="s">
        <v>11388</v>
      </c>
      <c r="N9914" t="s">
        <v>11388</v>
      </c>
      <c r="O9914" t="s">
        <v>73</v>
      </c>
      <c r="P9914" t="s">
        <v>81</v>
      </c>
      <c r="Q9914" t="s">
        <v>3842</v>
      </c>
      <c r="R9914" t="s">
        <v>11388</v>
      </c>
    </row>
    <row r="9915" spans="1:18" x14ac:dyDescent="0.25">
      <c r="A9915" t="s">
        <v>21924</v>
      </c>
      <c r="B9915" t="s">
        <v>11390</v>
      </c>
      <c r="C9915" t="str">
        <f>HYPERLINK("https://nematode.unl.edu/thornec3.jpg")</f>
        <v>https://nematode.unl.edu/thornec3.jpg</v>
      </c>
      <c r="D9915" t="s">
        <v>16</v>
      </c>
      <c r="G9915" t="s">
        <v>2142</v>
      </c>
      <c r="I9915" t="s">
        <v>19</v>
      </c>
      <c r="J9915" t="s">
        <v>1517</v>
      </c>
      <c r="L9915" t="s">
        <v>1526</v>
      </c>
      <c r="M9915" t="s">
        <v>11388</v>
      </c>
      <c r="N9915" t="s">
        <v>11388</v>
      </c>
      <c r="O9915" t="s">
        <v>73</v>
      </c>
      <c r="P9915" t="s">
        <v>81</v>
      </c>
      <c r="Q9915" t="s">
        <v>3842</v>
      </c>
      <c r="R9915" t="s">
        <v>11388</v>
      </c>
    </row>
    <row r="9916" spans="1:18" x14ac:dyDescent="0.25">
      <c r="A9916" t="s">
        <v>21921</v>
      </c>
      <c r="B9916" t="s">
        <v>11391</v>
      </c>
      <c r="C9916" t="str">
        <f>HYPERLINK("https://nematode.unl.edu/thornec4.jpg")</f>
        <v>https://nematode.unl.edu/thornec4.jpg</v>
      </c>
      <c r="D9916" t="s">
        <v>16</v>
      </c>
      <c r="G9916" t="s">
        <v>905</v>
      </c>
      <c r="J9916" t="s">
        <v>1517</v>
      </c>
      <c r="L9916" t="s">
        <v>1526</v>
      </c>
      <c r="M9916" t="s">
        <v>11388</v>
      </c>
      <c r="N9916" t="s">
        <v>11388</v>
      </c>
      <c r="O9916" t="s">
        <v>73</v>
      </c>
      <c r="P9916" t="s">
        <v>81</v>
      </c>
      <c r="Q9916" t="s">
        <v>3842</v>
      </c>
      <c r="R9916" t="s">
        <v>11388</v>
      </c>
    </row>
    <row r="9917" spans="1:18" x14ac:dyDescent="0.25">
      <c r="A9917" t="s">
        <v>21923</v>
      </c>
      <c r="B9917" t="s">
        <v>11392</v>
      </c>
      <c r="C9917" t="str">
        <f>HYPERLINK("https://nematode.unl.edu/thornen1.jpg")</f>
        <v>https://nematode.unl.edu/thornen1.jpg</v>
      </c>
      <c r="D9917" t="s">
        <v>16</v>
      </c>
      <c r="G9917" t="s">
        <v>44</v>
      </c>
      <c r="I9917" t="s">
        <v>45</v>
      </c>
      <c r="J9917" t="s">
        <v>11393</v>
      </c>
      <c r="M9917" t="s">
        <v>11388</v>
      </c>
      <c r="N9917" t="s">
        <v>11388</v>
      </c>
      <c r="O9917" t="s">
        <v>73</v>
      </c>
      <c r="P9917" t="s">
        <v>81</v>
      </c>
      <c r="Q9917" t="s">
        <v>3842</v>
      </c>
      <c r="R9917" t="s">
        <v>11388</v>
      </c>
    </row>
    <row r="9918" spans="1:18" x14ac:dyDescent="0.25">
      <c r="A9918" t="s">
        <v>21917</v>
      </c>
      <c r="B9918" t="s">
        <v>11394</v>
      </c>
      <c r="C9918" t="str">
        <f>HYPERLINK("https://nematode.unl.edu/thornen2.jpg")</f>
        <v>https://nematode.unl.edu/thornen2.jpg</v>
      </c>
      <c r="D9918" t="s">
        <v>16</v>
      </c>
      <c r="G9918" t="s">
        <v>34</v>
      </c>
      <c r="H9918" t="s">
        <v>18</v>
      </c>
      <c r="I9918" t="s">
        <v>19</v>
      </c>
      <c r="J9918" t="s">
        <v>11393</v>
      </c>
      <c r="M9918" t="s">
        <v>11388</v>
      </c>
      <c r="N9918" t="s">
        <v>11388</v>
      </c>
      <c r="O9918" t="s">
        <v>73</v>
      </c>
      <c r="P9918" t="s">
        <v>81</v>
      </c>
      <c r="Q9918" t="s">
        <v>3842</v>
      </c>
      <c r="R9918" t="s">
        <v>11388</v>
      </c>
    </row>
    <row r="9919" spans="1:18" x14ac:dyDescent="0.25">
      <c r="A9919" t="s">
        <v>21915</v>
      </c>
      <c r="B9919" t="s">
        <v>11395</v>
      </c>
      <c r="C9919" t="str">
        <f>HYPERLINK("https://nematode.unl.edu/thornen3.jpg")</f>
        <v>https://nematode.unl.edu/thornen3.jpg</v>
      </c>
      <c r="D9919" t="s">
        <v>16</v>
      </c>
      <c r="G9919" t="s">
        <v>17</v>
      </c>
      <c r="H9919" t="s">
        <v>18</v>
      </c>
      <c r="J9919" t="s">
        <v>11393</v>
      </c>
      <c r="M9919" t="s">
        <v>11388</v>
      </c>
      <c r="N9919" t="s">
        <v>11388</v>
      </c>
      <c r="O9919" t="s">
        <v>73</v>
      </c>
      <c r="P9919" t="s">
        <v>81</v>
      </c>
      <c r="Q9919" t="s">
        <v>3842</v>
      </c>
      <c r="R9919" t="s">
        <v>11388</v>
      </c>
    </row>
    <row r="9920" spans="1:18" x14ac:dyDescent="0.25">
      <c r="A9920" t="s">
        <v>21925</v>
      </c>
      <c r="B9920" t="s">
        <v>11396</v>
      </c>
      <c r="C9920" t="str">
        <f>HYPERLINK("https://nematode.unl.edu/thornen4.jpg")</f>
        <v>https://nematode.unl.edu/thornen4.jpg</v>
      </c>
      <c r="D9920" t="s">
        <v>16</v>
      </c>
      <c r="G9920" t="s">
        <v>28</v>
      </c>
      <c r="J9920" t="s">
        <v>11393</v>
      </c>
      <c r="M9920" t="s">
        <v>11388</v>
      </c>
      <c r="N9920" t="s">
        <v>11388</v>
      </c>
      <c r="O9920" t="s">
        <v>73</v>
      </c>
      <c r="P9920" t="s">
        <v>81</v>
      </c>
      <c r="Q9920" t="s">
        <v>3842</v>
      </c>
      <c r="R9920" t="s">
        <v>11388</v>
      </c>
    </row>
    <row r="9921" spans="1:18" x14ac:dyDescent="0.25">
      <c r="A9921" t="s">
        <v>21918</v>
      </c>
      <c r="B9921" t="s">
        <v>11397</v>
      </c>
      <c r="C9921" t="str">
        <f>HYPERLINK("https://nematode.unl.edu/thornen5.jpg")</f>
        <v>https://nematode.unl.edu/thornen5.jpg</v>
      </c>
      <c r="D9921" t="s">
        <v>16</v>
      </c>
      <c r="G9921" t="s">
        <v>34</v>
      </c>
      <c r="H9921" t="s">
        <v>18</v>
      </c>
      <c r="J9921" t="s">
        <v>11393</v>
      </c>
      <c r="M9921" t="s">
        <v>11388</v>
      </c>
      <c r="N9921" t="s">
        <v>11388</v>
      </c>
      <c r="O9921" t="s">
        <v>73</v>
      </c>
      <c r="P9921" t="s">
        <v>81</v>
      </c>
      <c r="Q9921" t="s">
        <v>3842</v>
      </c>
      <c r="R9921" t="s">
        <v>11388</v>
      </c>
    </row>
    <row r="9922" spans="1:18" x14ac:dyDescent="0.25">
      <c r="A9922" t="s">
        <v>21926</v>
      </c>
      <c r="B9922" t="s">
        <v>11398</v>
      </c>
      <c r="C9922" t="str">
        <f>HYPERLINK("https://nematode.unl.edu/thornen6.jpg")</f>
        <v>https://nematode.unl.edu/thornen6.jpg</v>
      </c>
      <c r="D9922" t="s">
        <v>16</v>
      </c>
      <c r="G9922" t="s">
        <v>28</v>
      </c>
      <c r="I9922" t="s">
        <v>19</v>
      </c>
      <c r="J9922" t="s">
        <v>11393</v>
      </c>
      <c r="M9922" t="s">
        <v>11388</v>
      </c>
      <c r="N9922" t="s">
        <v>11388</v>
      </c>
      <c r="O9922" t="s">
        <v>73</v>
      </c>
      <c r="P9922" t="s">
        <v>81</v>
      </c>
      <c r="Q9922" t="s">
        <v>3842</v>
      </c>
      <c r="R9922" t="s">
        <v>11388</v>
      </c>
    </row>
    <row r="9923" spans="1:18" x14ac:dyDescent="0.25">
      <c r="A9923" t="s">
        <v>21919</v>
      </c>
      <c r="B9923" t="s">
        <v>11399</v>
      </c>
      <c r="C9923" t="str">
        <f>HYPERLINK("https://nematode.unl.edu/thornen7.jpg")</f>
        <v>https://nematode.unl.edu/thornen7.jpg</v>
      </c>
      <c r="D9923" t="s">
        <v>16</v>
      </c>
      <c r="G9923" t="s">
        <v>34</v>
      </c>
      <c r="H9923" t="s">
        <v>18</v>
      </c>
      <c r="J9923" t="s">
        <v>11393</v>
      </c>
      <c r="M9923" t="s">
        <v>11388</v>
      </c>
      <c r="N9923" t="s">
        <v>11388</v>
      </c>
      <c r="O9923" t="s">
        <v>73</v>
      </c>
      <c r="P9923" t="s">
        <v>81</v>
      </c>
      <c r="Q9923" t="s">
        <v>3842</v>
      </c>
      <c r="R9923" t="s">
        <v>11388</v>
      </c>
    </row>
    <row r="9924" spans="1:18" x14ac:dyDescent="0.25">
      <c r="A9924" t="s">
        <v>21920</v>
      </c>
      <c r="B9924" t="s">
        <v>11400</v>
      </c>
      <c r="C9924" t="str">
        <f>HYPERLINK("https://nematode.unl.edu/thornen8.jpg")</f>
        <v>https://nematode.unl.edu/thornen8.jpg</v>
      </c>
      <c r="D9924" t="s">
        <v>16</v>
      </c>
      <c r="G9924" t="s">
        <v>34</v>
      </c>
      <c r="H9924" t="s">
        <v>18</v>
      </c>
      <c r="I9924" t="s">
        <v>41</v>
      </c>
      <c r="J9924" t="s">
        <v>11393</v>
      </c>
      <c r="M9924" t="s">
        <v>11388</v>
      </c>
      <c r="N9924" t="s">
        <v>11388</v>
      </c>
      <c r="O9924" t="s">
        <v>73</v>
      </c>
      <c r="P9924" t="s">
        <v>81</v>
      </c>
      <c r="Q9924" t="s">
        <v>3842</v>
      </c>
      <c r="R9924" t="s">
        <v>11388</v>
      </c>
    </row>
    <row r="9925" spans="1:18" x14ac:dyDescent="0.25">
      <c r="A9925" t="s">
        <v>21953</v>
      </c>
      <c r="B9925" t="s">
        <v>11416</v>
      </c>
      <c r="C9925" t="str">
        <f>HYPERLINK("https://nematode.unl.edu/thorni1.jpg")</f>
        <v>https://nematode.unl.edu/thorni1.jpg</v>
      </c>
      <c r="D9925" t="s">
        <v>16</v>
      </c>
      <c r="G9925" t="s">
        <v>34</v>
      </c>
      <c r="H9925" t="s">
        <v>18</v>
      </c>
      <c r="J9925" t="s">
        <v>11393</v>
      </c>
      <c r="M9925" t="s">
        <v>11417</v>
      </c>
      <c r="N9925" t="s">
        <v>11417</v>
      </c>
      <c r="O9925" t="s">
        <v>73</v>
      </c>
      <c r="P9925" t="s">
        <v>81</v>
      </c>
      <c r="Q9925" t="s">
        <v>11362</v>
      </c>
      <c r="R9925" t="s">
        <v>11417</v>
      </c>
    </row>
    <row r="9926" spans="1:18" x14ac:dyDescent="0.25">
      <c r="A9926" t="s">
        <v>21954</v>
      </c>
      <c r="B9926" t="s">
        <v>11418</v>
      </c>
      <c r="C9926" t="str">
        <f>HYPERLINK("https://nematode.unl.edu/thorni2.jpg")</f>
        <v>https://nematode.unl.edu/thorni2.jpg</v>
      </c>
      <c r="D9926" t="s">
        <v>16</v>
      </c>
      <c r="G9926" t="s">
        <v>28</v>
      </c>
      <c r="I9926" t="s">
        <v>19</v>
      </c>
      <c r="J9926" t="s">
        <v>11393</v>
      </c>
      <c r="M9926" t="s">
        <v>11417</v>
      </c>
      <c r="N9926" t="s">
        <v>11417</v>
      </c>
      <c r="O9926" t="s">
        <v>73</v>
      </c>
      <c r="P9926" t="s">
        <v>81</v>
      </c>
      <c r="Q9926" t="s">
        <v>11362</v>
      </c>
      <c r="R9926" t="s">
        <v>11417</v>
      </c>
    </row>
    <row r="9927" spans="1:18" x14ac:dyDescent="0.25">
      <c r="A9927" t="s">
        <v>16029</v>
      </c>
      <c r="B9927" t="s">
        <v>11710</v>
      </c>
      <c r="C9927" t="str">
        <f>HYPERLINK("https://nematode.unl.edu/thynchy1.jpg")</f>
        <v>https://nematode.unl.edu/thynchy1.jpg</v>
      </c>
      <c r="D9927" t="s">
        <v>43</v>
      </c>
      <c r="G9927" t="s">
        <v>44</v>
      </c>
      <c r="I9927" t="s">
        <v>1008</v>
      </c>
      <c r="J9927" t="s">
        <v>11393</v>
      </c>
      <c r="M9927" t="s">
        <v>11711</v>
      </c>
      <c r="N9927" t="s">
        <v>11711</v>
      </c>
      <c r="O9927" t="s">
        <v>23</v>
      </c>
      <c r="P9927" t="s">
        <v>24</v>
      </c>
      <c r="Q9927" t="s">
        <v>1071</v>
      </c>
      <c r="R9927" t="s">
        <v>1856</v>
      </c>
    </row>
    <row r="9928" spans="1:18" x14ac:dyDescent="0.25">
      <c r="A9928" t="s">
        <v>16033</v>
      </c>
      <c r="B9928" t="s">
        <v>11712</v>
      </c>
      <c r="C9928" t="str">
        <f>HYPERLINK("https://nematode.unl.edu/thynchy10.jpg")</f>
        <v>https://nematode.unl.edu/thynchy10.jpg</v>
      </c>
      <c r="D9928" t="s">
        <v>43</v>
      </c>
      <c r="G9928" t="s">
        <v>2029</v>
      </c>
      <c r="J9928" t="s">
        <v>11393</v>
      </c>
      <c r="M9928" t="s">
        <v>11711</v>
      </c>
      <c r="N9928" t="s">
        <v>11711</v>
      </c>
      <c r="O9928" t="s">
        <v>23</v>
      </c>
      <c r="P9928" t="s">
        <v>24</v>
      </c>
      <c r="Q9928" t="s">
        <v>1071</v>
      </c>
      <c r="R9928" t="s">
        <v>1856</v>
      </c>
    </row>
    <row r="9929" spans="1:18" x14ac:dyDescent="0.25">
      <c r="A9929" t="s">
        <v>16034</v>
      </c>
      <c r="B9929" t="s">
        <v>11713</v>
      </c>
      <c r="C9929" t="str">
        <f>HYPERLINK("https://nematode.unl.edu/thynchy11.jpg")</f>
        <v>https://nematode.unl.edu/thynchy11.jpg</v>
      </c>
      <c r="D9929" t="s">
        <v>43</v>
      </c>
      <c r="G9929" t="s">
        <v>28</v>
      </c>
      <c r="I9929" t="s">
        <v>41</v>
      </c>
      <c r="J9929" t="s">
        <v>11393</v>
      </c>
      <c r="M9929" t="s">
        <v>11711</v>
      </c>
      <c r="N9929" t="s">
        <v>11711</v>
      </c>
      <c r="O9929" t="s">
        <v>23</v>
      </c>
      <c r="P9929" t="s">
        <v>24</v>
      </c>
      <c r="Q9929" t="s">
        <v>1071</v>
      </c>
      <c r="R9929" t="s">
        <v>1856</v>
      </c>
    </row>
    <row r="9930" spans="1:18" x14ac:dyDescent="0.25">
      <c r="A9930" t="s">
        <v>16027</v>
      </c>
      <c r="B9930" t="s">
        <v>11714</v>
      </c>
      <c r="C9930" t="str">
        <f>HYPERLINK("https://nematode.unl.edu/thynchy2.jpg")</f>
        <v>https://nematode.unl.edu/thynchy2.jpg</v>
      </c>
      <c r="D9930" t="s">
        <v>43</v>
      </c>
      <c r="G9930" t="s">
        <v>34</v>
      </c>
      <c r="H9930" t="s">
        <v>18</v>
      </c>
      <c r="I9930" t="s">
        <v>19</v>
      </c>
      <c r="J9930" t="s">
        <v>11393</v>
      </c>
      <c r="M9930" t="s">
        <v>11711</v>
      </c>
      <c r="N9930" t="s">
        <v>11711</v>
      </c>
      <c r="O9930" t="s">
        <v>23</v>
      </c>
      <c r="P9930" t="s">
        <v>24</v>
      </c>
      <c r="Q9930" t="s">
        <v>1071</v>
      </c>
      <c r="R9930" t="s">
        <v>1856</v>
      </c>
    </row>
    <row r="9931" spans="1:18" x14ac:dyDescent="0.25">
      <c r="A9931" t="s">
        <v>16030</v>
      </c>
      <c r="B9931" t="s">
        <v>11715</v>
      </c>
      <c r="C9931" t="str">
        <f>HYPERLINK("https://nematode.unl.edu/thynchy3.jpg")</f>
        <v>https://nematode.unl.edu/thynchy3.jpg</v>
      </c>
      <c r="D9931" t="s">
        <v>43</v>
      </c>
      <c r="G9931" t="s">
        <v>53</v>
      </c>
      <c r="J9931" t="s">
        <v>11393</v>
      </c>
      <c r="M9931" t="s">
        <v>11711</v>
      </c>
      <c r="N9931" t="s">
        <v>11711</v>
      </c>
      <c r="O9931" t="s">
        <v>23</v>
      </c>
      <c r="P9931" t="s">
        <v>24</v>
      </c>
      <c r="Q9931" t="s">
        <v>1071</v>
      </c>
      <c r="R9931" t="s">
        <v>1856</v>
      </c>
    </row>
    <row r="9932" spans="1:18" x14ac:dyDescent="0.25">
      <c r="A9932" t="s">
        <v>16031</v>
      </c>
      <c r="B9932" t="s">
        <v>11716</v>
      </c>
      <c r="C9932" t="str">
        <f>HYPERLINK("https://nematode.unl.edu/thynchy4.jpg")</f>
        <v>https://nematode.unl.edu/thynchy4.jpg</v>
      </c>
      <c r="D9932" t="s">
        <v>43</v>
      </c>
      <c r="G9932" t="s">
        <v>53</v>
      </c>
      <c r="I9932" t="s">
        <v>516</v>
      </c>
      <c r="J9932" t="s">
        <v>11393</v>
      </c>
      <c r="M9932" t="s">
        <v>11711</v>
      </c>
      <c r="N9932" t="s">
        <v>11711</v>
      </c>
      <c r="O9932" t="s">
        <v>23</v>
      </c>
      <c r="P9932" t="s">
        <v>24</v>
      </c>
      <c r="Q9932" t="s">
        <v>1071</v>
      </c>
      <c r="R9932" t="s">
        <v>1856</v>
      </c>
    </row>
    <row r="9933" spans="1:18" x14ac:dyDescent="0.25">
      <c r="A9933" t="s">
        <v>16036</v>
      </c>
      <c r="B9933" t="s">
        <v>11717</v>
      </c>
      <c r="C9933" t="str">
        <f>HYPERLINK("https://nematode.unl.edu/thynchy5.jpg")</f>
        <v>https://nematode.unl.edu/thynchy5.jpg</v>
      </c>
      <c r="D9933" t="s">
        <v>43</v>
      </c>
      <c r="G9933" t="s">
        <v>51</v>
      </c>
      <c r="J9933" t="s">
        <v>11393</v>
      </c>
      <c r="M9933" t="s">
        <v>11711</v>
      </c>
      <c r="N9933" t="s">
        <v>11711</v>
      </c>
      <c r="O9933" t="s">
        <v>23</v>
      </c>
      <c r="P9933" t="s">
        <v>24</v>
      </c>
      <c r="Q9933" t="s">
        <v>1071</v>
      </c>
      <c r="R9933" t="s">
        <v>1856</v>
      </c>
    </row>
    <row r="9934" spans="1:18" x14ac:dyDescent="0.25">
      <c r="A9934" t="s">
        <v>16035</v>
      </c>
      <c r="B9934" t="s">
        <v>11718</v>
      </c>
      <c r="C9934" t="str">
        <f>HYPERLINK("https://nematode.unl.edu/thynchy6.jpg")</f>
        <v>https://nematode.unl.edu/thynchy6.jpg</v>
      </c>
      <c r="D9934" t="s">
        <v>43</v>
      </c>
      <c r="G9934" t="s">
        <v>28</v>
      </c>
      <c r="J9934" t="s">
        <v>11393</v>
      </c>
      <c r="M9934" t="s">
        <v>11711</v>
      </c>
      <c r="N9934" t="s">
        <v>11711</v>
      </c>
      <c r="O9934" t="s">
        <v>23</v>
      </c>
      <c r="P9934" t="s">
        <v>24</v>
      </c>
      <c r="Q9934" t="s">
        <v>1071</v>
      </c>
      <c r="R9934" t="s">
        <v>1856</v>
      </c>
    </row>
    <row r="9935" spans="1:18" x14ac:dyDescent="0.25">
      <c r="A9935" t="s">
        <v>16028</v>
      </c>
      <c r="B9935" t="s">
        <v>11719</v>
      </c>
      <c r="C9935" t="str">
        <f>HYPERLINK("https://nematode.unl.edu/thynchy7.jpg")</f>
        <v>https://nematode.unl.edu/thynchy7.jpg</v>
      </c>
      <c r="D9935" t="s">
        <v>43</v>
      </c>
      <c r="G9935" t="s">
        <v>34</v>
      </c>
      <c r="H9935" t="s">
        <v>18</v>
      </c>
      <c r="I9935" t="s">
        <v>41</v>
      </c>
      <c r="J9935" t="s">
        <v>11393</v>
      </c>
      <c r="M9935" t="s">
        <v>11711</v>
      </c>
      <c r="N9935" t="s">
        <v>11711</v>
      </c>
      <c r="O9935" t="s">
        <v>23</v>
      </c>
      <c r="P9935" t="s">
        <v>24</v>
      </c>
      <c r="Q9935" t="s">
        <v>1071</v>
      </c>
      <c r="R9935" t="s">
        <v>1856</v>
      </c>
    </row>
    <row r="9936" spans="1:18" x14ac:dyDescent="0.25">
      <c r="A9936" t="s">
        <v>16026</v>
      </c>
      <c r="B9936" t="s">
        <v>11720</v>
      </c>
      <c r="C9936" t="str">
        <f>HYPERLINK("https://nematode.unl.edu/thynchy8.jpg")</f>
        <v>https://nematode.unl.edu/thynchy8.jpg</v>
      </c>
      <c r="D9936" t="s">
        <v>43</v>
      </c>
      <c r="G9936" t="s">
        <v>96</v>
      </c>
      <c r="H9936" t="s">
        <v>18</v>
      </c>
      <c r="J9936" t="s">
        <v>11393</v>
      </c>
      <c r="M9936" t="s">
        <v>11711</v>
      </c>
      <c r="N9936" t="s">
        <v>11711</v>
      </c>
      <c r="O9936" t="s">
        <v>23</v>
      </c>
      <c r="P9936" t="s">
        <v>24</v>
      </c>
      <c r="Q9936" t="s">
        <v>1071</v>
      </c>
      <c r="R9936" t="s">
        <v>1856</v>
      </c>
    </row>
    <row r="9937" spans="1:18" x14ac:dyDescent="0.25">
      <c r="A9937" t="s">
        <v>16032</v>
      </c>
      <c r="B9937" t="s">
        <v>11721</v>
      </c>
      <c r="C9937" t="str">
        <f>HYPERLINK("https://nematode.unl.edu/thynchy9.jpg")</f>
        <v>https://nematode.unl.edu/thynchy9.jpg</v>
      </c>
      <c r="D9937" t="s">
        <v>43</v>
      </c>
      <c r="G9937" t="s">
        <v>53</v>
      </c>
      <c r="J9937" t="s">
        <v>11393</v>
      </c>
      <c r="M9937" t="s">
        <v>11711</v>
      </c>
      <c r="N9937" t="s">
        <v>11711</v>
      </c>
      <c r="O9937" t="s">
        <v>23</v>
      </c>
      <c r="P9937" t="s">
        <v>24</v>
      </c>
      <c r="Q9937" t="s">
        <v>1071</v>
      </c>
      <c r="R9937" t="s">
        <v>1856</v>
      </c>
    </row>
    <row r="9938" spans="1:18" x14ac:dyDescent="0.25">
      <c r="A9938" t="s">
        <v>19805</v>
      </c>
      <c r="B9938" t="s">
        <v>614</v>
      </c>
      <c r="C9938" t="str">
        <f>HYPERLINK("https://nematode.unl.edu/tnothuscmp.jpg")</f>
        <v>https://nematode.unl.edu/tnothuscmp.jpg</v>
      </c>
      <c r="G9938" t="s">
        <v>108</v>
      </c>
      <c r="M9938" t="s">
        <v>597</v>
      </c>
      <c r="N9938" t="s">
        <v>598</v>
      </c>
      <c r="O9938" t="s">
        <v>73</v>
      </c>
      <c r="P9938" t="s">
        <v>81</v>
      </c>
      <c r="Q9938" t="s">
        <v>489</v>
      </c>
      <c r="R9938" t="s">
        <v>490</v>
      </c>
    </row>
    <row r="9939" spans="1:18" x14ac:dyDescent="0.25">
      <c r="A9939" t="s">
        <v>16047</v>
      </c>
      <c r="B9939" t="s">
        <v>11731</v>
      </c>
      <c r="C9939" t="str">
        <f>HYPERLINK("https://nematode.unl.edu/tnudlip.jpg")</f>
        <v>https://nematode.unl.edu/tnudlip.jpg</v>
      </c>
      <c r="D9939" t="s">
        <v>77</v>
      </c>
      <c r="G9939" t="s">
        <v>34</v>
      </c>
      <c r="H9939" t="s">
        <v>18</v>
      </c>
      <c r="L9939" t="s">
        <v>727</v>
      </c>
      <c r="M9939" t="s">
        <v>11732</v>
      </c>
      <c r="N9939" t="s">
        <v>11732</v>
      </c>
      <c r="O9939" t="s">
        <v>23</v>
      </c>
      <c r="P9939" t="s">
        <v>24</v>
      </c>
      <c r="Q9939" t="s">
        <v>1071</v>
      </c>
      <c r="R9939" t="s">
        <v>1856</v>
      </c>
    </row>
    <row r="9940" spans="1:18" x14ac:dyDescent="0.25">
      <c r="A9940" t="s">
        <v>22770</v>
      </c>
      <c r="B9940" t="s">
        <v>1803</v>
      </c>
      <c r="C9940" t="str">
        <f>HYPERLINK("https://nematode.unl.edu/trip1.jpg")</f>
        <v>https://nematode.unl.edu/trip1.jpg</v>
      </c>
      <c r="D9940" t="s">
        <v>77</v>
      </c>
      <c r="G9940" t="s">
        <v>44</v>
      </c>
      <c r="I9940" t="s">
        <v>91</v>
      </c>
      <c r="J9940" t="s">
        <v>20</v>
      </c>
      <c r="L9940" t="s">
        <v>85</v>
      </c>
      <c r="M9940" t="s">
        <v>1804</v>
      </c>
      <c r="N9940" t="s">
        <v>1805</v>
      </c>
      <c r="O9940" t="s">
        <v>73</v>
      </c>
      <c r="P9940" t="s">
        <v>1806</v>
      </c>
      <c r="Q9940" t="s">
        <v>1807</v>
      </c>
      <c r="R9940" t="s">
        <v>1808</v>
      </c>
    </row>
    <row r="9941" spans="1:18" x14ac:dyDescent="0.25">
      <c r="A9941" t="s">
        <v>22771</v>
      </c>
      <c r="B9941" t="s">
        <v>1809</v>
      </c>
      <c r="C9941" t="str">
        <f>HYPERLINK("https://nematode.unl.edu/trip10.jpg")</f>
        <v>https://nematode.unl.edu/trip10.jpg</v>
      </c>
      <c r="D9941" t="s">
        <v>43</v>
      </c>
      <c r="G9941" t="s">
        <v>44</v>
      </c>
      <c r="I9941" t="s">
        <v>45</v>
      </c>
      <c r="J9941" t="s">
        <v>20</v>
      </c>
      <c r="L9941" t="s">
        <v>173</v>
      </c>
      <c r="M9941" t="s">
        <v>1804</v>
      </c>
      <c r="N9941" t="s">
        <v>1805</v>
      </c>
      <c r="O9941" t="s">
        <v>73</v>
      </c>
      <c r="P9941" t="s">
        <v>1806</v>
      </c>
      <c r="Q9941" t="s">
        <v>1807</v>
      </c>
      <c r="R9941" t="s">
        <v>1808</v>
      </c>
    </row>
    <row r="9942" spans="1:18" x14ac:dyDescent="0.25">
      <c r="A9942" t="s">
        <v>22780</v>
      </c>
      <c r="B9942" t="s">
        <v>1810</v>
      </c>
      <c r="C9942" t="str">
        <f>HYPERLINK("https://nematode.unl.edu/trip11.jpg")</f>
        <v>https://nematode.unl.edu/trip11.jpg</v>
      </c>
      <c r="D9942" t="s">
        <v>43</v>
      </c>
      <c r="G9942" t="s">
        <v>28</v>
      </c>
      <c r="L9942" t="s">
        <v>220</v>
      </c>
      <c r="M9942" t="s">
        <v>1804</v>
      </c>
      <c r="N9942" t="s">
        <v>1805</v>
      </c>
      <c r="O9942" t="s">
        <v>73</v>
      </c>
      <c r="P9942" t="s">
        <v>1806</v>
      </c>
      <c r="Q9942" t="s">
        <v>1807</v>
      </c>
      <c r="R9942" t="s">
        <v>1808</v>
      </c>
    </row>
    <row r="9943" spans="1:18" x14ac:dyDescent="0.25">
      <c r="A9943" t="s">
        <v>22790</v>
      </c>
      <c r="B9943" t="s">
        <v>1811</v>
      </c>
      <c r="C9943" t="str">
        <f>HYPERLINK("https://nematode.unl.edu/trip12.jpg")</f>
        <v>https://nematode.unl.edu/trip12.jpg</v>
      </c>
      <c r="D9943" t="s">
        <v>43</v>
      </c>
      <c r="G9943" t="s">
        <v>51</v>
      </c>
      <c r="I9943" t="s">
        <v>19</v>
      </c>
      <c r="J9943" t="s">
        <v>20</v>
      </c>
      <c r="L9943" t="s">
        <v>138</v>
      </c>
      <c r="M9943" t="s">
        <v>1804</v>
      </c>
      <c r="N9943" t="s">
        <v>1805</v>
      </c>
      <c r="O9943" t="s">
        <v>73</v>
      </c>
      <c r="P9943" t="s">
        <v>1806</v>
      </c>
      <c r="Q9943" t="s">
        <v>1807</v>
      </c>
      <c r="R9943" t="s">
        <v>1808</v>
      </c>
    </row>
    <row r="9944" spans="1:18" x14ac:dyDescent="0.25">
      <c r="A9944" t="s">
        <v>22758</v>
      </c>
      <c r="B9944" t="s">
        <v>1812</v>
      </c>
      <c r="C9944" t="str">
        <f>HYPERLINK("https://nematode.unl.edu/trip13.jpg")</f>
        <v>https://nematode.unl.edu/trip13.jpg</v>
      </c>
      <c r="D9944" t="s">
        <v>43</v>
      </c>
      <c r="G9944" t="s">
        <v>17</v>
      </c>
      <c r="H9944" t="s">
        <v>18</v>
      </c>
      <c r="J9944" t="s">
        <v>20</v>
      </c>
      <c r="L9944" t="s">
        <v>173</v>
      </c>
      <c r="M9944" t="s">
        <v>1804</v>
      </c>
      <c r="N9944" t="s">
        <v>1805</v>
      </c>
      <c r="O9944" t="s">
        <v>73</v>
      </c>
      <c r="P9944" t="s">
        <v>1806</v>
      </c>
      <c r="Q9944" t="s">
        <v>1807</v>
      </c>
      <c r="R9944" t="s">
        <v>1808</v>
      </c>
    </row>
    <row r="9945" spans="1:18" x14ac:dyDescent="0.25">
      <c r="A9945" t="s">
        <v>22759</v>
      </c>
      <c r="B9945" t="s">
        <v>1813</v>
      </c>
      <c r="C9945" t="str">
        <f>HYPERLINK("https://nematode.unl.edu/trip14.jpg")</f>
        <v>https://nematode.unl.edu/trip14.jpg</v>
      </c>
      <c r="D9945" t="s">
        <v>43</v>
      </c>
      <c r="G9945" t="s">
        <v>34</v>
      </c>
      <c r="H9945" t="s">
        <v>18</v>
      </c>
      <c r="J9945" t="s">
        <v>20</v>
      </c>
      <c r="L9945" t="s">
        <v>138</v>
      </c>
      <c r="M9945" t="s">
        <v>1804</v>
      </c>
      <c r="N9945" t="s">
        <v>1805</v>
      </c>
      <c r="O9945" t="s">
        <v>73</v>
      </c>
      <c r="P9945" t="s">
        <v>1806</v>
      </c>
      <c r="Q9945" t="s">
        <v>1807</v>
      </c>
      <c r="R9945" t="s">
        <v>1808</v>
      </c>
    </row>
    <row r="9946" spans="1:18" x14ac:dyDescent="0.25">
      <c r="A9946" t="s">
        <v>22772</v>
      </c>
      <c r="B9946" t="s">
        <v>1814</v>
      </c>
      <c r="C9946" t="str">
        <f>HYPERLINK("https://nematode.unl.edu/trip15.jpg")</f>
        <v>https://nematode.unl.edu/trip15.jpg</v>
      </c>
      <c r="D9946" t="s">
        <v>77</v>
      </c>
      <c r="G9946" t="s">
        <v>44</v>
      </c>
      <c r="I9946" t="s">
        <v>45</v>
      </c>
      <c r="M9946" t="s">
        <v>1804</v>
      </c>
      <c r="N9946" t="s">
        <v>1805</v>
      </c>
      <c r="O9946" t="s">
        <v>73</v>
      </c>
      <c r="P9946" t="s">
        <v>1806</v>
      </c>
      <c r="Q9946" t="s">
        <v>1807</v>
      </c>
      <c r="R9946" t="s">
        <v>1808</v>
      </c>
    </row>
    <row r="9947" spans="1:18" x14ac:dyDescent="0.25">
      <c r="A9947" t="s">
        <v>22774</v>
      </c>
      <c r="B9947" t="s">
        <v>1815</v>
      </c>
      <c r="C9947" t="str">
        <f>HYPERLINK("https://nematode.unl.edu/trip16.jpg")</f>
        <v>https://nematode.unl.edu/trip16.jpg</v>
      </c>
      <c r="D9947" t="s">
        <v>77</v>
      </c>
      <c r="G9947" t="s">
        <v>1816</v>
      </c>
      <c r="J9947" t="s">
        <v>20</v>
      </c>
      <c r="M9947" t="s">
        <v>1804</v>
      </c>
      <c r="N9947" t="s">
        <v>1805</v>
      </c>
      <c r="O9947" t="s">
        <v>73</v>
      </c>
      <c r="P9947" t="s">
        <v>1806</v>
      </c>
      <c r="Q9947" t="s">
        <v>1807</v>
      </c>
      <c r="R9947" t="s">
        <v>1808</v>
      </c>
    </row>
    <row r="9948" spans="1:18" x14ac:dyDescent="0.25">
      <c r="A9948" t="s">
        <v>22781</v>
      </c>
      <c r="B9948" t="s">
        <v>1817</v>
      </c>
      <c r="C9948" t="str">
        <f>HYPERLINK("https://nematode.unl.edu/trip17.jpg")</f>
        <v>https://nematode.unl.edu/trip17.jpg</v>
      </c>
      <c r="D9948" t="s">
        <v>77</v>
      </c>
      <c r="G9948" t="s">
        <v>28</v>
      </c>
      <c r="I9948" t="s">
        <v>137</v>
      </c>
      <c r="M9948" t="s">
        <v>1804</v>
      </c>
      <c r="N9948" t="s">
        <v>1805</v>
      </c>
      <c r="O9948" t="s">
        <v>73</v>
      </c>
      <c r="P9948" t="s">
        <v>1806</v>
      </c>
      <c r="Q9948" t="s">
        <v>1807</v>
      </c>
      <c r="R9948" t="s">
        <v>1808</v>
      </c>
    </row>
    <row r="9949" spans="1:18" x14ac:dyDescent="0.25">
      <c r="A9949" t="s">
        <v>22777</v>
      </c>
      <c r="B9949" t="s">
        <v>1818</v>
      </c>
      <c r="C9949" t="str">
        <f>HYPERLINK("https://nematode.unl.edu/trip18.jpg")</f>
        <v>https://nematode.unl.edu/trip18.jpg</v>
      </c>
      <c r="G9949" t="s">
        <v>230</v>
      </c>
      <c r="I9949" t="s">
        <v>19</v>
      </c>
      <c r="J9949" t="s">
        <v>20</v>
      </c>
      <c r="M9949" t="s">
        <v>1804</v>
      </c>
      <c r="N9949" t="s">
        <v>1805</v>
      </c>
      <c r="O9949" t="s">
        <v>73</v>
      </c>
      <c r="P9949" t="s">
        <v>1806</v>
      </c>
      <c r="Q9949" t="s">
        <v>1807</v>
      </c>
      <c r="R9949" t="s">
        <v>1808</v>
      </c>
    </row>
    <row r="9950" spans="1:18" x14ac:dyDescent="0.25">
      <c r="A9950" t="s">
        <v>22760</v>
      </c>
      <c r="B9950" t="s">
        <v>1819</v>
      </c>
      <c r="C9950" t="str">
        <f>HYPERLINK("https://nematode.unl.edu/trip2.jpg")</f>
        <v>https://nematode.unl.edu/trip2.jpg</v>
      </c>
      <c r="D9950" t="s">
        <v>77</v>
      </c>
      <c r="G9950" t="s">
        <v>34</v>
      </c>
      <c r="H9950" t="s">
        <v>18</v>
      </c>
      <c r="I9950" t="s">
        <v>45</v>
      </c>
      <c r="J9950" t="s">
        <v>20</v>
      </c>
      <c r="L9950" t="s">
        <v>85</v>
      </c>
      <c r="M9950" t="s">
        <v>1804</v>
      </c>
      <c r="N9950" t="s">
        <v>1805</v>
      </c>
      <c r="O9950" t="s">
        <v>73</v>
      </c>
      <c r="P9950" t="s">
        <v>1806</v>
      </c>
      <c r="Q9950" t="s">
        <v>1807</v>
      </c>
      <c r="R9950" t="s">
        <v>1808</v>
      </c>
    </row>
    <row r="9951" spans="1:18" x14ac:dyDescent="0.25">
      <c r="A9951" t="s">
        <v>22782</v>
      </c>
      <c r="B9951" t="s">
        <v>1820</v>
      </c>
      <c r="C9951" t="str">
        <f>HYPERLINK("https://nematode.unl.edu/trip3.jpg")</f>
        <v>https://nematode.unl.edu/trip3.jpg</v>
      </c>
      <c r="D9951" t="s">
        <v>77</v>
      </c>
      <c r="G9951" t="s">
        <v>28</v>
      </c>
      <c r="I9951" t="s">
        <v>45</v>
      </c>
      <c r="M9951" t="s">
        <v>1804</v>
      </c>
      <c r="N9951" t="s">
        <v>1805</v>
      </c>
      <c r="O9951" t="s">
        <v>73</v>
      </c>
      <c r="P9951" t="s">
        <v>1806</v>
      </c>
      <c r="Q9951" t="s">
        <v>1807</v>
      </c>
      <c r="R9951" t="s">
        <v>1808</v>
      </c>
    </row>
    <row r="9952" spans="1:18" x14ac:dyDescent="0.25">
      <c r="A9952" t="s">
        <v>22775</v>
      </c>
      <c r="B9952" t="s">
        <v>1821</v>
      </c>
      <c r="C9952" t="str">
        <f>HYPERLINK("https://nematode.unl.edu/trip4.jpg")</f>
        <v>https://nematode.unl.edu/trip4.jpg</v>
      </c>
      <c r="D9952" t="s">
        <v>77</v>
      </c>
      <c r="G9952" t="s">
        <v>112</v>
      </c>
      <c r="J9952" t="s">
        <v>20</v>
      </c>
      <c r="M9952" t="s">
        <v>1804</v>
      </c>
      <c r="N9952" t="s">
        <v>1805</v>
      </c>
      <c r="O9952" t="s">
        <v>73</v>
      </c>
      <c r="P9952" t="s">
        <v>1806</v>
      </c>
      <c r="Q9952" t="s">
        <v>1807</v>
      </c>
      <c r="R9952" t="s">
        <v>1808</v>
      </c>
    </row>
    <row r="9953" spans="1:18" x14ac:dyDescent="0.25">
      <c r="A9953" t="s">
        <v>22761</v>
      </c>
      <c r="B9953" t="s">
        <v>1822</v>
      </c>
      <c r="C9953" t="str">
        <f>HYPERLINK("https://nematode.unl.edu/trip5.jpg")</f>
        <v>https://nematode.unl.edu/trip5.jpg</v>
      </c>
      <c r="D9953" t="s">
        <v>77</v>
      </c>
      <c r="G9953" t="s">
        <v>34</v>
      </c>
      <c r="H9953" t="s">
        <v>18</v>
      </c>
      <c r="M9953" t="s">
        <v>1804</v>
      </c>
      <c r="N9953" t="s">
        <v>1805</v>
      </c>
      <c r="O9953" t="s">
        <v>73</v>
      </c>
      <c r="P9953" t="s">
        <v>1806</v>
      </c>
      <c r="Q9953" t="s">
        <v>1807</v>
      </c>
      <c r="R9953" t="s">
        <v>1808</v>
      </c>
    </row>
    <row r="9954" spans="1:18" x14ac:dyDescent="0.25">
      <c r="A9954" t="s">
        <v>22768</v>
      </c>
      <c r="B9954" t="s">
        <v>1823</v>
      </c>
      <c r="C9954" t="str">
        <f>HYPERLINK("https://nematode.unl.edu/trip6.jpg")</f>
        <v>https://nematode.unl.edu/trip6.jpg</v>
      </c>
      <c r="D9954" t="s">
        <v>77</v>
      </c>
      <c r="G9954" t="s">
        <v>87</v>
      </c>
      <c r="I9954" t="s">
        <v>19</v>
      </c>
      <c r="M9954" t="s">
        <v>1804</v>
      </c>
      <c r="N9954" t="s">
        <v>1805</v>
      </c>
      <c r="O9954" t="s">
        <v>73</v>
      </c>
      <c r="P9954" t="s">
        <v>1806</v>
      </c>
      <c r="Q9954" t="s">
        <v>1807</v>
      </c>
      <c r="R9954" t="s">
        <v>1808</v>
      </c>
    </row>
    <row r="9955" spans="1:18" x14ac:dyDescent="0.25">
      <c r="A9955" t="s">
        <v>22776</v>
      </c>
      <c r="B9955" t="s">
        <v>1824</v>
      </c>
      <c r="C9955" t="str">
        <f>HYPERLINK("https://nematode.unl.edu/trip7.jpg")</f>
        <v>https://nematode.unl.edu/trip7.jpg</v>
      </c>
      <c r="D9955" t="s">
        <v>77</v>
      </c>
      <c r="G9955" t="s">
        <v>112</v>
      </c>
      <c r="I9955" t="s">
        <v>19</v>
      </c>
      <c r="J9955" t="s">
        <v>20</v>
      </c>
      <c r="L9955" t="s">
        <v>85</v>
      </c>
      <c r="M9955" t="s">
        <v>1804</v>
      </c>
      <c r="N9955" t="s">
        <v>1805</v>
      </c>
      <c r="O9955" t="s">
        <v>73</v>
      </c>
      <c r="P9955" t="s">
        <v>1806</v>
      </c>
      <c r="Q9955" t="s">
        <v>1807</v>
      </c>
      <c r="R9955" t="s">
        <v>1808</v>
      </c>
    </row>
    <row r="9956" spans="1:18" x14ac:dyDescent="0.25">
      <c r="A9956" t="s">
        <v>22762</v>
      </c>
      <c r="B9956" t="s">
        <v>1825</v>
      </c>
      <c r="C9956" t="str">
        <f>HYPERLINK("https://nematode.unl.edu/trip8.jpg")</f>
        <v>https://nematode.unl.edu/trip8.jpg</v>
      </c>
      <c r="D9956" t="s">
        <v>77</v>
      </c>
      <c r="G9956" t="s">
        <v>34</v>
      </c>
      <c r="H9956" t="s">
        <v>18</v>
      </c>
      <c r="M9956" t="s">
        <v>1804</v>
      </c>
      <c r="N9956" t="s">
        <v>1805</v>
      </c>
      <c r="O9956" t="s">
        <v>73</v>
      </c>
      <c r="P9956" t="s">
        <v>1806</v>
      </c>
      <c r="Q9956" t="s">
        <v>1807</v>
      </c>
      <c r="R9956" t="s">
        <v>1808</v>
      </c>
    </row>
    <row r="9957" spans="1:18" x14ac:dyDescent="0.25">
      <c r="A9957" t="s">
        <v>22778</v>
      </c>
      <c r="B9957" t="s">
        <v>1826</v>
      </c>
      <c r="C9957" t="str">
        <f>HYPERLINK("https://nematode.unl.edu/trip9.jpg")</f>
        <v>https://nematode.unl.edu/trip9.jpg</v>
      </c>
      <c r="D9957" t="s">
        <v>77</v>
      </c>
      <c r="G9957" t="s">
        <v>230</v>
      </c>
      <c r="I9957" t="s">
        <v>19</v>
      </c>
      <c r="M9957" t="s">
        <v>1804</v>
      </c>
      <c r="N9957" t="s">
        <v>1805</v>
      </c>
      <c r="O9957" t="s">
        <v>73</v>
      </c>
      <c r="P9957" t="s">
        <v>1806</v>
      </c>
      <c r="Q9957" t="s">
        <v>1807</v>
      </c>
      <c r="R9957" t="s">
        <v>1808</v>
      </c>
    </row>
    <row r="9958" spans="1:18" x14ac:dyDescent="0.25">
      <c r="A9958" t="s">
        <v>22826</v>
      </c>
      <c r="B9958" t="s">
        <v>11471</v>
      </c>
      <c r="C9958" t="str">
        <f>HYPERLINK("https://nematode.unl.edu/tripaf1.jpg")</f>
        <v>https://nematode.unl.edu/tripaf1.jpg</v>
      </c>
      <c r="D9958" t="s">
        <v>43</v>
      </c>
      <c r="G9958" t="s">
        <v>34</v>
      </c>
      <c r="H9958" t="s">
        <v>18</v>
      </c>
      <c r="J9958" t="s">
        <v>20</v>
      </c>
      <c r="L9958" t="s">
        <v>35</v>
      </c>
      <c r="M9958" t="s">
        <v>11472</v>
      </c>
      <c r="N9958" t="s">
        <v>11472</v>
      </c>
      <c r="O9958" t="s">
        <v>73</v>
      </c>
      <c r="P9958" t="s">
        <v>1806</v>
      </c>
      <c r="Q9958" t="s">
        <v>11439</v>
      </c>
      <c r="R9958" t="s">
        <v>11438</v>
      </c>
    </row>
    <row r="9959" spans="1:18" x14ac:dyDescent="0.25">
      <c r="A9959" t="s">
        <v>22827</v>
      </c>
      <c r="B9959" t="s">
        <v>11473</v>
      </c>
      <c r="C9959" t="str">
        <f>HYPERLINK("https://nematode.unl.edu/tripaf2.jpg")</f>
        <v>https://nematode.unl.edu/tripaf2.jpg</v>
      </c>
      <c r="D9959" t="s">
        <v>43</v>
      </c>
      <c r="G9959" t="s">
        <v>87</v>
      </c>
      <c r="I9959" t="s">
        <v>19</v>
      </c>
      <c r="J9959" t="s">
        <v>20</v>
      </c>
      <c r="L9959" t="s">
        <v>35</v>
      </c>
      <c r="M9959" t="s">
        <v>11472</v>
      </c>
      <c r="N9959" t="s">
        <v>11472</v>
      </c>
      <c r="O9959" t="s">
        <v>73</v>
      </c>
      <c r="P9959" t="s">
        <v>1806</v>
      </c>
      <c r="Q9959" t="s">
        <v>11439</v>
      </c>
      <c r="R9959" t="s">
        <v>11438</v>
      </c>
    </row>
    <row r="9960" spans="1:18" x14ac:dyDescent="0.25">
      <c r="A9960" t="s">
        <v>22829</v>
      </c>
      <c r="B9960" t="s">
        <v>11474</v>
      </c>
      <c r="C9960" t="str">
        <f>HYPERLINK("https://nematode.unl.edu/tripaf3.jpg")</f>
        <v>https://nematode.unl.edu/tripaf3.jpg</v>
      </c>
      <c r="D9960" t="s">
        <v>43</v>
      </c>
      <c r="G9960" t="s">
        <v>51</v>
      </c>
      <c r="I9960" t="s">
        <v>19</v>
      </c>
      <c r="L9960" t="s">
        <v>35</v>
      </c>
      <c r="M9960" t="s">
        <v>11472</v>
      </c>
      <c r="N9960" t="s">
        <v>11472</v>
      </c>
      <c r="O9960" t="s">
        <v>73</v>
      </c>
      <c r="P9960" t="s">
        <v>1806</v>
      </c>
      <c r="Q9960" t="s">
        <v>11439</v>
      </c>
      <c r="R9960" t="s">
        <v>11438</v>
      </c>
    </row>
    <row r="9961" spans="1:18" x14ac:dyDescent="0.25">
      <c r="A9961" t="s">
        <v>22828</v>
      </c>
      <c r="B9961" t="s">
        <v>11475</v>
      </c>
      <c r="C9961" t="str">
        <f>HYPERLINK("https://nematode.unl.edu/tripaf4.jpg")</f>
        <v>https://nematode.unl.edu/tripaf4.jpg</v>
      </c>
      <c r="D9961" t="s">
        <v>43</v>
      </c>
      <c r="G9961" t="s">
        <v>28</v>
      </c>
      <c r="I9961" t="s">
        <v>19</v>
      </c>
      <c r="J9961" t="s">
        <v>20</v>
      </c>
      <c r="L9961" t="s">
        <v>85</v>
      </c>
      <c r="M9961" t="s">
        <v>11472</v>
      </c>
      <c r="N9961" t="s">
        <v>11472</v>
      </c>
      <c r="O9961" t="s">
        <v>73</v>
      </c>
      <c r="P9961" t="s">
        <v>1806</v>
      </c>
      <c r="Q9961" t="s">
        <v>11439</v>
      </c>
      <c r="R9961" t="s">
        <v>11438</v>
      </c>
    </row>
    <row r="9962" spans="1:18" x14ac:dyDescent="0.25">
      <c r="A9962" t="s">
        <v>22794</v>
      </c>
      <c r="B9962" t="s">
        <v>11436</v>
      </c>
      <c r="C9962" t="str">
        <f>HYPERLINK("https://nematode.unl.edu/tripasnake1.jpg")</f>
        <v>https://nematode.unl.edu/tripasnake1.jpg</v>
      </c>
      <c r="D9962" t="s">
        <v>43</v>
      </c>
      <c r="G9962" t="s">
        <v>96</v>
      </c>
      <c r="H9962" t="s">
        <v>18</v>
      </c>
      <c r="I9962" t="s">
        <v>19</v>
      </c>
      <c r="J9962" t="s">
        <v>9168</v>
      </c>
      <c r="L9962" t="s">
        <v>11437</v>
      </c>
      <c r="M9962" t="s">
        <v>11438</v>
      </c>
      <c r="N9962" t="s">
        <v>11438</v>
      </c>
      <c r="O9962" t="s">
        <v>73</v>
      </c>
      <c r="P9962" t="s">
        <v>1806</v>
      </c>
      <c r="Q9962" t="s">
        <v>11439</v>
      </c>
      <c r="R9962" t="s">
        <v>11438</v>
      </c>
    </row>
    <row r="9963" spans="1:18" x14ac:dyDescent="0.25">
      <c r="A9963" t="s">
        <v>22822</v>
      </c>
      <c r="B9963" t="s">
        <v>11440</v>
      </c>
      <c r="C9963" t="str">
        <f>HYPERLINK("https://nematode.unl.edu/tripasnake2.jpg")</f>
        <v>https://nematode.unl.edu/tripasnake2.jpg</v>
      </c>
      <c r="D9963" t="s">
        <v>43</v>
      </c>
      <c r="G9963" t="s">
        <v>51</v>
      </c>
      <c r="I9963" t="s">
        <v>19</v>
      </c>
      <c r="J9963" t="s">
        <v>9168</v>
      </c>
      <c r="L9963" t="s">
        <v>11437</v>
      </c>
      <c r="M9963" t="s">
        <v>11438</v>
      </c>
      <c r="N9963" t="s">
        <v>11438</v>
      </c>
      <c r="O9963" t="s">
        <v>73</v>
      </c>
      <c r="P9963" t="s">
        <v>1806</v>
      </c>
      <c r="Q9963" t="s">
        <v>11439</v>
      </c>
      <c r="R9963" t="s">
        <v>11438</v>
      </c>
    </row>
    <row r="9964" spans="1:18" x14ac:dyDescent="0.25">
      <c r="A9964" t="s">
        <v>22815</v>
      </c>
      <c r="B9964" t="s">
        <v>11441</v>
      </c>
      <c r="C9964" t="str">
        <f>HYPERLINK("https://nematode.unl.edu/tripasnake3.jpg")</f>
        <v>https://nematode.unl.edu/tripasnake3.jpg</v>
      </c>
      <c r="D9964" t="s">
        <v>43</v>
      </c>
      <c r="G9964" t="s">
        <v>28</v>
      </c>
      <c r="I9964" t="s">
        <v>19</v>
      </c>
      <c r="J9964" t="s">
        <v>9168</v>
      </c>
      <c r="L9964" t="s">
        <v>11437</v>
      </c>
      <c r="M9964" t="s">
        <v>11438</v>
      </c>
      <c r="N9964" t="s">
        <v>11438</v>
      </c>
      <c r="O9964" t="s">
        <v>73</v>
      </c>
      <c r="P9964" t="s">
        <v>1806</v>
      </c>
      <c r="Q9964" t="s">
        <v>11439</v>
      </c>
      <c r="R9964" t="s">
        <v>11438</v>
      </c>
    </row>
    <row r="9965" spans="1:18" x14ac:dyDescent="0.25">
      <c r="A9965" t="s">
        <v>22796</v>
      </c>
      <c r="B9965" t="s">
        <v>11442</v>
      </c>
      <c r="C9965" t="str">
        <f>HYPERLINK("https://nematode.unl.edu/tripasnake4.jpg")</f>
        <v>https://nematode.unl.edu/tripasnake4.jpg</v>
      </c>
      <c r="D9965" t="s">
        <v>43</v>
      </c>
      <c r="G9965" t="s">
        <v>34</v>
      </c>
      <c r="H9965" t="s">
        <v>18</v>
      </c>
      <c r="I9965" t="s">
        <v>529</v>
      </c>
      <c r="J9965" t="s">
        <v>9168</v>
      </c>
      <c r="L9965" t="s">
        <v>11437</v>
      </c>
      <c r="M9965" t="s">
        <v>11438</v>
      </c>
      <c r="N9965" t="s">
        <v>11438</v>
      </c>
      <c r="O9965" t="s">
        <v>73</v>
      </c>
      <c r="P9965" t="s">
        <v>1806</v>
      </c>
      <c r="Q9965" t="s">
        <v>11439</v>
      </c>
      <c r="R9965" t="s">
        <v>11438</v>
      </c>
    </row>
    <row r="9966" spans="1:18" x14ac:dyDescent="0.25">
      <c r="A9966" t="s">
        <v>22795</v>
      </c>
      <c r="B9966" t="s">
        <v>11443</v>
      </c>
      <c r="C9966" t="str">
        <f>HYPERLINK("https://nematode.unl.edu/tripasnake5.jpg")</f>
        <v>https://nematode.unl.edu/tripasnake5.jpg</v>
      </c>
      <c r="D9966" t="s">
        <v>43</v>
      </c>
      <c r="G9966" t="s">
        <v>17</v>
      </c>
      <c r="H9966" t="s">
        <v>18</v>
      </c>
      <c r="I9966" t="s">
        <v>41</v>
      </c>
      <c r="J9966" t="s">
        <v>9168</v>
      </c>
      <c r="L9966" t="s">
        <v>11437</v>
      </c>
      <c r="M9966" t="s">
        <v>11438</v>
      </c>
      <c r="N9966" t="s">
        <v>11438</v>
      </c>
      <c r="O9966" t="s">
        <v>73</v>
      </c>
      <c r="P9966" t="s">
        <v>1806</v>
      </c>
      <c r="Q9966" t="s">
        <v>11439</v>
      </c>
      <c r="R9966" t="s">
        <v>11438</v>
      </c>
    </row>
    <row r="9967" spans="1:18" x14ac:dyDescent="0.25">
      <c r="A9967" t="s">
        <v>22823</v>
      </c>
      <c r="B9967" t="s">
        <v>11444</v>
      </c>
      <c r="C9967" t="str">
        <f>HYPERLINK("https://nematode.unl.edu/tripasnake6.jpg")</f>
        <v>https://nematode.unl.edu/tripasnake6.jpg</v>
      </c>
      <c r="D9967" t="s">
        <v>43</v>
      </c>
      <c r="G9967" t="s">
        <v>51</v>
      </c>
      <c r="J9967" t="s">
        <v>9168</v>
      </c>
      <c r="L9967" t="s">
        <v>11437</v>
      </c>
      <c r="M9967" t="s">
        <v>11438</v>
      </c>
      <c r="N9967" t="s">
        <v>11438</v>
      </c>
      <c r="O9967" t="s">
        <v>73</v>
      </c>
      <c r="P9967" t="s">
        <v>1806</v>
      </c>
      <c r="Q9967" t="s">
        <v>11439</v>
      </c>
      <c r="R9967" t="s">
        <v>11438</v>
      </c>
    </row>
    <row r="9968" spans="1:18" x14ac:dyDescent="0.25">
      <c r="A9968" t="s">
        <v>22816</v>
      </c>
      <c r="B9968" t="s">
        <v>11445</v>
      </c>
      <c r="C9968" t="str">
        <f>HYPERLINK("https://nematode.unl.edu/tripasnake7.jpg")</f>
        <v>https://nematode.unl.edu/tripasnake7.jpg</v>
      </c>
      <c r="D9968" t="s">
        <v>43</v>
      </c>
      <c r="G9968" t="s">
        <v>28</v>
      </c>
      <c r="I9968" t="s">
        <v>41</v>
      </c>
      <c r="J9968" t="s">
        <v>9168</v>
      </c>
      <c r="L9968" t="s">
        <v>11437</v>
      </c>
      <c r="M9968" t="s">
        <v>11438</v>
      </c>
      <c r="N9968" t="s">
        <v>11438</v>
      </c>
      <c r="O9968" t="s">
        <v>73</v>
      </c>
      <c r="P9968" t="s">
        <v>1806</v>
      </c>
      <c r="Q9968" t="s">
        <v>11439</v>
      </c>
      <c r="R9968" t="s">
        <v>11438</v>
      </c>
    </row>
    <row r="9969" spans="1:18" x14ac:dyDescent="0.25">
      <c r="A9969" t="s">
        <v>22783</v>
      </c>
      <c r="B9969" t="s">
        <v>1827</v>
      </c>
      <c r="C9969" t="str">
        <f>HYPERLINK("https://nematode.unl.edu/tripcmp.jpg")</f>
        <v>https://nematode.unl.edu/tripcmp.jpg</v>
      </c>
      <c r="D9969" t="s">
        <v>77</v>
      </c>
      <c r="G9969" t="s">
        <v>28</v>
      </c>
      <c r="M9969" t="s">
        <v>1804</v>
      </c>
      <c r="N9969" t="s">
        <v>1805</v>
      </c>
      <c r="O9969" t="s">
        <v>73</v>
      </c>
      <c r="P9969" t="s">
        <v>1806</v>
      </c>
      <c r="Q9969" t="s">
        <v>1807</v>
      </c>
      <c r="R9969" t="s">
        <v>1808</v>
      </c>
    </row>
    <row r="9970" spans="1:18" x14ac:dyDescent="0.25">
      <c r="A9970" t="s">
        <v>22773</v>
      </c>
      <c r="B9970" t="s">
        <v>1828</v>
      </c>
      <c r="C9970" t="str">
        <f>HYPERLINK("https://nematode.unl.edu/tripro1.jpg")</f>
        <v>https://nematode.unl.edu/tripro1.jpg</v>
      </c>
      <c r="D9970" t="s">
        <v>77</v>
      </c>
      <c r="G9970" t="s">
        <v>44</v>
      </c>
      <c r="I9970" t="s">
        <v>91</v>
      </c>
      <c r="J9970" t="s">
        <v>46</v>
      </c>
      <c r="L9970" t="s">
        <v>85</v>
      </c>
      <c r="M9970" t="s">
        <v>1804</v>
      </c>
      <c r="N9970" t="s">
        <v>1805</v>
      </c>
      <c r="O9970" t="s">
        <v>73</v>
      </c>
      <c r="P9970" t="s">
        <v>1806</v>
      </c>
      <c r="Q9970" t="s">
        <v>1807</v>
      </c>
      <c r="R9970" t="s">
        <v>1808</v>
      </c>
    </row>
    <row r="9971" spans="1:18" x14ac:dyDescent="0.25">
      <c r="A9971" t="s">
        <v>22784</v>
      </c>
      <c r="B9971" t="s">
        <v>1829</v>
      </c>
      <c r="C9971" t="str">
        <f>HYPERLINK("https://nematode.unl.edu/tripro10.jpg")</f>
        <v>https://nematode.unl.edu/tripro10.jpg</v>
      </c>
      <c r="D9971" t="s">
        <v>43</v>
      </c>
      <c r="G9971" t="s">
        <v>28</v>
      </c>
      <c r="I9971" t="s">
        <v>19</v>
      </c>
      <c r="J9971" t="s">
        <v>46</v>
      </c>
      <c r="M9971" t="s">
        <v>1804</v>
      </c>
      <c r="N9971" t="s">
        <v>1805</v>
      </c>
      <c r="O9971" t="s">
        <v>73</v>
      </c>
      <c r="P9971" t="s">
        <v>1806</v>
      </c>
      <c r="Q9971" t="s">
        <v>1807</v>
      </c>
      <c r="R9971" t="s">
        <v>1808</v>
      </c>
    </row>
    <row r="9972" spans="1:18" x14ac:dyDescent="0.25">
      <c r="A9972" t="s">
        <v>22791</v>
      </c>
      <c r="B9972" t="s">
        <v>1830</v>
      </c>
      <c r="C9972" t="str">
        <f>HYPERLINK("https://nematode.unl.edu/tripro11.jpg")</f>
        <v>https://nematode.unl.edu/tripro11.jpg</v>
      </c>
      <c r="D9972" t="s">
        <v>43</v>
      </c>
      <c r="G9972" t="s">
        <v>51</v>
      </c>
      <c r="I9972" t="s">
        <v>19</v>
      </c>
      <c r="J9972" t="s">
        <v>46</v>
      </c>
      <c r="M9972" t="s">
        <v>1804</v>
      </c>
      <c r="N9972" t="s">
        <v>1805</v>
      </c>
      <c r="O9972" t="s">
        <v>73</v>
      </c>
      <c r="P9972" t="s">
        <v>1806</v>
      </c>
      <c r="Q9972" t="s">
        <v>1807</v>
      </c>
      <c r="R9972" t="s">
        <v>1808</v>
      </c>
    </row>
    <row r="9973" spans="1:18" x14ac:dyDescent="0.25">
      <c r="A9973" t="s">
        <v>22763</v>
      </c>
      <c r="B9973" t="s">
        <v>1831</v>
      </c>
      <c r="C9973" t="str">
        <f>HYPERLINK("https://nematode.unl.edu/tripro12.jpg")</f>
        <v>https://nematode.unl.edu/tripro12.jpg</v>
      </c>
      <c r="D9973" t="s">
        <v>43</v>
      </c>
      <c r="G9973" t="s">
        <v>34</v>
      </c>
      <c r="H9973" t="s">
        <v>18</v>
      </c>
      <c r="J9973" t="s">
        <v>46</v>
      </c>
      <c r="M9973" t="s">
        <v>1804</v>
      </c>
      <c r="N9973" t="s">
        <v>1805</v>
      </c>
      <c r="O9973" t="s">
        <v>73</v>
      </c>
      <c r="P9973" t="s">
        <v>1806</v>
      </c>
      <c r="Q9973" t="s">
        <v>1807</v>
      </c>
      <c r="R9973" t="s">
        <v>1808</v>
      </c>
    </row>
    <row r="9974" spans="1:18" x14ac:dyDescent="0.25">
      <c r="A9974" t="s">
        <v>22764</v>
      </c>
      <c r="B9974" t="s">
        <v>1832</v>
      </c>
      <c r="C9974" t="str">
        <f>HYPERLINK("https://nematode.unl.edu/tripro13.jpg")</f>
        <v>https://nematode.unl.edu/tripro13.jpg</v>
      </c>
      <c r="D9974" t="s">
        <v>43</v>
      </c>
      <c r="G9974" t="s">
        <v>34</v>
      </c>
      <c r="H9974" t="s">
        <v>18</v>
      </c>
      <c r="J9974" t="s">
        <v>46</v>
      </c>
      <c r="M9974" t="s">
        <v>1804</v>
      </c>
      <c r="N9974" t="s">
        <v>1805</v>
      </c>
      <c r="O9974" t="s">
        <v>73</v>
      </c>
      <c r="P9974" t="s">
        <v>1806</v>
      </c>
      <c r="Q9974" t="s">
        <v>1807</v>
      </c>
      <c r="R9974" t="s">
        <v>1808</v>
      </c>
    </row>
    <row r="9975" spans="1:18" x14ac:dyDescent="0.25">
      <c r="A9975" t="s">
        <v>22785</v>
      </c>
      <c r="B9975" t="s">
        <v>1833</v>
      </c>
      <c r="C9975" t="str">
        <f>HYPERLINK("https://nematode.unl.edu/tripro14.jpg")</f>
        <v>https://nematode.unl.edu/tripro14.jpg</v>
      </c>
      <c r="D9975" t="s">
        <v>16</v>
      </c>
      <c r="G9975" t="s">
        <v>28</v>
      </c>
      <c r="I9975" t="s">
        <v>19</v>
      </c>
      <c r="J9975" t="s">
        <v>46</v>
      </c>
      <c r="M9975" t="s">
        <v>1804</v>
      </c>
      <c r="N9975" t="s">
        <v>1805</v>
      </c>
      <c r="O9975" t="s">
        <v>73</v>
      </c>
      <c r="P9975" t="s">
        <v>1806</v>
      </c>
      <c r="Q9975" t="s">
        <v>1807</v>
      </c>
      <c r="R9975" t="s">
        <v>1808</v>
      </c>
    </row>
    <row r="9976" spans="1:18" x14ac:dyDescent="0.25">
      <c r="A9976" t="s">
        <v>22786</v>
      </c>
      <c r="B9976" t="s">
        <v>1834</v>
      </c>
      <c r="C9976" t="str">
        <f>HYPERLINK("https://nematode.unl.edu/tripro15.jpg")</f>
        <v>https://nematode.unl.edu/tripro15.jpg</v>
      </c>
      <c r="D9976" t="s">
        <v>16</v>
      </c>
      <c r="G9976" t="s">
        <v>28</v>
      </c>
      <c r="I9976" t="s">
        <v>19</v>
      </c>
      <c r="J9976" t="s">
        <v>46</v>
      </c>
      <c r="M9976" t="s">
        <v>1804</v>
      </c>
      <c r="N9976" t="s">
        <v>1805</v>
      </c>
      <c r="O9976" t="s">
        <v>73</v>
      </c>
      <c r="P9976" t="s">
        <v>1806</v>
      </c>
      <c r="Q9976" t="s">
        <v>1807</v>
      </c>
      <c r="R9976" t="s">
        <v>1808</v>
      </c>
    </row>
    <row r="9977" spans="1:18" x14ac:dyDescent="0.25">
      <c r="A9977" t="s">
        <v>22792</v>
      </c>
      <c r="B9977" t="s">
        <v>1835</v>
      </c>
      <c r="C9977" t="str">
        <f>HYPERLINK("https://nematode.unl.edu/tripro16.jpg")</f>
        <v>https://nematode.unl.edu/tripro16.jpg</v>
      </c>
      <c r="D9977" t="s">
        <v>43</v>
      </c>
      <c r="G9977" t="s">
        <v>51</v>
      </c>
      <c r="I9977" t="s">
        <v>19</v>
      </c>
      <c r="J9977" t="s">
        <v>46</v>
      </c>
      <c r="M9977" t="s">
        <v>1804</v>
      </c>
      <c r="N9977" t="s">
        <v>1805</v>
      </c>
      <c r="O9977" t="s">
        <v>73</v>
      </c>
      <c r="P9977" t="s">
        <v>1806</v>
      </c>
      <c r="Q9977" t="s">
        <v>1807</v>
      </c>
      <c r="R9977" t="s">
        <v>1808</v>
      </c>
    </row>
    <row r="9978" spans="1:18" x14ac:dyDescent="0.25">
      <c r="A9978" t="s">
        <v>22787</v>
      </c>
      <c r="B9978" t="s">
        <v>1836</v>
      </c>
      <c r="C9978" t="str">
        <f>HYPERLINK("https://nematode.unl.edu/tripro2.jpg")</f>
        <v>https://nematode.unl.edu/tripro2.jpg</v>
      </c>
      <c r="D9978" t="s">
        <v>77</v>
      </c>
      <c r="G9978" t="s">
        <v>28</v>
      </c>
      <c r="I9978" t="s">
        <v>137</v>
      </c>
      <c r="J9978" t="s">
        <v>46</v>
      </c>
      <c r="M9978" t="s">
        <v>1804</v>
      </c>
      <c r="N9978" t="s">
        <v>1805</v>
      </c>
      <c r="O9978" t="s">
        <v>73</v>
      </c>
      <c r="P9978" t="s">
        <v>1806</v>
      </c>
      <c r="Q9978" t="s">
        <v>1807</v>
      </c>
      <c r="R9978" t="s">
        <v>1808</v>
      </c>
    </row>
    <row r="9979" spans="1:18" x14ac:dyDescent="0.25">
      <c r="A9979" t="s">
        <v>22765</v>
      </c>
      <c r="B9979" t="s">
        <v>1837</v>
      </c>
      <c r="C9979" t="str">
        <f>HYPERLINK("https://nematode.unl.edu/tripro3.jpg")</f>
        <v>https://nematode.unl.edu/tripro3.jpg</v>
      </c>
      <c r="D9979" t="s">
        <v>77</v>
      </c>
      <c r="G9979" t="s">
        <v>34</v>
      </c>
      <c r="H9979" t="s">
        <v>18</v>
      </c>
      <c r="J9979" t="s">
        <v>46</v>
      </c>
      <c r="M9979" t="s">
        <v>1804</v>
      </c>
      <c r="N9979" t="s">
        <v>1805</v>
      </c>
      <c r="O9979" t="s">
        <v>73</v>
      </c>
      <c r="P9979" t="s">
        <v>1806</v>
      </c>
      <c r="Q9979" t="s">
        <v>1807</v>
      </c>
      <c r="R9979" t="s">
        <v>1808</v>
      </c>
    </row>
    <row r="9980" spans="1:18" x14ac:dyDescent="0.25">
      <c r="A9980" t="s">
        <v>22766</v>
      </c>
      <c r="B9980" t="s">
        <v>1838</v>
      </c>
      <c r="C9980" t="str">
        <f>HYPERLINK("https://nematode.unl.edu/tripro4.jpg")</f>
        <v>https://nematode.unl.edu/tripro4.jpg</v>
      </c>
      <c r="D9980" t="s">
        <v>77</v>
      </c>
      <c r="G9980" t="s">
        <v>34</v>
      </c>
      <c r="H9980" t="s">
        <v>18</v>
      </c>
      <c r="J9980" t="s">
        <v>46</v>
      </c>
      <c r="L9980" t="s">
        <v>85</v>
      </c>
      <c r="M9980" t="s">
        <v>1804</v>
      </c>
      <c r="N9980" t="s">
        <v>1805</v>
      </c>
      <c r="O9980" t="s">
        <v>73</v>
      </c>
      <c r="P9980" t="s">
        <v>1806</v>
      </c>
      <c r="Q9980" t="s">
        <v>1807</v>
      </c>
      <c r="R9980" t="s">
        <v>1808</v>
      </c>
    </row>
    <row r="9981" spans="1:18" x14ac:dyDescent="0.25">
      <c r="A9981" t="s">
        <v>22788</v>
      </c>
      <c r="B9981" t="s">
        <v>1839</v>
      </c>
      <c r="C9981" t="str">
        <f>HYPERLINK("https://nematode.unl.edu/tripro5.jpg")</f>
        <v>https://nematode.unl.edu/tripro5.jpg</v>
      </c>
      <c r="D9981" t="s">
        <v>77</v>
      </c>
      <c r="G9981" t="s">
        <v>28</v>
      </c>
      <c r="I9981" t="s">
        <v>19</v>
      </c>
      <c r="J9981" t="s">
        <v>46</v>
      </c>
      <c r="L9981" t="s">
        <v>85</v>
      </c>
      <c r="M9981" t="s">
        <v>1804</v>
      </c>
      <c r="N9981" t="s">
        <v>1805</v>
      </c>
      <c r="O9981" t="s">
        <v>73</v>
      </c>
      <c r="P9981" t="s">
        <v>1806</v>
      </c>
      <c r="Q9981" t="s">
        <v>1807</v>
      </c>
      <c r="R9981" t="s">
        <v>1808</v>
      </c>
    </row>
    <row r="9982" spans="1:18" x14ac:dyDescent="0.25">
      <c r="A9982" t="s">
        <v>22789</v>
      </c>
      <c r="B9982" t="s">
        <v>1840</v>
      </c>
      <c r="C9982" t="str">
        <f>HYPERLINK("https://nematode.unl.edu/tripro6.jpg")</f>
        <v>https://nematode.unl.edu/tripro6.jpg</v>
      </c>
      <c r="D9982" t="s">
        <v>43</v>
      </c>
      <c r="G9982" t="s">
        <v>28</v>
      </c>
      <c r="J9982" t="s">
        <v>46</v>
      </c>
      <c r="M9982" t="s">
        <v>1804</v>
      </c>
      <c r="N9982" t="s">
        <v>1805</v>
      </c>
      <c r="O9982" t="s">
        <v>73</v>
      </c>
      <c r="P9982" t="s">
        <v>1806</v>
      </c>
      <c r="Q9982" t="s">
        <v>1807</v>
      </c>
      <c r="R9982" t="s">
        <v>1808</v>
      </c>
    </row>
    <row r="9983" spans="1:18" x14ac:dyDescent="0.25">
      <c r="A9983" t="s">
        <v>22769</v>
      </c>
      <c r="B9983" t="s">
        <v>1841</v>
      </c>
      <c r="C9983" t="str">
        <f>HYPERLINK("https://nematode.unl.edu/tripro7.jpg")</f>
        <v>https://nematode.unl.edu/tripro7.jpg</v>
      </c>
      <c r="D9983" t="s">
        <v>43</v>
      </c>
      <c r="G9983" t="s">
        <v>87</v>
      </c>
      <c r="J9983" t="s">
        <v>46</v>
      </c>
      <c r="L9983" t="s">
        <v>85</v>
      </c>
      <c r="M9983" t="s">
        <v>1804</v>
      </c>
      <c r="N9983" t="s">
        <v>1805</v>
      </c>
      <c r="O9983" t="s">
        <v>73</v>
      </c>
      <c r="P9983" t="s">
        <v>1806</v>
      </c>
      <c r="Q9983" t="s">
        <v>1807</v>
      </c>
      <c r="R9983" t="s">
        <v>1808</v>
      </c>
    </row>
    <row r="9984" spans="1:18" x14ac:dyDescent="0.25">
      <c r="A9984" t="s">
        <v>22767</v>
      </c>
      <c r="B9984" t="s">
        <v>1842</v>
      </c>
      <c r="C9984" t="str">
        <f>HYPERLINK("https://nematode.unl.edu/tripro8.jpg")</f>
        <v>https://nematode.unl.edu/tripro8.jpg</v>
      </c>
      <c r="D9984" t="s">
        <v>43</v>
      </c>
      <c r="G9984" t="s">
        <v>34</v>
      </c>
      <c r="H9984" t="s">
        <v>18</v>
      </c>
      <c r="I9984" t="s">
        <v>19</v>
      </c>
      <c r="J9984" t="s">
        <v>46</v>
      </c>
      <c r="L9984" t="s">
        <v>85</v>
      </c>
      <c r="M9984" t="s">
        <v>1804</v>
      </c>
      <c r="N9984" t="s">
        <v>1805</v>
      </c>
      <c r="O9984" t="s">
        <v>73</v>
      </c>
      <c r="P9984" t="s">
        <v>1806</v>
      </c>
      <c r="Q9984" t="s">
        <v>1807</v>
      </c>
      <c r="R9984" t="s">
        <v>1808</v>
      </c>
    </row>
    <row r="9985" spans="1:18" x14ac:dyDescent="0.25">
      <c r="A9985" t="s">
        <v>22793</v>
      </c>
      <c r="B9985" t="s">
        <v>1843</v>
      </c>
      <c r="C9985" t="str">
        <f>HYPERLINK("https://nematode.unl.edu/tripro9.jpg")</f>
        <v>https://nematode.unl.edu/tripro9.jpg</v>
      </c>
      <c r="D9985" t="s">
        <v>43</v>
      </c>
      <c r="G9985" t="s">
        <v>51</v>
      </c>
      <c r="J9985" t="s">
        <v>46</v>
      </c>
      <c r="M9985" t="s">
        <v>1804</v>
      </c>
      <c r="N9985" t="s">
        <v>1805</v>
      </c>
      <c r="O9985" t="s">
        <v>73</v>
      </c>
      <c r="P9985" t="s">
        <v>1806</v>
      </c>
      <c r="Q9985" t="s">
        <v>1807</v>
      </c>
      <c r="R9985" t="s">
        <v>1808</v>
      </c>
    </row>
    <row r="9986" spans="1:18" x14ac:dyDescent="0.25">
      <c r="A9986" t="s">
        <v>22797</v>
      </c>
      <c r="B9986" t="s">
        <v>11446</v>
      </c>
      <c r="C9986" t="str">
        <f>HYPERLINK("https://nematode.unl.edu/trips1.jpg")</f>
        <v>https://nematode.unl.edu/trips1.jpg</v>
      </c>
      <c r="D9986" t="s">
        <v>43</v>
      </c>
      <c r="G9986" t="s">
        <v>34</v>
      </c>
      <c r="H9986" t="s">
        <v>18</v>
      </c>
      <c r="J9986" t="s">
        <v>46</v>
      </c>
      <c r="L9986" t="s">
        <v>1707</v>
      </c>
      <c r="M9986" t="s">
        <v>11438</v>
      </c>
      <c r="N9986" t="s">
        <v>11438</v>
      </c>
      <c r="O9986" t="s">
        <v>73</v>
      </c>
      <c r="P9986" t="s">
        <v>1806</v>
      </c>
      <c r="Q9986" t="s">
        <v>11439</v>
      </c>
      <c r="R9986" t="s">
        <v>11438</v>
      </c>
    </row>
    <row r="9987" spans="1:18" x14ac:dyDescent="0.25">
      <c r="A9987" t="s">
        <v>22817</v>
      </c>
      <c r="B9987" t="s">
        <v>11447</v>
      </c>
      <c r="C9987" t="str">
        <f>HYPERLINK("https://nematode.unl.edu/trips2.jpg")</f>
        <v>https://nematode.unl.edu/trips2.jpg</v>
      </c>
      <c r="D9987" t="s">
        <v>77</v>
      </c>
      <c r="G9987" t="s">
        <v>28</v>
      </c>
      <c r="I9987" t="s">
        <v>4020</v>
      </c>
      <c r="J9987" t="s">
        <v>46</v>
      </c>
      <c r="L9987" t="s">
        <v>1707</v>
      </c>
      <c r="M9987" t="s">
        <v>11438</v>
      </c>
      <c r="N9987" t="s">
        <v>11438</v>
      </c>
      <c r="O9987" t="s">
        <v>73</v>
      </c>
      <c r="P9987" t="s">
        <v>1806</v>
      </c>
      <c r="Q9987" t="s">
        <v>11439</v>
      </c>
      <c r="R9987" t="s">
        <v>11438</v>
      </c>
    </row>
    <row r="9988" spans="1:18" x14ac:dyDescent="0.25">
      <c r="A9988" t="s">
        <v>22779</v>
      </c>
      <c r="B9988" s="1" t="s">
        <v>1844</v>
      </c>
      <c r="C9988" s="1" t="str">
        <f>HYPERLINK("https://nematode.unl.edu/tripsupp.jpg")</f>
        <v>https://nematode.unl.edu/tripsupp.jpg</v>
      </c>
      <c r="D9988" t="s">
        <v>77</v>
      </c>
      <c r="G9988" t="s">
        <v>230</v>
      </c>
      <c r="M9988" t="s">
        <v>1804</v>
      </c>
      <c r="N9988" t="s">
        <v>1805</v>
      </c>
      <c r="O9988" t="s">
        <v>73</v>
      </c>
      <c r="P9988" t="s">
        <v>1806</v>
      </c>
      <c r="Q9988" t="s">
        <v>1807</v>
      </c>
      <c r="R9988" t="s">
        <v>1808</v>
      </c>
    </row>
    <row r="9989" spans="1:18" x14ac:dyDescent="0.25">
      <c r="A9989" t="s">
        <v>22798</v>
      </c>
      <c r="B9989" t="s">
        <v>11448</v>
      </c>
      <c r="C9989" t="str">
        <f>HYPERLINK("https://nematode.unl.edu/tripy1.jpg")</f>
        <v>https://nematode.unl.edu/tripy1.jpg</v>
      </c>
      <c r="D9989" t="s">
        <v>43</v>
      </c>
      <c r="G9989" t="s">
        <v>34</v>
      </c>
      <c r="H9989" t="s">
        <v>18</v>
      </c>
      <c r="I9989" t="s">
        <v>41</v>
      </c>
      <c r="J9989" t="s">
        <v>46</v>
      </c>
      <c r="L9989" t="s">
        <v>1707</v>
      </c>
      <c r="M9989" t="s">
        <v>11438</v>
      </c>
      <c r="N9989" t="s">
        <v>11438</v>
      </c>
      <c r="O9989" t="s">
        <v>73</v>
      </c>
      <c r="P9989" t="s">
        <v>1806</v>
      </c>
      <c r="Q9989" t="s">
        <v>11439</v>
      </c>
      <c r="R9989" t="s">
        <v>11438</v>
      </c>
    </row>
    <row r="9990" spans="1:18" x14ac:dyDescent="0.25">
      <c r="A9990" t="s">
        <v>22813</v>
      </c>
      <c r="B9990" t="s">
        <v>11449</v>
      </c>
      <c r="C9990" t="str">
        <f>HYPERLINK("https://nematode.unl.edu/tripy2.jpg")</f>
        <v>https://nematode.unl.edu/tripy2.jpg</v>
      </c>
      <c r="D9990" t="s">
        <v>43</v>
      </c>
      <c r="G9990" t="s">
        <v>205</v>
      </c>
      <c r="J9990" t="s">
        <v>46</v>
      </c>
      <c r="L9990" t="s">
        <v>1707</v>
      </c>
      <c r="M9990" t="s">
        <v>11438</v>
      </c>
      <c r="N9990" t="s">
        <v>11438</v>
      </c>
      <c r="O9990" t="s">
        <v>73</v>
      </c>
      <c r="P9990" t="s">
        <v>1806</v>
      </c>
      <c r="Q9990" t="s">
        <v>11439</v>
      </c>
      <c r="R9990" t="s">
        <v>11438</v>
      </c>
    </row>
    <row r="9991" spans="1:18" x14ac:dyDescent="0.25">
      <c r="A9991" t="s">
        <v>22809</v>
      </c>
      <c r="B9991" t="s">
        <v>11450</v>
      </c>
      <c r="C9991" t="str">
        <f>HYPERLINK("https://nematode.unl.edu/tripyho1.jpg")</f>
        <v>https://nematode.unl.edu/tripyho1.jpg</v>
      </c>
      <c r="D9991" t="s">
        <v>77</v>
      </c>
      <c r="G9991" t="s">
        <v>44</v>
      </c>
      <c r="I9991" t="s">
        <v>45</v>
      </c>
      <c r="J9991" t="s">
        <v>116</v>
      </c>
      <c r="L9991" t="s">
        <v>85</v>
      </c>
      <c r="M9991" t="s">
        <v>11438</v>
      </c>
      <c r="N9991" t="s">
        <v>11438</v>
      </c>
      <c r="O9991" t="s">
        <v>73</v>
      </c>
      <c r="P9991" t="s">
        <v>1806</v>
      </c>
      <c r="Q9991" t="s">
        <v>11439</v>
      </c>
      <c r="R9991" t="s">
        <v>11438</v>
      </c>
    </row>
    <row r="9992" spans="1:18" x14ac:dyDescent="0.25">
      <c r="A9992" t="s">
        <v>22799</v>
      </c>
      <c r="B9992" t="s">
        <v>11451</v>
      </c>
      <c r="C9992" t="str">
        <f>HYPERLINK("https://nematode.unl.edu/tripyho2.jpg")</f>
        <v>https://nematode.unl.edu/tripyho2.jpg</v>
      </c>
      <c r="D9992" t="s">
        <v>77</v>
      </c>
      <c r="G9992" t="s">
        <v>34</v>
      </c>
      <c r="H9992" t="s">
        <v>18</v>
      </c>
      <c r="I9992" t="s">
        <v>137</v>
      </c>
      <c r="J9992" t="s">
        <v>116</v>
      </c>
      <c r="L9992" t="s">
        <v>85</v>
      </c>
      <c r="M9992" t="s">
        <v>11438</v>
      </c>
      <c r="N9992" t="s">
        <v>11438</v>
      </c>
      <c r="O9992" t="s">
        <v>73</v>
      </c>
      <c r="P9992" t="s">
        <v>1806</v>
      </c>
      <c r="Q9992" t="s">
        <v>11439</v>
      </c>
      <c r="R9992" t="s">
        <v>11438</v>
      </c>
    </row>
    <row r="9993" spans="1:18" x14ac:dyDescent="0.25">
      <c r="A9993" t="s">
        <v>22818</v>
      </c>
      <c r="B9993" t="s">
        <v>11452</v>
      </c>
      <c r="C9993" t="str">
        <f>HYPERLINK("https://nematode.unl.edu/tripyho3.jpg")</f>
        <v>https://nematode.unl.edu/tripyho3.jpg</v>
      </c>
      <c r="D9993" t="s">
        <v>77</v>
      </c>
      <c r="G9993" t="s">
        <v>28</v>
      </c>
      <c r="I9993" t="s">
        <v>137</v>
      </c>
      <c r="J9993" t="s">
        <v>116</v>
      </c>
      <c r="L9993" t="s">
        <v>85</v>
      </c>
      <c r="M9993" t="s">
        <v>11438</v>
      </c>
      <c r="N9993" t="s">
        <v>11438</v>
      </c>
      <c r="O9993" t="s">
        <v>73</v>
      </c>
      <c r="P9993" t="s">
        <v>1806</v>
      </c>
      <c r="Q9993" t="s">
        <v>11439</v>
      </c>
      <c r="R9993" t="s">
        <v>11438</v>
      </c>
    </row>
    <row r="9994" spans="1:18" x14ac:dyDescent="0.25">
      <c r="A9994" t="s">
        <v>22800</v>
      </c>
      <c r="B9994" t="s">
        <v>11453</v>
      </c>
      <c r="C9994" t="str">
        <f>HYPERLINK("https://nematode.unl.edu/tripyho4.jpg")</f>
        <v>https://nematode.unl.edu/tripyho4.jpg</v>
      </c>
      <c r="D9994" t="s">
        <v>77</v>
      </c>
      <c r="G9994" t="s">
        <v>34</v>
      </c>
      <c r="H9994" t="s">
        <v>18</v>
      </c>
      <c r="I9994" t="s">
        <v>19</v>
      </c>
      <c r="J9994" t="s">
        <v>116</v>
      </c>
      <c r="L9994" t="s">
        <v>85</v>
      </c>
      <c r="M9994" t="s">
        <v>11438</v>
      </c>
      <c r="N9994" t="s">
        <v>11438</v>
      </c>
      <c r="O9994" t="s">
        <v>73</v>
      </c>
      <c r="P9994" t="s">
        <v>1806</v>
      </c>
      <c r="Q9994" t="s">
        <v>11439</v>
      </c>
      <c r="R9994" t="s">
        <v>11438</v>
      </c>
    </row>
    <row r="9995" spans="1:18" x14ac:dyDescent="0.25">
      <c r="A9995" t="s">
        <v>22814</v>
      </c>
      <c r="B9995" t="s">
        <v>11454</v>
      </c>
      <c r="C9995" t="str">
        <f>HYPERLINK("https://nematode.unl.edu/tripyho5.jpg")</f>
        <v>https://nematode.unl.edu/tripyho5.jpg</v>
      </c>
      <c r="D9995" t="s">
        <v>77</v>
      </c>
      <c r="G9995" t="s">
        <v>112</v>
      </c>
      <c r="I9995" t="s">
        <v>19</v>
      </c>
      <c r="J9995" t="s">
        <v>116</v>
      </c>
      <c r="L9995" t="s">
        <v>85</v>
      </c>
      <c r="M9995" t="s">
        <v>11438</v>
      </c>
      <c r="N9995" t="s">
        <v>11438</v>
      </c>
      <c r="O9995" t="s">
        <v>73</v>
      </c>
      <c r="P9995" t="s">
        <v>1806</v>
      </c>
      <c r="Q9995" t="s">
        <v>11439</v>
      </c>
      <c r="R9995" t="s">
        <v>11438</v>
      </c>
    </row>
    <row r="9996" spans="1:18" x14ac:dyDescent="0.25">
      <c r="A9996" t="s">
        <v>22801</v>
      </c>
      <c r="B9996" t="s">
        <v>11455</v>
      </c>
      <c r="C9996" t="str">
        <f>HYPERLINK("https://nematode.unl.edu/tripyl1.jpg")</f>
        <v>https://nematode.unl.edu/tripyl1.jpg</v>
      </c>
      <c r="D9996" t="s">
        <v>43</v>
      </c>
      <c r="G9996" t="s">
        <v>34</v>
      </c>
      <c r="H9996" t="s">
        <v>18</v>
      </c>
      <c r="M9996" t="s">
        <v>11438</v>
      </c>
      <c r="N9996" t="s">
        <v>11438</v>
      </c>
      <c r="O9996" t="s">
        <v>73</v>
      </c>
      <c r="P9996" t="s">
        <v>1806</v>
      </c>
      <c r="Q9996" t="s">
        <v>11439</v>
      </c>
      <c r="R9996" t="s">
        <v>11438</v>
      </c>
    </row>
    <row r="9997" spans="1:18" x14ac:dyDescent="0.25">
      <c r="A9997" t="s">
        <v>22746</v>
      </c>
      <c r="B9997" t="s">
        <v>11419</v>
      </c>
      <c r="C9997" t="str">
        <f>HYPERLINK("https://nematode.unl.edu/trob1.jpg")</f>
        <v>https://nematode.unl.edu/trob1.jpg</v>
      </c>
      <c r="D9997" t="s">
        <v>16</v>
      </c>
      <c r="G9997" t="s">
        <v>44</v>
      </c>
      <c r="I9997" t="s">
        <v>45</v>
      </c>
      <c r="J9997" t="s">
        <v>20</v>
      </c>
      <c r="L9997" t="s">
        <v>85</v>
      </c>
      <c r="M9997" t="s">
        <v>1805</v>
      </c>
      <c r="N9997" t="s">
        <v>1805</v>
      </c>
      <c r="O9997" t="s">
        <v>73</v>
      </c>
      <c r="P9997" t="s">
        <v>1806</v>
      </c>
      <c r="Q9997" t="s">
        <v>1807</v>
      </c>
      <c r="R9997" t="s">
        <v>1808</v>
      </c>
    </row>
    <row r="9998" spans="1:18" x14ac:dyDescent="0.25">
      <c r="A9998" t="s">
        <v>22741</v>
      </c>
      <c r="B9998" t="s">
        <v>11420</v>
      </c>
      <c r="C9998" t="str">
        <f>HYPERLINK("https://nematode.unl.edu/trob10.jpg")</f>
        <v>https://nematode.unl.edu/trob10.jpg</v>
      </c>
      <c r="G9998" t="s">
        <v>96</v>
      </c>
      <c r="H9998" t="s">
        <v>18</v>
      </c>
      <c r="I9998" t="s">
        <v>19</v>
      </c>
      <c r="J9998" t="s">
        <v>20</v>
      </c>
      <c r="L9998" t="s">
        <v>64</v>
      </c>
      <c r="M9998" t="s">
        <v>1805</v>
      </c>
      <c r="N9998" t="s">
        <v>1805</v>
      </c>
      <c r="O9998" t="s">
        <v>73</v>
      </c>
      <c r="P9998" t="s">
        <v>1806</v>
      </c>
      <c r="Q9998" t="s">
        <v>1807</v>
      </c>
      <c r="R9998" t="s">
        <v>1808</v>
      </c>
    </row>
    <row r="9999" spans="1:18" x14ac:dyDescent="0.25">
      <c r="A9999" t="s">
        <v>22747</v>
      </c>
      <c r="B9999" t="s">
        <v>11421</v>
      </c>
      <c r="C9999" t="str">
        <f>HYPERLINK("https://nematode.unl.edu/trob11.jpg")</f>
        <v>https://nematode.unl.edu/trob11.jpg</v>
      </c>
      <c r="D9999" t="s">
        <v>43</v>
      </c>
      <c r="G9999" t="s">
        <v>44</v>
      </c>
      <c r="I9999" t="s">
        <v>91</v>
      </c>
      <c r="J9999" t="s">
        <v>20</v>
      </c>
      <c r="L9999" t="s">
        <v>78</v>
      </c>
      <c r="M9999" t="s">
        <v>1805</v>
      </c>
      <c r="N9999" t="s">
        <v>1805</v>
      </c>
      <c r="O9999" t="s">
        <v>73</v>
      </c>
      <c r="P9999" t="s">
        <v>1806</v>
      </c>
      <c r="Q9999" t="s">
        <v>1807</v>
      </c>
      <c r="R9999" t="s">
        <v>1808</v>
      </c>
    </row>
    <row r="10000" spans="1:18" x14ac:dyDescent="0.25">
      <c r="A10000" t="s">
        <v>22752</v>
      </c>
      <c r="B10000" t="s">
        <v>11422</v>
      </c>
      <c r="C10000" t="str">
        <f>HYPERLINK("https://nematode.unl.edu/trob12.jpg")</f>
        <v>https://nematode.unl.edu/trob12.jpg</v>
      </c>
      <c r="D10000" t="s">
        <v>43</v>
      </c>
      <c r="G10000" t="s">
        <v>28</v>
      </c>
      <c r="J10000" t="s">
        <v>46</v>
      </c>
      <c r="L10000" t="s">
        <v>105</v>
      </c>
      <c r="M10000" t="s">
        <v>1805</v>
      </c>
      <c r="N10000" t="s">
        <v>1805</v>
      </c>
      <c r="O10000" t="s">
        <v>73</v>
      </c>
      <c r="P10000" t="s">
        <v>1806</v>
      </c>
      <c r="Q10000" t="s">
        <v>1807</v>
      </c>
      <c r="R10000" t="s">
        <v>1808</v>
      </c>
    </row>
    <row r="10001" spans="1:18" x14ac:dyDescent="0.25">
      <c r="A10001" t="s">
        <v>22756</v>
      </c>
      <c r="B10001" t="s">
        <v>11423</v>
      </c>
      <c r="C10001" t="str">
        <f>HYPERLINK("https://nematode.unl.edu/trob13.jpg")</f>
        <v>https://nematode.unl.edu/trob13.jpg</v>
      </c>
      <c r="D10001" t="s">
        <v>43</v>
      </c>
      <c r="G10001" t="s">
        <v>51</v>
      </c>
      <c r="I10001" t="s">
        <v>19</v>
      </c>
      <c r="J10001" t="s">
        <v>46</v>
      </c>
      <c r="L10001" t="s">
        <v>105</v>
      </c>
      <c r="M10001" t="s">
        <v>1805</v>
      </c>
      <c r="N10001" t="s">
        <v>1805</v>
      </c>
      <c r="O10001" t="s">
        <v>73</v>
      </c>
      <c r="P10001" t="s">
        <v>1806</v>
      </c>
      <c r="Q10001" t="s">
        <v>1807</v>
      </c>
      <c r="R10001" t="s">
        <v>1808</v>
      </c>
    </row>
    <row r="10002" spans="1:18" x14ac:dyDescent="0.25">
      <c r="A10002" t="s">
        <v>22742</v>
      </c>
      <c r="B10002" t="s">
        <v>11424</v>
      </c>
      <c r="C10002" t="str">
        <f>HYPERLINK("https://nematode.unl.edu/trob14.jpg")</f>
        <v>https://nematode.unl.edu/trob14.jpg</v>
      </c>
      <c r="D10002" t="s">
        <v>43</v>
      </c>
      <c r="G10002" t="s">
        <v>96</v>
      </c>
      <c r="H10002" t="s">
        <v>18</v>
      </c>
      <c r="I10002" t="s">
        <v>19</v>
      </c>
      <c r="J10002" t="s">
        <v>46</v>
      </c>
      <c r="L10002" t="s">
        <v>105</v>
      </c>
      <c r="M10002" t="s">
        <v>1805</v>
      </c>
      <c r="N10002" t="s">
        <v>1805</v>
      </c>
      <c r="O10002" t="s">
        <v>73</v>
      </c>
      <c r="P10002" t="s">
        <v>1806</v>
      </c>
      <c r="Q10002" t="s">
        <v>1807</v>
      </c>
      <c r="R10002" t="s">
        <v>1808</v>
      </c>
    </row>
    <row r="10003" spans="1:18" x14ac:dyDescent="0.25">
      <c r="A10003" t="s">
        <v>22748</v>
      </c>
      <c r="B10003" t="s">
        <v>11425</v>
      </c>
      <c r="C10003" t="str">
        <f>HYPERLINK("https://nematode.unl.edu/trob15.jpg")</f>
        <v>https://nematode.unl.edu/trob15.jpg</v>
      </c>
      <c r="D10003" t="s">
        <v>77</v>
      </c>
      <c r="G10003" t="s">
        <v>44</v>
      </c>
      <c r="I10003" t="s">
        <v>91</v>
      </c>
      <c r="J10003" t="s">
        <v>20</v>
      </c>
      <c r="M10003" t="s">
        <v>1805</v>
      </c>
      <c r="N10003" t="s">
        <v>1805</v>
      </c>
      <c r="O10003" t="s">
        <v>73</v>
      </c>
      <c r="P10003" t="s">
        <v>1806</v>
      </c>
      <c r="Q10003" t="s">
        <v>1807</v>
      </c>
      <c r="R10003" t="s">
        <v>1808</v>
      </c>
    </row>
    <row r="10004" spans="1:18" x14ac:dyDescent="0.25">
      <c r="A10004" t="s">
        <v>22757</v>
      </c>
      <c r="B10004" t="s">
        <v>11426</v>
      </c>
      <c r="C10004" t="str">
        <f>HYPERLINK("https://nematode.unl.edu/trob16.jpg")</f>
        <v>https://nematode.unl.edu/trob16.jpg</v>
      </c>
      <c r="D10004" t="s">
        <v>43</v>
      </c>
      <c r="G10004" t="s">
        <v>51</v>
      </c>
      <c r="I10004" t="s">
        <v>19</v>
      </c>
      <c r="J10004" t="s">
        <v>20</v>
      </c>
      <c r="L10004" t="s">
        <v>35</v>
      </c>
      <c r="M10004" t="s">
        <v>1805</v>
      </c>
      <c r="N10004" t="s">
        <v>1805</v>
      </c>
      <c r="O10004" t="s">
        <v>73</v>
      </c>
      <c r="P10004" t="s">
        <v>1806</v>
      </c>
      <c r="Q10004" t="s">
        <v>1807</v>
      </c>
      <c r="R10004" t="s">
        <v>1808</v>
      </c>
    </row>
    <row r="10005" spans="1:18" x14ac:dyDescent="0.25">
      <c r="A10005" t="s">
        <v>22743</v>
      </c>
      <c r="B10005" t="s">
        <v>11427</v>
      </c>
      <c r="C10005" t="str">
        <f>HYPERLINK("https://nematode.unl.edu/trob2.jpg")</f>
        <v>https://nematode.unl.edu/trob2.jpg</v>
      </c>
      <c r="D10005" t="s">
        <v>16</v>
      </c>
      <c r="G10005" t="s">
        <v>34</v>
      </c>
      <c r="H10005" t="s">
        <v>18</v>
      </c>
      <c r="J10005" t="s">
        <v>20</v>
      </c>
      <c r="L10005" t="s">
        <v>85</v>
      </c>
      <c r="M10005" t="s">
        <v>1805</v>
      </c>
      <c r="N10005" t="s">
        <v>1805</v>
      </c>
      <c r="O10005" t="s">
        <v>73</v>
      </c>
      <c r="P10005" t="s">
        <v>1806</v>
      </c>
      <c r="Q10005" t="s">
        <v>1807</v>
      </c>
      <c r="R10005" t="s">
        <v>1808</v>
      </c>
    </row>
    <row r="10006" spans="1:18" x14ac:dyDescent="0.25">
      <c r="A10006" t="s">
        <v>22753</v>
      </c>
      <c r="B10006" t="s">
        <v>11428</v>
      </c>
      <c r="C10006" t="str">
        <f>HYPERLINK("https://nematode.unl.edu/trob3.jpg")</f>
        <v>https://nematode.unl.edu/trob3.jpg</v>
      </c>
      <c r="D10006" t="s">
        <v>16</v>
      </c>
      <c r="G10006" t="s">
        <v>28</v>
      </c>
      <c r="I10006" t="s">
        <v>19</v>
      </c>
      <c r="M10006" t="s">
        <v>1805</v>
      </c>
      <c r="N10006" t="s">
        <v>1805</v>
      </c>
      <c r="O10006" t="s">
        <v>73</v>
      </c>
      <c r="P10006" t="s">
        <v>1806</v>
      </c>
      <c r="Q10006" t="s">
        <v>1807</v>
      </c>
      <c r="R10006" t="s">
        <v>1808</v>
      </c>
    </row>
    <row r="10007" spans="1:18" x14ac:dyDescent="0.25">
      <c r="A10007" t="s">
        <v>22750</v>
      </c>
      <c r="B10007" t="s">
        <v>11429</v>
      </c>
      <c r="C10007" t="str">
        <f>HYPERLINK("https://nematode.unl.edu/trob4.jpg")</f>
        <v>https://nematode.unl.edu/trob4.jpg</v>
      </c>
      <c r="D10007" t="s">
        <v>43</v>
      </c>
      <c r="G10007" t="s">
        <v>2964</v>
      </c>
      <c r="I10007" t="s">
        <v>19</v>
      </c>
      <c r="J10007" t="s">
        <v>46</v>
      </c>
      <c r="L10007" t="s">
        <v>105</v>
      </c>
      <c r="M10007" t="s">
        <v>1805</v>
      </c>
      <c r="N10007" t="s">
        <v>1805</v>
      </c>
      <c r="O10007" t="s">
        <v>73</v>
      </c>
      <c r="P10007" t="s">
        <v>1806</v>
      </c>
      <c r="Q10007" t="s">
        <v>1807</v>
      </c>
      <c r="R10007" t="s">
        <v>1808</v>
      </c>
    </row>
    <row r="10008" spans="1:18" x14ac:dyDescent="0.25">
      <c r="A10008" t="s">
        <v>22754</v>
      </c>
      <c r="B10008" t="s">
        <v>11430</v>
      </c>
      <c r="C10008" t="str">
        <f>HYPERLINK("https://nematode.unl.edu/trob5.jpg")</f>
        <v>https://nematode.unl.edu/trob5.jpg</v>
      </c>
      <c r="D10008" t="s">
        <v>77</v>
      </c>
      <c r="G10008" t="s">
        <v>28</v>
      </c>
      <c r="I10008" t="s">
        <v>137</v>
      </c>
      <c r="M10008" t="s">
        <v>1805</v>
      </c>
      <c r="N10008" t="s">
        <v>1805</v>
      </c>
      <c r="O10008" t="s">
        <v>73</v>
      </c>
      <c r="P10008" t="s">
        <v>1806</v>
      </c>
      <c r="Q10008" t="s">
        <v>1807</v>
      </c>
      <c r="R10008" t="s">
        <v>1808</v>
      </c>
    </row>
    <row r="10009" spans="1:18" x14ac:dyDescent="0.25">
      <c r="A10009" t="s">
        <v>22751</v>
      </c>
      <c r="B10009" t="s">
        <v>11431</v>
      </c>
      <c r="C10009" t="str">
        <f>HYPERLINK("https://nematode.unl.edu/trob6.jpg")</f>
        <v>https://nematode.unl.edu/trob6.jpg</v>
      </c>
      <c r="D10009" t="s">
        <v>77</v>
      </c>
      <c r="G10009" t="s">
        <v>112</v>
      </c>
      <c r="I10009" t="s">
        <v>19</v>
      </c>
      <c r="M10009" t="s">
        <v>1805</v>
      </c>
      <c r="N10009" t="s">
        <v>1805</v>
      </c>
      <c r="O10009" t="s">
        <v>73</v>
      </c>
      <c r="P10009" t="s">
        <v>1806</v>
      </c>
      <c r="Q10009" t="s">
        <v>1807</v>
      </c>
      <c r="R10009" t="s">
        <v>1808</v>
      </c>
    </row>
    <row r="10010" spans="1:18" x14ac:dyDescent="0.25">
      <c r="A10010" t="s">
        <v>22755</v>
      </c>
      <c r="B10010" t="s">
        <v>11432</v>
      </c>
      <c r="C10010" t="str">
        <f>HYPERLINK("https://nematode.unl.edu/trob7.jpg")</f>
        <v>https://nematode.unl.edu/trob7.jpg</v>
      </c>
      <c r="D10010" t="s">
        <v>16</v>
      </c>
      <c r="G10010" t="s">
        <v>28</v>
      </c>
      <c r="J10010" t="s">
        <v>20</v>
      </c>
      <c r="L10010" t="s">
        <v>64</v>
      </c>
      <c r="M10010" t="s">
        <v>1805</v>
      </c>
      <c r="N10010" t="s">
        <v>1805</v>
      </c>
      <c r="O10010" t="s">
        <v>73</v>
      </c>
      <c r="P10010" t="s">
        <v>1806</v>
      </c>
      <c r="Q10010" t="s">
        <v>1807</v>
      </c>
      <c r="R10010" t="s">
        <v>1808</v>
      </c>
    </row>
    <row r="10011" spans="1:18" x14ac:dyDescent="0.25">
      <c r="A10011" t="s">
        <v>22745</v>
      </c>
      <c r="B10011" t="s">
        <v>11433</v>
      </c>
      <c r="C10011" t="str">
        <f>HYPERLINK("https://nematode.unl.edu/trob8.jpg")</f>
        <v>https://nematode.unl.edu/trob8.jpg</v>
      </c>
      <c r="D10011" t="s">
        <v>16</v>
      </c>
      <c r="G10011" t="s">
        <v>87</v>
      </c>
      <c r="J10011" t="s">
        <v>20</v>
      </c>
      <c r="L10011" t="s">
        <v>64</v>
      </c>
      <c r="M10011" t="s">
        <v>1805</v>
      </c>
      <c r="N10011" t="s">
        <v>1805</v>
      </c>
      <c r="O10011" t="s">
        <v>73</v>
      </c>
      <c r="P10011" t="s">
        <v>1806</v>
      </c>
      <c r="Q10011" t="s">
        <v>1807</v>
      </c>
      <c r="R10011" t="s">
        <v>1808</v>
      </c>
    </row>
    <row r="10012" spans="1:18" x14ac:dyDescent="0.25">
      <c r="A10012" t="s">
        <v>22744</v>
      </c>
      <c r="B10012" t="s">
        <v>11434</v>
      </c>
      <c r="C10012" t="str">
        <f>HYPERLINK("https://nematode.unl.edu/trob9.jpg")</f>
        <v>https://nematode.unl.edu/trob9.jpg</v>
      </c>
      <c r="D10012" t="s">
        <v>16</v>
      </c>
      <c r="G10012" t="s">
        <v>34</v>
      </c>
      <c r="H10012" t="s">
        <v>18</v>
      </c>
      <c r="I10012" t="s">
        <v>19</v>
      </c>
      <c r="J10012" t="s">
        <v>20</v>
      </c>
      <c r="L10012" t="s">
        <v>64</v>
      </c>
      <c r="M10012" t="s">
        <v>1805</v>
      </c>
      <c r="N10012" t="s">
        <v>1805</v>
      </c>
      <c r="O10012" t="s">
        <v>73</v>
      </c>
      <c r="P10012" t="s">
        <v>1806</v>
      </c>
      <c r="Q10012" t="s">
        <v>1807</v>
      </c>
      <c r="R10012" t="s">
        <v>1808</v>
      </c>
    </row>
    <row r="10013" spans="1:18" x14ac:dyDescent="0.25">
      <c r="A10013" t="s">
        <v>22749</v>
      </c>
      <c r="B10013" t="s">
        <v>11435</v>
      </c>
      <c r="C10013" t="str">
        <f>HYPERLINK("https://nematode.unl.edu/trobcmp.jpg")</f>
        <v>https://nematode.unl.edu/trobcmp.jpg</v>
      </c>
      <c r="G10013" t="s">
        <v>108</v>
      </c>
      <c r="M10013" t="s">
        <v>1805</v>
      </c>
      <c r="N10013" t="s">
        <v>1805</v>
      </c>
      <c r="O10013" t="s">
        <v>73</v>
      </c>
      <c r="P10013" t="s">
        <v>1806</v>
      </c>
      <c r="Q10013" t="s">
        <v>1807</v>
      </c>
      <c r="R10013" t="s">
        <v>1808</v>
      </c>
    </row>
    <row r="10014" spans="1:18" x14ac:dyDescent="0.25">
      <c r="A10014" t="s">
        <v>15987</v>
      </c>
      <c r="B10014" t="s">
        <v>11491</v>
      </c>
      <c r="C10014" t="str">
        <f>HYPERLINK("https://nematode.unl.edu/tromi1.jpg")</f>
        <v>https://nematode.unl.edu/tromi1.jpg</v>
      </c>
      <c r="D10014" t="s">
        <v>43</v>
      </c>
      <c r="G10014" t="s">
        <v>44</v>
      </c>
      <c r="I10014" t="s">
        <v>91</v>
      </c>
      <c r="J10014" t="s">
        <v>20</v>
      </c>
      <c r="L10014" t="s">
        <v>85</v>
      </c>
      <c r="M10014" t="s">
        <v>11492</v>
      </c>
      <c r="N10014" t="s">
        <v>11492</v>
      </c>
      <c r="O10014" t="s">
        <v>23</v>
      </c>
      <c r="P10014" t="s">
        <v>24</v>
      </c>
      <c r="Q10014" t="s">
        <v>1071</v>
      </c>
      <c r="R10014" t="s">
        <v>11493</v>
      </c>
    </row>
    <row r="10015" spans="1:18" x14ac:dyDescent="0.25">
      <c r="A10015" t="s">
        <v>15982</v>
      </c>
      <c r="B10015" t="s">
        <v>11494</v>
      </c>
      <c r="C10015" t="str">
        <f>HYPERLINK("https://nematode.unl.edu/tromi2.jpg")</f>
        <v>https://nematode.unl.edu/tromi2.jpg</v>
      </c>
      <c r="D10015" t="s">
        <v>43</v>
      </c>
      <c r="G10015" t="s">
        <v>96</v>
      </c>
      <c r="H10015" t="s">
        <v>18</v>
      </c>
      <c r="I10015" t="s">
        <v>19</v>
      </c>
      <c r="J10015" t="s">
        <v>20</v>
      </c>
      <c r="L10015" t="s">
        <v>85</v>
      </c>
      <c r="M10015" t="s">
        <v>11492</v>
      </c>
      <c r="N10015" t="s">
        <v>11492</v>
      </c>
      <c r="O10015" t="s">
        <v>23</v>
      </c>
      <c r="P10015" t="s">
        <v>24</v>
      </c>
      <c r="Q10015" t="s">
        <v>1071</v>
      </c>
      <c r="R10015" t="s">
        <v>11493</v>
      </c>
    </row>
    <row r="10016" spans="1:18" x14ac:dyDescent="0.25">
      <c r="A10016" t="s">
        <v>15995</v>
      </c>
      <c r="B10016" t="s">
        <v>11495</v>
      </c>
      <c r="C10016" t="str">
        <f>HYPERLINK("https://nematode.unl.edu/tromi3.jpg")</f>
        <v>https://nematode.unl.edu/tromi3.jpg</v>
      </c>
      <c r="D10016" t="s">
        <v>43</v>
      </c>
      <c r="G10016" t="s">
        <v>28</v>
      </c>
      <c r="I10016" t="s">
        <v>19</v>
      </c>
      <c r="J10016" t="s">
        <v>20</v>
      </c>
      <c r="L10016" t="s">
        <v>85</v>
      </c>
      <c r="M10016" t="s">
        <v>11492</v>
      </c>
      <c r="N10016" t="s">
        <v>11492</v>
      </c>
      <c r="O10016" t="s">
        <v>23</v>
      </c>
      <c r="P10016" t="s">
        <v>24</v>
      </c>
      <c r="Q10016" t="s">
        <v>1071</v>
      </c>
      <c r="R10016" t="s">
        <v>11493</v>
      </c>
    </row>
    <row r="10017" spans="1:18" x14ac:dyDescent="0.25">
      <c r="A10017" t="s">
        <v>15984</v>
      </c>
      <c r="B10017" t="s">
        <v>11496</v>
      </c>
      <c r="C10017" t="str">
        <f>HYPERLINK("https://nematode.unl.edu/tromi4.jpg")</f>
        <v>https://nematode.unl.edu/tromi4.jpg</v>
      </c>
      <c r="D10017" t="s">
        <v>43</v>
      </c>
      <c r="G10017" t="s">
        <v>34</v>
      </c>
      <c r="H10017" t="s">
        <v>18</v>
      </c>
      <c r="I10017" t="s">
        <v>41</v>
      </c>
      <c r="J10017" t="s">
        <v>20</v>
      </c>
      <c r="L10017" t="s">
        <v>85</v>
      </c>
      <c r="M10017" t="s">
        <v>11492</v>
      </c>
      <c r="N10017" t="s">
        <v>11492</v>
      </c>
      <c r="O10017" t="s">
        <v>23</v>
      </c>
      <c r="P10017" t="s">
        <v>24</v>
      </c>
      <c r="Q10017" t="s">
        <v>1071</v>
      </c>
      <c r="R10017" t="s">
        <v>11493</v>
      </c>
    </row>
    <row r="10018" spans="1:18" x14ac:dyDescent="0.25">
      <c r="A10018" t="s">
        <v>15994</v>
      </c>
      <c r="B10018" t="s">
        <v>11497</v>
      </c>
      <c r="C10018" t="str">
        <f>HYPERLINK("https://nematode.unl.edu/tromi5.jpg")</f>
        <v>https://nematode.unl.edu/tromi5.jpg</v>
      </c>
      <c r="D10018" t="s">
        <v>43</v>
      </c>
      <c r="G10018" t="s">
        <v>10682</v>
      </c>
      <c r="I10018" t="s">
        <v>41</v>
      </c>
      <c r="J10018" t="s">
        <v>20</v>
      </c>
      <c r="L10018" t="s">
        <v>85</v>
      </c>
      <c r="M10018" t="s">
        <v>11492</v>
      </c>
      <c r="N10018" t="s">
        <v>11492</v>
      </c>
      <c r="O10018" t="s">
        <v>23</v>
      </c>
      <c r="P10018" t="s">
        <v>24</v>
      </c>
      <c r="Q10018" t="s">
        <v>1071</v>
      </c>
      <c r="R10018" t="s">
        <v>11493</v>
      </c>
    </row>
    <row r="10019" spans="1:18" x14ac:dyDescent="0.25">
      <c r="A10019" t="s">
        <v>15989</v>
      </c>
      <c r="B10019" t="s">
        <v>11498</v>
      </c>
      <c r="C10019" t="str">
        <f>HYPERLINK("https://nematode.unl.edu/tromi6.jpg")</f>
        <v>https://nematode.unl.edu/tromi6.jpg</v>
      </c>
      <c r="D10019" t="s">
        <v>43</v>
      </c>
      <c r="G10019" t="s">
        <v>11499</v>
      </c>
      <c r="I10019" t="s">
        <v>41</v>
      </c>
      <c r="J10019" t="s">
        <v>20</v>
      </c>
      <c r="L10019" t="s">
        <v>85</v>
      </c>
      <c r="M10019" t="s">
        <v>11492</v>
      </c>
      <c r="N10019" t="s">
        <v>11492</v>
      </c>
      <c r="O10019" t="s">
        <v>23</v>
      </c>
      <c r="P10019" t="s">
        <v>24</v>
      </c>
      <c r="Q10019" t="s">
        <v>1071</v>
      </c>
      <c r="R10019" t="s">
        <v>11493</v>
      </c>
    </row>
    <row r="10020" spans="1:18" x14ac:dyDescent="0.25">
      <c r="A10020" t="s">
        <v>15996</v>
      </c>
      <c r="B10020" t="s">
        <v>11500</v>
      </c>
      <c r="C10020" t="str">
        <f>HYPERLINK("https://nematode.unl.edu/tromi7.jpg")</f>
        <v>https://nematode.unl.edu/tromi7.jpg</v>
      </c>
      <c r="D10020" t="s">
        <v>43</v>
      </c>
      <c r="G10020" t="s">
        <v>28</v>
      </c>
      <c r="I10020" t="s">
        <v>41</v>
      </c>
      <c r="J10020" t="s">
        <v>20</v>
      </c>
      <c r="L10020" t="s">
        <v>85</v>
      </c>
      <c r="M10020" t="s">
        <v>11492</v>
      </c>
      <c r="N10020" t="s">
        <v>11492</v>
      </c>
      <c r="O10020" t="s">
        <v>23</v>
      </c>
      <c r="P10020" t="s">
        <v>24</v>
      </c>
      <c r="Q10020" t="s">
        <v>1071</v>
      </c>
      <c r="R10020" t="s">
        <v>11493</v>
      </c>
    </row>
    <row r="10021" spans="1:18" x14ac:dyDescent="0.25">
      <c r="A10021" t="s">
        <v>18706</v>
      </c>
      <c r="B10021" t="s">
        <v>11478</v>
      </c>
      <c r="C10021" t="str">
        <f>HYPERLINK("https://nematode.unl.edu/tropho1.jpg")</f>
        <v>https://nematode.unl.edu/tropho1.jpg</v>
      </c>
      <c r="D10021" t="s">
        <v>43</v>
      </c>
      <c r="G10021" t="s">
        <v>34</v>
      </c>
      <c r="H10021" t="s">
        <v>18</v>
      </c>
      <c r="I10021" t="s">
        <v>516</v>
      </c>
      <c r="J10021" t="s">
        <v>20</v>
      </c>
      <c r="L10021" t="s">
        <v>64</v>
      </c>
      <c r="M10021" t="s">
        <v>11477</v>
      </c>
      <c r="N10021" t="s">
        <v>11477</v>
      </c>
      <c r="O10021" t="s">
        <v>23</v>
      </c>
      <c r="P10021" t="s">
        <v>24</v>
      </c>
      <c r="Q10021" t="s">
        <v>1592</v>
      </c>
      <c r="R10021" t="s">
        <v>11477</v>
      </c>
    </row>
    <row r="10022" spans="1:18" x14ac:dyDescent="0.25">
      <c r="A10022" t="s">
        <v>18707</v>
      </c>
      <c r="B10022" t="s">
        <v>11479</v>
      </c>
      <c r="C10022" t="str">
        <f>HYPERLINK("https://nematode.unl.edu/tropho10.jpg")</f>
        <v>https://nematode.unl.edu/tropho10.jpg</v>
      </c>
      <c r="D10022" t="s">
        <v>16</v>
      </c>
      <c r="G10022" t="s">
        <v>34</v>
      </c>
      <c r="H10022" t="s">
        <v>18</v>
      </c>
      <c r="I10022" t="s">
        <v>529</v>
      </c>
      <c r="J10022" t="s">
        <v>20</v>
      </c>
      <c r="L10022" t="s">
        <v>5685</v>
      </c>
      <c r="M10022" t="s">
        <v>11477</v>
      </c>
      <c r="N10022" t="s">
        <v>11477</v>
      </c>
      <c r="O10022" t="s">
        <v>23</v>
      </c>
      <c r="P10022" t="s">
        <v>24</v>
      </c>
      <c r="Q10022" t="s">
        <v>1592</v>
      </c>
      <c r="R10022" t="s">
        <v>11477</v>
      </c>
    </row>
    <row r="10023" spans="1:18" x14ac:dyDescent="0.25">
      <c r="A10023" t="s">
        <v>18715</v>
      </c>
      <c r="B10023" t="s">
        <v>11480</v>
      </c>
      <c r="C10023" t="str">
        <f>HYPERLINK("https://nematode.unl.edu/tropho11.jpg")</f>
        <v>https://nematode.unl.edu/tropho11.jpg</v>
      </c>
      <c r="D10023" t="s">
        <v>16</v>
      </c>
      <c r="G10023" t="s">
        <v>28</v>
      </c>
      <c r="I10023" t="s">
        <v>516</v>
      </c>
      <c r="J10023" t="s">
        <v>20</v>
      </c>
      <c r="L10023" t="s">
        <v>64</v>
      </c>
      <c r="M10023" t="s">
        <v>11477</v>
      </c>
      <c r="N10023" t="s">
        <v>11477</v>
      </c>
      <c r="O10023" t="s">
        <v>23</v>
      </c>
      <c r="P10023" t="s">
        <v>24</v>
      </c>
      <c r="Q10023" t="s">
        <v>1592</v>
      </c>
      <c r="R10023" t="s">
        <v>11477</v>
      </c>
    </row>
    <row r="10024" spans="1:18" x14ac:dyDescent="0.25">
      <c r="A10024" t="s">
        <v>18708</v>
      </c>
      <c r="B10024" t="s">
        <v>11481</v>
      </c>
      <c r="C10024" t="str">
        <f>HYPERLINK("https://nematode.unl.edu/tropho12.jpg")</f>
        <v>https://nematode.unl.edu/tropho12.jpg</v>
      </c>
      <c r="D10024" t="s">
        <v>16</v>
      </c>
      <c r="G10024" t="s">
        <v>34</v>
      </c>
      <c r="H10024" t="s">
        <v>18</v>
      </c>
      <c r="I10024" t="s">
        <v>19</v>
      </c>
      <c r="J10024" t="s">
        <v>20</v>
      </c>
      <c r="M10024" t="s">
        <v>11477</v>
      </c>
      <c r="N10024" t="s">
        <v>11477</v>
      </c>
      <c r="O10024" t="s">
        <v>23</v>
      </c>
      <c r="P10024" t="s">
        <v>24</v>
      </c>
      <c r="Q10024" t="s">
        <v>1592</v>
      </c>
      <c r="R10024" t="s">
        <v>11477</v>
      </c>
    </row>
    <row r="10025" spans="1:18" x14ac:dyDescent="0.25">
      <c r="A10025" t="s">
        <v>18716</v>
      </c>
      <c r="B10025" t="s">
        <v>11482</v>
      </c>
      <c r="C10025" t="str">
        <f>HYPERLINK("https://nematode.unl.edu/tropho13.jpg")</f>
        <v>https://nematode.unl.edu/tropho13.jpg</v>
      </c>
      <c r="D10025" t="s">
        <v>16</v>
      </c>
      <c r="G10025" t="s">
        <v>28</v>
      </c>
      <c r="I10025" t="s">
        <v>41</v>
      </c>
      <c r="J10025" t="s">
        <v>20</v>
      </c>
      <c r="L10025" t="s">
        <v>64</v>
      </c>
      <c r="M10025" t="s">
        <v>11477</v>
      </c>
      <c r="N10025" t="s">
        <v>11477</v>
      </c>
      <c r="O10025" t="s">
        <v>23</v>
      </c>
      <c r="P10025" t="s">
        <v>24</v>
      </c>
      <c r="Q10025" t="s">
        <v>1592</v>
      </c>
      <c r="R10025" t="s">
        <v>11477</v>
      </c>
    </row>
    <row r="10026" spans="1:18" x14ac:dyDescent="0.25">
      <c r="A10026" t="s">
        <v>18717</v>
      </c>
      <c r="B10026" t="s">
        <v>11483</v>
      </c>
      <c r="C10026" t="str">
        <f>HYPERLINK("https://nematode.unl.edu/tropho2.jpg")</f>
        <v>https://nematode.unl.edu/tropho2.jpg</v>
      </c>
      <c r="G10026" t="s">
        <v>28</v>
      </c>
      <c r="I10026" t="s">
        <v>19</v>
      </c>
      <c r="J10026" t="s">
        <v>20</v>
      </c>
      <c r="L10026" t="s">
        <v>64</v>
      </c>
      <c r="M10026" t="s">
        <v>11477</v>
      </c>
      <c r="N10026" t="s">
        <v>11477</v>
      </c>
      <c r="O10026" t="s">
        <v>23</v>
      </c>
      <c r="P10026" t="s">
        <v>24</v>
      </c>
      <c r="Q10026" t="s">
        <v>1592</v>
      </c>
      <c r="R10026" t="s">
        <v>11477</v>
      </c>
    </row>
    <row r="10027" spans="1:18" x14ac:dyDescent="0.25">
      <c r="A10027" t="s">
        <v>18714</v>
      </c>
      <c r="B10027" t="s">
        <v>11484</v>
      </c>
      <c r="C10027" t="str">
        <f>HYPERLINK("https://nematode.unl.edu/tropho3.jpg")</f>
        <v>https://nematode.unl.edu/tropho3.jpg</v>
      </c>
      <c r="D10027" t="s">
        <v>16</v>
      </c>
      <c r="G10027" t="s">
        <v>414</v>
      </c>
      <c r="J10027" t="s">
        <v>20</v>
      </c>
      <c r="M10027" t="s">
        <v>11477</v>
      </c>
      <c r="N10027" t="s">
        <v>11477</v>
      </c>
      <c r="O10027" t="s">
        <v>23</v>
      </c>
      <c r="P10027" t="s">
        <v>24</v>
      </c>
      <c r="Q10027" t="s">
        <v>1592</v>
      </c>
      <c r="R10027" t="s">
        <v>11477</v>
      </c>
    </row>
    <row r="10028" spans="1:18" x14ac:dyDescent="0.25">
      <c r="A10028" t="s">
        <v>18709</v>
      </c>
      <c r="B10028" t="s">
        <v>11485</v>
      </c>
      <c r="C10028" t="str">
        <f>HYPERLINK("https://nematode.unl.edu/tropho4.jpg")</f>
        <v>https://nematode.unl.edu/tropho4.jpg</v>
      </c>
      <c r="D10028" t="s">
        <v>16</v>
      </c>
      <c r="G10028" t="s">
        <v>34</v>
      </c>
      <c r="H10028" t="s">
        <v>18</v>
      </c>
      <c r="I10028" t="s">
        <v>41</v>
      </c>
      <c r="J10028" t="s">
        <v>20</v>
      </c>
      <c r="L10028" t="s">
        <v>64</v>
      </c>
      <c r="M10028" t="s">
        <v>11477</v>
      </c>
      <c r="N10028" t="s">
        <v>11477</v>
      </c>
      <c r="O10028" t="s">
        <v>23</v>
      </c>
      <c r="P10028" t="s">
        <v>24</v>
      </c>
      <c r="Q10028" t="s">
        <v>1592</v>
      </c>
      <c r="R10028" t="s">
        <v>11477</v>
      </c>
    </row>
    <row r="10029" spans="1:18" x14ac:dyDescent="0.25">
      <c r="A10029" t="s">
        <v>18718</v>
      </c>
      <c r="B10029" t="s">
        <v>11486</v>
      </c>
      <c r="C10029" t="str">
        <f>HYPERLINK("https://nematode.unl.edu/tropho5.jpg")</f>
        <v>https://nematode.unl.edu/tropho5.jpg</v>
      </c>
      <c r="D10029" t="s">
        <v>16</v>
      </c>
      <c r="G10029" t="s">
        <v>28</v>
      </c>
      <c r="I10029" t="s">
        <v>41</v>
      </c>
      <c r="J10029" t="s">
        <v>20</v>
      </c>
      <c r="L10029" t="s">
        <v>64</v>
      </c>
      <c r="M10029" t="s">
        <v>11477</v>
      </c>
      <c r="N10029" t="s">
        <v>11477</v>
      </c>
      <c r="O10029" t="s">
        <v>23</v>
      </c>
      <c r="P10029" t="s">
        <v>24</v>
      </c>
      <c r="Q10029" t="s">
        <v>1592</v>
      </c>
      <c r="R10029" t="s">
        <v>11477</v>
      </c>
    </row>
    <row r="10030" spans="1:18" x14ac:dyDescent="0.25">
      <c r="A10030" t="s">
        <v>18712</v>
      </c>
      <c r="B10030" t="s">
        <v>11487</v>
      </c>
      <c r="C10030" t="str">
        <f>HYPERLINK("https://nematode.unl.edu/tropho6.jpg")</f>
        <v>https://nematode.unl.edu/tropho6.jpg</v>
      </c>
      <c r="D10030" t="s">
        <v>16</v>
      </c>
      <c r="G10030" t="s">
        <v>44</v>
      </c>
      <c r="I10030" t="s">
        <v>45</v>
      </c>
      <c r="J10030" t="s">
        <v>20</v>
      </c>
      <c r="L10030" t="s">
        <v>64</v>
      </c>
      <c r="M10030" t="s">
        <v>11477</v>
      </c>
      <c r="N10030" t="s">
        <v>11477</v>
      </c>
      <c r="O10030" t="s">
        <v>23</v>
      </c>
      <c r="P10030" t="s">
        <v>24</v>
      </c>
      <c r="Q10030" t="s">
        <v>1592</v>
      </c>
      <c r="R10030" t="s">
        <v>11477</v>
      </c>
    </row>
    <row r="10031" spans="1:18" x14ac:dyDescent="0.25">
      <c r="A10031" t="s">
        <v>18705</v>
      </c>
      <c r="B10031" t="s">
        <v>11488</v>
      </c>
      <c r="C10031" t="str">
        <f>HYPERLINK("https://nematode.unl.edu/tropho7.jpg")</f>
        <v>https://nematode.unl.edu/tropho7.jpg</v>
      </c>
      <c r="D10031" t="s">
        <v>16</v>
      </c>
      <c r="G10031" t="s">
        <v>96</v>
      </c>
      <c r="H10031" t="s">
        <v>18</v>
      </c>
      <c r="I10031" t="s">
        <v>41</v>
      </c>
      <c r="J10031" t="s">
        <v>20</v>
      </c>
      <c r="M10031" t="s">
        <v>11477</v>
      </c>
      <c r="N10031" t="s">
        <v>11477</v>
      </c>
      <c r="O10031" t="s">
        <v>23</v>
      </c>
      <c r="P10031" t="s">
        <v>24</v>
      </c>
      <c r="Q10031" t="s">
        <v>1592</v>
      </c>
      <c r="R10031" t="s">
        <v>11477</v>
      </c>
    </row>
    <row r="10032" spans="1:18" x14ac:dyDescent="0.25">
      <c r="A10032" t="s">
        <v>18713</v>
      </c>
      <c r="B10032" t="s">
        <v>11489</v>
      </c>
      <c r="C10032" t="str">
        <f>HYPERLINK("https://nematode.unl.edu/tropho8.jpg")</f>
        <v>https://nematode.unl.edu/tropho8.jpg</v>
      </c>
      <c r="D10032" t="s">
        <v>16</v>
      </c>
      <c r="G10032" t="s">
        <v>44</v>
      </c>
      <c r="I10032" t="s">
        <v>45</v>
      </c>
      <c r="J10032" t="s">
        <v>20</v>
      </c>
      <c r="L10032" t="s">
        <v>352</v>
      </c>
      <c r="M10032" t="s">
        <v>11477</v>
      </c>
      <c r="N10032" t="s">
        <v>11477</v>
      </c>
      <c r="O10032" t="s">
        <v>23</v>
      </c>
      <c r="P10032" t="s">
        <v>24</v>
      </c>
      <c r="Q10032" t="s">
        <v>1592</v>
      </c>
      <c r="R10032" t="s">
        <v>11477</v>
      </c>
    </row>
    <row r="10033" spans="1:18" x14ac:dyDescent="0.25">
      <c r="A10033" t="s">
        <v>18710</v>
      </c>
      <c r="B10033" t="s">
        <v>11490</v>
      </c>
      <c r="C10033" t="str">
        <f>HYPERLINK("https://nematode.unl.edu/tropho9.jpg")</f>
        <v>https://nematode.unl.edu/tropho9.jpg</v>
      </c>
      <c r="G10033" t="s">
        <v>34</v>
      </c>
      <c r="H10033" t="s">
        <v>18</v>
      </c>
      <c r="I10033" t="s">
        <v>19</v>
      </c>
      <c r="J10033" t="s">
        <v>20</v>
      </c>
      <c r="L10033" t="s">
        <v>352</v>
      </c>
      <c r="M10033" t="s">
        <v>11477</v>
      </c>
      <c r="N10033" t="s">
        <v>11477</v>
      </c>
      <c r="O10033" t="s">
        <v>23</v>
      </c>
      <c r="P10033" t="s">
        <v>24</v>
      </c>
      <c r="Q10033" t="s">
        <v>1592</v>
      </c>
      <c r="R10033" t="s">
        <v>11477</v>
      </c>
    </row>
    <row r="10034" spans="1:18" x14ac:dyDescent="0.25">
      <c r="A10034" t="s">
        <v>15988</v>
      </c>
      <c r="B10034" t="s">
        <v>11501</v>
      </c>
      <c r="C10034" t="str">
        <f>HYPERLINK("https://nematode.unl.edu/tropmin1.jpg")</f>
        <v>https://nematode.unl.edu/tropmin1.jpg</v>
      </c>
      <c r="D10034" t="s">
        <v>43</v>
      </c>
      <c r="G10034" t="s">
        <v>44</v>
      </c>
      <c r="I10034" t="s">
        <v>91</v>
      </c>
      <c r="J10034" t="s">
        <v>46</v>
      </c>
      <c r="L10034" t="s">
        <v>11502</v>
      </c>
      <c r="M10034" t="s">
        <v>11492</v>
      </c>
      <c r="N10034" t="s">
        <v>11492</v>
      </c>
      <c r="O10034" t="s">
        <v>23</v>
      </c>
      <c r="P10034" t="s">
        <v>24</v>
      </c>
      <c r="Q10034" t="s">
        <v>1071</v>
      </c>
      <c r="R10034" t="s">
        <v>11493</v>
      </c>
    </row>
    <row r="10035" spans="1:18" x14ac:dyDescent="0.25">
      <c r="A10035" t="s">
        <v>15991</v>
      </c>
      <c r="B10035" t="s">
        <v>11503</v>
      </c>
      <c r="C10035" t="str">
        <f>HYPERLINK("https://nematode.unl.edu/tropmin10.jpg")</f>
        <v>https://nematode.unl.edu/tropmin10.jpg</v>
      </c>
      <c r="D10035" t="s">
        <v>43</v>
      </c>
      <c r="G10035" t="s">
        <v>53</v>
      </c>
      <c r="I10035" t="s">
        <v>41</v>
      </c>
      <c r="J10035" t="s">
        <v>46</v>
      </c>
      <c r="L10035" t="s">
        <v>11502</v>
      </c>
      <c r="M10035" t="s">
        <v>11492</v>
      </c>
      <c r="N10035" t="s">
        <v>11492</v>
      </c>
      <c r="O10035" t="s">
        <v>23</v>
      </c>
      <c r="P10035" t="s">
        <v>24</v>
      </c>
      <c r="Q10035" t="s">
        <v>1071</v>
      </c>
      <c r="R10035" t="s">
        <v>11493</v>
      </c>
    </row>
    <row r="10036" spans="1:18" x14ac:dyDescent="0.25">
      <c r="A10036" t="s">
        <v>15997</v>
      </c>
      <c r="B10036" t="s">
        <v>11504</v>
      </c>
      <c r="C10036" t="str">
        <f>HYPERLINK("https://nematode.unl.edu/tropmin11.jpg")</f>
        <v>https://nematode.unl.edu/tropmin11.jpg</v>
      </c>
      <c r="D10036" t="s">
        <v>43</v>
      </c>
      <c r="G10036" t="s">
        <v>28</v>
      </c>
      <c r="J10036" t="s">
        <v>46</v>
      </c>
      <c r="L10036" t="s">
        <v>11502</v>
      </c>
      <c r="M10036" t="s">
        <v>11492</v>
      </c>
      <c r="N10036" t="s">
        <v>11492</v>
      </c>
      <c r="O10036" t="s">
        <v>23</v>
      </c>
      <c r="P10036" t="s">
        <v>24</v>
      </c>
      <c r="Q10036" t="s">
        <v>1071</v>
      </c>
      <c r="R10036" t="s">
        <v>11493</v>
      </c>
    </row>
    <row r="10037" spans="1:18" x14ac:dyDescent="0.25">
      <c r="A10037" t="s">
        <v>15998</v>
      </c>
      <c r="B10037" t="s">
        <v>11505</v>
      </c>
      <c r="C10037" t="str">
        <f>HYPERLINK("https://nematode.unl.edu/tropmin12.jpg")</f>
        <v>https://nematode.unl.edu/tropmin12.jpg</v>
      </c>
      <c r="D10037" t="s">
        <v>43</v>
      </c>
      <c r="G10037" t="s">
        <v>28</v>
      </c>
      <c r="I10037" t="s">
        <v>41</v>
      </c>
      <c r="J10037" t="s">
        <v>46</v>
      </c>
      <c r="L10037" t="s">
        <v>11502</v>
      </c>
      <c r="M10037" t="s">
        <v>11492</v>
      </c>
      <c r="N10037" t="s">
        <v>11492</v>
      </c>
      <c r="O10037" t="s">
        <v>23</v>
      </c>
      <c r="P10037" t="s">
        <v>24</v>
      </c>
      <c r="Q10037" t="s">
        <v>1071</v>
      </c>
      <c r="R10037" t="s">
        <v>11493</v>
      </c>
    </row>
    <row r="10038" spans="1:18" x14ac:dyDescent="0.25">
      <c r="A10038" t="s">
        <v>15993</v>
      </c>
      <c r="B10038" t="s">
        <v>11506</v>
      </c>
      <c r="C10038" t="str">
        <f>HYPERLINK("https://nematode.unl.edu/tropmin13.jpg")</f>
        <v>https://nematode.unl.edu/tropmin13.jpg</v>
      </c>
      <c r="D10038" t="s">
        <v>43</v>
      </c>
      <c r="G10038" t="s">
        <v>2029</v>
      </c>
      <c r="I10038" t="s">
        <v>41</v>
      </c>
      <c r="J10038" t="s">
        <v>46</v>
      </c>
      <c r="L10038" t="s">
        <v>11502</v>
      </c>
      <c r="M10038" t="s">
        <v>11492</v>
      </c>
      <c r="N10038" t="s">
        <v>11492</v>
      </c>
      <c r="O10038" t="s">
        <v>23</v>
      </c>
      <c r="P10038" t="s">
        <v>24</v>
      </c>
      <c r="Q10038" t="s">
        <v>1071</v>
      </c>
      <c r="R10038" t="s">
        <v>11493</v>
      </c>
    </row>
    <row r="10039" spans="1:18" x14ac:dyDescent="0.25">
      <c r="A10039" t="s">
        <v>15992</v>
      </c>
      <c r="B10039" t="s">
        <v>11507</v>
      </c>
      <c r="C10039" t="str">
        <f>HYPERLINK("https://nematode.unl.edu/tropmin2.jpg")</f>
        <v>https://nematode.unl.edu/tropmin2.jpg</v>
      </c>
      <c r="D10039" t="s">
        <v>43</v>
      </c>
      <c r="G10039" t="s">
        <v>53</v>
      </c>
      <c r="I10039" t="s">
        <v>45</v>
      </c>
      <c r="J10039" t="s">
        <v>46</v>
      </c>
      <c r="L10039" t="s">
        <v>11502</v>
      </c>
      <c r="M10039" t="s">
        <v>11492</v>
      </c>
      <c r="N10039" t="s">
        <v>11492</v>
      </c>
      <c r="O10039" t="s">
        <v>23</v>
      </c>
      <c r="P10039" t="s">
        <v>24</v>
      </c>
      <c r="Q10039" t="s">
        <v>1071</v>
      </c>
      <c r="R10039" t="s">
        <v>11493</v>
      </c>
    </row>
    <row r="10040" spans="1:18" x14ac:dyDescent="0.25">
      <c r="A10040" t="s">
        <v>15983</v>
      </c>
      <c r="B10040" t="s">
        <v>11508</v>
      </c>
      <c r="C10040" t="str">
        <f>HYPERLINK("https://nematode.unl.edu/tropmin3.jpg")</f>
        <v>https://nematode.unl.edu/tropmin3.jpg</v>
      </c>
      <c r="D10040" t="s">
        <v>43</v>
      </c>
      <c r="G10040" t="s">
        <v>96</v>
      </c>
      <c r="H10040" t="s">
        <v>18</v>
      </c>
      <c r="I10040" t="s">
        <v>19</v>
      </c>
      <c r="J10040" t="s">
        <v>46</v>
      </c>
      <c r="L10040" t="s">
        <v>11502</v>
      </c>
      <c r="M10040" t="s">
        <v>11492</v>
      </c>
      <c r="N10040" t="s">
        <v>11492</v>
      </c>
      <c r="O10040" t="s">
        <v>23</v>
      </c>
      <c r="P10040" t="s">
        <v>24</v>
      </c>
      <c r="Q10040" t="s">
        <v>1071</v>
      </c>
      <c r="R10040" t="s">
        <v>11493</v>
      </c>
    </row>
    <row r="10041" spans="1:18" x14ac:dyDescent="0.25">
      <c r="A10041" t="s">
        <v>16000</v>
      </c>
      <c r="B10041" t="s">
        <v>11509</v>
      </c>
      <c r="C10041" t="str">
        <f>HYPERLINK("https://nematode.unl.edu/tropmin4.jpg")</f>
        <v>https://nematode.unl.edu/tropmin4.jpg</v>
      </c>
      <c r="D10041" t="s">
        <v>43</v>
      </c>
      <c r="G10041" t="s">
        <v>51</v>
      </c>
      <c r="I10041" t="s">
        <v>19</v>
      </c>
      <c r="J10041" t="s">
        <v>46</v>
      </c>
      <c r="L10041" t="s">
        <v>11502</v>
      </c>
      <c r="M10041" t="s">
        <v>11492</v>
      </c>
      <c r="N10041" t="s">
        <v>11492</v>
      </c>
      <c r="O10041" t="s">
        <v>23</v>
      </c>
      <c r="P10041" t="s">
        <v>24</v>
      </c>
      <c r="Q10041" t="s">
        <v>1071</v>
      </c>
      <c r="R10041" t="s">
        <v>11493</v>
      </c>
    </row>
    <row r="10042" spans="1:18" x14ac:dyDescent="0.25">
      <c r="A10042" t="s">
        <v>15999</v>
      </c>
      <c r="B10042" t="s">
        <v>11510</v>
      </c>
      <c r="C10042" t="str">
        <f>HYPERLINK("https://nematode.unl.edu/tropmin5.jpg")</f>
        <v>https://nematode.unl.edu/tropmin5.jpg</v>
      </c>
      <c r="D10042" t="s">
        <v>77</v>
      </c>
      <c r="G10042" t="s">
        <v>28</v>
      </c>
      <c r="J10042" t="s">
        <v>46</v>
      </c>
      <c r="L10042" t="s">
        <v>11502</v>
      </c>
      <c r="M10042" t="s">
        <v>11492</v>
      </c>
      <c r="N10042" t="s">
        <v>11492</v>
      </c>
      <c r="O10042" t="s">
        <v>23</v>
      </c>
      <c r="P10042" t="s">
        <v>24</v>
      </c>
      <c r="Q10042" t="s">
        <v>1071</v>
      </c>
      <c r="R10042" t="s">
        <v>11493</v>
      </c>
    </row>
    <row r="10043" spans="1:18" x14ac:dyDescent="0.25">
      <c r="A10043" t="s">
        <v>15985</v>
      </c>
      <c r="B10043" t="s">
        <v>11511</v>
      </c>
      <c r="C10043" t="str">
        <f>HYPERLINK("https://nematode.unl.edu/tropmin6.jpg")</f>
        <v>https://nematode.unl.edu/tropmin6.jpg</v>
      </c>
      <c r="D10043" t="s">
        <v>43</v>
      </c>
      <c r="G10043" t="s">
        <v>34</v>
      </c>
      <c r="H10043" t="s">
        <v>18</v>
      </c>
      <c r="I10043" t="s">
        <v>41</v>
      </c>
      <c r="J10043" t="s">
        <v>46</v>
      </c>
      <c r="L10043" t="s">
        <v>11502</v>
      </c>
      <c r="M10043" t="s">
        <v>11492</v>
      </c>
      <c r="N10043" t="s">
        <v>11492</v>
      </c>
      <c r="O10043" t="s">
        <v>23</v>
      </c>
      <c r="P10043" t="s">
        <v>24</v>
      </c>
      <c r="Q10043" t="s">
        <v>1071</v>
      </c>
      <c r="R10043" t="s">
        <v>11493</v>
      </c>
    </row>
    <row r="10044" spans="1:18" x14ac:dyDescent="0.25">
      <c r="A10044" t="s">
        <v>15986</v>
      </c>
      <c r="B10044" t="s">
        <v>11512</v>
      </c>
      <c r="C10044" t="str">
        <f>HYPERLINK("https://nematode.unl.edu/tropmin7.jpg")</f>
        <v>https://nematode.unl.edu/tropmin7.jpg</v>
      </c>
      <c r="D10044" t="s">
        <v>43</v>
      </c>
      <c r="G10044" t="s">
        <v>34</v>
      </c>
      <c r="H10044" t="s">
        <v>18</v>
      </c>
      <c r="I10044" t="s">
        <v>41</v>
      </c>
      <c r="J10044" t="s">
        <v>46</v>
      </c>
      <c r="L10044" t="s">
        <v>11502</v>
      </c>
      <c r="M10044" t="s">
        <v>11492</v>
      </c>
      <c r="N10044" t="s">
        <v>11492</v>
      </c>
      <c r="O10044" t="s">
        <v>23</v>
      </c>
      <c r="P10044" t="s">
        <v>24</v>
      </c>
      <c r="Q10044" t="s">
        <v>1071</v>
      </c>
      <c r="R10044" t="s">
        <v>11493</v>
      </c>
    </row>
    <row r="10045" spans="1:18" x14ac:dyDescent="0.25">
      <c r="A10045" t="s">
        <v>15990</v>
      </c>
      <c r="B10045" t="s">
        <v>11513</v>
      </c>
      <c r="C10045" t="str">
        <f>HYPERLINK("https://nematode.unl.edu/tropmin8.jpg")</f>
        <v>https://nematode.unl.edu/tropmin8.jpg</v>
      </c>
      <c r="D10045" t="s">
        <v>43</v>
      </c>
      <c r="G10045" t="s">
        <v>3931</v>
      </c>
      <c r="J10045" t="s">
        <v>46</v>
      </c>
      <c r="L10045" t="s">
        <v>11502</v>
      </c>
      <c r="M10045" t="s">
        <v>11492</v>
      </c>
      <c r="N10045" t="s">
        <v>11492</v>
      </c>
      <c r="O10045" t="s">
        <v>23</v>
      </c>
      <c r="P10045" t="s">
        <v>24</v>
      </c>
      <c r="Q10045" t="s">
        <v>1071</v>
      </c>
      <c r="R10045" t="s">
        <v>11493</v>
      </c>
    </row>
    <row r="10046" spans="1:18" x14ac:dyDescent="0.25">
      <c r="A10046" t="s">
        <v>16001</v>
      </c>
      <c r="B10046" t="s">
        <v>11514</v>
      </c>
      <c r="C10046" t="str">
        <f>HYPERLINK("https://nematode.unl.edu/tropmin9.jpg")</f>
        <v>https://nematode.unl.edu/tropmin9.jpg</v>
      </c>
      <c r="D10046" t="s">
        <v>43</v>
      </c>
      <c r="G10046" t="s">
        <v>51</v>
      </c>
      <c r="I10046" t="s">
        <v>41</v>
      </c>
      <c r="J10046" t="s">
        <v>46</v>
      </c>
      <c r="L10046" t="s">
        <v>11502</v>
      </c>
      <c r="M10046" t="s">
        <v>11492</v>
      </c>
      <c r="N10046" t="s">
        <v>11492</v>
      </c>
      <c r="O10046" t="s">
        <v>23</v>
      </c>
      <c r="P10046" t="s">
        <v>24</v>
      </c>
      <c r="Q10046" t="s">
        <v>1071</v>
      </c>
      <c r="R10046" t="s">
        <v>11493</v>
      </c>
    </row>
    <row r="10047" spans="1:18" x14ac:dyDescent="0.25">
      <c r="A10047" t="s">
        <v>19812</v>
      </c>
      <c r="B10047" t="s">
        <v>631</v>
      </c>
      <c r="C10047" t="str">
        <f>HYPERLINK("https://nematode.unl.edu/tsacca1.jpg")</f>
        <v>https://nematode.unl.edu/tsacca1.jpg</v>
      </c>
      <c r="D10047" t="s">
        <v>43</v>
      </c>
      <c r="G10047" t="s">
        <v>96</v>
      </c>
      <c r="H10047" t="s">
        <v>18</v>
      </c>
      <c r="I10047" t="s">
        <v>516</v>
      </c>
      <c r="J10047" t="s">
        <v>127</v>
      </c>
      <c r="L10047" t="s">
        <v>632</v>
      </c>
      <c r="M10047" t="s">
        <v>616</v>
      </c>
      <c r="N10047" t="s">
        <v>617</v>
      </c>
      <c r="O10047" t="s">
        <v>73</v>
      </c>
      <c r="P10047" t="s">
        <v>81</v>
      </c>
      <c r="Q10047" t="s">
        <v>489</v>
      </c>
      <c r="R10047" t="s">
        <v>490</v>
      </c>
    </row>
    <row r="10048" spans="1:18" x14ac:dyDescent="0.25">
      <c r="A10048" t="s">
        <v>19822</v>
      </c>
      <c r="B10048" t="s">
        <v>633</v>
      </c>
      <c r="C10048" t="str">
        <f>HYPERLINK("https://nematode.unl.edu/tsacca2.jpg")</f>
        <v>https://nematode.unl.edu/tsacca2.jpg</v>
      </c>
      <c r="G10048" t="s">
        <v>205</v>
      </c>
      <c r="J10048" t="s">
        <v>127</v>
      </c>
      <c r="L10048" t="s">
        <v>632</v>
      </c>
      <c r="M10048" t="s">
        <v>616</v>
      </c>
      <c r="N10048" t="s">
        <v>617</v>
      </c>
      <c r="O10048" t="s">
        <v>73</v>
      </c>
      <c r="P10048" t="s">
        <v>81</v>
      </c>
      <c r="Q10048" t="s">
        <v>489</v>
      </c>
      <c r="R10048" t="s">
        <v>490</v>
      </c>
    </row>
    <row r="10049" spans="1:18" x14ac:dyDescent="0.25">
      <c r="A10049" t="s">
        <v>19827</v>
      </c>
      <c r="B10049" t="s">
        <v>634</v>
      </c>
      <c r="C10049" t="str">
        <f>HYPERLINK("https://nematode.unl.edu/tsacca3.jpg")</f>
        <v>https://nematode.unl.edu/tsacca3.jpg</v>
      </c>
      <c r="D10049" t="s">
        <v>43</v>
      </c>
      <c r="G10049" t="s">
        <v>28</v>
      </c>
      <c r="J10049" t="s">
        <v>127</v>
      </c>
      <c r="L10049" t="s">
        <v>632</v>
      </c>
      <c r="M10049" t="s">
        <v>616</v>
      </c>
      <c r="N10049" t="s">
        <v>617</v>
      </c>
      <c r="O10049" t="s">
        <v>73</v>
      </c>
      <c r="P10049" t="s">
        <v>81</v>
      </c>
      <c r="Q10049" t="s">
        <v>489</v>
      </c>
      <c r="R10049" t="s">
        <v>490</v>
      </c>
    </row>
    <row r="10050" spans="1:18" x14ac:dyDescent="0.25">
      <c r="A10050" t="s">
        <v>19819</v>
      </c>
      <c r="B10050" t="s">
        <v>635</v>
      </c>
      <c r="C10050" t="str">
        <f>HYPERLINK("https://nematode.unl.edu/tsacca4.jpg")</f>
        <v>https://nematode.unl.edu/tsacca4.jpg</v>
      </c>
      <c r="D10050" t="s">
        <v>16</v>
      </c>
      <c r="G10050" t="s">
        <v>87</v>
      </c>
      <c r="J10050" t="s">
        <v>127</v>
      </c>
      <c r="L10050" t="s">
        <v>632</v>
      </c>
      <c r="M10050" t="s">
        <v>616</v>
      </c>
      <c r="N10050" t="s">
        <v>617</v>
      </c>
      <c r="O10050" t="s">
        <v>73</v>
      </c>
      <c r="P10050" t="s">
        <v>81</v>
      </c>
      <c r="Q10050" t="s">
        <v>489</v>
      </c>
      <c r="R10050" t="s">
        <v>490</v>
      </c>
    </row>
    <row r="10051" spans="1:18" x14ac:dyDescent="0.25">
      <c r="A10051" t="s">
        <v>19828</v>
      </c>
      <c r="B10051" t="s">
        <v>636</v>
      </c>
      <c r="C10051" t="str">
        <f>HYPERLINK("https://nematode.unl.edu/tsacca5.jpg")</f>
        <v>https://nematode.unl.edu/tsacca5.jpg</v>
      </c>
      <c r="D10051" t="s">
        <v>43</v>
      </c>
      <c r="G10051" t="s">
        <v>28</v>
      </c>
      <c r="I10051" t="s">
        <v>41</v>
      </c>
      <c r="J10051" t="s">
        <v>127</v>
      </c>
      <c r="L10051" t="s">
        <v>632</v>
      </c>
      <c r="M10051" t="s">
        <v>616</v>
      </c>
      <c r="N10051" t="s">
        <v>617</v>
      </c>
      <c r="O10051" t="s">
        <v>73</v>
      </c>
      <c r="P10051" t="s">
        <v>81</v>
      </c>
      <c r="Q10051" t="s">
        <v>489</v>
      </c>
      <c r="R10051" t="s">
        <v>490</v>
      </c>
    </row>
    <row r="10052" spans="1:18" x14ac:dyDescent="0.25">
      <c r="A10052" t="s">
        <v>19773</v>
      </c>
      <c r="B10052" t="s">
        <v>579</v>
      </c>
      <c r="C10052" t="str">
        <f>HYPERLINK("https://nematode.unl.edu/tycylindcmp.jpg")</f>
        <v>https://nematode.unl.edu/tycylindcmp.jpg</v>
      </c>
      <c r="G10052" t="s">
        <v>108</v>
      </c>
      <c r="M10052" t="s">
        <v>553</v>
      </c>
      <c r="N10052" t="s">
        <v>554</v>
      </c>
      <c r="O10052" t="s">
        <v>73</v>
      </c>
      <c r="P10052" t="s">
        <v>81</v>
      </c>
      <c r="Q10052" t="s">
        <v>489</v>
      </c>
      <c r="R10052" t="s">
        <v>490</v>
      </c>
    </row>
    <row r="10053" spans="1:18" x14ac:dyDescent="0.25">
      <c r="A10053" t="s">
        <v>18609</v>
      </c>
      <c r="B10053" t="s">
        <v>1880</v>
      </c>
      <c r="C10053" t="str">
        <f>HYPERLINK("https://nematode.unl.edu/tydav1.jpg")</f>
        <v>https://nematode.unl.edu/tydav1.jpg</v>
      </c>
      <c r="D10053" t="s">
        <v>43</v>
      </c>
      <c r="G10053" t="s">
        <v>44</v>
      </c>
      <c r="I10053" t="s">
        <v>1008</v>
      </c>
      <c r="J10053" t="s">
        <v>1780</v>
      </c>
      <c r="M10053" t="s">
        <v>1881</v>
      </c>
      <c r="N10053" t="s">
        <v>1882</v>
      </c>
      <c r="O10053" t="s">
        <v>23</v>
      </c>
      <c r="P10053" t="s">
        <v>24</v>
      </c>
      <c r="Q10053" t="s">
        <v>69</v>
      </c>
      <c r="R10053" t="s">
        <v>1883</v>
      </c>
    </row>
    <row r="10054" spans="1:18" x14ac:dyDescent="0.25">
      <c r="A10054" t="s">
        <v>18599</v>
      </c>
      <c r="B10054" t="s">
        <v>1884</v>
      </c>
      <c r="C10054" t="str">
        <f>HYPERLINK("https://nematode.unl.edu/tydav10.jpg")</f>
        <v>https://nematode.unl.edu/tydav10.jpg</v>
      </c>
      <c r="D10054" t="s">
        <v>77</v>
      </c>
      <c r="G10054" t="s">
        <v>34</v>
      </c>
      <c r="H10054" t="s">
        <v>18</v>
      </c>
      <c r="I10054" t="s">
        <v>41</v>
      </c>
      <c r="J10054" t="s">
        <v>1780</v>
      </c>
      <c r="M10054" t="s">
        <v>1881</v>
      </c>
      <c r="N10054" t="s">
        <v>1882</v>
      </c>
      <c r="O10054" t="s">
        <v>23</v>
      </c>
      <c r="P10054" t="s">
        <v>24</v>
      </c>
      <c r="Q10054" t="s">
        <v>69</v>
      </c>
      <c r="R10054" t="s">
        <v>1883</v>
      </c>
    </row>
    <row r="10055" spans="1:18" x14ac:dyDescent="0.25">
      <c r="A10055" t="s">
        <v>18617</v>
      </c>
      <c r="B10055" t="s">
        <v>1885</v>
      </c>
      <c r="C10055" t="str">
        <f>HYPERLINK("https://nematode.unl.edu/tydav11.jpg")</f>
        <v>https://nematode.unl.edu/tydav11.jpg</v>
      </c>
      <c r="D10055" t="s">
        <v>77</v>
      </c>
      <c r="G10055" t="s">
        <v>28</v>
      </c>
      <c r="I10055" t="s">
        <v>137</v>
      </c>
      <c r="J10055" t="s">
        <v>1780</v>
      </c>
      <c r="M10055" t="s">
        <v>1881</v>
      </c>
      <c r="N10055" t="s">
        <v>1882</v>
      </c>
      <c r="O10055" t="s">
        <v>23</v>
      </c>
      <c r="P10055" t="s">
        <v>24</v>
      </c>
      <c r="Q10055" t="s">
        <v>69</v>
      </c>
      <c r="R10055" t="s">
        <v>1883</v>
      </c>
    </row>
    <row r="10056" spans="1:18" x14ac:dyDescent="0.25">
      <c r="A10056" t="s">
        <v>18600</v>
      </c>
      <c r="B10056" t="s">
        <v>1886</v>
      </c>
      <c r="C10056" t="str">
        <f>HYPERLINK("https://nematode.unl.edu/tydav12.jpg")</f>
        <v>https://nematode.unl.edu/tydav12.jpg</v>
      </c>
      <c r="D10056" t="s">
        <v>77</v>
      </c>
      <c r="G10056" t="s">
        <v>34</v>
      </c>
      <c r="H10056" t="s">
        <v>18</v>
      </c>
      <c r="I10056" t="s">
        <v>19</v>
      </c>
      <c r="J10056" t="s">
        <v>1780</v>
      </c>
      <c r="M10056" t="s">
        <v>1881</v>
      </c>
      <c r="N10056" t="s">
        <v>1882</v>
      </c>
      <c r="O10056" t="s">
        <v>23</v>
      </c>
      <c r="P10056" t="s">
        <v>24</v>
      </c>
      <c r="Q10056" t="s">
        <v>69</v>
      </c>
      <c r="R10056" t="s">
        <v>1883</v>
      </c>
    </row>
    <row r="10057" spans="1:18" x14ac:dyDescent="0.25">
      <c r="A10057" t="s">
        <v>18618</v>
      </c>
      <c r="B10057" t="s">
        <v>1887</v>
      </c>
      <c r="C10057" t="str">
        <f>HYPERLINK("https://nematode.unl.edu/tydav13.jpg")</f>
        <v>https://nematode.unl.edu/tydav13.jpg</v>
      </c>
      <c r="D10057" t="s">
        <v>16</v>
      </c>
      <c r="G10057" t="s">
        <v>28</v>
      </c>
      <c r="I10057" t="s">
        <v>19</v>
      </c>
      <c r="J10057" t="s">
        <v>1780</v>
      </c>
      <c r="M10057" t="s">
        <v>1881</v>
      </c>
      <c r="N10057" t="s">
        <v>1882</v>
      </c>
      <c r="O10057" t="s">
        <v>23</v>
      </c>
      <c r="P10057" t="s">
        <v>24</v>
      </c>
      <c r="Q10057" t="s">
        <v>69</v>
      </c>
      <c r="R10057" t="s">
        <v>1883</v>
      </c>
    </row>
    <row r="10058" spans="1:18" x14ac:dyDescent="0.25">
      <c r="A10058" t="s">
        <v>18601</v>
      </c>
      <c r="B10058" t="s">
        <v>1888</v>
      </c>
      <c r="C10058" t="str">
        <f>HYPERLINK("https://nematode.unl.edu/tydav14.jpg")</f>
        <v>https://nematode.unl.edu/tydav14.jpg</v>
      </c>
      <c r="D10058" t="s">
        <v>16</v>
      </c>
      <c r="G10058" t="s">
        <v>34</v>
      </c>
      <c r="H10058" t="s">
        <v>18</v>
      </c>
      <c r="I10058" t="s">
        <v>516</v>
      </c>
      <c r="J10058" t="s">
        <v>1780</v>
      </c>
      <c r="M10058" t="s">
        <v>1881</v>
      </c>
      <c r="N10058" t="s">
        <v>1882</v>
      </c>
      <c r="O10058" t="s">
        <v>23</v>
      </c>
      <c r="P10058" t="s">
        <v>24</v>
      </c>
      <c r="Q10058" t="s">
        <v>69</v>
      </c>
      <c r="R10058" t="s">
        <v>1883</v>
      </c>
    </row>
    <row r="10059" spans="1:18" x14ac:dyDescent="0.25">
      <c r="A10059" t="s">
        <v>18610</v>
      </c>
      <c r="B10059" t="s">
        <v>1889</v>
      </c>
      <c r="C10059" t="str">
        <f>HYPERLINK("https://nematode.unl.edu/tydav15.jpg")</f>
        <v>https://nematode.unl.edu/tydav15.jpg</v>
      </c>
      <c r="D10059" t="s">
        <v>77</v>
      </c>
      <c r="G10059" t="s">
        <v>44</v>
      </c>
      <c r="J10059" t="s">
        <v>1780</v>
      </c>
      <c r="M10059" t="s">
        <v>1881</v>
      </c>
      <c r="N10059" t="s">
        <v>1882</v>
      </c>
      <c r="O10059" t="s">
        <v>23</v>
      </c>
      <c r="P10059" t="s">
        <v>24</v>
      </c>
      <c r="Q10059" t="s">
        <v>69</v>
      </c>
      <c r="R10059" t="s">
        <v>1883</v>
      </c>
    </row>
    <row r="10060" spans="1:18" x14ac:dyDescent="0.25">
      <c r="A10060" t="s">
        <v>18619</v>
      </c>
      <c r="B10060" t="s">
        <v>1890</v>
      </c>
      <c r="C10060" t="str">
        <f>HYPERLINK("https://nematode.unl.edu/tydav16.jpg")</f>
        <v>https://nematode.unl.edu/tydav16.jpg</v>
      </c>
      <c r="D10060" t="s">
        <v>77</v>
      </c>
      <c r="G10060" t="s">
        <v>28</v>
      </c>
      <c r="I10060" t="s">
        <v>137</v>
      </c>
      <c r="J10060" t="s">
        <v>1780</v>
      </c>
      <c r="M10060" t="s">
        <v>1881</v>
      </c>
      <c r="N10060" t="s">
        <v>1882</v>
      </c>
      <c r="O10060" t="s">
        <v>23</v>
      </c>
      <c r="P10060" t="s">
        <v>24</v>
      </c>
      <c r="Q10060" t="s">
        <v>69</v>
      </c>
      <c r="R10060" t="s">
        <v>1883</v>
      </c>
    </row>
    <row r="10061" spans="1:18" x14ac:dyDescent="0.25">
      <c r="A10061" t="s">
        <v>18602</v>
      </c>
      <c r="B10061" t="s">
        <v>1891</v>
      </c>
      <c r="C10061" t="str">
        <f>HYPERLINK("https://nematode.unl.edu/tydav17.jpg")</f>
        <v>https://nematode.unl.edu/tydav17.jpg</v>
      </c>
      <c r="D10061" t="s">
        <v>77</v>
      </c>
      <c r="G10061" t="s">
        <v>34</v>
      </c>
      <c r="H10061" t="s">
        <v>18</v>
      </c>
      <c r="J10061" t="s">
        <v>1780</v>
      </c>
      <c r="M10061" t="s">
        <v>1881</v>
      </c>
      <c r="N10061" t="s">
        <v>1882</v>
      </c>
      <c r="O10061" t="s">
        <v>23</v>
      </c>
      <c r="P10061" t="s">
        <v>24</v>
      </c>
      <c r="Q10061" t="s">
        <v>69</v>
      </c>
      <c r="R10061" t="s">
        <v>1883</v>
      </c>
    </row>
    <row r="10062" spans="1:18" x14ac:dyDescent="0.25">
      <c r="A10062" t="s">
        <v>18616</v>
      </c>
      <c r="B10062" t="s">
        <v>1892</v>
      </c>
      <c r="C10062" t="str">
        <f>HYPERLINK("https://nematode.unl.edu/tydav18.jpg")</f>
        <v>https://nematode.unl.edu/tydav18.jpg</v>
      </c>
      <c r="D10062" t="s">
        <v>77</v>
      </c>
      <c r="G10062" t="s">
        <v>112</v>
      </c>
      <c r="J10062" t="s">
        <v>1780</v>
      </c>
      <c r="M10062" t="s">
        <v>1881</v>
      </c>
      <c r="N10062" t="s">
        <v>1882</v>
      </c>
      <c r="O10062" t="s">
        <v>23</v>
      </c>
      <c r="P10062" t="s">
        <v>24</v>
      </c>
      <c r="Q10062" t="s">
        <v>69</v>
      </c>
      <c r="R10062" t="s">
        <v>1883</v>
      </c>
    </row>
    <row r="10063" spans="1:18" x14ac:dyDescent="0.25">
      <c r="A10063" t="s">
        <v>18598</v>
      </c>
      <c r="B10063" t="s">
        <v>1893</v>
      </c>
      <c r="C10063" t="str">
        <f>HYPERLINK("https://nematode.unl.edu/tydav19.jpg")</f>
        <v>https://nematode.unl.edu/tydav19.jpg</v>
      </c>
      <c r="D10063" t="s">
        <v>43</v>
      </c>
      <c r="G10063" t="s">
        <v>96</v>
      </c>
      <c r="H10063" t="s">
        <v>18</v>
      </c>
      <c r="J10063" t="s">
        <v>1780</v>
      </c>
      <c r="M10063" t="s">
        <v>1881</v>
      </c>
      <c r="N10063" t="s">
        <v>1882</v>
      </c>
      <c r="O10063" t="s">
        <v>23</v>
      </c>
      <c r="P10063" t="s">
        <v>24</v>
      </c>
      <c r="Q10063" t="s">
        <v>69</v>
      </c>
      <c r="R10063" t="s">
        <v>1883</v>
      </c>
    </row>
    <row r="10064" spans="1:18" x14ac:dyDescent="0.25">
      <c r="A10064" t="s">
        <v>18624</v>
      </c>
      <c r="B10064" t="s">
        <v>1894</v>
      </c>
      <c r="C10064" t="str">
        <f>HYPERLINK("https://nematode.unl.edu/tydav2.jpg")</f>
        <v>https://nematode.unl.edu/tydav2.jpg</v>
      </c>
      <c r="D10064" t="s">
        <v>43</v>
      </c>
      <c r="G10064" t="s">
        <v>51</v>
      </c>
      <c r="I10064" t="s">
        <v>19</v>
      </c>
      <c r="J10064" t="s">
        <v>1780</v>
      </c>
      <c r="M10064" t="s">
        <v>1881</v>
      </c>
      <c r="N10064" t="s">
        <v>1882</v>
      </c>
      <c r="O10064" t="s">
        <v>23</v>
      </c>
      <c r="P10064" t="s">
        <v>24</v>
      </c>
      <c r="Q10064" t="s">
        <v>69</v>
      </c>
      <c r="R10064" t="s">
        <v>1883</v>
      </c>
    </row>
    <row r="10065" spans="1:18" x14ac:dyDescent="0.25">
      <c r="A10065" t="s">
        <v>18620</v>
      </c>
      <c r="B10065" t="s">
        <v>1895</v>
      </c>
      <c r="C10065" t="str">
        <f>HYPERLINK("https://nematode.unl.edu/tydav20.jpg")</f>
        <v>https://nematode.unl.edu/tydav20.jpg</v>
      </c>
      <c r="D10065" t="s">
        <v>43</v>
      </c>
      <c r="G10065" t="s">
        <v>28</v>
      </c>
      <c r="I10065" t="s">
        <v>137</v>
      </c>
      <c r="J10065" t="s">
        <v>1780</v>
      </c>
      <c r="M10065" t="s">
        <v>1881</v>
      </c>
      <c r="N10065" t="s">
        <v>1882</v>
      </c>
      <c r="O10065" t="s">
        <v>23</v>
      </c>
      <c r="P10065" t="s">
        <v>24</v>
      </c>
      <c r="Q10065" t="s">
        <v>69</v>
      </c>
      <c r="R10065" t="s">
        <v>1883</v>
      </c>
    </row>
    <row r="10066" spans="1:18" x14ac:dyDescent="0.25">
      <c r="A10066" t="s">
        <v>18608</v>
      </c>
      <c r="B10066" t="s">
        <v>1896</v>
      </c>
      <c r="C10066" t="str">
        <f>HYPERLINK("https://nematode.unl.edu/tydav21.jpg")</f>
        <v>https://nematode.unl.edu/tydav21.jpg</v>
      </c>
      <c r="D10066" t="s">
        <v>77</v>
      </c>
      <c r="G10066" t="s">
        <v>905</v>
      </c>
      <c r="J10066" t="s">
        <v>1780</v>
      </c>
      <c r="M10066" t="s">
        <v>1881</v>
      </c>
      <c r="N10066" t="s">
        <v>1882</v>
      </c>
      <c r="O10066" t="s">
        <v>23</v>
      </c>
      <c r="P10066" t="s">
        <v>24</v>
      </c>
      <c r="Q10066" t="s">
        <v>69</v>
      </c>
      <c r="R10066" t="s">
        <v>1883</v>
      </c>
    </row>
    <row r="10067" spans="1:18" x14ac:dyDescent="0.25">
      <c r="A10067" t="s">
        <v>18603</v>
      </c>
      <c r="B10067" t="s">
        <v>1897</v>
      </c>
      <c r="C10067" t="str">
        <f>HYPERLINK("https://nematode.unl.edu/tydav23.jpg")</f>
        <v>https://nematode.unl.edu/tydav23.jpg</v>
      </c>
      <c r="D10067" t="s">
        <v>16</v>
      </c>
      <c r="G10067" t="s">
        <v>34</v>
      </c>
      <c r="H10067" t="s">
        <v>18</v>
      </c>
      <c r="I10067" t="s">
        <v>19</v>
      </c>
      <c r="J10067" t="s">
        <v>1780</v>
      </c>
      <c r="M10067" t="s">
        <v>1881</v>
      </c>
      <c r="N10067" t="s">
        <v>1882</v>
      </c>
      <c r="O10067" t="s">
        <v>23</v>
      </c>
      <c r="P10067" t="s">
        <v>24</v>
      </c>
      <c r="Q10067" t="s">
        <v>69</v>
      </c>
      <c r="R10067" t="s">
        <v>1883</v>
      </c>
    </row>
    <row r="10068" spans="1:18" x14ac:dyDescent="0.25">
      <c r="A10068" t="s">
        <v>18614</v>
      </c>
      <c r="B10068" t="s">
        <v>1898</v>
      </c>
      <c r="C10068" t="str">
        <f>HYPERLINK("https://nematode.unl.edu/tydav24.jpg")</f>
        <v>https://nematode.unl.edu/tydav24.jpg</v>
      </c>
      <c r="D10068" t="s">
        <v>16</v>
      </c>
      <c r="G10068" t="s">
        <v>53</v>
      </c>
      <c r="I10068" t="s">
        <v>19</v>
      </c>
      <c r="J10068" t="s">
        <v>1780</v>
      </c>
      <c r="M10068" t="s">
        <v>1881</v>
      </c>
      <c r="N10068" t="s">
        <v>1882</v>
      </c>
      <c r="O10068" t="s">
        <v>23</v>
      </c>
      <c r="P10068" t="s">
        <v>24</v>
      </c>
      <c r="Q10068" t="s">
        <v>69</v>
      </c>
      <c r="R10068" t="s">
        <v>1883</v>
      </c>
    </row>
    <row r="10069" spans="1:18" x14ac:dyDescent="0.25">
      <c r="A10069" t="s">
        <v>18604</v>
      </c>
      <c r="B10069" t="s">
        <v>1899</v>
      </c>
      <c r="C10069" t="str">
        <f>HYPERLINK("https://nematode.unl.edu/tydav25.jpg")</f>
        <v>https://nematode.unl.edu/tydav25.jpg</v>
      </c>
      <c r="D10069" t="s">
        <v>77</v>
      </c>
      <c r="G10069" t="s">
        <v>34</v>
      </c>
      <c r="H10069" t="s">
        <v>18</v>
      </c>
      <c r="J10069" t="s">
        <v>1780</v>
      </c>
      <c r="M10069" t="s">
        <v>1881</v>
      </c>
      <c r="N10069" t="s">
        <v>1882</v>
      </c>
      <c r="O10069" t="s">
        <v>23</v>
      </c>
      <c r="P10069" t="s">
        <v>24</v>
      </c>
      <c r="Q10069" t="s">
        <v>69</v>
      </c>
      <c r="R10069" t="s">
        <v>1883</v>
      </c>
    </row>
    <row r="10070" spans="1:18" x14ac:dyDescent="0.25">
      <c r="A10070" t="s">
        <v>18621</v>
      </c>
      <c r="B10070" t="s">
        <v>1900</v>
      </c>
      <c r="C10070" t="str">
        <f>HYPERLINK("https://nematode.unl.edu/tydav26.jpg")</f>
        <v>https://nematode.unl.edu/tydav26.jpg</v>
      </c>
      <c r="D10070" t="s">
        <v>77</v>
      </c>
      <c r="G10070" t="s">
        <v>28</v>
      </c>
      <c r="J10070" t="s">
        <v>1780</v>
      </c>
      <c r="M10070" t="s">
        <v>1881</v>
      </c>
      <c r="N10070" t="s">
        <v>1882</v>
      </c>
      <c r="O10070" t="s">
        <v>23</v>
      </c>
      <c r="P10070" t="s">
        <v>24</v>
      </c>
      <c r="Q10070" t="s">
        <v>69</v>
      </c>
      <c r="R10070" t="s">
        <v>1883</v>
      </c>
    </row>
    <row r="10071" spans="1:18" x14ac:dyDescent="0.25">
      <c r="A10071" t="s">
        <v>18605</v>
      </c>
      <c r="B10071" t="s">
        <v>1901</v>
      </c>
      <c r="C10071" t="str">
        <f>HYPERLINK("https://nematode.unl.edu/tydav3.jpg")</f>
        <v>https://nematode.unl.edu/tydav3.jpg</v>
      </c>
      <c r="D10071" t="s">
        <v>43</v>
      </c>
      <c r="G10071" t="s">
        <v>34</v>
      </c>
      <c r="H10071" t="s">
        <v>18</v>
      </c>
      <c r="J10071" t="s">
        <v>1780</v>
      </c>
      <c r="M10071" t="s">
        <v>1881</v>
      </c>
      <c r="N10071" t="s">
        <v>1882</v>
      </c>
      <c r="O10071" t="s">
        <v>23</v>
      </c>
      <c r="P10071" t="s">
        <v>24</v>
      </c>
      <c r="Q10071" t="s">
        <v>69</v>
      </c>
      <c r="R10071" t="s">
        <v>1883</v>
      </c>
    </row>
    <row r="10072" spans="1:18" x14ac:dyDescent="0.25">
      <c r="A10072" t="s">
        <v>18622</v>
      </c>
      <c r="B10072" t="s">
        <v>1902</v>
      </c>
      <c r="C10072" t="str">
        <f>HYPERLINK("https://nematode.unl.edu/tydav4.jpg")</f>
        <v>https://nematode.unl.edu/tydav4.jpg</v>
      </c>
      <c r="D10072" t="s">
        <v>43</v>
      </c>
      <c r="G10072" t="s">
        <v>28</v>
      </c>
      <c r="I10072" t="s">
        <v>19</v>
      </c>
      <c r="J10072" t="s">
        <v>1780</v>
      </c>
      <c r="M10072" t="s">
        <v>1881</v>
      </c>
      <c r="N10072" t="s">
        <v>1882</v>
      </c>
      <c r="O10072" t="s">
        <v>23</v>
      </c>
      <c r="P10072" t="s">
        <v>24</v>
      </c>
      <c r="Q10072" t="s">
        <v>69</v>
      </c>
      <c r="R10072" t="s">
        <v>1883</v>
      </c>
    </row>
    <row r="10073" spans="1:18" x14ac:dyDescent="0.25">
      <c r="A10073" t="s">
        <v>18611</v>
      </c>
      <c r="B10073" t="s">
        <v>1903</v>
      </c>
      <c r="C10073" t="str">
        <f>HYPERLINK("https://nematode.unl.edu/tydav5.jpg")</f>
        <v>https://nematode.unl.edu/tydav5.jpg</v>
      </c>
      <c r="D10073" t="s">
        <v>77</v>
      </c>
      <c r="G10073" t="s">
        <v>44</v>
      </c>
      <c r="J10073" t="s">
        <v>1780</v>
      </c>
      <c r="M10073" t="s">
        <v>1881</v>
      </c>
      <c r="N10073" t="s">
        <v>1882</v>
      </c>
      <c r="O10073" t="s">
        <v>23</v>
      </c>
      <c r="P10073" t="s">
        <v>24</v>
      </c>
      <c r="Q10073" t="s">
        <v>69</v>
      </c>
      <c r="R10073" t="s">
        <v>1883</v>
      </c>
    </row>
    <row r="10074" spans="1:18" x14ac:dyDescent="0.25">
      <c r="A10074" t="s">
        <v>18606</v>
      </c>
      <c r="B10074" t="s">
        <v>1904</v>
      </c>
      <c r="C10074" t="str">
        <f>HYPERLINK("https://nematode.unl.edu/tydav6.jpg")</f>
        <v>https://nematode.unl.edu/tydav6.jpg</v>
      </c>
      <c r="D10074" t="s">
        <v>77</v>
      </c>
      <c r="G10074" t="s">
        <v>34</v>
      </c>
      <c r="H10074" t="s">
        <v>18</v>
      </c>
      <c r="J10074" t="s">
        <v>1780</v>
      </c>
      <c r="M10074" t="s">
        <v>1881</v>
      </c>
      <c r="N10074" t="s">
        <v>1882</v>
      </c>
      <c r="O10074" t="s">
        <v>23</v>
      </c>
      <c r="P10074" t="s">
        <v>24</v>
      </c>
      <c r="Q10074" t="s">
        <v>69</v>
      </c>
      <c r="R10074" t="s">
        <v>1883</v>
      </c>
    </row>
    <row r="10075" spans="1:18" x14ac:dyDescent="0.25">
      <c r="A10075" t="s">
        <v>18612</v>
      </c>
      <c r="B10075" t="s">
        <v>1905</v>
      </c>
      <c r="C10075" t="str">
        <f>HYPERLINK("https://nematode.unl.edu/tydav7.jpg")</f>
        <v>https://nematode.unl.edu/tydav7.jpg</v>
      </c>
      <c r="G10075" t="s">
        <v>1906</v>
      </c>
      <c r="I10075" t="s">
        <v>19</v>
      </c>
      <c r="J10075" t="s">
        <v>1780</v>
      </c>
      <c r="M10075" t="s">
        <v>1881</v>
      </c>
      <c r="N10075" t="s">
        <v>1882</v>
      </c>
      <c r="O10075" t="s">
        <v>23</v>
      </c>
      <c r="P10075" t="s">
        <v>24</v>
      </c>
      <c r="Q10075" t="s">
        <v>69</v>
      </c>
      <c r="R10075" t="s">
        <v>1883</v>
      </c>
    </row>
    <row r="10076" spans="1:18" x14ac:dyDescent="0.25">
      <c r="A10076" t="s">
        <v>18613</v>
      </c>
      <c r="B10076" t="s">
        <v>1907</v>
      </c>
      <c r="C10076" t="str">
        <f>HYPERLINK("https://nematode.unl.edu/tydav8.jpg")</f>
        <v>https://nematode.unl.edu/tydav8.jpg</v>
      </c>
      <c r="G10076" t="s">
        <v>1906</v>
      </c>
      <c r="J10076" t="s">
        <v>1780</v>
      </c>
      <c r="M10076" t="s">
        <v>1881</v>
      </c>
      <c r="N10076" t="s">
        <v>1882</v>
      </c>
      <c r="O10076" t="s">
        <v>23</v>
      </c>
      <c r="P10076" t="s">
        <v>24</v>
      </c>
      <c r="Q10076" t="s">
        <v>69</v>
      </c>
      <c r="R10076" t="s">
        <v>1883</v>
      </c>
    </row>
    <row r="10077" spans="1:18" x14ac:dyDescent="0.25">
      <c r="A10077" t="s">
        <v>18615</v>
      </c>
      <c r="B10077" t="s">
        <v>1908</v>
      </c>
      <c r="C10077" t="str">
        <f>HYPERLINK("https://nematode.unl.edu/tydav9.jpg")</f>
        <v>https://nematode.unl.edu/tydav9.jpg</v>
      </c>
      <c r="D10077" t="s">
        <v>77</v>
      </c>
      <c r="G10077" t="s">
        <v>53</v>
      </c>
      <c r="I10077" t="s">
        <v>41</v>
      </c>
      <c r="J10077" t="s">
        <v>1780</v>
      </c>
      <c r="M10077" t="s">
        <v>1881</v>
      </c>
      <c r="N10077" t="s">
        <v>1882</v>
      </c>
      <c r="O10077" t="s">
        <v>23</v>
      </c>
      <c r="P10077" t="s">
        <v>24</v>
      </c>
      <c r="Q10077" t="s">
        <v>69</v>
      </c>
      <c r="R10077" t="s">
        <v>1883</v>
      </c>
    </row>
    <row r="10078" spans="1:18" x14ac:dyDescent="0.25">
      <c r="A10078" t="s">
        <v>18607</v>
      </c>
      <c r="B10078" t="s">
        <v>1909</v>
      </c>
      <c r="C10078" t="str">
        <f>HYPERLINK("https://nematode.unl.edu/tydavacmp.jpg")</f>
        <v>https://nematode.unl.edu/tydavacmp.jpg</v>
      </c>
      <c r="G10078" t="s">
        <v>34</v>
      </c>
      <c r="H10078" t="s">
        <v>18</v>
      </c>
      <c r="M10078" t="s">
        <v>1881</v>
      </c>
      <c r="N10078" t="s">
        <v>1882</v>
      </c>
      <c r="O10078" t="s">
        <v>23</v>
      </c>
      <c r="P10078" t="s">
        <v>24</v>
      </c>
      <c r="Q10078" t="s">
        <v>69</v>
      </c>
      <c r="R10078" t="s">
        <v>1883</v>
      </c>
    </row>
    <row r="10079" spans="1:18" x14ac:dyDescent="0.25">
      <c r="A10079" t="s">
        <v>18623</v>
      </c>
      <c r="B10079" t="s">
        <v>1910</v>
      </c>
      <c r="C10079" t="str">
        <f>HYPERLINK("https://nematode.unl.edu/tydavcmp.jpg")</f>
        <v>https://nematode.unl.edu/tydavcmp.jpg</v>
      </c>
      <c r="D10079" t="s">
        <v>77</v>
      </c>
      <c r="G10079" t="s">
        <v>28</v>
      </c>
      <c r="J10079" t="s">
        <v>482</v>
      </c>
      <c r="M10079" t="s">
        <v>1881</v>
      </c>
      <c r="N10079" t="s">
        <v>1882</v>
      </c>
      <c r="O10079" t="s">
        <v>23</v>
      </c>
      <c r="P10079" t="s">
        <v>24</v>
      </c>
      <c r="Q10079" t="s">
        <v>69</v>
      </c>
      <c r="R10079" t="s">
        <v>1883</v>
      </c>
    </row>
    <row r="10080" spans="1:18" x14ac:dyDescent="0.25">
      <c r="A10080" t="s">
        <v>22810</v>
      </c>
      <c r="B10080" t="s">
        <v>11456</v>
      </c>
      <c r="C10080" t="str">
        <f>HYPERLINK("https://nematode.unl.edu/tylab1.jpg")</f>
        <v>https://nematode.unl.edu/tylab1.jpg</v>
      </c>
      <c r="G10080" t="s">
        <v>44</v>
      </c>
      <c r="L10080" t="s">
        <v>85</v>
      </c>
      <c r="M10080" t="s">
        <v>11438</v>
      </c>
      <c r="N10080" t="s">
        <v>11438</v>
      </c>
      <c r="O10080" t="s">
        <v>73</v>
      </c>
      <c r="P10080" t="s">
        <v>1806</v>
      </c>
      <c r="Q10080" t="s">
        <v>11439</v>
      </c>
      <c r="R10080" t="s">
        <v>11438</v>
      </c>
    </row>
    <row r="10081" spans="1:18" x14ac:dyDescent="0.25">
      <c r="A10081" t="s">
        <v>22824</v>
      </c>
      <c r="B10081" t="s">
        <v>11457</v>
      </c>
      <c r="C10081" t="str">
        <f>HYPERLINK("https://nematode.unl.edu/tylab10.jpg")</f>
        <v>https://nematode.unl.edu/tylab10.jpg</v>
      </c>
      <c r="D10081" t="s">
        <v>43</v>
      </c>
      <c r="G10081" t="s">
        <v>51</v>
      </c>
      <c r="J10081" t="s">
        <v>20</v>
      </c>
      <c r="L10081" t="s">
        <v>752</v>
      </c>
      <c r="M10081" t="s">
        <v>11438</v>
      </c>
      <c r="N10081" t="s">
        <v>11438</v>
      </c>
      <c r="O10081" t="s">
        <v>73</v>
      </c>
      <c r="P10081" t="s">
        <v>1806</v>
      </c>
      <c r="Q10081" t="s">
        <v>11439</v>
      </c>
      <c r="R10081" t="s">
        <v>11438</v>
      </c>
    </row>
    <row r="10082" spans="1:18" x14ac:dyDescent="0.25">
      <c r="A10082" t="s">
        <v>22806</v>
      </c>
      <c r="B10082" t="s">
        <v>11458</v>
      </c>
      <c r="C10082" t="str">
        <f>HYPERLINK("https://nematode.unl.edu/tylab11.jpg")</f>
        <v>https://nematode.unl.edu/tylab11.jpg</v>
      </c>
      <c r="D10082" t="s">
        <v>43</v>
      </c>
      <c r="G10082" t="s">
        <v>905</v>
      </c>
      <c r="J10082" t="s">
        <v>20</v>
      </c>
      <c r="L10082" t="s">
        <v>752</v>
      </c>
      <c r="M10082" t="s">
        <v>11438</v>
      </c>
      <c r="N10082" t="s">
        <v>11438</v>
      </c>
      <c r="O10082" t="s">
        <v>73</v>
      </c>
      <c r="P10082" t="s">
        <v>1806</v>
      </c>
      <c r="Q10082" t="s">
        <v>11439</v>
      </c>
      <c r="R10082" t="s">
        <v>11438</v>
      </c>
    </row>
    <row r="10083" spans="1:18" x14ac:dyDescent="0.25">
      <c r="A10083" t="s">
        <v>22819</v>
      </c>
      <c r="B10083" t="s">
        <v>11459</v>
      </c>
      <c r="C10083" t="str">
        <f>HYPERLINK("https://nematode.unl.edu/tylab12.jpg")</f>
        <v>https://nematode.unl.edu/tylab12.jpg</v>
      </c>
      <c r="G10083" t="s">
        <v>28</v>
      </c>
      <c r="J10083" t="s">
        <v>20</v>
      </c>
      <c r="L10083" t="s">
        <v>752</v>
      </c>
      <c r="M10083" t="s">
        <v>11438</v>
      </c>
      <c r="N10083" t="s">
        <v>11438</v>
      </c>
      <c r="O10083" t="s">
        <v>73</v>
      </c>
      <c r="P10083" t="s">
        <v>1806</v>
      </c>
      <c r="Q10083" t="s">
        <v>11439</v>
      </c>
      <c r="R10083" t="s">
        <v>11438</v>
      </c>
    </row>
    <row r="10084" spans="1:18" x14ac:dyDescent="0.25">
      <c r="A10084" t="s">
        <v>22802</v>
      </c>
      <c r="B10084" t="s">
        <v>11460</v>
      </c>
      <c r="C10084" t="str">
        <f>HYPERLINK("https://nematode.unl.edu/tylab13.jpg")</f>
        <v>https://nematode.unl.edu/tylab13.jpg</v>
      </c>
      <c r="D10084" t="s">
        <v>43</v>
      </c>
      <c r="G10084" t="s">
        <v>34</v>
      </c>
      <c r="H10084" t="s">
        <v>18</v>
      </c>
      <c r="J10084" t="s">
        <v>20</v>
      </c>
      <c r="L10084" t="s">
        <v>752</v>
      </c>
      <c r="M10084" t="s">
        <v>11438</v>
      </c>
      <c r="N10084" t="s">
        <v>11438</v>
      </c>
      <c r="O10084" t="s">
        <v>73</v>
      </c>
      <c r="P10084" t="s">
        <v>1806</v>
      </c>
      <c r="Q10084" t="s">
        <v>11439</v>
      </c>
      <c r="R10084" t="s">
        <v>11438</v>
      </c>
    </row>
    <row r="10085" spans="1:18" x14ac:dyDescent="0.25">
      <c r="A10085" t="s">
        <v>22811</v>
      </c>
      <c r="B10085" t="s">
        <v>11461</v>
      </c>
      <c r="C10085" t="str">
        <f>HYPERLINK("https://nematode.unl.edu/tylab14.jpg")</f>
        <v>https://nematode.unl.edu/tylab14.jpg</v>
      </c>
      <c r="D10085" t="s">
        <v>43</v>
      </c>
      <c r="G10085" t="s">
        <v>243</v>
      </c>
      <c r="I10085" t="s">
        <v>529</v>
      </c>
      <c r="J10085" t="s">
        <v>20</v>
      </c>
      <c r="L10085" t="s">
        <v>752</v>
      </c>
      <c r="M10085" t="s">
        <v>11438</v>
      </c>
      <c r="N10085" t="s">
        <v>11438</v>
      </c>
      <c r="O10085" t="s">
        <v>73</v>
      </c>
      <c r="P10085" t="s">
        <v>1806</v>
      </c>
      <c r="Q10085" t="s">
        <v>11439</v>
      </c>
      <c r="R10085" t="s">
        <v>11438</v>
      </c>
    </row>
    <row r="10086" spans="1:18" x14ac:dyDescent="0.25">
      <c r="A10086" t="s">
        <v>22803</v>
      </c>
      <c r="B10086" t="s">
        <v>11462</v>
      </c>
      <c r="C10086" t="str">
        <f>HYPERLINK("https://nematode.unl.edu/tylab15.jpg")</f>
        <v>https://nematode.unl.edu/tylab15.jpg</v>
      </c>
      <c r="D10086" t="s">
        <v>43</v>
      </c>
      <c r="G10086" t="s">
        <v>34</v>
      </c>
      <c r="H10086" t="s">
        <v>18</v>
      </c>
      <c r="I10086" t="s">
        <v>529</v>
      </c>
      <c r="J10086" t="s">
        <v>20</v>
      </c>
      <c r="L10086" t="s">
        <v>85</v>
      </c>
      <c r="M10086" t="s">
        <v>11438</v>
      </c>
      <c r="N10086" t="s">
        <v>11438</v>
      </c>
      <c r="O10086" t="s">
        <v>73</v>
      </c>
      <c r="P10086" t="s">
        <v>1806</v>
      </c>
      <c r="Q10086" t="s">
        <v>11439</v>
      </c>
      <c r="R10086" t="s">
        <v>11438</v>
      </c>
    </row>
    <row r="10087" spans="1:18" x14ac:dyDescent="0.25">
      <c r="A10087" t="s">
        <v>22820</v>
      </c>
      <c r="B10087" t="s">
        <v>11463</v>
      </c>
      <c r="C10087" t="str">
        <f>HYPERLINK("https://nematode.unl.edu/tylab2.jpg")</f>
        <v>https://nematode.unl.edu/tylab2.jpg</v>
      </c>
      <c r="D10087" t="s">
        <v>43</v>
      </c>
      <c r="G10087" t="s">
        <v>28</v>
      </c>
      <c r="I10087" t="s">
        <v>4020</v>
      </c>
      <c r="J10087" t="s">
        <v>20</v>
      </c>
      <c r="L10087" t="s">
        <v>85</v>
      </c>
      <c r="M10087" t="s">
        <v>11438</v>
      </c>
      <c r="N10087" t="s">
        <v>11438</v>
      </c>
      <c r="O10087" t="s">
        <v>73</v>
      </c>
      <c r="P10087" t="s">
        <v>1806</v>
      </c>
      <c r="Q10087" t="s">
        <v>11439</v>
      </c>
      <c r="R10087" t="s">
        <v>11438</v>
      </c>
    </row>
    <row r="10088" spans="1:18" x14ac:dyDescent="0.25">
      <c r="A10088" t="s">
        <v>22821</v>
      </c>
      <c r="B10088" t="s">
        <v>11464</v>
      </c>
      <c r="C10088" t="str">
        <f>HYPERLINK("https://nematode.unl.edu/tylab3.jpg")</f>
        <v>https://nematode.unl.edu/tylab3.jpg</v>
      </c>
      <c r="D10088" t="s">
        <v>43</v>
      </c>
      <c r="G10088" t="s">
        <v>28</v>
      </c>
      <c r="J10088" t="s">
        <v>20</v>
      </c>
      <c r="L10088" t="s">
        <v>85</v>
      </c>
      <c r="M10088" t="s">
        <v>11438</v>
      </c>
      <c r="N10088" t="s">
        <v>11438</v>
      </c>
      <c r="O10088" t="s">
        <v>73</v>
      </c>
      <c r="P10088" t="s">
        <v>1806</v>
      </c>
      <c r="Q10088" t="s">
        <v>11439</v>
      </c>
      <c r="R10088" t="s">
        <v>11438</v>
      </c>
    </row>
    <row r="10089" spans="1:18" x14ac:dyDescent="0.25">
      <c r="A10089" t="s">
        <v>22807</v>
      </c>
      <c r="B10089" t="s">
        <v>11465</v>
      </c>
      <c r="C10089" t="str">
        <f>HYPERLINK("https://nematode.unl.edu/tylab4.jpg")</f>
        <v>https://nematode.unl.edu/tylab4.jpg</v>
      </c>
      <c r="D10089" t="s">
        <v>43</v>
      </c>
      <c r="G10089" t="s">
        <v>905</v>
      </c>
      <c r="I10089" t="s">
        <v>19</v>
      </c>
      <c r="J10089" t="s">
        <v>20</v>
      </c>
      <c r="M10089" t="s">
        <v>11438</v>
      </c>
      <c r="N10089" t="s">
        <v>11438</v>
      </c>
      <c r="O10089" t="s">
        <v>73</v>
      </c>
      <c r="P10089" t="s">
        <v>1806</v>
      </c>
      <c r="Q10089" t="s">
        <v>11439</v>
      </c>
      <c r="R10089" t="s">
        <v>11438</v>
      </c>
    </row>
    <row r="10090" spans="1:18" x14ac:dyDescent="0.25">
      <c r="A10090" t="s">
        <v>22825</v>
      </c>
      <c r="B10090" t="s">
        <v>11466</v>
      </c>
      <c r="C10090" t="str">
        <f>HYPERLINK("https://nematode.unl.edu/tylab5.jpg")</f>
        <v>https://nematode.unl.edu/tylab5.jpg</v>
      </c>
      <c r="D10090" t="s">
        <v>43</v>
      </c>
      <c r="G10090" t="s">
        <v>51</v>
      </c>
      <c r="J10090" t="s">
        <v>20</v>
      </c>
      <c r="L10090" t="s">
        <v>85</v>
      </c>
      <c r="M10090" t="s">
        <v>11438</v>
      </c>
      <c r="N10090" t="s">
        <v>11438</v>
      </c>
      <c r="O10090" t="s">
        <v>73</v>
      </c>
      <c r="P10090" t="s">
        <v>1806</v>
      </c>
      <c r="Q10090" t="s">
        <v>11439</v>
      </c>
      <c r="R10090" t="s">
        <v>11438</v>
      </c>
    </row>
    <row r="10091" spans="1:18" x14ac:dyDescent="0.25">
      <c r="A10091" t="s">
        <v>22808</v>
      </c>
      <c r="B10091" t="s">
        <v>11467</v>
      </c>
      <c r="C10091" t="str">
        <f>HYPERLINK("https://nematode.unl.edu/tylab6.jpg")</f>
        <v>https://nematode.unl.edu/tylab6.jpg</v>
      </c>
      <c r="D10091" t="s">
        <v>43</v>
      </c>
      <c r="G10091" t="s">
        <v>87</v>
      </c>
      <c r="I10091" t="s">
        <v>19</v>
      </c>
      <c r="M10091" t="s">
        <v>11438</v>
      </c>
      <c r="N10091" t="s">
        <v>11438</v>
      </c>
      <c r="O10091" t="s">
        <v>73</v>
      </c>
      <c r="P10091" t="s">
        <v>1806</v>
      </c>
      <c r="Q10091" t="s">
        <v>11439</v>
      </c>
      <c r="R10091" t="s">
        <v>11438</v>
      </c>
    </row>
    <row r="10092" spans="1:18" x14ac:dyDescent="0.25">
      <c r="A10092" t="s">
        <v>22804</v>
      </c>
      <c r="B10092" t="s">
        <v>11468</v>
      </c>
      <c r="C10092" t="str">
        <f>HYPERLINK("https://nematode.unl.edu/tylab7.jpg")</f>
        <v>https://nematode.unl.edu/tylab7.jpg</v>
      </c>
      <c r="G10092" t="s">
        <v>34</v>
      </c>
      <c r="H10092" t="s">
        <v>18</v>
      </c>
      <c r="J10092" t="s">
        <v>20</v>
      </c>
      <c r="M10092" t="s">
        <v>11438</v>
      </c>
      <c r="N10092" t="s">
        <v>11438</v>
      </c>
      <c r="O10092" t="s">
        <v>73</v>
      </c>
      <c r="P10092" t="s">
        <v>1806</v>
      </c>
      <c r="Q10092" t="s">
        <v>11439</v>
      </c>
      <c r="R10092" t="s">
        <v>11438</v>
      </c>
    </row>
    <row r="10093" spans="1:18" x14ac:dyDescent="0.25">
      <c r="A10093" t="s">
        <v>22805</v>
      </c>
      <c r="B10093" t="s">
        <v>11469</v>
      </c>
      <c r="C10093" t="str">
        <f>HYPERLINK("https://nematode.unl.edu/tylab8.jpg")</f>
        <v>https://nematode.unl.edu/tylab8.jpg</v>
      </c>
      <c r="D10093" t="s">
        <v>43</v>
      </c>
      <c r="G10093" t="s">
        <v>34</v>
      </c>
      <c r="H10093" t="s">
        <v>18</v>
      </c>
      <c r="J10093" t="s">
        <v>20</v>
      </c>
      <c r="L10093" t="s">
        <v>752</v>
      </c>
      <c r="M10093" t="s">
        <v>11438</v>
      </c>
      <c r="N10093" t="s">
        <v>11438</v>
      </c>
      <c r="O10093" t="s">
        <v>73</v>
      </c>
      <c r="P10093" t="s">
        <v>1806</v>
      </c>
      <c r="Q10093" t="s">
        <v>11439</v>
      </c>
      <c r="R10093" t="s">
        <v>11438</v>
      </c>
    </row>
    <row r="10094" spans="1:18" x14ac:dyDescent="0.25">
      <c r="A10094" t="s">
        <v>22812</v>
      </c>
      <c r="B10094" t="s">
        <v>11470</v>
      </c>
      <c r="C10094" t="str">
        <f>HYPERLINK("https://nematode.unl.edu/tylab9.jpg")</f>
        <v>https://nematode.unl.edu/tylab9.jpg</v>
      </c>
      <c r="D10094" t="s">
        <v>43</v>
      </c>
      <c r="G10094" t="s">
        <v>243</v>
      </c>
      <c r="I10094" t="s">
        <v>19</v>
      </c>
      <c r="J10094" t="s">
        <v>20</v>
      </c>
      <c r="L10094" t="s">
        <v>752</v>
      </c>
      <c r="M10094" t="s">
        <v>11438</v>
      </c>
      <c r="N10094" t="s">
        <v>11438</v>
      </c>
      <c r="O10094" t="s">
        <v>73</v>
      </c>
      <c r="P10094" t="s">
        <v>1806</v>
      </c>
      <c r="Q10094" t="s">
        <v>11439</v>
      </c>
      <c r="R10094" t="s">
        <v>11438</v>
      </c>
    </row>
    <row r="10095" spans="1:18" x14ac:dyDescent="0.25">
      <c r="A10095" t="s">
        <v>22000</v>
      </c>
      <c r="B10095" t="s">
        <v>11515</v>
      </c>
      <c r="C10095" t="str">
        <f>HYPERLINK("https://nematode.unl.edu/tylaff1.jpg")</f>
        <v>https://nematode.unl.edu/tylaff1.jpg</v>
      </c>
      <c r="D10095" t="s">
        <v>43</v>
      </c>
      <c r="G10095" t="s">
        <v>34</v>
      </c>
      <c r="H10095" t="s">
        <v>18</v>
      </c>
      <c r="M10095" t="s">
        <v>11516</v>
      </c>
      <c r="N10095" t="s">
        <v>11516</v>
      </c>
      <c r="O10095" t="s">
        <v>73</v>
      </c>
      <c r="P10095" t="s">
        <v>81</v>
      </c>
      <c r="Q10095" t="s">
        <v>952</v>
      </c>
      <c r="R10095" t="s">
        <v>11517</v>
      </c>
    </row>
    <row r="10096" spans="1:18" x14ac:dyDescent="0.25">
      <c r="A10096" t="s">
        <v>22011</v>
      </c>
      <c r="B10096" t="s">
        <v>11518</v>
      </c>
      <c r="C10096" t="str">
        <f>HYPERLINK("https://nematode.unl.edu/tylaff10.jpg")</f>
        <v>https://nematode.unl.edu/tylaff10.jpg</v>
      </c>
      <c r="D10096" t="s">
        <v>77</v>
      </c>
      <c r="G10096" t="s">
        <v>44</v>
      </c>
      <c r="I10096" t="s">
        <v>45</v>
      </c>
      <c r="J10096" t="s">
        <v>20</v>
      </c>
      <c r="L10096" t="s">
        <v>193</v>
      </c>
      <c r="M10096" t="s">
        <v>11516</v>
      </c>
      <c r="N10096" t="s">
        <v>11516</v>
      </c>
      <c r="O10096" t="s">
        <v>73</v>
      </c>
      <c r="P10096" t="s">
        <v>81</v>
      </c>
      <c r="Q10096" t="s">
        <v>952</v>
      </c>
      <c r="R10096" t="s">
        <v>11517</v>
      </c>
    </row>
    <row r="10097" spans="1:18" x14ac:dyDescent="0.25">
      <c r="A10097" t="s">
        <v>22018</v>
      </c>
      <c r="B10097" t="s">
        <v>11519</v>
      </c>
      <c r="C10097" t="str">
        <f>HYPERLINK("https://nematode.unl.edu/tylaff11.jpg")</f>
        <v>https://nematode.unl.edu/tylaff11.jpg</v>
      </c>
      <c r="G10097" t="s">
        <v>28</v>
      </c>
      <c r="I10097" t="s">
        <v>19</v>
      </c>
      <c r="J10097" t="s">
        <v>20</v>
      </c>
      <c r="L10097" t="s">
        <v>193</v>
      </c>
      <c r="M10097" t="s">
        <v>11516</v>
      </c>
      <c r="N10097" t="s">
        <v>11516</v>
      </c>
      <c r="O10097" t="s">
        <v>73</v>
      </c>
      <c r="P10097" t="s">
        <v>81</v>
      </c>
      <c r="Q10097" t="s">
        <v>952</v>
      </c>
      <c r="R10097" t="s">
        <v>11517</v>
      </c>
    </row>
    <row r="10098" spans="1:18" x14ac:dyDescent="0.25">
      <c r="A10098" t="s">
        <v>22008</v>
      </c>
      <c r="B10098" t="s">
        <v>11520</v>
      </c>
      <c r="C10098" t="str">
        <f>HYPERLINK("https://nematode.unl.edu/tylaff12.jpg")</f>
        <v>https://nematode.unl.edu/tylaff12.jpg</v>
      </c>
      <c r="D10098" t="s">
        <v>77</v>
      </c>
      <c r="G10098" t="s">
        <v>384</v>
      </c>
      <c r="I10098" t="s">
        <v>19</v>
      </c>
      <c r="J10098" t="s">
        <v>20</v>
      </c>
      <c r="L10098" t="s">
        <v>193</v>
      </c>
      <c r="M10098" t="s">
        <v>11516</v>
      </c>
      <c r="N10098" t="s">
        <v>11516</v>
      </c>
      <c r="O10098" t="s">
        <v>73</v>
      </c>
      <c r="P10098" t="s">
        <v>81</v>
      </c>
      <c r="Q10098" t="s">
        <v>952</v>
      </c>
      <c r="R10098" t="s">
        <v>11517</v>
      </c>
    </row>
    <row r="10099" spans="1:18" x14ac:dyDescent="0.25">
      <c r="A10099" t="s">
        <v>22001</v>
      </c>
      <c r="B10099" t="s">
        <v>11521</v>
      </c>
      <c r="C10099" t="str">
        <f>HYPERLINK("https://nematode.unl.edu/tylaff13.jpg")</f>
        <v>https://nematode.unl.edu/tylaff13.jpg</v>
      </c>
      <c r="D10099" t="s">
        <v>77</v>
      </c>
      <c r="G10099" t="s">
        <v>34</v>
      </c>
      <c r="H10099" t="s">
        <v>18</v>
      </c>
      <c r="J10099" t="s">
        <v>20</v>
      </c>
      <c r="L10099" t="s">
        <v>193</v>
      </c>
      <c r="M10099" t="s">
        <v>11516</v>
      </c>
      <c r="N10099" t="s">
        <v>11516</v>
      </c>
      <c r="O10099" t="s">
        <v>73</v>
      </c>
      <c r="P10099" t="s">
        <v>81</v>
      </c>
      <c r="Q10099" t="s">
        <v>952</v>
      </c>
      <c r="R10099" t="s">
        <v>11517</v>
      </c>
    </row>
    <row r="10100" spans="1:18" x14ac:dyDescent="0.25">
      <c r="A10100" t="s">
        <v>22012</v>
      </c>
      <c r="B10100" t="s">
        <v>11522</v>
      </c>
      <c r="C10100" t="str">
        <f>HYPERLINK("https://nematode.unl.edu/tylaff14.jpg")</f>
        <v>https://nematode.unl.edu/tylaff14.jpg</v>
      </c>
      <c r="D10100" t="s">
        <v>77</v>
      </c>
      <c r="G10100" t="s">
        <v>44</v>
      </c>
      <c r="I10100" t="s">
        <v>45</v>
      </c>
      <c r="J10100" t="s">
        <v>20</v>
      </c>
      <c r="L10100" t="s">
        <v>193</v>
      </c>
      <c r="M10100" t="s">
        <v>11516</v>
      </c>
      <c r="N10100" t="s">
        <v>11516</v>
      </c>
      <c r="O10100" t="s">
        <v>73</v>
      </c>
      <c r="P10100" t="s">
        <v>81</v>
      </c>
      <c r="Q10100" t="s">
        <v>952</v>
      </c>
      <c r="R10100" t="s">
        <v>11517</v>
      </c>
    </row>
    <row r="10101" spans="1:18" x14ac:dyDescent="0.25">
      <c r="A10101" t="s">
        <v>22019</v>
      </c>
      <c r="B10101" t="s">
        <v>11523</v>
      </c>
      <c r="C10101" t="str">
        <f>HYPERLINK("https://nematode.unl.edu/tylaff15.jpg")</f>
        <v>https://nematode.unl.edu/tylaff15.jpg</v>
      </c>
      <c r="D10101" t="s">
        <v>77</v>
      </c>
      <c r="G10101" t="s">
        <v>28</v>
      </c>
      <c r="I10101" t="s">
        <v>19</v>
      </c>
      <c r="J10101" t="s">
        <v>20</v>
      </c>
      <c r="L10101" t="s">
        <v>217</v>
      </c>
      <c r="M10101" t="s">
        <v>11516</v>
      </c>
      <c r="N10101" t="s">
        <v>11516</v>
      </c>
      <c r="O10101" t="s">
        <v>73</v>
      </c>
      <c r="P10101" t="s">
        <v>81</v>
      </c>
      <c r="Q10101" t="s">
        <v>952</v>
      </c>
      <c r="R10101" t="s">
        <v>11517</v>
      </c>
    </row>
    <row r="10102" spans="1:18" x14ac:dyDescent="0.25">
      <c r="A10102" t="s">
        <v>21998</v>
      </c>
      <c r="B10102" t="s">
        <v>11524</v>
      </c>
      <c r="C10102" t="str">
        <f>HYPERLINK("https://nematode.unl.edu/tylaff16.jpg")</f>
        <v>https://nematode.unl.edu/tylaff16.jpg</v>
      </c>
      <c r="D10102" t="s">
        <v>77</v>
      </c>
      <c r="G10102" t="s">
        <v>96</v>
      </c>
      <c r="H10102" t="s">
        <v>18</v>
      </c>
      <c r="I10102" t="s">
        <v>19</v>
      </c>
      <c r="J10102" t="s">
        <v>20</v>
      </c>
      <c r="L10102" t="s">
        <v>64</v>
      </c>
      <c r="M10102" t="s">
        <v>11516</v>
      </c>
      <c r="N10102" t="s">
        <v>11516</v>
      </c>
      <c r="O10102" t="s">
        <v>73</v>
      </c>
      <c r="P10102" t="s">
        <v>81</v>
      </c>
      <c r="Q10102" t="s">
        <v>952</v>
      </c>
      <c r="R10102" t="s">
        <v>11517</v>
      </c>
    </row>
    <row r="10103" spans="1:18" x14ac:dyDescent="0.25">
      <c r="A10103" t="s">
        <v>22002</v>
      </c>
      <c r="B10103" t="s">
        <v>11525</v>
      </c>
      <c r="C10103" t="str">
        <f>HYPERLINK("https://nematode.unl.edu/tylaff17.jpg")</f>
        <v>https://nematode.unl.edu/tylaff17.jpg</v>
      </c>
      <c r="D10103" t="s">
        <v>43</v>
      </c>
      <c r="G10103" t="s">
        <v>34</v>
      </c>
      <c r="H10103" t="s">
        <v>18</v>
      </c>
      <c r="J10103" t="s">
        <v>20</v>
      </c>
      <c r="M10103" t="s">
        <v>11516</v>
      </c>
      <c r="N10103" t="s">
        <v>11516</v>
      </c>
      <c r="O10103" t="s">
        <v>73</v>
      </c>
      <c r="P10103" t="s">
        <v>81</v>
      </c>
      <c r="Q10103" t="s">
        <v>952</v>
      </c>
      <c r="R10103" t="s">
        <v>11517</v>
      </c>
    </row>
    <row r="10104" spans="1:18" x14ac:dyDescent="0.25">
      <c r="A10104" t="s">
        <v>22009</v>
      </c>
      <c r="B10104" t="s">
        <v>11526</v>
      </c>
      <c r="C10104" t="str">
        <f>HYPERLINK("https://nematode.unl.edu/tylaff18.jpg")</f>
        <v>https://nematode.unl.edu/tylaff18.jpg</v>
      </c>
      <c r="D10104" t="s">
        <v>43</v>
      </c>
      <c r="G10104" t="s">
        <v>87</v>
      </c>
      <c r="J10104" t="s">
        <v>20</v>
      </c>
      <c r="M10104" t="s">
        <v>11516</v>
      </c>
      <c r="N10104" t="s">
        <v>11516</v>
      </c>
      <c r="O10104" t="s">
        <v>73</v>
      </c>
      <c r="P10104" t="s">
        <v>81</v>
      </c>
      <c r="Q10104" t="s">
        <v>952</v>
      </c>
      <c r="R10104" t="s">
        <v>11517</v>
      </c>
    </row>
    <row r="10105" spans="1:18" x14ac:dyDescent="0.25">
      <c r="A10105" t="s">
        <v>22024</v>
      </c>
      <c r="B10105" t="s">
        <v>11527</v>
      </c>
      <c r="C10105" t="str">
        <f>HYPERLINK("https://nematode.unl.edu/tylaff19.jpg")</f>
        <v>https://nematode.unl.edu/tylaff19.jpg</v>
      </c>
      <c r="D10105" t="s">
        <v>43</v>
      </c>
      <c r="G10105" t="s">
        <v>51</v>
      </c>
      <c r="I10105" t="s">
        <v>19</v>
      </c>
      <c r="J10105" t="s">
        <v>20</v>
      </c>
      <c r="M10105" t="s">
        <v>11516</v>
      </c>
      <c r="N10105" t="s">
        <v>11516</v>
      </c>
      <c r="O10105" t="s">
        <v>73</v>
      </c>
      <c r="P10105" t="s">
        <v>81</v>
      </c>
      <c r="Q10105" t="s">
        <v>952</v>
      </c>
      <c r="R10105" t="s">
        <v>11517</v>
      </c>
    </row>
    <row r="10106" spans="1:18" x14ac:dyDescent="0.25">
      <c r="A10106" t="s">
        <v>22025</v>
      </c>
      <c r="B10106" t="s">
        <v>11528</v>
      </c>
      <c r="C10106" t="str">
        <f>HYPERLINK("https://nematode.unl.edu/tylaff2.jpg")</f>
        <v>https://nematode.unl.edu/tylaff2.jpg</v>
      </c>
      <c r="D10106" t="s">
        <v>43</v>
      </c>
      <c r="G10106" t="s">
        <v>51</v>
      </c>
      <c r="M10106" t="s">
        <v>11516</v>
      </c>
      <c r="N10106" t="s">
        <v>11516</v>
      </c>
      <c r="O10106" t="s">
        <v>73</v>
      </c>
      <c r="P10106" t="s">
        <v>81</v>
      </c>
      <c r="Q10106" t="s">
        <v>952</v>
      </c>
      <c r="R10106" t="s">
        <v>11517</v>
      </c>
    </row>
    <row r="10107" spans="1:18" x14ac:dyDescent="0.25">
      <c r="A10107" t="s">
        <v>22020</v>
      </c>
      <c r="B10107" t="s">
        <v>11529</v>
      </c>
      <c r="C10107" t="str">
        <f>HYPERLINK("https://nematode.unl.edu/tylaff20.jpg")</f>
        <v>https://nematode.unl.edu/tylaff20.jpg</v>
      </c>
      <c r="D10107" t="s">
        <v>43</v>
      </c>
      <c r="G10107" t="s">
        <v>28</v>
      </c>
      <c r="I10107" t="s">
        <v>19</v>
      </c>
      <c r="J10107" t="s">
        <v>20</v>
      </c>
      <c r="L10107" t="s">
        <v>85</v>
      </c>
      <c r="M10107" t="s">
        <v>11516</v>
      </c>
      <c r="N10107" t="s">
        <v>11516</v>
      </c>
      <c r="O10107" t="s">
        <v>73</v>
      </c>
      <c r="P10107" t="s">
        <v>81</v>
      </c>
      <c r="Q10107" t="s">
        <v>952</v>
      </c>
      <c r="R10107" t="s">
        <v>11517</v>
      </c>
    </row>
    <row r="10108" spans="1:18" x14ac:dyDescent="0.25">
      <c r="A10108" t="s">
        <v>22021</v>
      </c>
      <c r="B10108" t="s">
        <v>11530</v>
      </c>
      <c r="C10108" t="str">
        <f>HYPERLINK("https://nematode.unl.edu/tylaff3.jpg")</f>
        <v>https://nematode.unl.edu/tylaff3.jpg</v>
      </c>
      <c r="D10108" t="s">
        <v>43</v>
      </c>
      <c r="G10108" t="s">
        <v>28</v>
      </c>
      <c r="I10108" t="s">
        <v>19</v>
      </c>
      <c r="M10108" t="s">
        <v>11516</v>
      </c>
      <c r="N10108" t="s">
        <v>11516</v>
      </c>
      <c r="O10108" t="s">
        <v>73</v>
      </c>
      <c r="P10108" t="s">
        <v>81</v>
      </c>
      <c r="Q10108" t="s">
        <v>952</v>
      </c>
      <c r="R10108" t="s">
        <v>11517</v>
      </c>
    </row>
    <row r="10109" spans="1:18" x14ac:dyDescent="0.25">
      <c r="A10109" t="s">
        <v>22013</v>
      </c>
      <c r="B10109" t="s">
        <v>11531</v>
      </c>
      <c r="C10109" t="str">
        <f>HYPERLINK("https://nematode.unl.edu/tylaff4.jpg")</f>
        <v>https://nematode.unl.edu/tylaff4.jpg</v>
      </c>
      <c r="D10109" t="s">
        <v>43</v>
      </c>
      <c r="G10109" t="s">
        <v>44</v>
      </c>
      <c r="I10109" t="s">
        <v>45</v>
      </c>
      <c r="J10109" t="s">
        <v>20</v>
      </c>
      <c r="L10109" t="s">
        <v>173</v>
      </c>
      <c r="M10109" t="s">
        <v>11516</v>
      </c>
      <c r="N10109" t="s">
        <v>11516</v>
      </c>
      <c r="O10109" t="s">
        <v>73</v>
      </c>
      <c r="P10109" t="s">
        <v>81</v>
      </c>
      <c r="Q10109" t="s">
        <v>952</v>
      </c>
      <c r="R10109" t="s">
        <v>11517</v>
      </c>
    </row>
    <row r="10110" spans="1:18" x14ac:dyDescent="0.25">
      <c r="A10110" t="s">
        <v>22022</v>
      </c>
      <c r="B10110" t="s">
        <v>11532</v>
      </c>
      <c r="C10110" t="str">
        <f>HYPERLINK("https://nematode.unl.edu/tylaff5.jpg")</f>
        <v>https://nematode.unl.edu/tylaff5.jpg</v>
      </c>
      <c r="D10110" t="s">
        <v>43</v>
      </c>
      <c r="G10110" t="s">
        <v>28</v>
      </c>
      <c r="I10110" t="s">
        <v>19</v>
      </c>
      <c r="J10110" t="s">
        <v>20</v>
      </c>
      <c r="L10110" t="s">
        <v>173</v>
      </c>
      <c r="M10110" t="s">
        <v>11516</v>
      </c>
      <c r="N10110" t="s">
        <v>11516</v>
      </c>
      <c r="O10110" t="s">
        <v>73</v>
      </c>
      <c r="P10110" t="s">
        <v>81</v>
      </c>
      <c r="Q10110" t="s">
        <v>952</v>
      </c>
      <c r="R10110" t="s">
        <v>11517</v>
      </c>
    </row>
    <row r="10111" spans="1:18" x14ac:dyDescent="0.25">
      <c r="A10111" t="s">
        <v>22026</v>
      </c>
      <c r="B10111" t="s">
        <v>11533</v>
      </c>
      <c r="C10111" t="str">
        <f>HYPERLINK("https://nematode.unl.edu/tylaff6.jpg")</f>
        <v>https://nematode.unl.edu/tylaff6.jpg</v>
      </c>
      <c r="D10111" t="s">
        <v>43</v>
      </c>
      <c r="G10111" t="s">
        <v>51</v>
      </c>
      <c r="I10111" t="s">
        <v>19</v>
      </c>
      <c r="M10111" t="s">
        <v>11516</v>
      </c>
      <c r="N10111" t="s">
        <v>11516</v>
      </c>
      <c r="O10111" t="s">
        <v>73</v>
      </c>
      <c r="P10111" t="s">
        <v>81</v>
      </c>
      <c r="Q10111" t="s">
        <v>952</v>
      </c>
      <c r="R10111" t="s">
        <v>11517</v>
      </c>
    </row>
    <row r="10112" spans="1:18" x14ac:dyDescent="0.25">
      <c r="A10112" t="s">
        <v>22014</v>
      </c>
      <c r="B10112" t="s">
        <v>11534</v>
      </c>
      <c r="C10112" t="str">
        <f>HYPERLINK("https://nematode.unl.edu/tylaff7.jpg")</f>
        <v>https://nematode.unl.edu/tylaff7.jpg</v>
      </c>
      <c r="D10112" t="s">
        <v>43</v>
      </c>
      <c r="G10112" t="s">
        <v>2964</v>
      </c>
      <c r="I10112" t="s">
        <v>19</v>
      </c>
      <c r="J10112" t="s">
        <v>20</v>
      </c>
      <c r="L10112" t="s">
        <v>173</v>
      </c>
      <c r="M10112" t="s">
        <v>11516</v>
      </c>
      <c r="N10112" t="s">
        <v>11516</v>
      </c>
      <c r="O10112" t="s">
        <v>73</v>
      </c>
      <c r="P10112" t="s">
        <v>81</v>
      </c>
      <c r="Q10112" t="s">
        <v>952</v>
      </c>
      <c r="R10112" t="s">
        <v>11517</v>
      </c>
    </row>
    <row r="10113" spans="1:18" x14ac:dyDescent="0.25">
      <c r="A10113" t="s">
        <v>22003</v>
      </c>
      <c r="B10113" t="s">
        <v>11535</v>
      </c>
      <c r="C10113" t="str">
        <f>HYPERLINK("https://nematode.unl.edu/tylaff8.jpg")</f>
        <v>https://nematode.unl.edu/tylaff8.jpg</v>
      </c>
      <c r="D10113" t="s">
        <v>43</v>
      </c>
      <c r="G10113" t="s">
        <v>34</v>
      </c>
      <c r="H10113" t="s">
        <v>18</v>
      </c>
      <c r="J10113" t="s">
        <v>20</v>
      </c>
      <c r="L10113" t="s">
        <v>352</v>
      </c>
      <c r="M10113" t="s">
        <v>11516</v>
      </c>
      <c r="N10113" t="s">
        <v>11516</v>
      </c>
      <c r="O10113" t="s">
        <v>73</v>
      </c>
      <c r="P10113" t="s">
        <v>81</v>
      </c>
      <c r="Q10113" t="s">
        <v>952</v>
      </c>
      <c r="R10113" t="s">
        <v>11517</v>
      </c>
    </row>
    <row r="10114" spans="1:18" x14ac:dyDescent="0.25">
      <c r="A10114" t="s">
        <v>22005</v>
      </c>
      <c r="B10114" t="s">
        <v>11536</v>
      </c>
      <c r="C10114" t="str">
        <f>HYPERLINK("https://nematode.unl.edu/tylaff9.jpg")</f>
        <v>https://nematode.unl.edu/tylaff9.jpg</v>
      </c>
      <c r="D10114" t="s">
        <v>43</v>
      </c>
      <c r="G10114" t="s">
        <v>257</v>
      </c>
      <c r="H10114" t="s">
        <v>18</v>
      </c>
      <c r="I10114" t="s">
        <v>19</v>
      </c>
      <c r="L10114" t="s">
        <v>352</v>
      </c>
      <c r="M10114" t="s">
        <v>11516</v>
      </c>
      <c r="N10114" t="s">
        <v>11516</v>
      </c>
      <c r="O10114" t="s">
        <v>73</v>
      </c>
      <c r="P10114" t="s">
        <v>81</v>
      </c>
      <c r="Q10114" t="s">
        <v>952</v>
      </c>
      <c r="R10114" t="s">
        <v>11517</v>
      </c>
    </row>
    <row r="10115" spans="1:18" x14ac:dyDescent="0.25">
      <c r="A10115" t="s">
        <v>22015</v>
      </c>
      <c r="B10115" t="s">
        <v>11537</v>
      </c>
      <c r="C10115" t="str">
        <f>HYPERLINK("https://nematode.unl.edu/tylaffcmp.jpg")</f>
        <v>https://nematode.unl.edu/tylaffcmp.jpg</v>
      </c>
      <c r="G10115" t="s">
        <v>2964</v>
      </c>
      <c r="M10115" t="s">
        <v>11516</v>
      </c>
      <c r="N10115" t="s">
        <v>11516</v>
      </c>
      <c r="O10115" t="s">
        <v>73</v>
      </c>
      <c r="P10115" t="s">
        <v>81</v>
      </c>
      <c r="Q10115" t="s">
        <v>952</v>
      </c>
      <c r="R10115" t="s">
        <v>11517</v>
      </c>
    </row>
    <row r="10116" spans="1:18" x14ac:dyDescent="0.25">
      <c r="A10116" t="s">
        <v>22031</v>
      </c>
      <c r="B10116" t="s">
        <v>11549</v>
      </c>
      <c r="C10116" t="str">
        <f>HYPERLINK("https://nematode.unl.edu/tylec1.jpg")</f>
        <v>https://nematode.unl.edu/tylec1.jpg</v>
      </c>
      <c r="D10116" t="s">
        <v>16</v>
      </c>
      <c r="G10116" t="s">
        <v>34</v>
      </c>
      <c r="H10116" t="s">
        <v>18</v>
      </c>
      <c r="I10116" t="s">
        <v>41</v>
      </c>
      <c r="J10116" t="s">
        <v>20</v>
      </c>
      <c r="L10116" t="s">
        <v>183</v>
      </c>
      <c r="M10116" t="s">
        <v>11550</v>
      </c>
      <c r="N10116" t="s">
        <v>11550</v>
      </c>
      <c r="O10116" t="s">
        <v>73</v>
      </c>
      <c r="P10116" t="s">
        <v>81</v>
      </c>
      <c r="Q10116" t="s">
        <v>952</v>
      </c>
      <c r="R10116" t="s">
        <v>11517</v>
      </c>
    </row>
    <row r="10117" spans="1:18" x14ac:dyDescent="0.25">
      <c r="A10117" t="s">
        <v>22047</v>
      </c>
      <c r="B10117" t="s">
        <v>11551</v>
      </c>
      <c r="C10117" t="str">
        <f>HYPERLINK("https://nematode.unl.edu/tylec2.jpg")</f>
        <v>https://nematode.unl.edu/tylec2.jpg</v>
      </c>
      <c r="D10117" t="s">
        <v>16</v>
      </c>
      <c r="G10117" t="s">
        <v>28</v>
      </c>
      <c r="I10117" t="s">
        <v>41</v>
      </c>
      <c r="J10117" t="s">
        <v>20</v>
      </c>
      <c r="M10117" t="s">
        <v>11550</v>
      </c>
      <c r="N10117" t="s">
        <v>11550</v>
      </c>
      <c r="O10117" t="s">
        <v>73</v>
      </c>
      <c r="P10117" t="s">
        <v>81</v>
      </c>
      <c r="Q10117" t="s">
        <v>952</v>
      </c>
      <c r="R10117" t="s">
        <v>11517</v>
      </c>
    </row>
    <row r="10118" spans="1:18" x14ac:dyDescent="0.25">
      <c r="A10118" t="s">
        <v>22043</v>
      </c>
      <c r="B10118" t="s">
        <v>11552</v>
      </c>
      <c r="C10118" t="str">
        <f>HYPERLINK("https://nematode.unl.edu/tyleg1.jpg")</f>
        <v>https://nematode.unl.edu/tyleg1.jpg</v>
      </c>
      <c r="D10118" t="s">
        <v>43</v>
      </c>
      <c r="G10118" t="s">
        <v>44</v>
      </c>
      <c r="I10118" t="s">
        <v>45</v>
      </c>
      <c r="J10118" t="s">
        <v>20</v>
      </c>
      <c r="L10118" t="s">
        <v>29</v>
      </c>
      <c r="M10118" t="s">
        <v>11550</v>
      </c>
      <c r="N10118" t="s">
        <v>11550</v>
      </c>
      <c r="O10118" t="s">
        <v>73</v>
      </c>
      <c r="P10118" t="s">
        <v>81</v>
      </c>
      <c r="Q10118" t="s">
        <v>952</v>
      </c>
      <c r="R10118" t="s">
        <v>11517</v>
      </c>
    </row>
    <row r="10119" spans="1:18" x14ac:dyDescent="0.25">
      <c r="A10119" t="s">
        <v>22056</v>
      </c>
      <c r="B10119" t="s">
        <v>11553</v>
      </c>
      <c r="C10119" t="str">
        <f>HYPERLINK("https://nematode.unl.edu/tyleg10.jpg")</f>
        <v>https://nematode.unl.edu/tyleg10.jpg</v>
      </c>
      <c r="D10119" t="s">
        <v>43</v>
      </c>
      <c r="G10119" t="s">
        <v>51</v>
      </c>
      <c r="I10119" t="s">
        <v>19</v>
      </c>
      <c r="J10119" t="s">
        <v>20</v>
      </c>
      <c r="L10119" t="s">
        <v>85</v>
      </c>
      <c r="M10119" t="s">
        <v>11550</v>
      </c>
      <c r="N10119" t="s">
        <v>11550</v>
      </c>
      <c r="O10119" t="s">
        <v>73</v>
      </c>
      <c r="P10119" t="s">
        <v>81</v>
      </c>
      <c r="Q10119" t="s">
        <v>952</v>
      </c>
      <c r="R10119" t="s">
        <v>11517</v>
      </c>
    </row>
    <row r="10120" spans="1:18" x14ac:dyDescent="0.25">
      <c r="A10120" t="s">
        <v>22032</v>
      </c>
      <c r="B10120" t="s">
        <v>11554</v>
      </c>
      <c r="C10120" t="str">
        <f>HYPERLINK("https://nematode.unl.edu/tyleg11.jpg")</f>
        <v>https://nematode.unl.edu/tyleg11.jpg</v>
      </c>
      <c r="D10120" t="s">
        <v>43</v>
      </c>
      <c r="G10120" t="s">
        <v>34</v>
      </c>
      <c r="H10120" t="s">
        <v>18</v>
      </c>
      <c r="J10120" t="s">
        <v>20</v>
      </c>
      <c r="L10120" t="s">
        <v>85</v>
      </c>
      <c r="M10120" t="s">
        <v>11550</v>
      </c>
      <c r="N10120" t="s">
        <v>11550</v>
      </c>
      <c r="O10120" t="s">
        <v>73</v>
      </c>
      <c r="P10120" t="s">
        <v>81</v>
      </c>
      <c r="Q10120" t="s">
        <v>952</v>
      </c>
      <c r="R10120" t="s">
        <v>11517</v>
      </c>
    </row>
    <row r="10121" spans="1:18" x14ac:dyDescent="0.25">
      <c r="A10121" t="s">
        <v>22048</v>
      </c>
      <c r="B10121" t="s">
        <v>11555</v>
      </c>
      <c r="C10121" t="str">
        <f>HYPERLINK("https://nematode.unl.edu/tyleg12.jpg")</f>
        <v>https://nematode.unl.edu/tyleg12.jpg</v>
      </c>
      <c r="D10121" t="s">
        <v>43</v>
      </c>
      <c r="G10121" t="s">
        <v>28</v>
      </c>
      <c r="M10121" t="s">
        <v>11550</v>
      </c>
      <c r="N10121" t="s">
        <v>11550</v>
      </c>
      <c r="O10121" t="s">
        <v>73</v>
      </c>
      <c r="P10121" t="s">
        <v>81</v>
      </c>
      <c r="Q10121" t="s">
        <v>952</v>
      </c>
      <c r="R10121" t="s">
        <v>11517</v>
      </c>
    </row>
    <row r="10122" spans="1:18" x14ac:dyDescent="0.25">
      <c r="A10122" t="s">
        <v>22057</v>
      </c>
      <c r="B10122" t="s">
        <v>11556</v>
      </c>
      <c r="C10122" t="str">
        <f>HYPERLINK("https://nematode.unl.edu/tyleg13.jpg")</f>
        <v>https://nematode.unl.edu/tyleg13.jpg</v>
      </c>
      <c r="D10122" t="s">
        <v>43</v>
      </c>
      <c r="G10122" t="s">
        <v>51</v>
      </c>
      <c r="I10122" t="s">
        <v>19</v>
      </c>
      <c r="J10122" t="s">
        <v>20</v>
      </c>
      <c r="L10122" t="s">
        <v>85</v>
      </c>
      <c r="M10122" t="s">
        <v>11550</v>
      </c>
      <c r="N10122" t="s">
        <v>11550</v>
      </c>
      <c r="O10122" t="s">
        <v>73</v>
      </c>
      <c r="P10122" t="s">
        <v>81</v>
      </c>
      <c r="Q10122" t="s">
        <v>952</v>
      </c>
      <c r="R10122" t="s">
        <v>11517</v>
      </c>
    </row>
    <row r="10123" spans="1:18" x14ac:dyDescent="0.25">
      <c r="A10123" t="s">
        <v>22033</v>
      </c>
      <c r="B10123" t="s">
        <v>11557</v>
      </c>
      <c r="C10123" t="str">
        <f>HYPERLINK("https://nematode.unl.edu/tyleg14.jpg")</f>
        <v>https://nematode.unl.edu/tyleg14.jpg</v>
      </c>
      <c r="D10123" t="s">
        <v>43</v>
      </c>
      <c r="G10123" t="s">
        <v>34</v>
      </c>
      <c r="H10123" t="s">
        <v>18</v>
      </c>
      <c r="M10123" t="s">
        <v>11550</v>
      </c>
      <c r="N10123" t="s">
        <v>11550</v>
      </c>
      <c r="O10123" t="s">
        <v>73</v>
      </c>
      <c r="P10123" t="s">
        <v>81</v>
      </c>
      <c r="Q10123" t="s">
        <v>952</v>
      </c>
      <c r="R10123" t="s">
        <v>11517</v>
      </c>
    </row>
    <row r="10124" spans="1:18" x14ac:dyDescent="0.25">
      <c r="A10124" t="s">
        <v>22040</v>
      </c>
      <c r="B10124" t="s">
        <v>11558</v>
      </c>
      <c r="C10124" t="str">
        <f>HYPERLINK("https://nematode.unl.edu/tyleg15.jpg")</f>
        <v>https://nematode.unl.edu/tyleg15.jpg</v>
      </c>
      <c r="D10124" t="s">
        <v>43</v>
      </c>
      <c r="G10124" t="s">
        <v>87</v>
      </c>
      <c r="M10124" t="s">
        <v>11550</v>
      </c>
      <c r="N10124" t="s">
        <v>11550</v>
      </c>
      <c r="O10124" t="s">
        <v>73</v>
      </c>
      <c r="P10124" t="s">
        <v>81</v>
      </c>
      <c r="Q10124" t="s">
        <v>952</v>
      </c>
      <c r="R10124" t="s">
        <v>11517</v>
      </c>
    </row>
    <row r="10125" spans="1:18" x14ac:dyDescent="0.25">
      <c r="A10125" t="s">
        <v>22044</v>
      </c>
      <c r="B10125" t="s">
        <v>11559</v>
      </c>
      <c r="C10125" t="str">
        <f>HYPERLINK("https://nematode.unl.edu/tyleg16.jpg")</f>
        <v>https://nematode.unl.edu/tyleg16.jpg</v>
      </c>
      <c r="D10125" t="s">
        <v>77</v>
      </c>
      <c r="G10125" t="s">
        <v>44</v>
      </c>
      <c r="I10125" t="s">
        <v>45</v>
      </c>
      <c r="J10125" t="s">
        <v>20</v>
      </c>
      <c r="L10125" t="s">
        <v>85</v>
      </c>
      <c r="M10125" t="s">
        <v>11550</v>
      </c>
      <c r="N10125" t="s">
        <v>11550</v>
      </c>
      <c r="O10125" t="s">
        <v>73</v>
      </c>
      <c r="P10125" t="s">
        <v>81</v>
      </c>
      <c r="Q10125" t="s">
        <v>952</v>
      </c>
      <c r="R10125" t="s">
        <v>11517</v>
      </c>
    </row>
    <row r="10126" spans="1:18" x14ac:dyDescent="0.25">
      <c r="A10126" t="s">
        <v>22034</v>
      </c>
      <c r="B10126" t="s">
        <v>11560</v>
      </c>
      <c r="C10126" t="str">
        <f>HYPERLINK("https://nematode.unl.edu/tyleg17.jpg")</f>
        <v>https://nematode.unl.edu/tyleg17.jpg</v>
      </c>
      <c r="G10126" t="s">
        <v>34</v>
      </c>
      <c r="H10126" t="s">
        <v>18</v>
      </c>
      <c r="I10126" t="s">
        <v>19</v>
      </c>
      <c r="J10126" t="s">
        <v>20</v>
      </c>
      <c r="M10126" t="s">
        <v>11550</v>
      </c>
      <c r="N10126" t="s">
        <v>11550</v>
      </c>
      <c r="O10126" t="s">
        <v>73</v>
      </c>
      <c r="P10126" t="s">
        <v>81</v>
      </c>
      <c r="Q10126" t="s">
        <v>952</v>
      </c>
      <c r="R10126" t="s">
        <v>11517</v>
      </c>
    </row>
    <row r="10127" spans="1:18" x14ac:dyDescent="0.25">
      <c r="A10127" t="s">
        <v>22041</v>
      </c>
      <c r="B10127" t="s">
        <v>11561</v>
      </c>
      <c r="C10127" t="str">
        <f>HYPERLINK("https://nematode.unl.edu/tyleg18.jpg")</f>
        <v>https://nematode.unl.edu/tyleg18.jpg</v>
      </c>
      <c r="D10127" t="s">
        <v>77</v>
      </c>
      <c r="G10127" t="s">
        <v>87</v>
      </c>
      <c r="I10127" t="s">
        <v>516</v>
      </c>
      <c r="J10127" t="s">
        <v>20</v>
      </c>
      <c r="L10127" t="s">
        <v>85</v>
      </c>
      <c r="M10127" t="s">
        <v>11550</v>
      </c>
      <c r="N10127" t="s">
        <v>11550</v>
      </c>
      <c r="O10127" t="s">
        <v>73</v>
      </c>
      <c r="P10127" t="s">
        <v>81</v>
      </c>
      <c r="Q10127" t="s">
        <v>952</v>
      </c>
      <c r="R10127" t="s">
        <v>11517</v>
      </c>
    </row>
    <row r="10128" spans="1:18" x14ac:dyDescent="0.25">
      <c r="A10128" t="s">
        <v>22046</v>
      </c>
      <c r="B10128" t="s">
        <v>11562</v>
      </c>
      <c r="C10128" t="str">
        <f>HYPERLINK("https://nematode.unl.edu/tyleg19.jpg")</f>
        <v>https://nematode.unl.edu/tyleg19.jpg</v>
      </c>
      <c r="D10128" t="s">
        <v>77</v>
      </c>
      <c r="G10128" t="s">
        <v>112</v>
      </c>
      <c r="J10128" t="s">
        <v>20</v>
      </c>
      <c r="L10128" t="s">
        <v>85</v>
      </c>
      <c r="M10128" t="s">
        <v>11550</v>
      </c>
      <c r="N10128" t="s">
        <v>11550</v>
      </c>
      <c r="O10128" t="s">
        <v>73</v>
      </c>
      <c r="P10128" t="s">
        <v>81</v>
      </c>
      <c r="Q10128" t="s">
        <v>952</v>
      </c>
      <c r="R10128" t="s">
        <v>11517</v>
      </c>
    </row>
    <row r="10129" spans="1:18" x14ac:dyDescent="0.25">
      <c r="A10129" t="s">
        <v>22028</v>
      </c>
      <c r="B10129" t="s">
        <v>11563</v>
      </c>
      <c r="C10129" t="str">
        <f>HYPERLINK("https://nematode.unl.edu/tyleg2.jpg")</f>
        <v>https://nematode.unl.edu/tyleg2.jpg</v>
      </c>
      <c r="D10129" t="s">
        <v>43</v>
      </c>
      <c r="G10129" t="s">
        <v>96</v>
      </c>
      <c r="H10129" t="s">
        <v>18</v>
      </c>
      <c r="I10129" t="s">
        <v>19</v>
      </c>
      <c r="M10129" t="s">
        <v>11550</v>
      </c>
      <c r="N10129" t="s">
        <v>11550</v>
      </c>
      <c r="O10129" t="s">
        <v>73</v>
      </c>
      <c r="P10129" t="s">
        <v>81</v>
      </c>
      <c r="Q10129" t="s">
        <v>952</v>
      </c>
      <c r="R10129" t="s">
        <v>11517</v>
      </c>
    </row>
    <row r="10130" spans="1:18" x14ac:dyDescent="0.25">
      <c r="A10130" t="s">
        <v>22049</v>
      </c>
      <c r="B10130" t="s">
        <v>11564</v>
      </c>
      <c r="C10130" t="str">
        <f>HYPERLINK("https://nematode.unl.edu/tyleg20.jpg")</f>
        <v>https://nematode.unl.edu/tyleg20.jpg</v>
      </c>
      <c r="D10130" t="s">
        <v>77</v>
      </c>
      <c r="G10130" t="s">
        <v>28</v>
      </c>
      <c r="M10130" t="s">
        <v>11550</v>
      </c>
      <c r="N10130" t="s">
        <v>11550</v>
      </c>
      <c r="O10130" t="s">
        <v>73</v>
      </c>
      <c r="P10130" t="s">
        <v>81</v>
      </c>
      <c r="Q10130" t="s">
        <v>952</v>
      </c>
      <c r="R10130" t="s">
        <v>11517</v>
      </c>
    </row>
    <row r="10131" spans="1:18" x14ac:dyDescent="0.25">
      <c r="A10131" t="s">
        <v>22035</v>
      </c>
      <c r="B10131" t="s">
        <v>11565</v>
      </c>
      <c r="C10131" t="str">
        <f>HYPERLINK("https://nematode.unl.edu/tyleg21.jpg")</f>
        <v>https://nematode.unl.edu/tyleg21.jpg</v>
      </c>
      <c r="G10131" t="s">
        <v>34</v>
      </c>
      <c r="H10131" t="s">
        <v>18</v>
      </c>
      <c r="I10131" t="s">
        <v>19</v>
      </c>
      <c r="M10131" t="s">
        <v>11550</v>
      </c>
      <c r="N10131" t="s">
        <v>11550</v>
      </c>
      <c r="O10131" t="s">
        <v>73</v>
      </c>
      <c r="P10131" t="s">
        <v>81</v>
      </c>
      <c r="Q10131" t="s">
        <v>952</v>
      </c>
      <c r="R10131" t="s">
        <v>11517</v>
      </c>
    </row>
    <row r="10132" spans="1:18" x14ac:dyDescent="0.25">
      <c r="A10132" t="s">
        <v>22039</v>
      </c>
      <c r="B10132" t="s">
        <v>11566</v>
      </c>
      <c r="C10132" t="str">
        <f>HYPERLINK("https://nematode.unl.edu/tyleg22.jpg")</f>
        <v>https://nematode.unl.edu/tyleg22.jpg</v>
      </c>
      <c r="D10132" t="s">
        <v>16</v>
      </c>
      <c r="G10132" t="s">
        <v>259</v>
      </c>
      <c r="H10132" t="s">
        <v>18</v>
      </c>
      <c r="J10132" t="s">
        <v>20</v>
      </c>
      <c r="L10132" t="s">
        <v>193</v>
      </c>
      <c r="M10132" t="s">
        <v>11550</v>
      </c>
      <c r="N10132" t="s">
        <v>11550</v>
      </c>
      <c r="O10132" t="s">
        <v>73</v>
      </c>
      <c r="P10132" t="s">
        <v>81</v>
      </c>
      <c r="Q10132" t="s">
        <v>952</v>
      </c>
      <c r="R10132" t="s">
        <v>11517</v>
      </c>
    </row>
    <row r="10133" spans="1:18" x14ac:dyDescent="0.25">
      <c r="A10133" t="s">
        <v>22050</v>
      </c>
      <c r="B10133" t="s">
        <v>11567</v>
      </c>
      <c r="C10133" t="str">
        <f>HYPERLINK("https://nematode.unl.edu/tyleg23.jpg")</f>
        <v>https://nematode.unl.edu/tyleg23.jpg</v>
      </c>
      <c r="D10133" t="s">
        <v>16</v>
      </c>
      <c r="G10133" t="s">
        <v>28</v>
      </c>
      <c r="I10133" t="s">
        <v>41</v>
      </c>
      <c r="J10133" t="s">
        <v>20</v>
      </c>
      <c r="L10133" t="s">
        <v>64</v>
      </c>
      <c r="M10133" t="s">
        <v>11550</v>
      </c>
      <c r="N10133" t="s">
        <v>11550</v>
      </c>
      <c r="O10133" t="s">
        <v>73</v>
      </c>
      <c r="P10133" t="s">
        <v>81</v>
      </c>
      <c r="Q10133" t="s">
        <v>952</v>
      </c>
      <c r="R10133" t="s">
        <v>11517</v>
      </c>
    </row>
    <row r="10134" spans="1:18" x14ac:dyDescent="0.25">
      <c r="A10134" t="s">
        <v>22036</v>
      </c>
      <c r="B10134" t="s">
        <v>11568</v>
      </c>
      <c r="C10134" t="str">
        <f>HYPERLINK("https://nematode.unl.edu/tyleg24.jpg")</f>
        <v>https://nematode.unl.edu/tyleg24.jpg</v>
      </c>
      <c r="D10134" t="s">
        <v>16</v>
      </c>
      <c r="G10134" t="s">
        <v>34</v>
      </c>
      <c r="H10134" t="s">
        <v>18</v>
      </c>
      <c r="M10134" t="s">
        <v>11550</v>
      </c>
      <c r="N10134" t="s">
        <v>11550</v>
      </c>
      <c r="O10134" t="s">
        <v>73</v>
      </c>
      <c r="P10134" t="s">
        <v>81</v>
      </c>
      <c r="Q10134" t="s">
        <v>952</v>
      </c>
      <c r="R10134" t="s">
        <v>11517</v>
      </c>
    </row>
    <row r="10135" spans="1:18" x14ac:dyDescent="0.25">
      <c r="A10135" t="s">
        <v>22051</v>
      </c>
      <c r="B10135" t="s">
        <v>11569</v>
      </c>
      <c r="C10135" t="str">
        <f>HYPERLINK("https://nematode.unl.edu/tyleg25.jpg")</f>
        <v>https://nematode.unl.edu/tyleg25.jpg</v>
      </c>
      <c r="D10135" t="s">
        <v>16</v>
      </c>
      <c r="G10135" t="s">
        <v>28</v>
      </c>
      <c r="J10135" t="s">
        <v>20</v>
      </c>
      <c r="M10135" t="s">
        <v>11550</v>
      </c>
      <c r="N10135" t="s">
        <v>11550</v>
      </c>
      <c r="O10135" t="s">
        <v>73</v>
      </c>
      <c r="P10135" t="s">
        <v>81</v>
      </c>
      <c r="Q10135" t="s">
        <v>952</v>
      </c>
      <c r="R10135" t="s">
        <v>11517</v>
      </c>
    </row>
    <row r="10136" spans="1:18" x14ac:dyDescent="0.25">
      <c r="A10136" t="s">
        <v>22037</v>
      </c>
      <c r="B10136" t="s">
        <v>11570</v>
      </c>
      <c r="C10136" t="str">
        <f>HYPERLINK("https://nematode.unl.edu/tyleg26.jpg")</f>
        <v>https://nematode.unl.edu/tyleg26.jpg</v>
      </c>
      <c r="D10136" t="s">
        <v>16</v>
      </c>
      <c r="G10136" t="s">
        <v>34</v>
      </c>
      <c r="H10136" t="s">
        <v>18</v>
      </c>
      <c r="I10136" t="s">
        <v>19</v>
      </c>
      <c r="J10136" t="s">
        <v>20</v>
      </c>
      <c r="L10136" t="s">
        <v>38</v>
      </c>
      <c r="M10136" t="s">
        <v>11550</v>
      </c>
      <c r="N10136" t="s">
        <v>11550</v>
      </c>
      <c r="O10136" t="s">
        <v>73</v>
      </c>
      <c r="P10136" t="s">
        <v>81</v>
      </c>
      <c r="Q10136" t="s">
        <v>952</v>
      </c>
      <c r="R10136" t="s">
        <v>11517</v>
      </c>
    </row>
    <row r="10137" spans="1:18" x14ac:dyDescent="0.25">
      <c r="A10137" t="s">
        <v>22052</v>
      </c>
      <c r="B10137" t="s">
        <v>11571</v>
      </c>
      <c r="C10137" t="str">
        <f>HYPERLINK("https://nematode.unl.edu/tyleg27.jpg")</f>
        <v>https://nematode.unl.edu/tyleg27.jpg</v>
      </c>
      <c r="G10137" t="s">
        <v>28</v>
      </c>
      <c r="I10137" t="s">
        <v>19</v>
      </c>
      <c r="J10137" t="s">
        <v>20</v>
      </c>
      <c r="L10137" t="s">
        <v>38</v>
      </c>
      <c r="M10137" t="s">
        <v>11550</v>
      </c>
      <c r="N10137" t="s">
        <v>11550</v>
      </c>
      <c r="O10137" t="s">
        <v>73</v>
      </c>
      <c r="P10137" t="s">
        <v>81</v>
      </c>
      <c r="Q10137" t="s">
        <v>952</v>
      </c>
      <c r="R10137" t="s">
        <v>11517</v>
      </c>
    </row>
    <row r="10138" spans="1:18" x14ac:dyDescent="0.25">
      <c r="A10138" t="s">
        <v>22042</v>
      </c>
      <c r="B10138" t="s">
        <v>11572</v>
      </c>
      <c r="C10138" t="str">
        <f>HYPERLINK("https://nematode.unl.edu/tyleg28.jpg")</f>
        <v>https://nematode.unl.edu/tyleg28.jpg</v>
      </c>
      <c r="D10138" t="s">
        <v>16</v>
      </c>
      <c r="G10138" t="s">
        <v>87</v>
      </c>
      <c r="I10138" t="s">
        <v>19</v>
      </c>
      <c r="J10138" t="s">
        <v>20</v>
      </c>
      <c r="L10138" t="s">
        <v>141</v>
      </c>
      <c r="M10138" t="s">
        <v>11550</v>
      </c>
      <c r="N10138" t="s">
        <v>11550</v>
      </c>
      <c r="O10138" t="s">
        <v>73</v>
      </c>
      <c r="P10138" t="s">
        <v>81</v>
      </c>
      <c r="Q10138" t="s">
        <v>952</v>
      </c>
      <c r="R10138" t="s">
        <v>11517</v>
      </c>
    </row>
    <row r="10139" spans="1:18" x14ac:dyDescent="0.25">
      <c r="A10139" t="s">
        <v>22038</v>
      </c>
      <c r="B10139" t="s">
        <v>11573</v>
      </c>
      <c r="C10139" t="str">
        <f>HYPERLINK("https://nematode.unl.edu/tyleg29.jpg")</f>
        <v>https://nematode.unl.edu/tyleg29.jpg</v>
      </c>
      <c r="D10139" t="s">
        <v>16</v>
      </c>
      <c r="G10139" t="s">
        <v>257</v>
      </c>
      <c r="H10139" t="s">
        <v>18</v>
      </c>
      <c r="I10139" t="s">
        <v>41</v>
      </c>
      <c r="J10139" t="s">
        <v>20</v>
      </c>
      <c r="L10139" t="s">
        <v>141</v>
      </c>
      <c r="M10139" t="s">
        <v>11550</v>
      </c>
      <c r="N10139" t="s">
        <v>11550</v>
      </c>
      <c r="O10139" t="s">
        <v>73</v>
      </c>
      <c r="P10139" t="s">
        <v>81</v>
      </c>
      <c r="Q10139" t="s">
        <v>952</v>
      </c>
      <c r="R10139" t="s">
        <v>11517</v>
      </c>
    </row>
    <row r="10140" spans="1:18" x14ac:dyDescent="0.25">
      <c r="A10140" t="s">
        <v>22058</v>
      </c>
      <c r="B10140" t="s">
        <v>11574</v>
      </c>
      <c r="C10140" t="str">
        <f>HYPERLINK("https://nematode.unl.edu/tyleg3.jpg")</f>
        <v>https://nematode.unl.edu/tyleg3.jpg</v>
      </c>
      <c r="D10140" t="s">
        <v>43</v>
      </c>
      <c r="G10140" t="s">
        <v>51</v>
      </c>
      <c r="I10140" t="s">
        <v>19</v>
      </c>
      <c r="J10140" t="s">
        <v>20</v>
      </c>
      <c r="L10140" t="s">
        <v>29</v>
      </c>
      <c r="M10140" t="s">
        <v>11550</v>
      </c>
      <c r="N10140" t="s">
        <v>11550</v>
      </c>
      <c r="O10140" t="s">
        <v>73</v>
      </c>
      <c r="P10140" t="s">
        <v>81</v>
      </c>
      <c r="Q10140" t="s">
        <v>952</v>
      </c>
      <c r="R10140" t="s">
        <v>11517</v>
      </c>
    </row>
    <row r="10141" spans="1:18" x14ac:dyDescent="0.25">
      <c r="A10141" t="s">
        <v>22053</v>
      </c>
      <c r="B10141" t="s">
        <v>11575</v>
      </c>
      <c r="C10141" t="str">
        <f>HYPERLINK("https://nematode.unl.edu/tyleg4.jpg")</f>
        <v>https://nematode.unl.edu/tyleg4.jpg</v>
      </c>
      <c r="D10141" t="s">
        <v>43</v>
      </c>
      <c r="G10141" t="s">
        <v>28</v>
      </c>
      <c r="J10141" t="s">
        <v>20</v>
      </c>
      <c r="M10141" t="s">
        <v>11550</v>
      </c>
      <c r="N10141" t="s">
        <v>11550</v>
      </c>
      <c r="O10141" t="s">
        <v>73</v>
      </c>
      <c r="P10141" t="s">
        <v>81</v>
      </c>
      <c r="Q10141" t="s">
        <v>952</v>
      </c>
      <c r="R10141" t="s">
        <v>11517</v>
      </c>
    </row>
    <row r="10142" spans="1:18" x14ac:dyDescent="0.25">
      <c r="A10142" t="s">
        <v>22029</v>
      </c>
      <c r="B10142" t="s">
        <v>11576</v>
      </c>
      <c r="C10142" t="str">
        <f>HYPERLINK("https://nematode.unl.edu/tyleg5.jpg")</f>
        <v>https://nematode.unl.edu/tyleg5.jpg</v>
      </c>
      <c r="D10142" t="s">
        <v>77</v>
      </c>
      <c r="G10142" t="s">
        <v>96</v>
      </c>
      <c r="H10142" t="s">
        <v>18</v>
      </c>
      <c r="I10142" t="s">
        <v>19</v>
      </c>
      <c r="J10142" t="s">
        <v>20</v>
      </c>
      <c r="L10142" t="s">
        <v>35</v>
      </c>
      <c r="M10142" t="s">
        <v>11550</v>
      </c>
      <c r="N10142" t="s">
        <v>11550</v>
      </c>
      <c r="O10142" t="s">
        <v>73</v>
      </c>
      <c r="P10142" t="s">
        <v>81</v>
      </c>
      <c r="Q10142" t="s">
        <v>952</v>
      </c>
      <c r="R10142" t="s">
        <v>11517</v>
      </c>
    </row>
    <row r="10143" spans="1:18" x14ac:dyDescent="0.25">
      <c r="A10143" t="s">
        <v>22054</v>
      </c>
      <c r="B10143" t="s">
        <v>11577</v>
      </c>
      <c r="C10143" t="str">
        <f>HYPERLINK("https://nematode.unl.edu/tyleg6.jpg")</f>
        <v>https://nematode.unl.edu/tyleg6.jpg</v>
      </c>
      <c r="D10143" t="s">
        <v>77</v>
      </c>
      <c r="G10143" t="s">
        <v>28</v>
      </c>
      <c r="I10143" t="s">
        <v>19</v>
      </c>
      <c r="J10143" t="s">
        <v>20</v>
      </c>
      <c r="L10143" t="s">
        <v>35</v>
      </c>
      <c r="M10143" t="s">
        <v>11550</v>
      </c>
      <c r="N10143" t="s">
        <v>11550</v>
      </c>
      <c r="O10143" t="s">
        <v>73</v>
      </c>
      <c r="P10143" t="s">
        <v>81</v>
      </c>
      <c r="Q10143" t="s">
        <v>952</v>
      </c>
      <c r="R10143" t="s">
        <v>11517</v>
      </c>
    </row>
    <row r="10144" spans="1:18" x14ac:dyDescent="0.25">
      <c r="A10144" t="s">
        <v>22030</v>
      </c>
      <c r="B10144" t="s">
        <v>11578</v>
      </c>
      <c r="C10144" t="str">
        <f>HYPERLINK("https://nematode.unl.edu/tyleg7.jpg")</f>
        <v>https://nematode.unl.edu/tyleg7.jpg</v>
      </c>
      <c r="D10144" t="s">
        <v>77</v>
      </c>
      <c r="G10144" t="s">
        <v>96</v>
      </c>
      <c r="H10144" t="s">
        <v>18</v>
      </c>
      <c r="I10144" t="s">
        <v>19</v>
      </c>
      <c r="J10144" t="s">
        <v>20</v>
      </c>
      <c r="L10144" t="s">
        <v>85</v>
      </c>
      <c r="M10144" t="s">
        <v>11550</v>
      </c>
      <c r="N10144" t="s">
        <v>11550</v>
      </c>
      <c r="O10144" t="s">
        <v>73</v>
      </c>
      <c r="P10144" t="s">
        <v>81</v>
      </c>
      <c r="Q10144" t="s">
        <v>952</v>
      </c>
      <c r="R10144" t="s">
        <v>11517</v>
      </c>
    </row>
    <row r="10145" spans="1:18" x14ac:dyDescent="0.25">
      <c r="A10145" t="s">
        <v>22045</v>
      </c>
      <c r="B10145" t="s">
        <v>11579</v>
      </c>
      <c r="C10145" t="str">
        <f>HYPERLINK("https://nematode.unl.edu/tyleg8.jpg")</f>
        <v>https://nematode.unl.edu/tyleg8.jpg</v>
      </c>
      <c r="D10145" t="s">
        <v>43</v>
      </c>
      <c r="G10145" t="s">
        <v>44</v>
      </c>
      <c r="I10145" t="s">
        <v>45</v>
      </c>
      <c r="J10145" t="s">
        <v>20</v>
      </c>
      <c r="L10145" t="s">
        <v>78</v>
      </c>
      <c r="M10145" t="s">
        <v>11550</v>
      </c>
      <c r="N10145" t="s">
        <v>11550</v>
      </c>
      <c r="O10145" t="s">
        <v>73</v>
      </c>
      <c r="P10145" t="s">
        <v>81</v>
      </c>
      <c r="Q10145" t="s">
        <v>952</v>
      </c>
      <c r="R10145" t="s">
        <v>11517</v>
      </c>
    </row>
    <row r="10146" spans="1:18" x14ac:dyDescent="0.25">
      <c r="A10146" t="s">
        <v>22055</v>
      </c>
      <c r="B10146" t="s">
        <v>11580</v>
      </c>
      <c r="C10146" t="str">
        <f>HYPERLINK("https://nematode.unl.edu/tyleg9.jpg")</f>
        <v>https://nematode.unl.edu/tyleg9.jpg</v>
      </c>
      <c r="D10146" t="s">
        <v>43</v>
      </c>
      <c r="G10146" t="s">
        <v>28</v>
      </c>
      <c r="I10146" t="s">
        <v>19</v>
      </c>
      <c r="J10146" t="s">
        <v>20</v>
      </c>
      <c r="L10146" t="s">
        <v>85</v>
      </c>
      <c r="M10146" t="s">
        <v>11550</v>
      </c>
      <c r="N10146" t="s">
        <v>11550</v>
      </c>
      <c r="O10146" t="s">
        <v>73</v>
      </c>
      <c r="P10146" t="s">
        <v>81</v>
      </c>
      <c r="Q10146" t="s">
        <v>952</v>
      </c>
      <c r="R10146" t="s">
        <v>11517</v>
      </c>
    </row>
    <row r="10147" spans="1:18" x14ac:dyDescent="0.25">
      <c r="A10147" t="s">
        <v>22059</v>
      </c>
      <c r="B10147" t="s">
        <v>11581</v>
      </c>
      <c r="C10147" t="str">
        <f>HYPERLINK("https://nematode.unl.edu/tylegcmp.jpg")</f>
        <v>https://nematode.unl.edu/tylegcmp.jpg</v>
      </c>
      <c r="D10147" t="s">
        <v>43</v>
      </c>
      <c r="G10147" t="s">
        <v>28</v>
      </c>
      <c r="M10147" t="s">
        <v>11582</v>
      </c>
      <c r="N10147" t="s">
        <v>11582</v>
      </c>
      <c r="O10147" t="s">
        <v>73</v>
      </c>
      <c r="P10147" t="s">
        <v>81</v>
      </c>
      <c r="Q10147" t="s">
        <v>952</v>
      </c>
      <c r="R10147" t="s">
        <v>11517</v>
      </c>
    </row>
    <row r="10148" spans="1:18" x14ac:dyDescent="0.25">
      <c r="A10148" t="s">
        <v>22066</v>
      </c>
      <c r="B10148" t="s">
        <v>11583</v>
      </c>
      <c r="C10148" t="str">
        <f>HYPERLINK("https://nematode.unl.edu/tylem1.jpg")</f>
        <v>https://nematode.unl.edu/tylem1.jpg</v>
      </c>
      <c r="D10148" t="s">
        <v>43</v>
      </c>
      <c r="G10148" t="s">
        <v>44</v>
      </c>
      <c r="I10148" t="s">
        <v>499</v>
      </c>
      <c r="J10148" t="s">
        <v>20</v>
      </c>
      <c r="L10148" t="s">
        <v>64</v>
      </c>
      <c r="M10148" t="s">
        <v>11584</v>
      </c>
      <c r="N10148" t="s">
        <v>11584</v>
      </c>
      <c r="O10148" t="s">
        <v>73</v>
      </c>
      <c r="P10148" t="s">
        <v>81</v>
      </c>
      <c r="Q10148" t="s">
        <v>952</v>
      </c>
      <c r="R10148" t="s">
        <v>11517</v>
      </c>
    </row>
    <row r="10149" spans="1:18" x14ac:dyDescent="0.25">
      <c r="A10149" t="s">
        <v>22060</v>
      </c>
      <c r="B10149" t="s">
        <v>11585</v>
      </c>
      <c r="C10149" t="str">
        <f>HYPERLINK("https://nematode.unl.edu/tylem10.jpg")</f>
        <v>https://nematode.unl.edu/tylem10.jpg</v>
      </c>
      <c r="D10149" t="s">
        <v>43</v>
      </c>
      <c r="G10149" t="s">
        <v>17</v>
      </c>
      <c r="H10149" t="s">
        <v>18</v>
      </c>
      <c r="J10149" t="s">
        <v>20</v>
      </c>
      <c r="M10149" t="s">
        <v>11584</v>
      </c>
      <c r="N10149" t="s">
        <v>11584</v>
      </c>
      <c r="O10149" t="s">
        <v>73</v>
      </c>
      <c r="P10149" t="s">
        <v>81</v>
      </c>
      <c r="Q10149" t="s">
        <v>952</v>
      </c>
      <c r="R10149" t="s">
        <v>11517</v>
      </c>
    </row>
    <row r="10150" spans="1:18" x14ac:dyDescent="0.25">
      <c r="A10150" t="s">
        <v>22064</v>
      </c>
      <c r="B10150" t="s">
        <v>11586</v>
      </c>
      <c r="C10150" t="str">
        <f>HYPERLINK("https://nematode.unl.edu/tylem11.jpg")</f>
        <v>https://nematode.unl.edu/tylem11.jpg</v>
      </c>
      <c r="D10150" t="s">
        <v>77</v>
      </c>
      <c r="G10150" t="s">
        <v>87</v>
      </c>
      <c r="I10150" t="s">
        <v>19</v>
      </c>
      <c r="J10150" t="s">
        <v>20</v>
      </c>
      <c r="L10150" t="s">
        <v>141</v>
      </c>
      <c r="M10150" t="s">
        <v>11584</v>
      </c>
      <c r="N10150" t="s">
        <v>11584</v>
      </c>
      <c r="O10150" t="s">
        <v>73</v>
      </c>
      <c r="P10150" t="s">
        <v>81</v>
      </c>
      <c r="Q10150" t="s">
        <v>952</v>
      </c>
      <c r="R10150" t="s">
        <v>11517</v>
      </c>
    </row>
    <row r="10151" spans="1:18" x14ac:dyDescent="0.25">
      <c r="A10151" t="s">
        <v>22061</v>
      </c>
      <c r="B10151" t="s">
        <v>11587</v>
      </c>
      <c r="C10151" t="str">
        <f>HYPERLINK("https://nematode.unl.edu/tylem12.jpg")</f>
        <v>https://nematode.unl.edu/tylem12.jpg</v>
      </c>
      <c r="D10151" t="s">
        <v>77</v>
      </c>
      <c r="G10151" t="s">
        <v>34</v>
      </c>
      <c r="H10151" t="s">
        <v>18</v>
      </c>
      <c r="J10151" t="s">
        <v>20</v>
      </c>
      <c r="L10151" t="s">
        <v>141</v>
      </c>
      <c r="M10151" t="s">
        <v>11584</v>
      </c>
      <c r="N10151" t="s">
        <v>11584</v>
      </c>
      <c r="O10151" t="s">
        <v>73</v>
      </c>
      <c r="P10151" t="s">
        <v>81</v>
      </c>
      <c r="Q10151" t="s">
        <v>952</v>
      </c>
      <c r="R10151" t="s">
        <v>11517</v>
      </c>
    </row>
    <row r="10152" spans="1:18" x14ac:dyDescent="0.25">
      <c r="A10152" t="s">
        <v>22068</v>
      </c>
      <c r="B10152" t="s">
        <v>11588</v>
      </c>
      <c r="C10152" t="str">
        <f>HYPERLINK("https://nematode.unl.edu/tylem13.jpg")</f>
        <v>https://nematode.unl.edu/tylem13.jpg</v>
      </c>
      <c r="G10152" t="s">
        <v>28</v>
      </c>
      <c r="I10152" t="s">
        <v>41</v>
      </c>
      <c r="J10152" t="s">
        <v>20</v>
      </c>
      <c r="L10152" t="s">
        <v>141</v>
      </c>
      <c r="M10152" t="s">
        <v>11584</v>
      </c>
      <c r="N10152" t="s">
        <v>11584</v>
      </c>
      <c r="O10152" t="s">
        <v>73</v>
      </c>
      <c r="P10152" t="s">
        <v>81</v>
      </c>
      <c r="Q10152" t="s">
        <v>952</v>
      </c>
      <c r="R10152" t="s">
        <v>11517</v>
      </c>
    </row>
    <row r="10153" spans="1:18" x14ac:dyDescent="0.25">
      <c r="A10153" t="s">
        <v>22062</v>
      </c>
      <c r="B10153" t="s">
        <v>11589</v>
      </c>
      <c r="C10153" t="str">
        <f>HYPERLINK("https://nematode.unl.edu/tylem2.jpg")</f>
        <v>https://nematode.unl.edu/tylem2.jpg</v>
      </c>
      <c r="D10153" t="s">
        <v>43</v>
      </c>
      <c r="G10153" t="s">
        <v>34</v>
      </c>
      <c r="H10153" t="s">
        <v>18</v>
      </c>
      <c r="I10153" t="s">
        <v>516</v>
      </c>
      <c r="J10153" t="s">
        <v>20</v>
      </c>
      <c r="L10153" t="s">
        <v>64</v>
      </c>
      <c r="M10153" t="s">
        <v>11584</v>
      </c>
      <c r="N10153" t="s">
        <v>11584</v>
      </c>
      <c r="O10153" t="s">
        <v>73</v>
      </c>
      <c r="P10153" t="s">
        <v>81</v>
      </c>
      <c r="Q10153" t="s">
        <v>952</v>
      </c>
      <c r="R10153" t="s">
        <v>11517</v>
      </c>
    </row>
    <row r="10154" spans="1:18" x14ac:dyDescent="0.25">
      <c r="A10154" t="s">
        <v>22065</v>
      </c>
      <c r="B10154" t="s">
        <v>11590</v>
      </c>
      <c r="C10154" t="str">
        <f>HYPERLINK("https://nematode.unl.edu/tylem3.jpg")</f>
        <v>https://nematode.unl.edu/tylem3.jpg</v>
      </c>
      <c r="D10154" t="s">
        <v>43</v>
      </c>
      <c r="G10154" t="s">
        <v>87</v>
      </c>
      <c r="J10154" t="s">
        <v>20</v>
      </c>
      <c r="L10154" t="s">
        <v>64</v>
      </c>
      <c r="M10154" t="s">
        <v>11584</v>
      </c>
      <c r="N10154" t="s">
        <v>11584</v>
      </c>
      <c r="O10154" t="s">
        <v>73</v>
      </c>
      <c r="P10154" t="s">
        <v>81</v>
      </c>
      <c r="Q10154" t="s">
        <v>952</v>
      </c>
      <c r="R10154" t="s">
        <v>11517</v>
      </c>
    </row>
    <row r="10155" spans="1:18" x14ac:dyDescent="0.25">
      <c r="A10155" t="s">
        <v>22071</v>
      </c>
      <c r="B10155" t="s">
        <v>11591</v>
      </c>
      <c r="C10155" t="str">
        <f>HYPERLINK("https://nematode.unl.edu/tylem4.jpg")</f>
        <v>https://nematode.unl.edu/tylem4.jpg</v>
      </c>
      <c r="D10155" t="s">
        <v>43</v>
      </c>
      <c r="G10155" t="s">
        <v>51</v>
      </c>
      <c r="I10155" t="s">
        <v>19</v>
      </c>
      <c r="J10155" t="s">
        <v>20</v>
      </c>
      <c r="L10155" t="s">
        <v>64</v>
      </c>
      <c r="M10155" t="s">
        <v>11584</v>
      </c>
      <c r="N10155" t="s">
        <v>11584</v>
      </c>
      <c r="O10155" t="s">
        <v>73</v>
      </c>
      <c r="P10155" t="s">
        <v>81</v>
      </c>
      <c r="Q10155" t="s">
        <v>952</v>
      </c>
      <c r="R10155" t="s">
        <v>11517</v>
      </c>
    </row>
    <row r="10156" spans="1:18" x14ac:dyDescent="0.25">
      <c r="A10156" t="s">
        <v>22069</v>
      </c>
      <c r="B10156" t="s">
        <v>11592</v>
      </c>
      <c r="C10156" t="str">
        <f>HYPERLINK("https://nematode.unl.edu/tylem5.jpg")</f>
        <v>https://nematode.unl.edu/tylem5.jpg</v>
      </c>
      <c r="D10156" t="s">
        <v>43</v>
      </c>
      <c r="G10156" t="s">
        <v>28</v>
      </c>
      <c r="I10156" t="s">
        <v>19</v>
      </c>
      <c r="J10156" t="s">
        <v>20</v>
      </c>
      <c r="L10156" t="s">
        <v>64</v>
      </c>
      <c r="M10156" t="s">
        <v>11584</v>
      </c>
      <c r="N10156" t="s">
        <v>11584</v>
      </c>
      <c r="O10156" t="s">
        <v>73</v>
      </c>
      <c r="P10156" t="s">
        <v>81</v>
      </c>
      <c r="Q10156" t="s">
        <v>952</v>
      </c>
      <c r="R10156" t="s">
        <v>11517</v>
      </c>
    </row>
    <row r="10157" spans="1:18" x14ac:dyDescent="0.25">
      <c r="A10157" t="s">
        <v>22067</v>
      </c>
      <c r="B10157" t="s">
        <v>11593</v>
      </c>
      <c r="C10157" t="str">
        <f>HYPERLINK("https://nematode.unl.edu/tylem6.jpg")</f>
        <v>https://nematode.unl.edu/tylem6.jpg</v>
      </c>
      <c r="D10157" t="s">
        <v>43</v>
      </c>
      <c r="G10157" t="s">
        <v>44</v>
      </c>
      <c r="I10157" t="s">
        <v>45</v>
      </c>
      <c r="J10157" t="s">
        <v>20</v>
      </c>
      <c r="L10157" t="s">
        <v>11594</v>
      </c>
      <c r="M10157" t="s">
        <v>11584</v>
      </c>
      <c r="N10157" t="s">
        <v>11584</v>
      </c>
      <c r="O10157" t="s">
        <v>73</v>
      </c>
      <c r="P10157" t="s">
        <v>81</v>
      </c>
      <c r="Q10157" t="s">
        <v>952</v>
      </c>
      <c r="R10157" t="s">
        <v>11517</v>
      </c>
    </row>
    <row r="10158" spans="1:18" x14ac:dyDescent="0.25">
      <c r="A10158" t="s">
        <v>22063</v>
      </c>
      <c r="B10158" t="s">
        <v>11595</v>
      </c>
      <c r="C10158" t="str">
        <f>HYPERLINK("https://nematode.unl.edu/tylem7.jpg")</f>
        <v>https://nematode.unl.edu/tylem7.jpg</v>
      </c>
      <c r="D10158" t="s">
        <v>43</v>
      </c>
      <c r="G10158" t="s">
        <v>34</v>
      </c>
      <c r="H10158" t="s">
        <v>18</v>
      </c>
      <c r="J10158" t="s">
        <v>20</v>
      </c>
      <c r="M10158" t="s">
        <v>11584</v>
      </c>
      <c r="N10158" t="s">
        <v>11584</v>
      </c>
      <c r="O10158" t="s">
        <v>73</v>
      </c>
      <c r="P10158" t="s">
        <v>81</v>
      </c>
      <c r="Q10158" t="s">
        <v>952</v>
      </c>
      <c r="R10158" t="s">
        <v>11517</v>
      </c>
    </row>
    <row r="10159" spans="1:18" x14ac:dyDescent="0.25">
      <c r="A10159" t="s">
        <v>22072</v>
      </c>
      <c r="B10159" t="s">
        <v>11596</v>
      </c>
      <c r="C10159" t="str">
        <f>HYPERLINK("https://nematode.unl.edu/tylem8.jpg")</f>
        <v>https://nematode.unl.edu/tylem8.jpg</v>
      </c>
      <c r="D10159" t="s">
        <v>43</v>
      </c>
      <c r="G10159" t="s">
        <v>51</v>
      </c>
      <c r="J10159" t="s">
        <v>20</v>
      </c>
      <c r="M10159" t="s">
        <v>11584</v>
      </c>
      <c r="N10159" t="s">
        <v>11584</v>
      </c>
      <c r="O10159" t="s">
        <v>73</v>
      </c>
      <c r="P10159" t="s">
        <v>81</v>
      </c>
      <c r="Q10159" t="s">
        <v>952</v>
      </c>
      <c r="R10159" t="s">
        <v>11517</v>
      </c>
    </row>
    <row r="10160" spans="1:18" x14ac:dyDescent="0.25">
      <c r="A10160" t="s">
        <v>22070</v>
      </c>
      <c r="B10160" t="s">
        <v>11597</v>
      </c>
      <c r="C10160" t="str">
        <f>HYPERLINK("https://nematode.unl.edu/tylem9.jpg")</f>
        <v>https://nematode.unl.edu/tylem9.jpg</v>
      </c>
      <c r="D10160" t="s">
        <v>43</v>
      </c>
      <c r="G10160" t="s">
        <v>28</v>
      </c>
      <c r="J10160" t="s">
        <v>20</v>
      </c>
      <c r="M10160" t="s">
        <v>11584</v>
      </c>
      <c r="N10160" t="s">
        <v>11584</v>
      </c>
      <c r="O10160" t="s">
        <v>73</v>
      </c>
      <c r="P10160" t="s">
        <v>81</v>
      </c>
      <c r="Q10160" t="s">
        <v>952</v>
      </c>
      <c r="R10160" t="s">
        <v>11517</v>
      </c>
    </row>
    <row r="10161" spans="1:18" x14ac:dyDescent="0.25">
      <c r="A10161" t="s">
        <v>21836</v>
      </c>
      <c r="B10161" t="s">
        <v>11635</v>
      </c>
      <c r="C10161" t="str">
        <f>HYPERLINK("https://nematode.unl.edu/tylemi1.jpg")</f>
        <v>https://nematode.unl.edu/tylemi1.jpg</v>
      </c>
      <c r="D10161" t="s">
        <v>16</v>
      </c>
      <c r="G10161" t="s">
        <v>34</v>
      </c>
      <c r="H10161" t="s">
        <v>18</v>
      </c>
      <c r="I10161" t="s">
        <v>19</v>
      </c>
      <c r="J10161" t="s">
        <v>20</v>
      </c>
      <c r="L10161" t="s">
        <v>752</v>
      </c>
      <c r="M10161" t="s">
        <v>11636</v>
      </c>
      <c r="N10161" t="s">
        <v>11636</v>
      </c>
      <c r="O10161" t="s">
        <v>73</v>
      </c>
      <c r="P10161" t="s">
        <v>81</v>
      </c>
      <c r="Q10161" t="s">
        <v>82</v>
      </c>
      <c r="R10161" t="s">
        <v>11637</v>
      </c>
    </row>
    <row r="10162" spans="1:18" x14ac:dyDescent="0.25">
      <c r="A10162" t="s">
        <v>21842</v>
      </c>
      <c r="B10162" t="s">
        <v>11638</v>
      </c>
      <c r="C10162" t="str">
        <f>HYPERLINK("https://nematode.unl.edu/tylemi2.jpg")</f>
        <v>https://nematode.unl.edu/tylemi2.jpg</v>
      </c>
      <c r="D10162" t="s">
        <v>16</v>
      </c>
      <c r="G10162" t="s">
        <v>28</v>
      </c>
      <c r="I10162" t="s">
        <v>19</v>
      </c>
      <c r="J10162" t="s">
        <v>20</v>
      </c>
      <c r="L10162" t="s">
        <v>752</v>
      </c>
      <c r="M10162" t="s">
        <v>11636</v>
      </c>
      <c r="N10162" t="s">
        <v>11636</v>
      </c>
      <c r="O10162" t="s">
        <v>73</v>
      </c>
      <c r="P10162" t="s">
        <v>81</v>
      </c>
      <c r="Q10162" t="s">
        <v>82</v>
      </c>
      <c r="R10162" t="s">
        <v>11637</v>
      </c>
    </row>
    <row r="10163" spans="1:18" x14ac:dyDescent="0.25">
      <c r="A10163" t="s">
        <v>21839</v>
      </c>
      <c r="B10163" t="s">
        <v>11639</v>
      </c>
      <c r="C10163" t="str">
        <f>HYPERLINK("https://nematode.unl.edu/tylemi3.jpg")</f>
        <v>https://nematode.unl.edu/tylemi3.jpg</v>
      </c>
      <c r="D10163" t="s">
        <v>16</v>
      </c>
      <c r="G10163" t="s">
        <v>3928</v>
      </c>
      <c r="H10163" t="s">
        <v>18</v>
      </c>
      <c r="I10163" t="s">
        <v>41</v>
      </c>
      <c r="J10163" t="s">
        <v>20</v>
      </c>
      <c r="L10163" t="s">
        <v>752</v>
      </c>
      <c r="M10163" t="s">
        <v>11636</v>
      </c>
      <c r="N10163" t="s">
        <v>11636</v>
      </c>
      <c r="O10163" t="s">
        <v>73</v>
      </c>
      <c r="P10163" t="s">
        <v>81</v>
      </c>
      <c r="Q10163" t="s">
        <v>82</v>
      </c>
      <c r="R10163" t="s">
        <v>11637</v>
      </c>
    </row>
    <row r="10164" spans="1:18" x14ac:dyDescent="0.25">
      <c r="A10164" t="s">
        <v>21835</v>
      </c>
      <c r="B10164" t="s">
        <v>11640</v>
      </c>
      <c r="C10164" t="str">
        <f>HYPERLINK("https://nematode.unl.edu/tylemi4.jpg")</f>
        <v>https://nematode.unl.edu/tylemi4.jpg</v>
      </c>
      <c r="G10164" t="s">
        <v>17</v>
      </c>
      <c r="H10164" t="s">
        <v>18</v>
      </c>
      <c r="I10164" t="s">
        <v>41</v>
      </c>
      <c r="J10164" t="s">
        <v>20</v>
      </c>
      <c r="L10164" t="s">
        <v>752</v>
      </c>
      <c r="M10164" t="s">
        <v>11636</v>
      </c>
      <c r="N10164" t="s">
        <v>11636</v>
      </c>
      <c r="O10164" t="s">
        <v>73</v>
      </c>
      <c r="P10164" t="s">
        <v>81</v>
      </c>
      <c r="Q10164" t="s">
        <v>82</v>
      </c>
      <c r="R10164" t="s">
        <v>11637</v>
      </c>
    </row>
    <row r="10165" spans="1:18" x14ac:dyDescent="0.25">
      <c r="A10165" t="s">
        <v>21999</v>
      </c>
      <c r="B10165" t="s">
        <v>11538</v>
      </c>
      <c r="C10165" t="str">
        <f>HYPERLINK("https://nematode.unl.edu/tylenaf1.jpg")</f>
        <v>https://nematode.unl.edu/tylenaf1.jpg</v>
      </c>
      <c r="D10165" t="s">
        <v>43</v>
      </c>
      <c r="G10165" t="s">
        <v>96</v>
      </c>
      <c r="H10165" t="s">
        <v>18</v>
      </c>
      <c r="I10165" t="s">
        <v>19</v>
      </c>
      <c r="J10165" t="s">
        <v>46</v>
      </c>
      <c r="L10165" t="s">
        <v>105</v>
      </c>
      <c r="M10165" t="s">
        <v>11516</v>
      </c>
      <c r="N10165" t="s">
        <v>11516</v>
      </c>
      <c r="O10165" t="s">
        <v>73</v>
      </c>
      <c r="P10165" t="s">
        <v>81</v>
      </c>
      <c r="Q10165" t="s">
        <v>952</v>
      </c>
      <c r="R10165" t="s">
        <v>11517</v>
      </c>
    </row>
    <row r="10166" spans="1:18" x14ac:dyDescent="0.25">
      <c r="A10166" t="s">
        <v>22007</v>
      </c>
      <c r="B10166" t="s">
        <v>11539</v>
      </c>
      <c r="C10166" t="str">
        <f>HYPERLINK("https://nematode.unl.edu/tylenaf2.jpg")</f>
        <v>https://nematode.unl.edu/tylenaf2.jpg</v>
      </c>
      <c r="D10166" t="s">
        <v>43</v>
      </c>
      <c r="G10166" t="s">
        <v>11540</v>
      </c>
      <c r="I10166" t="s">
        <v>516</v>
      </c>
      <c r="J10166" t="s">
        <v>46</v>
      </c>
      <c r="L10166" t="s">
        <v>105</v>
      </c>
      <c r="M10166" t="s">
        <v>11516</v>
      </c>
      <c r="N10166" t="s">
        <v>11516</v>
      </c>
      <c r="O10166" t="s">
        <v>73</v>
      </c>
      <c r="P10166" t="s">
        <v>81</v>
      </c>
      <c r="Q10166" t="s">
        <v>952</v>
      </c>
      <c r="R10166" t="s">
        <v>11517</v>
      </c>
    </row>
    <row r="10167" spans="1:18" x14ac:dyDescent="0.25">
      <c r="A10167" t="s">
        <v>22016</v>
      </c>
      <c r="B10167" t="s">
        <v>11541</v>
      </c>
      <c r="C10167" t="str">
        <f>HYPERLINK("https://nematode.unl.edu/tylenaf3.jpg")</f>
        <v>https://nematode.unl.edu/tylenaf3.jpg</v>
      </c>
      <c r="G10167" t="s">
        <v>1000</v>
      </c>
      <c r="I10167" t="s">
        <v>19</v>
      </c>
      <c r="J10167" t="s">
        <v>46</v>
      </c>
      <c r="L10167" t="s">
        <v>105</v>
      </c>
      <c r="M10167" t="s">
        <v>11516</v>
      </c>
      <c r="N10167" t="s">
        <v>11516</v>
      </c>
      <c r="O10167" t="s">
        <v>73</v>
      </c>
      <c r="P10167" t="s">
        <v>81</v>
      </c>
      <c r="Q10167" t="s">
        <v>952</v>
      </c>
      <c r="R10167" t="s">
        <v>11517</v>
      </c>
    </row>
    <row r="10168" spans="1:18" x14ac:dyDescent="0.25">
      <c r="A10168" t="s">
        <v>22023</v>
      </c>
      <c r="B10168" t="s">
        <v>11542</v>
      </c>
      <c r="C10168" t="str">
        <f>HYPERLINK("https://nematode.unl.edu/tylenaf4.jpg")</f>
        <v>https://nematode.unl.edu/tylenaf4.jpg</v>
      </c>
      <c r="D10168" t="s">
        <v>43</v>
      </c>
      <c r="G10168" t="s">
        <v>28</v>
      </c>
      <c r="J10168" t="s">
        <v>46</v>
      </c>
      <c r="L10168" t="s">
        <v>105</v>
      </c>
      <c r="M10168" t="s">
        <v>11516</v>
      </c>
      <c r="N10168" t="s">
        <v>11516</v>
      </c>
      <c r="O10168" t="s">
        <v>73</v>
      </c>
      <c r="P10168" t="s">
        <v>81</v>
      </c>
      <c r="Q10168" t="s">
        <v>952</v>
      </c>
      <c r="R10168" t="s">
        <v>11517</v>
      </c>
    </row>
    <row r="10169" spans="1:18" x14ac:dyDescent="0.25">
      <c r="A10169" t="s">
        <v>22004</v>
      </c>
      <c r="B10169" t="s">
        <v>11543</v>
      </c>
      <c r="C10169" t="str">
        <f>HYPERLINK("https://nematode.unl.edu/tylenaf5.jpg")</f>
        <v>https://nematode.unl.edu/tylenaf5.jpg</v>
      </c>
      <c r="D10169" t="s">
        <v>43</v>
      </c>
      <c r="G10169" t="s">
        <v>34</v>
      </c>
      <c r="H10169" t="s">
        <v>18</v>
      </c>
      <c r="I10169" t="s">
        <v>41</v>
      </c>
      <c r="J10169" t="s">
        <v>46</v>
      </c>
      <c r="L10169" t="s">
        <v>105</v>
      </c>
      <c r="M10169" t="s">
        <v>11516</v>
      </c>
      <c r="N10169" t="s">
        <v>11516</v>
      </c>
      <c r="O10169" t="s">
        <v>73</v>
      </c>
      <c r="P10169" t="s">
        <v>81</v>
      </c>
      <c r="Q10169" t="s">
        <v>952</v>
      </c>
      <c r="R10169" t="s">
        <v>11517</v>
      </c>
    </row>
    <row r="10170" spans="1:18" x14ac:dyDescent="0.25">
      <c r="A10170" t="s">
        <v>22010</v>
      </c>
      <c r="B10170" t="s">
        <v>11544</v>
      </c>
      <c r="C10170" t="str">
        <f>HYPERLINK("https://nematode.unl.edu/tylenaf6.jpg")</f>
        <v>https://nematode.unl.edu/tylenaf6.jpg</v>
      </c>
      <c r="D10170" t="s">
        <v>77</v>
      </c>
      <c r="G10170" t="s">
        <v>87</v>
      </c>
      <c r="I10170" t="s">
        <v>19</v>
      </c>
      <c r="J10170" t="s">
        <v>46</v>
      </c>
      <c r="L10170" t="s">
        <v>105</v>
      </c>
      <c r="M10170" t="s">
        <v>11516</v>
      </c>
      <c r="N10170" t="s">
        <v>11516</v>
      </c>
      <c r="O10170" t="s">
        <v>73</v>
      </c>
      <c r="P10170" t="s">
        <v>81</v>
      </c>
      <c r="Q10170" t="s">
        <v>952</v>
      </c>
      <c r="R10170" t="s">
        <v>11517</v>
      </c>
    </row>
    <row r="10171" spans="1:18" x14ac:dyDescent="0.25">
      <c r="A10171" t="s">
        <v>22006</v>
      </c>
      <c r="B10171" t="s">
        <v>11545</v>
      </c>
      <c r="C10171" t="str">
        <f>HYPERLINK("https://nematode.unl.edu/tylenaf7.jpg")</f>
        <v>https://nematode.unl.edu/tylenaf7.jpg</v>
      </c>
      <c r="D10171" t="s">
        <v>16</v>
      </c>
      <c r="G10171" t="s">
        <v>11546</v>
      </c>
      <c r="I10171" t="s">
        <v>529</v>
      </c>
      <c r="J10171" t="s">
        <v>46</v>
      </c>
      <c r="L10171" t="s">
        <v>105</v>
      </c>
      <c r="M10171" t="s">
        <v>11516</v>
      </c>
      <c r="N10171" t="s">
        <v>11516</v>
      </c>
      <c r="O10171" t="s">
        <v>73</v>
      </c>
      <c r="P10171" t="s">
        <v>81</v>
      </c>
      <c r="Q10171" t="s">
        <v>952</v>
      </c>
      <c r="R10171" t="s">
        <v>11517</v>
      </c>
    </row>
    <row r="10172" spans="1:18" x14ac:dyDescent="0.25">
      <c r="A10172" t="s">
        <v>22017</v>
      </c>
      <c r="B10172" t="s">
        <v>11547</v>
      </c>
      <c r="C10172" t="str">
        <f>HYPERLINK("https://nematode.unl.edu/tylenaf8.jpg")</f>
        <v>https://nematode.unl.edu/tylenaf8.jpg</v>
      </c>
      <c r="D10172" t="s">
        <v>77</v>
      </c>
      <c r="G10172" t="s">
        <v>2121</v>
      </c>
      <c r="I10172" t="s">
        <v>529</v>
      </c>
      <c r="J10172" t="s">
        <v>46</v>
      </c>
      <c r="L10172" t="s">
        <v>105</v>
      </c>
      <c r="M10172" t="s">
        <v>11516</v>
      </c>
      <c r="N10172" t="s">
        <v>11516</v>
      </c>
      <c r="O10172" t="s">
        <v>73</v>
      </c>
      <c r="P10172" t="s">
        <v>81</v>
      </c>
      <c r="Q10172" t="s">
        <v>952</v>
      </c>
      <c r="R10172" t="s">
        <v>11517</v>
      </c>
    </row>
    <row r="10173" spans="1:18" x14ac:dyDescent="0.25">
      <c r="A10173" t="s">
        <v>22027</v>
      </c>
      <c r="B10173" t="s">
        <v>11548</v>
      </c>
      <c r="C10173" t="str">
        <f>HYPERLINK("https://nematode.unl.edu/tylenaf9.jpg")</f>
        <v>https://nematode.unl.edu/tylenaf9.jpg</v>
      </c>
      <c r="D10173" t="s">
        <v>43</v>
      </c>
      <c r="G10173" t="s">
        <v>51</v>
      </c>
      <c r="I10173" t="s">
        <v>41</v>
      </c>
      <c r="J10173" t="s">
        <v>46</v>
      </c>
      <c r="L10173" t="s">
        <v>105</v>
      </c>
      <c r="M10173" t="s">
        <v>11516</v>
      </c>
      <c r="N10173" t="s">
        <v>11516</v>
      </c>
      <c r="O10173" t="s">
        <v>73</v>
      </c>
      <c r="P10173" t="s">
        <v>81</v>
      </c>
      <c r="Q10173" t="s">
        <v>952</v>
      </c>
      <c r="R10173" t="s">
        <v>11517</v>
      </c>
    </row>
    <row r="10174" spans="1:18" x14ac:dyDescent="0.25">
      <c r="A10174" t="s">
        <v>21847</v>
      </c>
      <c r="B10174" t="s">
        <v>11659</v>
      </c>
      <c r="C10174" t="str">
        <f>HYPERLINK("https://nematode.unl.edu/tylep1.jpg")</f>
        <v>https://nematode.unl.edu/tylep1.jpg</v>
      </c>
      <c r="D10174" t="s">
        <v>77</v>
      </c>
      <c r="G10174" t="s">
        <v>96</v>
      </c>
      <c r="H10174" t="s">
        <v>18</v>
      </c>
      <c r="I10174" t="s">
        <v>19</v>
      </c>
      <c r="M10174" t="s">
        <v>11660</v>
      </c>
      <c r="N10174" t="s">
        <v>11660</v>
      </c>
      <c r="O10174" t="s">
        <v>73</v>
      </c>
      <c r="P10174" t="s">
        <v>81</v>
      </c>
      <c r="Q10174" t="s">
        <v>82</v>
      </c>
      <c r="R10174" t="s">
        <v>11637</v>
      </c>
    </row>
    <row r="10175" spans="1:18" x14ac:dyDescent="0.25">
      <c r="A10175" t="s">
        <v>21869</v>
      </c>
      <c r="B10175" t="s">
        <v>11661</v>
      </c>
      <c r="C10175" t="str">
        <f>HYPERLINK("https://nematode.unl.edu/tylep2.jpg")</f>
        <v>https://nematode.unl.edu/tylep2.jpg</v>
      </c>
      <c r="D10175" t="s">
        <v>43</v>
      </c>
      <c r="G10175" t="s">
        <v>51</v>
      </c>
      <c r="I10175" t="s">
        <v>19</v>
      </c>
      <c r="M10175" t="s">
        <v>11660</v>
      </c>
      <c r="N10175" t="s">
        <v>11660</v>
      </c>
      <c r="O10175" t="s">
        <v>73</v>
      </c>
      <c r="P10175" t="s">
        <v>81</v>
      </c>
      <c r="Q10175" t="s">
        <v>82</v>
      </c>
      <c r="R10175" t="s">
        <v>11637</v>
      </c>
    </row>
    <row r="10176" spans="1:18" x14ac:dyDescent="0.25">
      <c r="A10176" t="s">
        <v>21864</v>
      </c>
      <c r="B10176" t="s">
        <v>11662</v>
      </c>
      <c r="C10176" t="str">
        <f>HYPERLINK("https://nematode.unl.edu/tylep3.jpg")</f>
        <v>https://nematode.unl.edu/tylep3.jpg</v>
      </c>
      <c r="D10176" t="s">
        <v>43</v>
      </c>
      <c r="G10176" t="s">
        <v>28</v>
      </c>
      <c r="M10176" t="s">
        <v>11660</v>
      </c>
      <c r="N10176" t="s">
        <v>11660</v>
      </c>
      <c r="O10176" t="s">
        <v>73</v>
      </c>
      <c r="P10176" t="s">
        <v>81</v>
      </c>
      <c r="Q10176" t="s">
        <v>82</v>
      </c>
      <c r="R10176" t="s">
        <v>11637</v>
      </c>
    </row>
    <row r="10177" spans="1:18" x14ac:dyDescent="0.25">
      <c r="A10177" t="s">
        <v>21857</v>
      </c>
      <c r="B10177" t="s">
        <v>11663</v>
      </c>
      <c r="C10177" t="str">
        <f>HYPERLINK("https://nematode.unl.edu/tylep4.jpg")</f>
        <v>https://nematode.unl.edu/tylep4.jpg</v>
      </c>
      <c r="D10177" t="s">
        <v>43</v>
      </c>
      <c r="G10177" t="s">
        <v>34</v>
      </c>
      <c r="H10177" t="s">
        <v>18</v>
      </c>
      <c r="I10177" t="s">
        <v>41</v>
      </c>
      <c r="M10177" t="s">
        <v>11660</v>
      </c>
      <c r="N10177" t="s">
        <v>11660</v>
      </c>
      <c r="O10177" t="s">
        <v>73</v>
      </c>
      <c r="P10177" t="s">
        <v>81</v>
      </c>
      <c r="Q10177" t="s">
        <v>82</v>
      </c>
      <c r="R10177" t="s">
        <v>11637</v>
      </c>
    </row>
    <row r="10178" spans="1:18" x14ac:dyDescent="0.25">
      <c r="A10178" t="s">
        <v>21870</v>
      </c>
      <c r="B10178" t="s">
        <v>11664</v>
      </c>
      <c r="C10178" t="str">
        <f>HYPERLINK("https://nematode.unl.edu/tylep5.jpg")</f>
        <v>https://nematode.unl.edu/tylep5.jpg</v>
      </c>
      <c r="D10178" t="s">
        <v>43</v>
      </c>
      <c r="G10178" t="s">
        <v>51</v>
      </c>
      <c r="M10178" t="s">
        <v>11660</v>
      </c>
      <c r="N10178" t="s">
        <v>11660</v>
      </c>
      <c r="O10178" t="s">
        <v>73</v>
      </c>
      <c r="P10178" t="s">
        <v>81</v>
      </c>
      <c r="Q10178" t="s">
        <v>82</v>
      </c>
      <c r="R10178" t="s">
        <v>11637</v>
      </c>
    </row>
    <row r="10179" spans="1:18" x14ac:dyDescent="0.25">
      <c r="A10179" t="s">
        <v>21855</v>
      </c>
      <c r="B10179" t="s">
        <v>11665</v>
      </c>
      <c r="C10179" t="str">
        <f>HYPERLINK("https://nematode.unl.edu/tylep6.jpg")</f>
        <v>https://nematode.unl.edu/tylep6.jpg</v>
      </c>
      <c r="D10179" t="s">
        <v>43</v>
      </c>
      <c r="G10179" t="s">
        <v>17</v>
      </c>
      <c r="H10179" t="s">
        <v>18</v>
      </c>
      <c r="I10179" t="s">
        <v>41</v>
      </c>
      <c r="M10179" t="s">
        <v>11660</v>
      </c>
      <c r="N10179" t="s">
        <v>11660</v>
      </c>
      <c r="O10179" t="s">
        <v>73</v>
      </c>
      <c r="P10179" t="s">
        <v>81</v>
      </c>
      <c r="Q10179" t="s">
        <v>82</v>
      </c>
      <c r="R10179" t="s">
        <v>11637</v>
      </c>
    </row>
    <row r="10180" spans="1:18" x14ac:dyDescent="0.25">
      <c r="A10180" t="s">
        <v>20094</v>
      </c>
      <c r="B10180" t="s">
        <v>11765</v>
      </c>
      <c r="C10180" t="str">
        <f>HYPERLINK("https://nematode.unl.edu/tylepro1.jpg")</f>
        <v>https://nematode.unl.edu/tylepro1.jpg</v>
      </c>
      <c r="D10180" t="s">
        <v>16</v>
      </c>
      <c r="G10180" t="s">
        <v>34</v>
      </c>
      <c r="H10180" t="s">
        <v>18</v>
      </c>
      <c r="L10180" t="s">
        <v>131</v>
      </c>
      <c r="M10180" t="s">
        <v>11766</v>
      </c>
      <c r="N10180" t="s">
        <v>11766</v>
      </c>
      <c r="O10180" t="s">
        <v>73</v>
      </c>
      <c r="P10180" t="s">
        <v>81</v>
      </c>
      <c r="Q10180" t="s">
        <v>2579</v>
      </c>
      <c r="R10180" t="s">
        <v>11767</v>
      </c>
    </row>
    <row r="10181" spans="1:18" x14ac:dyDescent="0.25">
      <c r="A10181" t="s">
        <v>20100</v>
      </c>
      <c r="B10181" t="s">
        <v>11768</v>
      </c>
      <c r="C10181" t="str">
        <f>HYPERLINK("https://nematode.unl.edu/tylepro2.jpg")</f>
        <v>https://nematode.unl.edu/tylepro2.jpg</v>
      </c>
      <c r="D10181" t="s">
        <v>16</v>
      </c>
      <c r="G10181" t="s">
        <v>384</v>
      </c>
      <c r="I10181" t="s">
        <v>41</v>
      </c>
      <c r="J10181" t="s">
        <v>161</v>
      </c>
      <c r="L10181" t="s">
        <v>128</v>
      </c>
      <c r="M10181" t="s">
        <v>11766</v>
      </c>
      <c r="N10181" t="s">
        <v>11766</v>
      </c>
      <c r="O10181" t="s">
        <v>73</v>
      </c>
      <c r="P10181" t="s">
        <v>81</v>
      </c>
      <c r="Q10181" t="s">
        <v>2579</v>
      </c>
      <c r="R10181" t="s">
        <v>11767</v>
      </c>
    </row>
    <row r="10182" spans="1:18" x14ac:dyDescent="0.25">
      <c r="A10182" t="s">
        <v>16066</v>
      </c>
      <c r="B10182" t="s">
        <v>11748</v>
      </c>
      <c r="C10182" t="str">
        <f>HYPERLINK("https://nematode.unl.edu/tylerob1.jpg")</f>
        <v>https://nematode.unl.edu/tylerob1.jpg</v>
      </c>
      <c r="D10182" t="s">
        <v>16</v>
      </c>
      <c r="G10182" t="s">
        <v>44</v>
      </c>
      <c r="I10182" t="s">
        <v>499</v>
      </c>
      <c r="J10182" t="s">
        <v>20</v>
      </c>
      <c r="L10182" t="s">
        <v>752</v>
      </c>
      <c r="M10182" t="s">
        <v>11749</v>
      </c>
      <c r="N10182" t="s">
        <v>11749</v>
      </c>
      <c r="O10182" t="s">
        <v>23</v>
      </c>
      <c r="P10182" t="s">
        <v>24</v>
      </c>
      <c r="Q10182" t="s">
        <v>1071</v>
      </c>
      <c r="R10182" t="s">
        <v>1856</v>
      </c>
    </row>
    <row r="10183" spans="1:18" x14ac:dyDescent="0.25">
      <c r="A10183" t="s">
        <v>16071</v>
      </c>
      <c r="B10183" t="s">
        <v>11750</v>
      </c>
      <c r="C10183" t="str">
        <f>HYPERLINK("https://nematode.unl.edu/tylerob10.jpg")</f>
        <v>https://nematode.unl.edu/tylerob10.jpg</v>
      </c>
      <c r="D10183" t="s">
        <v>77</v>
      </c>
      <c r="G10183" t="s">
        <v>112</v>
      </c>
      <c r="I10183" t="s">
        <v>41</v>
      </c>
      <c r="J10183" t="s">
        <v>20</v>
      </c>
      <c r="M10183" t="s">
        <v>11749</v>
      </c>
      <c r="N10183" t="s">
        <v>11749</v>
      </c>
      <c r="O10183" t="s">
        <v>23</v>
      </c>
      <c r="P10183" t="s">
        <v>24</v>
      </c>
      <c r="Q10183" t="s">
        <v>1071</v>
      </c>
      <c r="R10183" t="s">
        <v>1856</v>
      </c>
    </row>
    <row r="10184" spans="1:18" x14ac:dyDescent="0.25">
      <c r="A10184" t="s">
        <v>16067</v>
      </c>
      <c r="B10184" t="s">
        <v>11751</v>
      </c>
      <c r="C10184" t="str">
        <f>HYPERLINK("https://nematode.unl.edu/tylerob11.jpg")</f>
        <v>https://nematode.unl.edu/tylerob11.jpg</v>
      </c>
      <c r="D10184" t="s">
        <v>43</v>
      </c>
      <c r="G10184" t="s">
        <v>44</v>
      </c>
      <c r="I10184" t="s">
        <v>499</v>
      </c>
      <c r="J10184" t="s">
        <v>20</v>
      </c>
      <c r="L10184" t="s">
        <v>752</v>
      </c>
      <c r="M10184" t="s">
        <v>11749</v>
      </c>
      <c r="N10184" t="s">
        <v>11749</v>
      </c>
      <c r="O10184" t="s">
        <v>23</v>
      </c>
      <c r="P10184" t="s">
        <v>24</v>
      </c>
      <c r="Q10184" t="s">
        <v>1071</v>
      </c>
      <c r="R10184" t="s">
        <v>1856</v>
      </c>
    </row>
    <row r="10185" spans="1:18" x14ac:dyDescent="0.25">
      <c r="A10185" t="s">
        <v>16061</v>
      </c>
      <c r="B10185" t="s">
        <v>11752</v>
      </c>
      <c r="C10185" t="str">
        <f>HYPERLINK("https://nematode.unl.edu/tylerob12.jpg")</f>
        <v>https://nematode.unl.edu/tylerob12.jpg</v>
      </c>
      <c r="D10185" t="s">
        <v>43</v>
      </c>
      <c r="G10185" t="s">
        <v>34</v>
      </c>
      <c r="H10185" t="s">
        <v>18</v>
      </c>
      <c r="J10185" t="s">
        <v>20</v>
      </c>
      <c r="L10185" t="s">
        <v>752</v>
      </c>
      <c r="M10185" t="s">
        <v>11749</v>
      </c>
      <c r="N10185" t="s">
        <v>11749</v>
      </c>
      <c r="O10185" t="s">
        <v>23</v>
      </c>
      <c r="P10185" t="s">
        <v>24</v>
      </c>
      <c r="Q10185" t="s">
        <v>1071</v>
      </c>
      <c r="R10185" t="s">
        <v>1856</v>
      </c>
    </row>
    <row r="10186" spans="1:18" x14ac:dyDescent="0.25">
      <c r="A10186" t="s">
        <v>16076</v>
      </c>
      <c r="B10186" t="s">
        <v>11753</v>
      </c>
      <c r="C10186" t="str">
        <f>HYPERLINK("https://nematode.unl.edu/tylerob13.jpg")</f>
        <v>https://nematode.unl.edu/tylerob13.jpg</v>
      </c>
      <c r="D10186" t="s">
        <v>43</v>
      </c>
      <c r="G10186" t="s">
        <v>51</v>
      </c>
      <c r="J10186" t="s">
        <v>20</v>
      </c>
      <c r="L10186" t="s">
        <v>752</v>
      </c>
      <c r="M10186" t="s">
        <v>11749</v>
      </c>
      <c r="N10186" t="s">
        <v>11749</v>
      </c>
      <c r="O10186" t="s">
        <v>23</v>
      </c>
      <c r="P10186" t="s">
        <v>24</v>
      </c>
      <c r="Q10186" t="s">
        <v>1071</v>
      </c>
      <c r="R10186" t="s">
        <v>1856</v>
      </c>
    </row>
    <row r="10187" spans="1:18" x14ac:dyDescent="0.25">
      <c r="A10187" t="s">
        <v>16072</v>
      </c>
      <c r="B10187" t="s">
        <v>11754</v>
      </c>
      <c r="C10187" t="str">
        <f>HYPERLINK("https://nematode.unl.edu/tylerob14.jpg")</f>
        <v>https://nematode.unl.edu/tylerob14.jpg</v>
      </c>
      <c r="D10187" t="s">
        <v>43</v>
      </c>
      <c r="G10187" t="s">
        <v>28</v>
      </c>
      <c r="J10187" t="s">
        <v>20</v>
      </c>
      <c r="L10187" t="s">
        <v>752</v>
      </c>
      <c r="M10187" t="s">
        <v>11749</v>
      </c>
      <c r="N10187" t="s">
        <v>11749</v>
      </c>
      <c r="O10187" t="s">
        <v>23</v>
      </c>
      <c r="P10187" t="s">
        <v>24</v>
      </c>
      <c r="Q10187" t="s">
        <v>1071</v>
      </c>
      <c r="R10187" t="s">
        <v>1856</v>
      </c>
    </row>
    <row r="10188" spans="1:18" x14ac:dyDescent="0.25">
      <c r="A10188" t="s">
        <v>16062</v>
      </c>
      <c r="B10188" t="s">
        <v>11755</v>
      </c>
      <c r="C10188" t="str">
        <f>HYPERLINK("https://nematode.unl.edu/tylerob15.jpg")</f>
        <v>https://nematode.unl.edu/tylerob15.jpg</v>
      </c>
      <c r="D10188" t="s">
        <v>16</v>
      </c>
      <c r="G10188" t="s">
        <v>34</v>
      </c>
      <c r="H10188" t="s">
        <v>18</v>
      </c>
      <c r="I10188" t="s">
        <v>516</v>
      </c>
      <c r="J10188" t="s">
        <v>20</v>
      </c>
      <c r="L10188" t="s">
        <v>752</v>
      </c>
      <c r="M10188" t="s">
        <v>11749</v>
      </c>
      <c r="N10188" t="s">
        <v>11749</v>
      </c>
      <c r="O10188" t="s">
        <v>23</v>
      </c>
      <c r="P10188" t="s">
        <v>24</v>
      </c>
      <c r="Q10188" t="s">
        <v>1071</v>
      </c>
      <c r="R10188" t="s">
        <v>1856</v>
      </c>
    </row>
    <row r="10189" spans="1:18" x14ac:dyDescent="0.25">
      <c r="A10189" t="s">
        <v>16073</v>
      </c>
      <c r="B10189" t="s">
        <v>11756</v>
      </c>
      <c r="C10189" t="str">
        <f>HYPERLINK("https://nematode.unl.edu/tylerob16.jpg")</f>
        <v>https://nematode.unl.edu/tylerob16.jpg</v>
      </c>
      <c r="G10189" t="s">
        <v>28</v>
      </c>
      <c r="I10189" t="s">
        <v>19</v>
      </c>
      <c r="J10189" t="s">
        <v>20</v>
      </c>
      <c r="L10189" t="s">
        <v>752</v>
      </c>
      <c r="M10189" t="s">
        <v>11749</v>
      </c>
      <c r="N10189" t="s">
        <v>11749</v>
      </c>
      <c r="O10189" t="s">
        <v>23</v>
      </c>
      <c r="P10189" t="s">
        <v>24</v>
      </c>
      <c r="Q10189" t="s">
        <v>1071</v>
      </c>
      <c r="R10189" t="s">
        <v>1856</v>
      </c>
    </row>
    <row r="10190" spans="1:18" x14ac:dyDescent="0.25">
      <c r="A10190" t="s">
        <v>16063</v>
      </c>
      <c r="B10190" t="s">
        <v>11757</v>
      </c>
      <c r="C10190" t="str">
        <f>HYPERLINK("https://nematode.unl.edu/tylerob2.jpg")</f>
        <v>https://nematode.unl.edu/tylerob2.jpg</v>
      </c>
      <c r="D10190" t="s">
        <v>16</v>
      </c>
      <c r="G10190" t="s">
        <v>34</v>
      </c>
      <c r="H10190" t="s">
        <v>18</v>
      </c>
      <c r="J10190" t="s">
        <v>20</v>
      </c>
      <c r="L10190" t="s">
        <v>752</v>
      </c>
      <c r="M10190" t="s">
        <v>11749</v>
      </c>
      <c r="N10190" t="s">
        <v>11749</v>
      </c>
      <c r="O10190" t="s">
        <v>23</v>
      </c>
      <c r="P10190" t="s">
        <v>24</v>
      </c>
      <c r="Q10190" t="s">
        <v>1071</v>
      </c>
      <c r="R10190" t="s">
        <v>1856</v>
      </c>
    </row>
    <row r="10191" spans="1:18" x14ac:dyDescent="0.25">
      <c r="A10191" t="s">
        <v>16074</v>
      </c>
      <c r="B10191" t="s">
        <v>11758</v>
      </c>
      <c r="C10191" t="str">
        <f>HYPERLINK("https://nematode.unl.edu/tylerob3.jpg")</f>
        <v>https://nematode.unl.edu/tylerob3.jpg</v>
      </c>
      <c r="D10191" t="s">
        <v>16</v>
      </c>
      <c r="G10191" t="s">
        <v>28</v>
      </c>
      <c r="J10191" t="s">
        <v>20</v>
      </c>
      <c r="L10191" t="s">
        <v>752</v>
      </c>
      <c r="M10191" t="s">
        <v>11749</v>
      </c>
      <c r="N10191" t="s">
        <v>11749</v>
      </c>
      <c r="O10191" t="s">
        <v>23</v>
      </c>
      <c r="P10191" t="s">
        <v>24</v>
      </c>
      <c r="Q10191" t="s">
        <v>1071</v>
      </c>
      <c r="R10191" t="s">
        <v>1856</v>
      </c>
    </row>
    <row r="10192" spans="1:18" x14ac:dyDescent="0.25">
      <c r="A10192" t="s">
        <v>16068</v>
      </c>
      <c r="B10192" t="s">
        <v>11759</v>
      </c>
      <c r="C10192" t="str">
        <f>HYPERLINK("https://nematode.unl.edu/tylerob4.jpg")</f>
        <v>https://nematode.unl.edu/tylerob4.jpg</v>
      </c>
      <c r="D10192" t="s">
        <v>77</v>
      </c>
      <c r="G10192" t="s">
        <v>44</v>
      </c>
      <c r="I10192" t="s">
        <v>45</v>
      </c>
      <c r="J10192" t="s">
        <v>20</v>
      </c>
      <c r="L10192" t="s">
        <v>752</v>
      </c>
      <c r="M10192" t="s">
        <v>11749</v>
      </c>
      <c r="N10192" t="s">
        <v>11749</v>
      </c>
      <c r="O10192" t="s">
        <v>23</v>
      </c>
      <c r="P10192" t="s">
        <v>24</v>
      </c>
      <c r="Q10192" t="s">
        <v>1071</v>
      </c>
      <c r="R10192" t="s">
        <v>1856</v>
      </c>
    </row>
    <row r="10193" spans="1:18" x14ac:dyDescent="0.25">
      <c r="A10193" t="s">
        <v>16064</v>
      </c>
      <c r="B10193" t="s">
        <v>11760</v>
      </c>
      <c r="C10193" t="str">
        <f>HYPERLINK("https://nematode.unl.edu/tylerob5.jpg")</f>
        <v>https://nematode.unl.edu/tylerob5.jpg</v>
      </c>
      <c r="D10193" t="s">
        <v>77</v>
      </c>
      <c r="G10193" t="s">
        <v>34</v>
      </c>
      <c r="H10193" t="s">
        <v>18</v>
      </c>
      <c r="I10193" t="s">
        <v>19</v>
      </c>
      <c r="J10193" t="s">
        <v>20</v>
      </c>
      <c r="L10193" t="s">
        <v>752</v>
      </c>
      <c r="M10193" t="s">
        <v>11749</v>
      </c>
      <c r="N10193" t="s">
        <v>11749</v>
      </c>
      <c r="O10193" t="s">
        <v>23</v>
      </c>
      <c r="P10193" t="s">
        <v>24</v>
      </c>
      <c r="Q10193" t="s">
        <v>1071</v>
      </c>
      <c r="R10193" t="s">
        <v>1856</v>
      </c>
    </row>
    <row r="10194" spans="1:18" x14ac:dyDescent="0.25">
      <c r="A10194" t="s">
        <v>16069</v>
      </c>
      <c r="B10194" t="s">
        <v>11761</v>
      </c>
      <c r="C10194" t="str">
        <f>HYPERLINK("https://nematode.unl.edu/tylerob6.jpg")</f>
        <v>https://nematode.unl.edu/tylerob6.jpg</v>
      </c>
      <c r="D10194" t="s">
        <v>77</v>
      </c>
      <c r="G10194" t="s">
        <v>1906</v>
      </c>
      <c r="I10194" t="s">
        <v>19</v>
      </c>
      <c r="J10194" t="s">
        <v>20</v>
      </c>
      <c r="L10194" t="s">
        <v>752</v>
      </c>
      <c r="M10194" t="s">
        <v>11749</v>
      </c>
      <c r="N10194" t="s">
        <v>11749</v>
      </c>
      <c r="O10194" t="s">
        <v>23</v>
      </c>
      <c r="P10194" t="s">
        <v>24</v>
      </c>
      <c r="Q10194" t="s">
        <v>1071</v>
      </c>
      <c r="R10194" t="s">
        <v>1856</v>
      </c>
    </row>
    <row r="10195" spans="1:18" x14ac:dyDescent="0.25">
      <c r="A10195" t="s">
        <v>16075</v>
      </c>
      <c r="B10195" t="s">
        <v>11762</v>
      </c>
      <c r="C10195" t="str">
        <f>HYPERLINK("https://nematode.unl.edu/tylerob7.jpg")</f>
        <v>https://nematode.unl.edu/tylerob7.jpg</v>
      </c>
      <c r="G10195" t="s">
        <v>28</v>
      </c>
      <c r="J10195" t="s">
        <v>20</v>
      </c>
      <c r="L10195" t="s">
        <v>752</v>
      </c>
      <c r="M10195" t="s">
        <v>11749</v>
      </c>
      <c r="N10195" t="s">
        <v>11749</v>
      </c>
      <c r="O10195" t="s">
        <v>23</v>
      </c>
      <c r="P10195" t="s">
        <v>24</v>
      </c>
      <c r="Q10195" t="s">
        <v>1071</v>
      </c>
      <c r="R10195" t="s">
        <v>1856</v>
      </c>
    </row>
    <row r="10196" spans="1:18" x14ac:dyDescent="0.25">
      <c r="A10196" t="s">
        <v>16065</v>
      </c>
      <c r="B10196" t="s">
        <v>11763</v>
      </c>
      <c r="C10196" t="str">
        <f>HYPERLINK("https://nematode.unl.edu/tylerob8.jpg")</f>
        <v>https://nematode.unl.edu/tylerob8.jpg</v>
      </c>
      <c r="D10196" t="s">
        <v>77</v>
      </c>
      <c r="G10196" t="s">
        <v>34</v>
      </c>
      <c r="H10196" t="s">
        <v>18</v>
      </c>
      <c r="I10196" t="s">
        <v>41</v>
      </c>
      <c r="J10196" t="s">
        <v>20</v>
      </c>
      <c r="L10196" t="s">
        <v>752</v>
      </c>
      <c r="M10196" t="s">
        <v>11749</v>
      </c>
      <c r="N10196" t="s">
        <v>11749</v>
      </c>
      <c r="O10196" t="s">
        <v>23</v>
      </c>
      <c r="P10196" t="s">
        <v>24</v>
      </c>
      <c r="Q10196" t="s">
        <v>1071</v>
      </c>
      <c r="R10196" t="s">
        <v>1856</v>
      </c>
    </row>
    <row r="10197" spans="1:18" x14ac:dyDescent="0.25">
      <c r="A10197" t="s">
        <v>16070</v>
      </c>
      <c r="B10197" t="s">
        <v>11764</v>
      </c>
      <c r="C10197" t="str">
        <f>HYPERLINK("https://nematode.unl.edu/tylerob9.jpg")</f>
        <v>https://nematode.unl.edu/tylerob9.jpg</v>
      </c>
      <c r="D10197" t="s">
        <v>77</v>
      </c>
      <c r="G10197" t="s">
        <v>53</v>
      </c>
      <c r="I10197" t="s">
        <v>529</v>
      </c>
      <c r="J10197" t="s">
        <v>20</v>
      </c>
      <c r="L10197" t="s">
        <v>752</v>
      </c>
      <c r="M10197" t="s">
        <v>11749</v>
      </c>
      <c r="N10197" t="s">
        <v>11749</v>
      </c>
      <c r="O10197" t="s">
        <v>23</v>
      </c>
      <c r="P10197" t="s">
        <v>24</v>
      </c>
      <c r="Q10197" t="s">
        <v>1071</v>
      </c>
      <c r="R10197" t="s">
        <v>1856</v>
      </c>
    </row>
    <row r="10198" spans="1:18" x14ac:dyDescent="0.25">
      <c r="A10198" t="s">
        <v>22073</v>
      </c>
      <c r="B10198" t="s">
        <v>11598</v>
      </c>
      <c r="C10198" t="str">
        <f>HYPERLINK("https://nematode.unl.edu/tyles1.jpg")</f>
        <v>https://nematode.unl.edu/tyles1.jpg</v>
      </c>
      <c r="D10198" t="s">
        <v>77</v>
      </c>
      <c r="G10198" t="s">
        <v>96</v>
      </c>
      <c r="H10198" t="s">
        <v>18</v>
      </c>
      <c r="I10198" t="s">
        <v>19</v>
      </c>
      <c r="J10198" t="s">
        <v>20</v>
      </c>
      <c r="M10198" t="s">
        <v>11599</v>
      </c>
      <c r="N10198" t="s">
        <v>11599</v>
      </c>
      <c r="O10198" t="s">
        <v>73</v>
      </c>
      <c r="P10198" t="s">
        <v>81</v>
      </c>
      <c r="Q10198" t="s">
        <v>952</v>
      </c>
      <c r="R10198" t="s">
        <v>11517</v>
      </c>
    </row>
    <row r="10199" spans="1:18" x14ac:dyDescent="0.25">
      <c r="A10199" t="s">
        <v>22093</v>
      </c>
      <c r="B10199" t="s">
        <v>11600</v>
      </c>
      <c r="C10199" t="str">
        <f>HYPERLINK("https://nematode.unl.edu/tyles10.jpg")</f>
        <v>https://nematode.unl.edu/tyles10.jpg</v>
      </c>
      <c r="D10199" t="s">
        <v>43</v>
      </c>
      <c r="G10199" t="s">
        <v>2964</v>
      </c>
      <c r="I10199" t="s">
        <v>41</v>
      </c>
      <c r="M10199" t="s">
        <v>11599</v>
      </c>
      <c r="N10199" t="s">
        <v>11599</v>
      </c>
      <c r="O10199" t="s">
        <v>73</v>
      </c>
      <c r="P10199" t="s">
        <v>81</v>
      </c>
      <c r="Q10199" t="s">
        <v>952</v>
      </c>
      <c r="R10199" t="s">
        <v>11517</v>
      </c>
    </row>
    <row r="10200" spans="1:18" x14ac:dyDescent="0.25">
      <c r="A10200" t="s">
        <v>22080</v>
      </c>
      <c r="B10200" t="s">
        <v>11601</v>
      </c>
      <c r="C10200" t="str">
        <f>HYPERLINK("https://nematode.unl.edu/tyles11.jpg")</f>
        <v>https://nematode.unl.edu/tyles11.jpg</v>
      </c>
      <c r="D10200" t="s">
        <v>43</v>
      </c>
      <c r="G10200" t="s">
        <v>34</v>
      </c>
      <c r="H10200" t="s">
        <v>18</v>
      </c>
      <c r="I10200" t="s">
        <v>41</v>
      </c>
      <c r="J10200" t="s">
        <v>20</v>
      </c>
      <c r="L10200" t="s">
        <v>141</v>
      </c>
      <c r="M10200" t="s">
        <v>11599</v>
      </c>
      <c r="N10200" t="s">
        <v>11599</v>
      </c>
      <c r="O10200" t="s">
        <v>73</v>
      </c>
      <c r="P10200" t="s">
        <v>81</v>
      </c>
      <c r="Q10200" t="s">
        <v>952</v>
      </c>
      <c r="R10200" t="s">
        <v>11517</v>
      </c>
    </row>
    <row r="10201" spans="1:18" x14ac:dyDescent="0.25">
      <c r="A10201" t="s">
        <v>22081</v>
      </c>
      <c r="B10201" t="s">
        <v>11602</v>
      </c>
      <c r="C10201" t="str">
        <f>HYPERLINK("https://nematode.unl.edu/tyles12.jpg")</f>
        <v>https://nematode.unl.edu/tyles12.jpg</v>
      </c>
      <c r="G10201" t="s">
        <v>34</v>
      </c>
      <c r="H10201" t="s">
        <v>18</v>
      </c>
      <c r="J10201" t="s">
        <v>20</v>
      </c>
      <c r="L10201" t="s">
        <v>29</v>
      </c>
      <c r="M10201" t="s">
        <v>11599</v>
      </c>
      <c r="N10201" t="s">
        <v>11599</v>
      </c>
      <c r="O10201" t="s">
        <v>73</v>
      </c>
      <c r="P10201" t="s">
        <v>81</v>
      </c>
      <c r="Q10201" t="s">
        <v>952</v>
      </c>
      <c r="R10201" t="s">
        <v>11517</v>
      </c>
    </row>
    <row r="10202" spans="1:18" x14ac:dyDescent="0.25">
      <c r="A10202" t="s">
        <v>22103</v>
      </c>
      <c r="B10202" t="s">
        <v>11603</v>
      </c>
      <c r="C10202" t="str">
        <f>HYPERLINK("https://nematode.unl.edu/tyles13.jpg")</f>
        <v>https://nematode.unl.edu/tyles13.jpg</v>
      </c>
      <c r="D10202" t="s">
        <v>43</v>
      </c>
      <c r="G10202" t="s">
        <v>51</v>
      </c>
      <c r="I10202" t="s">
        <v>19</v>
      </c>
      <c r="J10202" t="s">
        <v>20</v>
      </c>
      <c r="M10202" t="s">
        <v>11599</v>
      </c>
      <c r="N10202" t="s">
        <v>11599</v>
      </c>
      <c r="O10202" t="s">
        <v>73</v>
      </c>
      <c r="P10202" t="s">
        <v>81</v>
      </c>
      <c r="Q10202" t="s">
        <v>952</v>
      </c>
      <c r="R10202" t="s">
        <v>11517</v>
      </c>
    </row>
    <row r="10203" spans="1:18" x14ac:dyDescent="0.25">
      <c r="A10203" t="s">
        <v>22098</v>
      </c>
      <c r="B10203" t="s">
        <v>11604</v>
      </c>
      <c r="C10203" t="str">
        <f>HYPERLINK("https://nematode.unl.edu/tyles14.jpg")</f>
        <v>https://nematode.unl.edu/tyles14.jpg</v>
      </c>
      <c r="D10203" t="s">
        <v>43</v>
      </c>
      <c r="G10203" t="s">
        <v>28</v>
      </c>
      <c r="I10203" t="s">
        <v>19</v>
      </c>
      <c r="J10203" t="s">
        <v>20</v>
      </c>
      <c r="L10203" t="s">
        <v>29</v>
      </c>
      <c r="M10203" t="s">
        <v>11599</v>
      </c>
      <c r="N10203" t="s">
        <v>11599</v>
      </c>
      <c r="O10203" t="s">
        <v>73</v>
      </c>
      <c r="P10203" t="s">
        <v>81</v>
      </c>
      <c r="Q10203" t="s">
        <v>952</v>
      </c>
      <c r="R10203" t="s">
        <v>11517</v>
      </c>
    </row>
    <row r="10204" spans="1:18" x14ac:dyDescent="0.25">
      <c r="A10204" t="s">
        <v>22082</v>
      </c>
      <c r="B10204" t="s">
        <v>11605</v>
      </c>
      <c r="C10204" t="str">
        <f>HYPERLINK("https://nematode.unl.edu/tyles15.jpg")</f>
        <v>https://nematode.unl.edu/tyles15.jpg</v>
      </c>
      <c r="D10204" t="s">
        <v>43</v>
      </c>
      <c r="G10204" t="s">
        <v>34</v>
      </c>
      <c r="H10204" t="s">
        <v>18</v>
      </c>
      <c r="I10204" t="s">
        <v>41</v>
      </c>
      <c r="J10204" t="s">
        <v>20</v>
      </c>
      <c r="L10204" t="s">
        <v>29</v>
      </c>
      <c r="M10204" t="s">
        <v>11599</v>
      </c>
      <c r="N10204" t="s">
        <v>11599</v>
      </c>
      <c r="O10204" t="s">
        <v>73</v>
      </c>
      <c r="P10204" t="s">
        <v>81</v>
      </c>
      <c r="Q10204" t="s">
        <v>952</v>
      </c>
      <c r="R10204" t="s">
        <v>11517</v>
      </c>
    </row>
    <row r="10205" spans="1:18" x14ac:dyDescent="0.25">
      <c r="A10205" t="s">
        <v>22074</v>
      </c>
      <c r="B10205" t="s">
        <v>11606</v>
      </c>
      <c r="C10205" t="str">
        <f>HYPERLINK("https://nematode.unl.edu/tyles2.jpg")</f>
        <v>https://nematode.unl.edu/tyles2.jpg</v>
      </c>
      <c r="D10205" t="s">
        <v>77</v>
      </c>
      <c r="G10205" t="s">
        <v>96</v>
      </c>
      <c r="H10205" t="s">
        <v>18</v>
      </c>
      <c r="I10205" t="s">
        <v>19</v>
      </c>
      <c r="J10205" t="s">
        <v>20</v>
      </c>
      <c r="L10205" t="s">
        <v>64</v>
      </c>
      <c r="M10205" t="s">
        <v>11599</v>
      </c>
      <c r="N10205" t="s">
        <v>11599</v>
      </c>
      <c r="O10205" t="s">
        <v>73</v>
      </c>
      <c r="P10205" t="s">
        <v>81</v>
      </c>
      <c r="Q10205" t="s">
        <v>952</v>
      </c>
      <c r="R10205" t="s">
        <v>11517</v>
      </c>
    </row>
    <row r="10206" spans="1:18" x14ac:dyDescent="0.25">
      <c r="A10206" t="s">
        <v>22094</v>
      </c>
      <c r="B10206" t="s">
        <v>11607</v>
      </c>
      <c r="C10206" t="str">
        <f>HYPERLINK("https://nematode.unl.edu/tyles3.jpg")</f>
        <v>https://nematode.unl.edu/tyles3.jpg</v>
      </c>
      <c r="D10206" t="s">
        <v>43</v>
      </c>
      <c r="G10206" t="s">
        <v>2964</v>
      </c>
      <c r="I10206" t="s">
        <v>516</v>
      </c>
      <c r="J10206" t="s">
        <v>20</v>
      </c>
      <c r="L10206" t="s">
        <v>11608</v>
      </c>
      <c r="M10206" t="s">
        <v>11599</v>
      </c>
      <c r="N10206" t="s">
        <v>11599</v>
      </c>
      <c r="O10206" t="s">
        <v>73</v>
      </c>
      <c r="P10206" t="s">
        <v>81</v>
      </c>
      <c r="Q10206" t="s">
        <v>952</v>
      </c>
      <c r="R10206" t="s">
        <v>11517</v>
      </c>
    </row>
    <row r="10207" spans="1:18" x14ac:dyDescent="0.25">
      <c r="A10207" t="s">
        <v>22095</v>
      </c>
      <c r="B10207" t="s">
        <v>11609</v>
      </c>
      <c r="C10207" t="str">
        <f>HYPERLINK("https://nematode.unl.edu/tyles4.jpg")</f>
        <v>https://nematode.unl.edu/tyles4.jpg</v>
      </c>
      <c r="D10207" t="s">
        <v>43</v>
      </c>
      <c r="G10207" t="s">
        <v>2964</v>
      </c>
      <c r="I10207" t="s">
        <v>41</v>
      </c>
      <c r="J10207" t="s">
        <v>20</v>
      </c>
      <c r="L10207" t="s">
        <v>64</v>
      </c>
      <c r="M10207" t="s">
        <v>11599</v>
      </c>
      <c r="N10207" t="s">
        <v>11599</v>
      </c>
      <c r="O10207" t="s">
        <v>73</v>
      </c>
      <c r="P10207" t="s">
        <v>81</v>
      </c>
      <c r="Q10207" t="s">
        <v>952</v>
      </c>
      <c r="R10207" t="s">
        <v>11517</v>
      </c>
    </row>
    <row r="10208" spans="1:18" x14ac:dyDescent="0.25">
      <c r="A10208" t="s">
        <v>22075</v>
      </c>
      <c r="B10208" t="s">
        <v>11610</v>
      </c>
      <c r="C10208" t="str">
        <f>HYPERLINK("https://nematode.unl.edu/tyles5.jpg")</f>
        <v>https://nematode.unl.edu/tyles5.jpg</v>
      </c>
      <c r="D10208" t="s">
        <v>77</v>
      </c>
      <c r="G10208" t="s">
        <v>96</v>
      </c>
      <c r="H10208" t="s">
        <v>18</v>
      </c>
      <c r="I10208" t="s">
        <v>19</v>
      </c>
      <c r="J10208" t="s">
        <v>20</v>
      </c>
      <c r="L10208" t="s">
        <v>183</v>
      </c>
      <c r="M10208" t="s">
        <v>11599</v>
      </c>
      <c r="N10208" t="s">
        <v>11599</v>
      </c>
      <c r="O10208" t="s">
        <v>73</v>
      </c>
      <c r="P10208" t="s">
        <v>81</v>
      </c>
      <c r="Q10208" t="s">
        <v>952</v>
      </c>
      <c r="R10208" t="s">
        <v>11517</v>
      </c>
    </row>
    <row r="10209" spans="1:18" x14ac:dyDescent="0.25">
      <c r="A10209" t="s">
        <v>22083</v>
      </c>
      <c r="B10209" t="s">
        <v>11611</v>
      </c>
      <c r="C10209" t="str">
        <f>HYPERLINK("https://nematode.unl.edu/tyles6.jpg")</f>
        <v>https://nematode.unl.edu/tyles6.jpg</v>
      </c>
      <c r="D10209" t="s">
        <v>43</v>
      </c>
      <c r="G10209" t="s">
        <v>34</v>
      </c>
      <c r="H10209" t="s">
        <v>18</v>
      </c>
      <c r="I10209" t="s">
        <v>41</v>
      </c>
      <c r="M10209" t="s">
        <v>11599</v>
      </c>
      <c r="N10209" t="s">
        <v>11599</v>
      </c>
      <c r="O10209" t="s">
        <v>73</v>
      </c>
      <c r="P10209" t="s">
        <v>81</v>
      </c>
      <c r="Q10209" t="s">
        <v>952</v>
      </c>
      <c r="R10209" t="s">
        <v>11517</v>
      </c>
    </row>
    <row r="10210" spans="1:18" x14ac:dyDescent="0.25">
      <c r="A10210" t="s">
        <v>22084</v>
      </c>
      <c r="B10210" t="s">
        <v>11612</v>
      </c>
      <c r="C10210" t="str">
        <f>HYPERLINK("https://nematode.unl.edu/tyles7.jpg")</f>
        <v>https://nematode.unl.edu/tyles7.jpg</v>
      </c>
      <c r="D10210" t="s">
        <v>43</v>
      </c>
      <c r="G10210" t="s">
        <v>34</v>
      </c>
      <c r="H10210" t="s">
        <v>18</v>
      </c>
      <c r="I10210" t="s">
        <v>41</v>
      </c>
      <c r="M10210" t="s">
        <v>11599</v>
      </c>
      <c r="N10210" t="s">
        <v>11599</v>
      </c>
      <c r="O10210" t="s">
        <v>73</v>
      </c>
      <c r="P10210" t="s">
        <v>81</v>
      </c>
      <c r="Q10210" t="s">
        <v>952</v>
      </c>
      <c r="R10210" t="s">
        <v>11517</v>
      </c>
    </row>
    <row r="10211" spans="1:18" x14ac:dyDescent="0.25">
      <c r="A10211" t="s">
        <v>22085</v>
      </c>
      <c r="B10211" t="s">
        <v>11613</v>
      </c>
      <c r="C10211" t="str">
        <f>HYPERLINK("https://nematode.unl.edu/tyles8.jpg")</f>
        <v>https://nematode.unl.edu/tyles8.jpg</v>
      </c>
      <c r="D10211" t="s">
        <v>43</v>
      </c>
      <c r="G10211" t="s">
        <v>34</v>
      </c>
      <c r="H10211" t="s">
        <v>18</v>
      </c>
      <c r="I10211" t="s">
        <v>41</v>
      </c>
      <c r="M10211" t="s">
        <v>11599</v>
      </c>
      <c r="N10211" t="s">
        <v>11599</v>
      </c>
      <c r="O10211" t="s">
        <v>73</v>
      </c>
      <c r="P10211" t="s">
        <v>81</v>
      </c>
      <c r="Q10211" t="s">
        <v>952</v>
      </c>
      <c r="R10211" t="s">
        <v>11517</v>
      </c>
    </row>
    <row r="10212" spans="1:18" x14ac:dyDescent="0.25">
      <c r="A10212" t="s">
        <v>22086</v>
      </c>
      <c r="B10212" t="s">
        <v>11614</v>
      </c>
      <c r="C10212" t="str">
        <f>HYPERLINK("https://nematode.unl.edu/tyles9.jpg")</f>
        <v>https://nematode.unl.edu/tyles9.jpg</v>
      </c>
      <c r="D10212" t="s">
        <v>43</v>
      </c>
      <c r="G10212" t="s">
        <v>34</v>
      </c>
      <c r="H10212" t="s">
        <v>18</v>
      </c>
      <c r="I10212" t="s">
        <v>41</v>
      </c>
      <c r="M10212" t="s">
        <v>11599</v>
      </c>
      <c r="N10212" t="s">
        <v>11599</v>
      </c>
      <c r="O10212" t="s">
        <v>73</v>
      </c>
      <c r="P10212" t="s">
        <v>81</v>
      </c>
      <c r="Q10212" t="s">
        <v>952</v>
      </c>
      <c r="R10212" t="s">
        <v>11517</v>
      </c>
    </row>
    <row r="10213" spans="1:18" x14ac:dyDescent="0.25">
      <c r="A10213" t="s">
        <v>22092</v>
      </c>
      <c r="B10213" t="s">
        <v>11615</v>
      </c>
      <c r="C10213" t="str">
        <f>HYPERLINK("https://nematode.unl.edu/tylescmp.jpg")</f>
        <v>https://nematode.unl.edu/tylescmp.jpg</v>
      </c>
      <c r="G10213" t="s">
        <v>108</v>
      </c>
      <c r="M10213" t="s">
        <v>11599</v>
      </c>
      <c r="N10213" t="s">
        <v>11599</v>
      </c>
      <c r="O10213" t="s">
        <v>73</v>
      </c>
      <c r="P10213" t="s">
        <v>81</v>
      </c>
      <c r="Q10213" t="s">
        <v>952</v>
      </c>
      <c r="R10213" t="s">
        <v>11517</v>
      </c>
    </row>
    <row r="10214" spans="1:18" x14ac:dyDescent="0.25">
      <c r="A10214" t="s">
        <v>12680</v>
      </c>
      <c r="B10214" t="s">
        <v>11787</v>
      </c>
      <c r="C10214" t="str">
        <f>HYPERLINK("https://nematode.unl.edu/tyloc1.jpg")</f>
        <v>https://nematode.unl.edu/tyloc1.jpg</v>
      </c>
      <c r="G10214" t="s">
        <v>34</v>
      </c>
      <c r="H10214" t="s">
        <v>18</v>
      </c>
      <c r="I10214" t="s">
        <v>19</v>
      </c>
      <c r="J10214" t="s">
        <v>127</v>
      </c>
      <c r="L10214" t="s">
        <v>162</v>
      </c>
      <c r="M10214" t="s">
        <v>11788</v>
      </c>
      <c r="N10214" t="s">
        <v>11788</v>
      </c>
      <c r="O10214" t="s">
        <v>23</v>
      </c>
      <c r="P10214" t="s">
        <v>1649</v>
      </c>
      <c r="Q10214" t="s">
        <v>1650</v>
      </c>
      <c r="R10214" t="s">
        <v>11788</v>
      </c>
    </row>
    <row r="10215" spans="1:18" x14ac:dyDescent="0.25">
      <c r="A10215" t="s">
        <v>12688</v>
      </c>
      <c r="B10215" t="s">
        <v>11789</v>
      </c>
      <c r="C10215" t="str">
        <f>HYPERLINK("https://nematode.unl.edu/tyloc2.jpg")</f>
        <v>https://nematode.unl.edu/tyloc2.jpg</v>
      </c>
      <c r="D10215" t="s">
        <v>16</v>
      </c>
      <c r="G10215" t="s">
        <v>28</v>
      </c>
      <c r="M10215" t="s">
        <v>11788</v>
      </c>
      <c r="N10215" t="s">
        <v>11788</v>
      </c>
      <c r="O10215" t="s">
        <v>23</v>
      </c>
      <c r="P10215" t="s">
        <v>1649</v>
      </c>
      <c r="Q10215" t="s">
        <v>1650</v>
      </c>
      <c r="R10215" t="s">
        <v>11788</v>
      </c>
    </row>
    <row r="10216" spans="1:18" x14ac:dyDescent="0.25">
      <c r="A10216" t="s">
        <v>12681</v>
      </c>
      <c r="B10216" t="s">
        <v>11790</v>
      </c>
      <c r="C10216" t="str">
        <f>HYPERLINK("https://nematode.unl.edu/tyloc3.jpg")</f>
        <v>https://nematode.unl.edu/tyloc3.jpg</v>
      </c>
      <c r="D10216" t="s">
        <v>16</v>
      </c>
      <c r="G10216" t="s">
        <v>34</v>
      </c>
      <c r="H10216" t="s">
        <v>18</v>
      </c>
      <c r="L10216" t="s">
        <v>162</v>
      </c>
      <c r="M10216" t="s">
        <v>11788</v>
      </c>
      <c r="N10216" t="s">
        <v>11788</v>
      </c>
      <c r="O10216" t="s">
        <v>23</v>
      </c>
      <c r="P10216" t="s">
        <v>1649</v>
      </c>
      <c r="Q10216" t="s">
        <v>1650</v>
      </c>
      <c r="R10216" t="s">
        <v>11788</v>
      </c>
    </row>
    <row r="10217" spans="1:18" x14ac:dyDescent="0.25">
      <c r="A10217" t="s">
        <v>12678</v>
      </c>
      <c r="B10217" t="s">
        <v>11791</v>
      </c>
      <c r="C10217" t="str">
        <f>HYPERLINK("https://nematode.unl.edu/tyloc4.jpg")</f>
        <v>https://nematode.unl.edu/tyloc4.jpg</v>
      </c>
      <c r="D10217" t="s">
        <v>16</v>
      </c>
      <c r="G10217" t="s">
        <v>386</v>
      </c>
      <c r="H10217" t="s">
        <v>18</v>
      </c>
      <c r="I10217" t="s">
        <v>529</v>
      </c>
      <c r="J10217" t="s">
        <v>161</v>
      </c>
      <c r="L10217" t="s">
        <v>162</v>
      </c>
      <c r="M10217" t="s">
        <v>11788</v>
      </c>
      <c r="N10217" t="s">
        <v>11788</v>
      </c>
      <c r="O10217" t="s">
        <v>23</v>
      </c>
      <c r="P10217" t="s">
        <v>1649</v>
      </c>
      <c r="Q10217" t="s">
        <v>1650</v>
      </c>
      <c r="R10217" t="s">
        <v>11788</v>
      </c>
    </row>
    <row r="10218" spans="1:18" x14ac:dyDescent="0.25">
      <c r="A10218" t="s">
        <v>12686</v>
      </c>
      <c r="B10218" t="s">
        <v>11792</v>
      </c>
      <c r="C10218" t="str">
        <f>HYPERLINK("https://nematode.unl.edu/tyloc5.jpg")</f>
        <v>https://nematode.unl.edu/tyloc5.jpg</v>
      </c>
      <c r="D10218" t="s">
        <v>16</v>
      </c>
      <c r="G10218" t="s">
        <v>384</v>
      </c>
      <c r="I10218" t="s">
        <v>529</v>
      </c>
      <c r="J10218" t="s">
        <v>161</v>
      </c>
      <c r="L10218" t="s">
        <v>162</v>
      </c>
      <c r="M10218" t="s">
        <v>11788</v>
      </c>
      <c r="N10218" t="s">
        <v>11788</v>
      </c>
      <c r="O10218" t="s">
        <v>23</v>
      </c>
      <c r="P10218" t="s">
        <v>1649</v>
      </c>
      <c r="Q10218" t="s">
        <v>1650</v>
      </c>
      <c r="R10218" t="s">
        <v>11788</v>
      </c>
    </row>
    <row r="10219" spans="1:18" x14ac:dyDescent="0.25">
      <c r="A10219" t="s">
        <v>12689</v>
      </c>
      <c r="B10219" t="s">
        <v>11793</v>
      </c>
      <c r="C10219" t="str">
        <f>HYPERLINK("https://nematode.unl.edu/tyloc6.jpg")</f>
        <v>https://nematode.unl.edu/tyloc6.jpg</v>
      </c>
      <c r="D10219" t="s">
        <v>16</v>
      </c>
      <c r="G10219" t="s">
        <v>28</v>
      </c>
      <c r="I10219" t="s">
        <v>529</v>
      </c>
      <c r="J10219" t="s">
        <v>161</v>
      </c>
      <c r="L10219" t="s">
        <v>162</v>
      </c>
      <c r="M10219" t="s">
        <v>11788</v>
      </c>
      <c r="N10219" t="s">
        <v>11788</v>
      </c>
      <c r="O10219" t="s">
        <v>23</v>
      </c>
      <c r="P10219" t="s">
        <v>1649</v>
      </c>
      <c r="Q10219" t="s">
        <v>1650</v>
      </c>
      <c r="R10219" t="s">
        <v>11788</v>
      </c>
    </row>
    <row r="10220" spans="1:18" x14ac:dyDescent="0.25">
      <c r="A10220" t="s">
        <v>12687</v>
      </c>
      <c r="B10220" t="s">
        <v>11794</v>
      </c>
      <c r="C10220" t="str">
        <f>HYPERLINK("https://nematode.unl.edu/tyloc7.jpg")</f>
        <v>https://nematode.unl.edu/tyloc7.jpg</v>
      </c>
      <c r="D10220" t="s">
        <v>43</v>
      </c>
      <c r="G10220" t="s">
        <v>44</v>
      </c>
      <c r="I10220" t="s">
        <v>4020</v>
      </c>
      <c r="J10220" t="s">
        <v>161</v>
      </c>
      <c r="L10220" t="s">
        <v>162</v>
      </c>
      <c r="M10220" t="s">
        <v>11788</v>
      </c>
      <c r="N10220" t="s">
        <v>11788</v>
      </c>
      <c r="O10220" t="s">
        <v>23</v>
      </c>
      <c r="P10220" t="s">
        <v>1649</v>
      </c>
      <c r="Q10220" t="s">
        <v>1650</v>
      </c>
      <c r="R10220" t="s">
        <v>11788</v>
      </c>
    </row>
    <row r="10221" spans="1:18" x14ac:dyDescent="0.25">
      <c r="A10221" t="s">
        <v>12679</v>
      </c>
      <c r="B10221" t="s">
        <v>11795</v>
      </c>
      <c r="C10221" t="str">
        <f>HYPERLINK("https://nematode.unl.edu/tyloceph1.jpg")</f>
        <v>https://nematode.unl.edu/tyloceph1.jpg</v>
      </c>
      <c r="D10221" t="s">
        <v>16</v>
      </c>
      <c r="G10221" t="s">
        <v>96</v>
      </c>
      <c r="H10221" t="s">
        <v>18</v>
      </c>
      <c r="J10221" t="s">
        <v>20</v>
      </c>
      <c r="L10221" t="s">
        <v>193</v>
      </c>
      <c r="M10221" t="s">
        <v>11788</v>
      </c>
      <c r="N10221" t="s">
        <v>11788</v>
      </c>
      <c r="O10221" t="s">
        <v>23</v>
      </c>
      <c r="P10221" t="s">
        <v>1649</v>
      </c>
      <c r="Q10221" t="s">
        <v>1650</v>
      </c>
      <c r="R10221" t="s">
        <v>11788</v>
      </c>
    </row>
    <row r="10222" spans="1:18" x14ac:dyDescent="0.25">
      <c r="A10222" t="s">
        <v>12690</v>
      </c>
      <c r="B10222" t="s">
        <v>11796</v>
      </c>
      <c r="C10222" t="str">
        <f>HYPERLINK("https://nematode.unl.edu/tyloceph10.jpg")</f>
        <v>https://nematode.unl.edu/tyloceph10.jpg</v>
      </c>
      <c r="D10222" t="s">
        <v>77</v>
      </c>
      <c r="G10222" t="s">
        <v>28</v>
      </c>
      <c r="I10222" t="s">
        <v>19</v>
      </c>
      <c r="J10222" t="s">
        <v>20</v>
      </c>
      <c r="L10222" t="s">
        <v>141</v>
      </c>
      <c r="M10222" t="s">
        <v>11788</v>
      </c>
      <c r="N10222" t="s">
        <v>11788</v>
      </c>
      <c r="O10222" t="s">
        <v>23</v>
      </c>
      <c r="P10222" t="s">
        <v>1649</v>
      </c>
      <c r="Q10222" t="s">
        <v>1650</v>
      </c>
      <c r="R10222" t="s">
        <v>11788</v>
      </c>
    </row>
    <row r="10223" spans="1:18" x14ac:dyDescent="0.25">
      <c r="A10223" t="s">
        <v>12691</v>
      </c>
      <c r="B10223" t="s">
        <v>11797</v>
      </c>
      <c r="C10223" t="str">
        <f>HYPERLINK("https://nematode.unl.edu/tyloceph2.jpg")</f>
        <v>https://nematode.unl.edu/tyloceph2.jpg</v>
      </c>
      <c r="D10223" t="s">
        <v>16</v>
      </c>
      <c r="G10223" t="s">
        <v>28</v>
      </c>
      <c r="J10223" t="s">
        <v>20</v>
      </c>
      <c r="L10223" t="s">
        <v>193</v>
      </c>
      <c r="M10223" t="s">
        <v>11788</v>
      </c>
      <c r="N10223" t="s">
        <v>11788</v>
      </c>
      <c r="O10223" t="s">
        <v>23</v>
      </c>
      <c r="P10223" t="s">
        <v>1649</v>
      </c>
      <c r="Q10223" t="s">
        <v>1650</v>
      </c>
      <c r="R10223" t="s">
        <v>11788</v>
      </c>
    </row>
    <row r="10224" spans="1:18" x14ac:dyDescent="0.25">
      <c r="A10224" t="s">
        <v>12682</v>
      </c>
      <c r="B10224" t="s">
        <v>11798</v>
      </c>
      <c r="C10224" t="str">
        <f>HYPERLINK("https://nematode.unl.edu/tyloceph3.jpg")</f>
        <v>https://nematode.unl.edu/tyloceph3.jpg</v>
      </c>
      <c r="D10224" t="s">
        <v>16</v>
      </c>
      <c r="G10224" t="s">
        <v>34</v>
      </c>
      <c r="H10224" t="s">
        <v>18</v>
      </c>
      <c r="I10224" t="s">
        <v>19</v>
      </c>
      <c r="J10224" t="s">
        <v>20</v>
      </c>
      <c r="L10224" t="s">
        <v>38</v>
      </c>
      <c r="M10224" t="s">
        <v>11788</v>
      </c>
      <c r="N10224" t="s">
        <v>11788</v>
      </c>
      <c r="O10224" t="s">
        <v>23</v>
      </c>
      <c r="P10224" t="s">
        <v>1649</v>
      </c>
      <c r="Q10224" t="s">
        <v>1650</v>
      </c>
      <c r="R10224" t="s">
        <v>11788</v>
      </c>
    </row>
    <row r="10225" spans="1:18" x14ac:dyDescent="0.25">
      <c r="A10225" t="s">
        <v>12692</v>
      </c>
      <c r="B10225" t="s">
        <v>11799</v>
      </c>
      <c r="C10225" t="str">
        <f>HYPERLINK("https://nematode.unl.edu/tyloceph4.jpg")</f>
        <v>https://nematode.unl.edu/tyloceph4.jpg</v>
      </c>
      <c r="G10225" t="s">
        <v>28</v>
      </c>
      <c r="L10225" t="s">
        <v>38</v>
      </c>
      <c r="M10225" t="s">
        <v>11788</v>
      </c>
      <c r="N10225" t="s">
        <v>11788</v>
      </c>
      <c r="O10225" t="s">
        <v>23</v>
      </c>
      <c r="P10225" t="s">
        <v>1649</v>
      </c>
      <c r="Q10225" t="s">
        <v>1650</v>
      </c>
      <c r="R10225" t="s">
        <v>11788</v>
      </c>
    </row>
    <row r="10226" spans="1:18" x14ac:dyDescent="0.25">
      <c r="A10226" t="s">
        <v>12683</v>
      </c>
      <c r="B10226" t="s">
        <v>11800</v>
      </c>
      <c r="C10226" t="str">
        <f>HYPERLINK("https://nematode.unl.edu/tyloceph5.jpg")</f>
        <v>https://nematode.unl.edu/tyloceph5.jpg</v>
      </c>
      <c r="D10226" t="s">
        <v>16</v>
      </c>
      <c r="G10226" t="s">
        <v>34</v>
      </c>
      <c r="H10226" t="s">
        <v>18</v>
      </c>
      <c r="J10226" t="s">
        <v>20</v>
      </c>
      <c r="L10226" t="s">
        <v>38</v>
      </c>
      <c r="M10226" t="s">
        <v>11788</v>
      </c>
      <c r="N10226" t="s">
        <v>11788</v>
      </c>
      <c r="O10226" t="s">
        <v>23</v>
      </c>
      <c r="P10226" t="s">
        <v>1649</v>
      </c>
      <c r="Q10226" t="s">
        <v>1650</v>
      </c>
      <c r="R10226" t="s">
        <v>11788</v>
      </c>
    </row>
    <row r="10227" spans="1:18" x14ac:dyDescent="0.25">
      <c r="A10227" t="s">
        <v>12684</v>
      </c>
      <c r="B10227" t="s">
        <v>11801</v>
      </c>
      <c r="C10227" t="str">
        <f>HYPERLINK("https://nematode.unl.edu/tyloceph6.jpg")</f>
        <v>https://nematode.unl.edu/tyloceph6.jpg</v>
      </c>
      <c r="D10227" t="s">
        <v>16</v>
      </c>
      <c r="G10227" t="s">
        <v>34</v>
      </c>
      <c r="H10227" t="s">
        <v>18</v>
      </c>
      <c r="J10227" t="s">
        <v>20</v>
      </c>
      <c r="L10227" t="s">
        <v>183</v>
      </c>
      <c r="M10227" t="s">
        <v>11788</v>
      </c>
      <c r="N10227" t="s">
        <v>11788</v>
      </c>
      <c r="O10227" t="s">
        <v>23</v>
      </c>
      <c r="P10227" t="s">
        <v>1649</v>
      </c>
      <c r="Q10227" t="s">
        <v>1650</v>
      </c>
      <c r="R10227" t="s">
        <v>11788</v>
      </c>
    </row>
    <row r="10228" spans="1:18" x14ac:dyDescent="0.25">
      <c r="A10228" t="s">
        <v>12693</v>
      </c>
      <c r="B10228" t="s">
        <v>11802</v>
      </c>
      <c r="C10228" t="str">
        <f>HYPERLINK("https://nematode.unl.edu/tyloceph7.jpg")</f>
        <v>https://nematode.unl.edu/tyloceph7.jpg</v>
      </c>
      <c r="G10228" t="s">
        <v>28</v>
      </c>
      <c r="I10228" t="s">
        <v>19</v>
      </c>
      <c r="M10228" t="s">
        <v>11788</v>
      </c>
      <c r="N10228" t="s">
        <v>11788</v>
      </c>
      <c r="O10228" t="s">
        <v>23</v>
      </c>
      <c r="P10228" t="s">
        <v>1649</v>
      </c>
      <c r="Q10228" t="s">
        <v>1650</v>
      </c>
      <c r="R10228" t="s">
        <v>11788</v>
      </c>
    </row>
    <row r="10229" spans="1:18" x14ac:dyDescent="0.25">
      <c r="A10229" t="s">
        <v>12685</v>
      </c>
      <c r="B10229" t="s">
        <v>11803</v>
      </c>
      <c r="C10229" t="str">
        <f>HYPERLINK("https://nematode.unl.edu/tyloceph8.jpg")</f>
        <v>https://nematode.unl.edu/tyloceph8.jpg</v>
      </c>
      <c r="D10229" t="s">
        <v>77</v>
      </c>
      <c r="G10229" t="s">
        <v>34</v>
      </c>
      <c r="H10229" t="s">
        <v>18</v>
      </c>
      <c r="I10229" t="s">
        <v>19</v>
      </c>
      <c r="J10229" t="s">
        <v>20</v>
      </c>
      <c r="L10229" t="s">
        <v>141</v>
      </c>
      <c r="M10229" t="s">
        <v>11788</v>
      </c>
      <c r="N10229" t="s">
        <v>11788</v>
      </c>
      <c r="O10229" t="s">
        <v>23</v>
      </c>
      <c r="P10229" t="s">
        <v>1649</v>
      </c>
      <c r="Q10229" t="s">
        <v>1650</v>
      </c>
      <c r="R10229" t="s">
        <v>11788</v>
      </c>
    </row>
    <row r="10230" spans="1:18" x14ac:dyDescent="0.25">
      <c r="A10230" t="s">
        <v>12694</v>
      </c>
      <c r="B10230" t="s">
        <v>11804</v>
      </c>
      <c r="C10230" t="str">
        <f>HYPERLINK("https://nematode.unl.edu/tyloceph9.jpg")</f>
        <v>https://nematode.unl.edu/tyloceph9.jpg</v>
      </c>
      <c r="D10230" t="s">
        <v>43</v>
      </c>
      <c r="G10230" t="s">
        <v>51</v>
      </c>
      <c r="I10230" t="s">
        <v>19</v>
      </c>
      <c r="J10230" t="s">
        <v>20</v>
      </c>
      <c r="L10230" t="s">
        <v>141</v>
      </c>
      <c r="M10230" t="s">
        <v>11788</v>
      </c>
      <c r="N10230" t="s">
        <v>11788</v>
      </c>
      <c r="O10230" t="s">
        <v>23</v>
      </c>
      <c r="P10230" t="s">
        <v>1649</v>
      </c>
      <c r="Q10230" t="s">
        <v>1650</v>
      </c>
      <c r="R10230" t="s">
        <v>11788</v>
      </c>
    </row>
    <row r="10231" spans="1:18" x14ac:dyDescent="0.25">
      <c r="A10231" t="s">
        <v>15839</v>
      </c>
      <c r="B10231" t="s">
        <v>11805</v>
      </c>
      <c r="C10231" t="str">
        <f>HYPERLINK("https://nematode.unl.edu/tylop1.jpg")</f>
        <v>https://nematode.unl.edu/tylop1.jpg</v>
      </c>
      <c r="G10231" t="s">
        <v>2142</v>
      </c>
      <c r="J10231" t="s">
        <v>708</v>
      </c>
      <c r="M10231" t="s">
        <v>11806</v>
      </c>
      <c r="N10231" t="s">
        <v>11806</v>
      </c>
      <c r="O10231" t="s">
        <v>23</v>
      </c>
      <c r="P10231" t="s">
        <v>24</v>
      </c>
      <c r="Q10231" t="s">
        <v>2091</v>
      </c>
      <c r="R10231" t="s">
        <v>11806</v>
      </c>
    </row>
    <row r="10232" spans="1:18" x14ac:dyDescent="0.25">
      <c r="A10232" t="s">
        <v>15850</v>
      </c>
      <c r="B10232" t="s">
        <v>11807</v>
      </c>
      <c r="C10232" t="str">
        <f>HYPERLINK("https://nematode.unl.edu/tylop10.jpg")</f>
        <v>https://nematode.unl.edu/tylop10.jpg</v>
      </c>
      <c r="D10232" t="s">
        <v>43</v>
      </c>
      <c r="G10232" t="s">
        <v>51</v>
      </c>
      <c r="I10232" t="s">
        <v>41</v>
      </c>
      <c r="J10232" t="s">
        <v>708</v>
      </c>
      <c r="M10232" t="s">
        <v>11806</v>
      </c>
      <c r="N10232" t="s">
        <v>11806</v>
      </c>
      <c r="O10232" t="s">
        <v>23</v>
      </c>
      <c r="P10232" t="s">
        <v>24</v>
      </c>
      <c r="Q10232" t="s">
        <v>2091</v>
      </c>
      <c r="R10232" t="s">
        <v>11806</v>
      </c>
    </row>
    <row r="10233" spans="1:18" x14ac:dyDescent="0.25">
      <c r="A10233" t="s">
        <v>15838</v>
      </c>
      <c r="B10233" t="s">
        <v>11808</v>
      </c>
      <c r="C10233" t="str">
        <f>HYPERLINK("https://nematode.unl.edu/tylop11.jpg")</f>
        <v>https://nematode.unl.edu/tylop11.jpg</v>
      </c>
      <c r="G10233" t="s">
        <v>1000</v>
      </c>
      <c r="J10233" t="s">
        <v>708</v>
      </c>
      <c r="M10233" t="s">
        <v>11806</v>
      </c>
      <c r="N10233" t="s">
        <v>11806</v>
      </c>
      <c r="O10233" t="s">
        <v>23</v>
      </c>
      <c r="P10233" t="s">
        <v>24</v>
      </c>
      <c r="Q10233" t="s">
        <v>2091</v>
      </c>
      <c r="R10233" t="s">
        <v>11806</v>
      </c>
    </row>
    <row r="10234" spans="1:18" x14ac:dyDescent="0.25">
      <c r="A10234" t="s">
        <v>15830</v>
      </c>
      <c r="B10234" t="s">
        <v>11809</v>
      </c>
      <c r="C10234" t="str">
        <f>HYPERLINK("https://nematode.unl.edu/tylop12.jpg")</f>
        <v>https://nematode.unl.edu/tylop12.jpg</v>
      </c>
      <c r="D10234" t="s">
        <v>43</v>
      </c>
      <c r="G10234" t="s">
        <v>905</v>
      </c>
      <c r="I10234" t="s">
        <v>41</v>
      </c>
      <c r="J10234" t="s">
        <v>708</v>
      </c>
      <c r="M10234" t="s">
        <v>11806</v>
      </c>
      <c r="N10234" t="s">
        <v>11806</v>
      </c>
      <c r="O10234" t="s">
        <v>23</v>
      </c>
      <c r="P10234" t="s">
        <v>24</v>
      </c>
      <c r="Q10234" t="s">
        <v>2091</v>
      </c>
      <c r="R10234" t="s">
        <v>11806</v>
      </c>
    </row>
    <row r="10235" spans="1:18" x14ac:dyDescent="0.25">
      <c r="A10235" t="s">
        <v>15821</v>
      </c>
      <c r="B10235" t="s">
        <v>11810</v>
      </c>
      <c r="C10235" t="str">
        <f>HYPERLINK("https://nematode.unl.edu/tylop13.jpg")</f>
        <v>https://nematode.unl.edu/tylop13.jpg</v>
      </c>
      <c r="D10235" t="s">
        <v>77</v>
      </c>
      <c r="G10235" t="s">
        <v>96</v>
      </c>
      <c r="H10235" t="s">
        <v>18</v>
      </c>
      <c r="J10235" t="s">
        <v>708</v>
      </c>
      <c r="M10235" t="s">
        <v>11806</v>
      </c>
      <c r="N10235" t="s">
        <v>11806</v>
      </c>
      <c r="O10235" t="s">
        <v>23</v>
      </c>
      <c r="P10235" t="s">
        <v>24</v>
      </c>
      <c r="Q10235" t="s">
        <v>2091</v>
      </c>
      <c r="R10235" t="s">
        <v>11806</v>
      </c>
    </row>
    <row r="10236" spans="1:18" x14ac:dyDescent="0.25">
      <c r="A10236" t="s">
        <v>15840</v>
      </c>
      <c r="B10236" t="s">
        <v>11811</v>
      </c>
      <c r="C10236" t="str">
        <f>HYPERLINK("https://nematode.unl.edu/tylop14.jpg")</f>
        <v>https://nematode.unl.edu/tylop14.jpg</v>
      </c>
      <c r="G10236" t="s">
        <v>2142</v>
      </c>
      <c r="J10236" t="s">
        <v>708</v>
      </c>
      <c r="M10236" t="s">
        <v>11806</v>
      </c>
      <c r="N10236" t="s">
        <v>11806</v>
      </c>
      <c r="O10236" t="s">
        <v>23</v>
      </c>
      <c r="P10236" t="s">
        <v>24</v>
      </c>
      <c r="Q10236" t="s">
        <v>2091</v>
      </c>
      <c r="R10236" t="s">
        <v>11806</v>
      </c>
    </row>
    <row r="10237" spans="1:18" x14ac:dyDescent="0.25">
      <c r="A10237" t="s">
        <v>15841</v>
      </c>
      <c r="B10237" t="s">
        <v>11812</v>
      </c>
      <c r="C10237" t="str">
        <f>HYPERLINK("https://nematode.unl.edu/tylop15.jpg")</f>
        <v>https://nematode.unl.edu/tylop15.jpg</v>
      </c>
      <c r="D10237" t="s">
        <v>43</v>
      </c>
      <c r="G10237" t="s">
        <v>2142</v>
      </c>
      <c r="J10237" t="s">
        <v>708</v>
      </c>
      <c r="M10237" t="s">
        <v>11806</v>
      </c>
      <c r="N10237" t="s">
        <v>11806</v>
      </c>
      <c r="O10237" t="s">
        <v>23</v>
      </c>
      <c r="P10237" t="s">
        <v>24</v>
      </c>
      <c r="Q10237" t="s">
        <v>2091</v>
      </c>
      <c r="R10237" t="s">
        <v>11806</v>
      </c>
    </row>
    <row r="10238" spans="1:18" x14ac:dyDescent="0.25">
      <c r="A10238" t="s">
        <v>15822</v>
      </c>
      <c r="B10238" t="s">
        <v>11813</v>
      </c>
      <c r="C10238" t="str">
        <f>HYPERLINK("https://nematode.unl.edu/tylop16.jpg")</f>
        <v>https://nematode.unl.edu/tylop16.jpg</v>
      </c>
      <c r="D10238" t="s">
        <v>43</v>
      </c>
      <c r="G10238" t="s">
        <v>96</v>
      </c>
      <c r="H10238" t="s">
        <v>18</v>
      </c>
      <c r="I10238" t="s">
        <v>41</v>
      </c>
      <c r="M10238" t="s">
        <v>11806</v>
      </c>
      <c r="N10238" t="s">
        <v>11806</v>
      </c>
      <c r="O10238" t="s">
        <v>23</v>
      </c>
      <c r="P10238" t="s">
        <v>24</v>
      </c>
      <c r="Q10238" t="s">
        <v>2091</v>
      </c>
      <c r="R10238" t="s">
        <v>11806</v>
      </c>
    </row>
    <row r="10239" spans="1:18" x14ac:dyDescent="0.25">
      <c r="A10239" t="s">
        <v>15823</v>
      </c>
      <c r="B10239" t="s">
        <v>11814</v>
      </c>
      <c r="C10239" t="str">
        <f>HYPERLINK("https://nematode.unl.edu/tylop17.jpg")</f>
        <v>https://nematode.unl.edu/tylop17.jpg</v>
      </c>
      <c r="G10239" t="s">
        <v>96</v>
      </c>
      <c r="H10239" t="s">
        <v>18</v>
      </c>
      <c r="I10239" t="s">
        <v>41</v>
      </c>
      <c r="J10239" t="s">
        <v>708</v>
      </c>
      <c r="M10239" t="s">
        <v>11806</v>
      </c>
      <c r="N10239" t="s">
        <v>11806</v>
      </c>
      <c r="O10239" t="s">
        <v>23</v>
      </c>
      <c r="P10239" t="s">
        <v>24</v>
      </c>
      <c r="Q10239" t="s">
        <v>2091</v>
      </c>
      <c r="R10239" t="s">
        <v>11806</v>
      </c>
    </row>
    <row r="10240" spans="1:18" x14ac:dyDescent="0.25">
      <c r="A10240" t="s">
        <v>15833</v>
      </c>
      <c r="B10240" t="s">
        <v>11815</v>
      </c>
      <c r="C10240" t="str">
        <f>HYPERLINK("https://nematode.unl.edu/tylop18.jpg")</f>
        <v>https://nematode.unl.edu/tylop18.jpg</v>
      </c>
      <c r="G10240" t="s">
        <v>224</v>
      </c>
      <c r="I10240" t="s">
        <v>41</v>
      </c>
      <c r="J10240" t="s">
        <v>708</v>
      </c>
      <c r="M10240" t="s">
        <v>11806</v>
      </c>
      <c r="N10240" t="s">
        <v>11806</v>
      </c>
      <c r="O10240" t="s">
        <v>23</v>
      </c>
      <c r="P10240" t="s">
        <v>24</v>
      </c>
      <c r="Q10240" t="s">
        <v>2091</v>
      </c>
      <c r="R10240" t="s">
        <v>11806</v>
      </c>
    </row>
    <row r="10241" spans="1:18" x14ac:dyDescent="0.25">
      <c r="A10241" t="s">
        <v>15846</v>
      </c>
      <c r="B10241" t="s">
        <v>11816</v>
      </c>
      <c r="C10241" t="str">
        <f>HYPERLINK("https://nematode.unl.edu/tylop19.jpg")</f>
        <v>https://nematode.unl.edu/tylop19.jpg</v>
      </c>
      <c r="G10241" t="s">
        <v>28</v>
      </c>
      <c r="I10241" t="s">
        <v>41</v>
      </c>
      <c r="J10241" t="s">
        <v>708</v>
      </c>
      <c r="M10241" t="s">
        <v>11806</v>
      </c>
      <c r="N10241" t="s">
        <v>11806</v>
      </c>
      <c r="O10241" t="s">
        <v>23</v>
      </c>
      <c r="P10241" t="s">
        <v>24</v>
      </c>
      <c r="Q10241" t="s">
        <v>2091</v>
      </c>
      <c r="R10241" t="s">
        <v>11806</v>
      </c>
    </row>
    <row r="10242" spans="1:18" x14ac:dyDescent="0.25">
      <c r="A10242" t="s">
        <v>15824</v>
      </c>
      <c r="B10242" t="s">
        <v>11817</v>
      </c>
      <c r="C10242" t="str">
        <f>HYPERLINK("https://nematode.unl.edu/tylop2.jpg")</f>
        <v>https://nematode.unl.edu/tylop2.jpg</v>
      </c>
      <c r="D10242" t="s">
        <v>77</v>
      </c>
      <c r="G10242" t="s">
        <v>96</v>
      </c>
      <c r="H10242" t="s">
        <v>18</v>
      </c>
      <c r="I10242" t="s">
        <v>41</v>
      </c>
      <c r="J10242" t="s">
        <v>708</v>
      </c>
      <c r="M10242" t="s">
        <v>11806</v>
      </c>
      <c r="N10242" t="s">
        <v>11806</v>
      </c>
      <c r="O10242" t="s">
        <v>23</v>
      </c>
      <c r="P10242" t="s">
        <v>24</v>
      </c>
      <c r="Q10242" t="s">
        <v>2091</v>
      </c>
      <c r="R10242" t="s">
        <v>11806</v>
      </c>
    </row>
    <row r="10243" spans="1:18" x14ac:dyDescent="0.25">
      <c r="A10243" t="s">
        <v>15831</v>
      </c>
      <c r="B10243" t="s">
        <v>11818</v>
      </c>
      <c r="C10243" t="str">
        <f>HYPERLINK("https://nematode.unl.edu/tylop20.jpg")</f>
        <v>https://nematode.unl.edu/tylop20.jpg</v>
      </c>
      <c r="D10243" t="s">
        <v>43</v>
      </c>
      <c r="G10243" t="s">
        <v>44</v>
      </c>
      <c r="I10243" t="s">
        <v>516</v>
      </c>
      <c r="J10243" t="s">
        <v>11819</v>
      </c>
      <c r="L10243" t="s">
        <v>11820</v>
      </c>
      <c r="M10243" t="s">
        <v>11806</v>
      </c>
      <c r="N10243" t="s">
        <v>11806</v>
      </c>
      <c r="O10243" t="s">
        <v>23</v>
      </c>
      <c r="P10243" t="s">
        <v>24</v>
      </c>
      <c r="Q10243" t="s">
        <v>2091</v>
      </c>
      <c r="R10243" t="s">
        <v>11806</v>
      </c>
    </row>
    <row r="10244" spans="1:18" x14ac:dyDescent="0.25">
      <c r="A10244" t="s">
        <v>15825</v>
      </c>
      <c r="B10244" t="s">
        <v>11821</v>
      </c>
      <c r="C10244" t="str">
        <f>HYPERLINK("https://nematode.unl.edu/tylop21.jpg")</f>
        <v>https://nematode.unl.edu/tylop21.jpg</v>
      </c>
      <c r="D10244" t="s">
        <v>43</v>
      </c>
      <c r="G10244" t="s">
        <v>96</v>
      </c>
      <c r="H10244" t="s">
        <v>18</v>
      </c>
      <c r="I10244" t="s">
        <v>41</v>
      </c>
      <c r="J10244" t="s">
        <v>708</v>
      </c>
      <c r="M10244" t="s">
        <v>11806</v>
      </c>
      <c r="N10244" t="s">
        <v>11806</v>
      </c>
      <c r="O10244" t="s">
        <v>23</v>
      </c>
      <c r="P10244" t="s">
        <v>24</v>
      </c>
      <c r="Q10244" t="s">
        <v>2091</v>
      </c>
      <c r="R10244" t="s">
        <v>11806</v>
      </c>
    </row>
    <row r="10245" spans="1:18" x14ac:dyDescent="0.25">
      <c r="A10245" t="s">
        <v>15842</v>
      </c>
      <c r="B10245" t="s">
        <v>11822</v>
      </c>
      <c r="C10245" t="str">
        <f>HYPERLINK("https://nematode.unl.edu/tylop22.jpg")</f>
        <v>https://nematode.unl.edu/tylop22.jpg</v>
      </c>
      <c r="G10245" t="s">
        <v>2142</v>
      </c>
      <c r="J10245" t="s">
        <v>708</v>
      </c>
      <c r="M10245" t="s">
        <v>11806</v>
      </c>
      <c r="N10245" t="s">
        <v>11806</v>
      </c>
      <c r="O10245" t="s">
        <v>23</v>
      </c>
      <c r="P10245" t="s">
        <v>24</v>
      </c>
      <c r="Q10245" t="s">
        <v>2091</v>
      </c>
      <c r="R10245" t="s">
        <v>11806</v>
      </c>
    </row>
    <row r="10246" spans="1:18" x14ac:dyDescent="0.25">
      <c r="A10246" t="s">
        <v>15851</v>
      </c>
      <c r="B10246" t="s">
        <v>11823</v>
      </c>
      <c r="C10246" t="str">
        <f>HYPERLINK("https://nematode.unl.edu/tylop23.jpg")</f>
        <v>https://nematode.unl.edu/tylop23.jpg</v>
      </c>
      <c r="D10246" t="s">
        <v>43</v>
      </c>
      <c r="G10246" t="s">
        <v>51</v>
      </c>
      <c r="J10246" t="s">
        <v>708</v>
      </c>
      <c r="M10246" t="s">
        <v>11806</v>
      </c>
      <c r="N10246" t="s">
        <v>11806</v>
      </c>
      <c r="O10246" t="s">
        <v>23</v>
      </c>
      <c r="P10246" t="s">
        <v>24</v>
      </c>
      <c r="Q10246" t="s">
        <v>2091</v>
      </c>
      <c r="R10246" t="s">
        <v>11806</v>
      </c>
    </row>
    <row r="10247" spans="1:18" x14ac:dyDescent="0.25">
      <c r="A10247" t="s">
        <v>15834</v>
      </c>
      <c r="B10247" t="s">
        <v>11824</v>
      </c>
      <c r="C10247" t="str">
        <f>HYPERLINK("https://nematode.unl.edu/tylop24.jpg")</f>
        <v>https://nematode.unl.edu/tylop24.jpg</v>
      </c>
      <c r="D10247" t="s">
        <v>43</v>
      </c>
      <c r="G10247" t="s">
        <v>224</v>
      </c>
      <c r="I10247" t="s">
        <v>41</v>
      </c>
      <c r="J10247" t="s">
        <v>708</v>
      </c>
      <c r="M10247" t="s">
        <v>11806</v>
      </c>
      <c r="N10247" t="s">
        <v>11806</v>
      </c>
      <c r="O10247" t="s">
        <v>23</v>
      </c>
      <c r="P10247" t="s">
        <v>24</v>
      </c>
      <c r="Q10247" t="s">
        <v>2091</v>
      </c>
      <c r="R10247" t="s">
        <v>11806</v>
      </c>
    </row>
    <row r="10248" spans="1:18" x14ac:dyDescent="0.25">
      <c r="A10248" t="s">
        <v>15826</v>
      </c>
      <c r="B10248" t="s">
        <v>11825</v>
      </c>
      <c r="C10248" t="str">
        <f>HYPERLINK("https://nematode.unl.edu/tylop25.jpg")</f>
        <v>https://nematode.unl.edu/tylop25.jpg</v>
      </c>
      <c r="D10248" t="s">
        <v>77</v>
      </c>
      <c r="G10248" t="s">
        <v>96</v>
      </c>
      <c r="H10248" t="s">
        <v>18</v>
      </c>
      <c r="M10248" t="s">
        <v>11806</v>
      </c>
      <c r="N10248" t="s">
        <v>11806</v>
      </c>
      <c r="O10248" t="s">
        <v>23</v>
      </c>
      <c r="P10248" t="s">
        <v>24</v>
      </c>
      <c r="Q10248" t="s">
        <v>2091</v>
      </c>
      <c r="R10248" t="s">
        <v>11806</v>
      </c>
    </row>
    <row r="10249" spans="1:18" x14ac:dyDescent="0.25">
      <c r="A10249" t="s">
        <v>15835</v>
      </c>
      <c r="B10249" t="s">
        <v>11826</v>
      </c>
      <c r="C10249" t="str">
        <f>HYPERLINK("https://nematode.unl.edu/tylop26.jpg")</f>
        <v>https://nematode.unl.edu/tylop26.jpg</v>
      </c>
      <c r="D10249" t="s">
        <v>77</v>
      </c>
      <c r="G10249" t="s">
        <v>224</v>
      </c>
      <c r="I10249" t="s">
        <v>19</v>
      </c>
      <c r="J10249" t="s">
        <v>708</v>
      </c>
      <c r="M10249" t="s">
        <v>11806</v>
      </c>
      <c r="N10249" t="s">
        <v>11806</v>
      </c>
      <c r="O10249" t="s">
        <v>23</v>
      </c>
      <c r="P10249" t="s">
        <v>24</v>
      </c>
      <c r="Q10249" t="s">
        <v>2091</v>
      </c>
      <c r="R10249" t="s">
        <v>11806</v>
      </c>
    </row>
    <row r="10250" spans="1:18" x14ac:dyDescent="0.25">
      <c r="A10250" t="s">
        <v>15836</v>
      </c>
      <c r="B10250" t="s">
        <v>11827</v>
      </c>
      <c r="C10250" t="str">
        <f>HYPERLINK("https://nematode.unl.edu/tylop27.jpg")</f>
        <v>https://nematode.unl.edu/tylop27.jpg</v>
      </c>
      <c r="G10250" t="s">
        <v>224</v>
      </c>
      <c r="I10250" t="s">
        <v>41</v>
      </c>
      <c r="J10250" t="s">
        <v>708</v>
      </c>
      <c r="M10250" t="s">
        <v>11806</v>
      </c>
      <c r="N10250" t="s">
        <v>11806</v>
      </c>
      <c r="O10250" t="s">
        <v>23</v>
      </c>
      <c r="P10250" t="s">
        <v>24</v>
      </c>
      <c r="Q10250" t="s">
        <v>2091</v>
      </c>
      <c r="R10250" t="s">
        <v>11806</v>
      </c>
    </row>
    <row r="10251" spans="1:18" x14ac:dyDescent="0.25">
      <c r="A10251" t="s">
        <v>15845</v>
      </c>
      <c r="B10251" t="s">
        <v>11828</v>
      </c>
      <c r="C10251" t="str">
        <f>HYPERLINK("https://nematode.unl.edu/tylop28.jpg")</f>
        <v>https://nematode.unl.edu/tylop28.jpg</v>
      </c>
      <c r="D10251" t="s">
        <v>77</v>
      </c>
      <c r="G10251" t="s">
        <v>112</v>
      </c>
      <c r="J10251" t="s">
        <v>708</v>
      </c>
      <c r="M10251" t="s">
        <v>11806</v>
      </c>
      <c r="N10251" t="s">
        <v>11806</v>
      </c>
      <c r="O10251" t="s">
        <v>23</v>
      </c>
      <c r="P10251" t="s">
        <v>24</v>
      </c>
      <c r="Q10251" t="s">
        <v>2091</v>
      </c>
      <c r="R10251" t="s">
        <v>11806</v>
      </c>
    </row>
    <row r="10252" spans="1:18" x14ac:dyDescent="0.25">
      <c r="A10252" t="s">
        <v>15843</v>
      </c>
      <c r="B10252" t="s">
        <v>11829</v>
      </c>
      <c r="C10252" t="str">
        <f>HYPERLINK("https://nematode.unl.edu/tylop29.jpg")</f>
        <v>https://nematode.unl.edu/tylop29.jpg</v>
      </c>
      <c r="D10252" t="s">
        <v>77</v>
      </c>
      <c r="G10252" t="s">
        <v>2142</v>
      </c>
      <c r="J10252" t="s">
        <v>708</v>
      </c>
      <c r="M10252" t="s">
        <v>11806</v>
      </c>
      <c r="N10252" t="s">
        <v>11806</v>
      </c>
      <c r="O10252" t="s">
        <v>23</v>
      </c>
      <c r="P10252" t="s">
        <v>24</v>
      </c>
      <c r="Q10252" t="s">
        <v>2091</v>
      </c>
      <c r="R10252" t="s">
        <v>11806</v>
      </c>
    </row>
    <row r="10253" spans="1:18" x14ac:dyDescent="0.25">
      <c r="A10253" t="s">
        <v>15847</v>
      </c>
      <c r="B10253" t="s">
        <v>11830</v>
      </c>
      <c r="C10253" t="str">
        <f>HYPERLINK("https://nematode.unl.edu/tylop3.jpg")</f>
        <v>https://nematode.unl.edu/tylop3.jpg</v>
      </c>
      <c r="G10253" t="s">
        <v>28</v>
      </c>
      <c r="I10253" t="s">
        <v>41</v>
      </c>
      <c r="J10253" t="s">
        <v>708</v>
      </c>
      <c r="M10253" t="s">
        <v>11806</v>
      </c>
      <c r="N10253" t="s">
        <v>11806</v>
      </c>
      <c r="O10253" t="s">
        <v>23</v>
      </c>
      <c r="P10253" t="s">
        <v>24</v>
      </c>
      <c r="Q10253" t="s">
        <v>2091</v>
      </c>
      <c r="R10253" t="s">
        <v>11806</v>
      </c>
    </row>
    <row r="10254" spans="1:18" x14ac:dyDescent="0.25">
      <c r="A10254" t="s">
        <v>15848</v>
      </c>
      <c r="B10254" t="s">
        <v>11831</v>
      </c>
      <c r="C10254" t="str">
        <f>HYPERLINK("https://nematode.unl.edu/tylop30.jpg")</f>
        <v>https://nematode.unl.edu/tylop30.jpg</v>
      </c>
      <c r="D10254" t="s">
        <v>77</v>
      </c>
      <c r="G10254" t="s">
        <v>28</v>
      </c>
      <c r="J10254" t="s">
        <v>708</v>
      </c>
      <c r="M10254" t="s">
        <v>11806</v>
      </c>
      <c r="N10254" t="s">
        <v>11806</v>
      </c>
      <c r="O10254" t="s">
        <v>23</v>
      </c>
      <c r="P10254" t="s">
        <v>24</v>
      </c>
      <c r="Q10254" t="s">
        <v>2091</v>
      </c>
      <c r="R10254" t="s">
        <v>11806</v>
      </c>
    </row>
    <row r="10255" spans="1:18" x14ac:dyDescent="0.25">
      <c r="A10255" t="s">
        <v>15849</v>
      </c>
      <c r="B10255" t="s">
        <v>11832</v>
      </c>
      <c r="C10255" t="str">
        <f>HYPERLINK("https://nematode.unl.edu/tylop31.jpg")</f>
        <v>https://nematode.unl.edu/tylop31.jpg</v>
      </c>
      <c r="D10255" t="s">
        <v>77</v>
      </c>
      <c r="G10255" t="s">
        <v>28</v>
      </c>
      <c r="I10255" t="s">
        <v>516</v>
      </c>
      <c r="J10255" t="s">
        <v>11819</v>
      </c>
      <c r="L10255" t="s">
        <v>11820</v>
      </c>
      <c r="M10255" t="s">
        <v>11806</v>
      </c>
      <c r="N10255" t="s">
        <v>11806</v>
      </c>
      <c r="O10255" t="s">
        <v>23</v>
      </c>
      <c r="P10255" t="s">
        <v>24</v>
      </c>
      <c r="Q10255" t="s">
        <v>2091</v>
      </c>
      <c r="R10255" t="s">
        <v>11806</v>
      </c>
    </row>
    <row r="10256" spans="1:18" x14ac:dyDescent="0.25">
      <c r="A10256" t="s">
        <v>15832</v>
      </c>
      <c r="B10256" t="s">
        <v>11833</v>
      </c>
      <c r="C10256" t="str">
        <f>HYPERLINK("https://nematode.unl.edu/tylop4.jpg")</f>
        <v>https://nematode.unl.edu/tylop4.jpg</v>
      </c>
      <c r="D10256" t="s">
        <v>77</v>
      </c>
      <c r="G10256" t="s">
        <v>44</v>
      </c>
      <c r="I10256" t="s">
        <v>19</v>
      </c>
      <c r="J10256" t="s">
        <v>11819</v>
      </c>
      <c r="L10256" t="s">
        <v>11820</v>
      </c>
      <c r="M10256" t="s">
        <v>11806</v>
      </c>
      <c r="N10256" t="s">
        <v>11806</v>
      </c>
      <c r="O10256" t="s">
        <v>23</v>
      </c>
      <c r="P10256" t="s">
        <v>24</v>
      </c>
      <c r="Q10256" t="s">
        <v>2091</v>
      </c>
      <c r="R10256" t="s">
        <v>11806</v>
      </c>
    </row>
    <row r="10257" spans="1:18" x14ac:dyDescent="0.25">
      <c r="A10257" t="s">
        <v>15827</v>
      </c>
      <c r="B10257" t="s">
        <v>11834</v>
      </c>
      <c r="C10257" t="str">
        <f>HYPERLINK("https://nematode.unl.edu/tylop5.jpg")</f>
        <v>https://nematode.unl.edu/tylop5.jpg</v>
      </c>
      <c r="D10257" t="s">
        <v>77</v>
      </c>
      <c r="G10257" t="s">
        <v>96</v>
      </c>
      <c r="H10257" t="s">
        <v>18</v>
      </c>
      <c r="I10257" t="s">
        <v>41</v>
      </c>
      <c r="J10257" t="s">
        <v>708</v>
      </c>
      <c r="M10257" t="s">
        <v>11806</v>
      </c>
      <c r="N10257" t="s">
        <v>11806</v>
      </c>
      <c r="O10257" t="s">
        <v>23</v>
      </c>
      <c r="P10257" t="s">
        <v>24</v>
      </c>
      <c r="Q10257" t="s">
        <v>2091</v>
      </c>
      <c r="R10257" t="s">
        <v>11806</v>
      </c>
    </row>
    <row r="10258" spans="1:18" x14ac:dyDescent="0.25">
      <c r="A10258" t="s">
        <v>15828</v>
      </c>
      <c r="B10258" t="s">
        <v>11835</v>
      </c>
      <c r="C10258" t="str">
        <f>HYPERLINK("https://nematode.unl.edu/tylop6.jpg")</f>
        <v>https://nematode.unl.edu/tylop6.jpg</v>
      </c>
      <c r="D10258" t="s">
        <v>16</v>
      </c>
      <c r="G10258" t="s">
        <v>96</v>
      </c>
      <c r="H10258" t="s">
        <v>18</v>
      </c>
      <c r="M10258" t="s">
        <v>11806</v>
      </c>
      <c r="N10258" t="s">
        <v>11806</v>
      </c>
      <c r="O10258" t="s">
        <v>23</v>
      </c>
      <c r="P10258" t="s">
        <v>24</v>
      </c>
      <c r="Q10258" t="s">
        <v>2091</v>
      </c>
      <c r="R10258" t="s">
        <v>11806</v>
      </c>
    </row>
    <row r="10259" spans="1:18" x14ac:dyDescent="0.25">
      <c r="A10259" t="s">
        <v>15844</v>
      </c>
      <c r="B10259" t="s">
        <v>11836</v>
      </c>
      <c r="C10259" t="str">
        <f>HYPERLINK("https://nematode.unl.edu/tylop7.jpg")</f>
        <v>https://nematode.unl.edu/tylop7.jpg</v>
      </c>
      <c r="G10259" t="s">
        <v>2142</v>
      </c>
      <c r="J10259" t="s">
        <v>708</v>
      </c>
      <c r="M10259" t="s">
        <v>11806</v>
      </c>
      <c r="N10259" t="s">
        <v>11806</v>
      </c>
      <c r="O10259" t="s">
        <v>23</v>
      </c>
      <c r="P10259" t="s">
        <v>24</v>
      </c>
      <c r="Q10259" t="s">
        <v>2091</v>
      </c>
      <c r="R10259" t="s">
        <v>11806</v>
      </c>
    </row>
    <row r="10260" spans="1:18" x14ac:dyDescent="0.25">
      <c r="A10260" t="s">
        <v>15829</v>
      </c>
      <c r="B10260" t="s">
        <v>11837</v>
      </c>
      <c r="C10260" t="str">
        <f>HYPERLINK("https://nematode.unl.edu/tylop8.jpg")</f>
        <v>https://nematode.unl.edu/tylop8.jpg</v>
      </c>
      <c r="D10260" t="s">
        <v>77</v>
      </c>
      <c r="G10260" t="s">
        <v>96</v>
      </c>
      <c r="H10260" t="s">
        <v>18</v>
      </c>
      <c r="M10260" t="s">
        <v>11806</v>
      </c>
      <c r="N10260" t="s">
        <v>11806</v>
      </c>
      <c r="O10260" t="s">
        <v>23</v>
      </c>
      <c r="P10260" t="s">
        <v>24</v>
      </c>
      <c r="Q10260" t="s">
        <v>2091</v>
      </c>
      <c r="R10260" t="s">
        <v>11806</v>
      </c>
    </row>
    <row r="10261" spans="1:18" x14ac:dyDescent="0.25">
      <c r="A10261" t="s">
        <v>15837</v>
      </c>
      <c r="B10261" t="s">
        <v>11838</v>
      </c>
      <c r="C10261" t="str">
        <f>HYPERLINK("https://nematode.unl.edu/tylop9.jpg")</f>
        <v>https://nematode.unl.edu/tylop9.jpg</v>
      </c>
      <c r="D10261" t="s">
        <v>43</v>
      </c>
      <c r="G10261" t="s">
        <v>224</v>
      </c>
      <c r="I10261" t="s">
        <v>41</v>
      </c>
      <c r="J10261" t="s">
        <v>708</v>
      </c>
      <c r="M10261" t="s">
        <v>11806</v>
      </c>
      <c r="N10261" t="s">
        <v>11806</v>
      </c>
      <c r="O10261" t="s">
        <v>23</v>
      </c>
      <c r="P10261" t="s">
        <v>24</v>
      </c>
      <c r="Q10261" t="s">
        <v>2091</v>
      </c>
      <c r="R10261" t="s">
        <v>11806</v>
      </c>
    </row>
    <row r="10262" spans="1:18" x14ac:dyDescent="0.25">
      <c r="A10262" t="s">
        <v>20102</v>
      </c>
      <c r="B10262" t="s">
        <v>11769</v>
      </c>
      <c r="C10262" t="str">
        <f>HYPERLINK("https://nematode.unl.edu/tylpec1.jpg")</f>
        <v>https://nematode.unl.edu/tylpec1.jpg</v>
      </c>
      <c r="D10262" t="s">
        <v>43</v>
      </c>
      <c r="G10262" t="s">
        <v>44</v>
      </c>
      <c r="I10262" t="s">
        <v>499</v>
      </c>
      <c r="J10262" t="s">
        <v>46</v>
      </c>
      <c r="L10262" t="s">
        <v>11770</v>
      </c>
      <c r="M10262" t="s">
        <v>11766</v>
      </c>
      <c r="N10262" t="s">
        <v>11766</v>
      </c>
      <c r="O10262" t="s">
        <v>73</v>
      </c>
      <c r="P10262" t="s">
        <v>81</v>
      </c>
      <c r="Q10262" t="s">
        <v>2579</v>
      </c>
      <c r="R10262" t="s">
        <v>11767</v>
      </c>
    </row>
    <row r="10263" spans="1:18" x14ac:dyDescent="0.25">
      <c r="A10263" t="s">
        <v>20095</v>
      </c>
      <c r="B10263" t="s">
        <v>11771</v>
      </c>
      <c r="C10263" t="str">
        <f>HYPERLINK("https://nematode.unl.edu/tylpec10.jpg")</f>
        <v>https://nematode.unl.edu/tylpec10.jpg</v>
      </c>
      <c r="D10263" t="s">
        <v>16</v>
      </c>
      <c r="G10263" t="s">
        <v>34</v>
      </c>
      <c r="H10263" t="s">
        <v>18</v>
      </c>
      <c r="I10263" t="s">
        <v>516</v>
      </c>
      <c r="J10263" t="s">
        <v>46</v>
      </c>
      <c r="L10263" t="s">
        <v>11770</v>
      </c>
      <c r="M10263" t="s">
        <v>11766</v>
      </c>
      <c r="N10263" t="s">
        <v>11766</v>
      </c>
      <c r="O10263" t="s">
        <v>73</v>
      </c>
      <c r="P10263" t="s">
        <v>81</v>
      </c>
      <c r="Q10263" t="s">
        <v>2579</v>
      </c>
      <c r="R10263" t="s">
        <v>11767</v>
      </c>
    </row>
    <row r="10264" spans="1:18" x14ac:dyDescent="0.25">
      <c r="A10264" t="s">
        <v>20101</v>
      </c>
      <c r="B10264" t="s">
        <v>11772</v>
      </c>
      <c r="C10264" t="str">
        <f>HYPERLINK("https://nematode.unl.edu/tylpec11.jpg")</f>
        <v>https://nematode.unl.edu/tylpec11.jpg</v>
      </c>
      <c r="D10264" t="s">
        <v>16</v>
      </c>
      <c r="G10264" t="s">
        <v>384</v>
      </c>
      <c r="I10264" t="s">
        <v>19</v>
      </c>
      <c r="J10264" t="s">
        <v>46</v>
      </c>
      <c r="M10264" t="s">
        <v>11766</v>
      </c>
      <c r="N10264" t="s">
        <v>11766</v>
      </c>
      <c r="O10264" t="s">
        <v>73</v>
      </c>
      <c r="P10264" t="s">
        <v>81</v>
      </c>
      <c r="Q10264" t="s">
        <v>2579</v>
      </c>
      <c r="R10264" t="s">
        <v>11767</v>
      </c>
    </row>
    <row r="10265" spans="1:18" x14ac:dyDescent="0.25">
      <c r="A10265" t="s">
        <v>20106</v>
      </c>
      <c r="B10265" t="s">
        <v>11773</v>
      </c>
      <c r="C10265" t="str">
        <f>HYPERLINK("https://nematode.unl.edu/tylpec12.jpg")</f>
        <v>https://nematode.unl.edu/tylpec12.jpg</v>
      </c>
      <c r="G10265" t="s">
        <v>28</v>
      </c>
      <c r="J10265" t="s">
        <v>46</v>
      </c>
      <c r="M10265" t="s">
        <v>11766</v>
      </c>
      <c r="N10265" t="s">
        <v>11766</v>
      </c>
      <c r="O10265" t="s">
        <v>73</v>
      </c>
      <c r="P10265" t="s">
        <v>81</v>
      </c>
      <c r="Q10265" t="s">
        <v>2579</v>
      </c>
      <c r="R10265" t="s">
        <v>11767</v>
      </c>
    </row>
    <row r="10266" spans="1:18" x14ac:dyDescent="0.25">
      <c r="A10266" t="s">
        <v>20096</v>
      </c>
      <c r="B10266" t="s">
        <v>11774</v>
      </c>
      <c r="C10266" t="str">
        <f>HYPERLINK("https://nematode.unl.edu/tylpec13.jpg")</f>
        <v>https://nematode.unl.edu/tylpec13.jpg</v>
      </c>
      <c r="D10266" t="s">
        <v>16</v>
      </c>
      <c r="G10266" t="s">
        <v>34</v>
      </c>
      <c r="H10266" t="s">
        <v>18</v>
      </c>
      <c r="I10266" t="s">
        <v>529</v>
      </c>
      <c r="J10266" t="s">
        <v>46</v>
      </c>
      <c r="L10266" t="s">
        <v>11770</v>
      </c>
      <c r="M10266" t="s">
        <v>11766</v>
      </c>
      <c r="N10266" t="s">
        <v>11766</v>
      </c>
      <c r="O10266" t="s">
        <v>73</v>
      </c>
      <c r="P10266" t="s">
        <v>81</v>
      </c>
      <c r="Q10266" t="s">
        <v>2579</v>
      </c>
      <c r="R10266" t="s">
        <v>11767</v>
      </c>
    </row>
    <row r="10267" spans="1:18" x14ac:dyDescent="0.25">
      <c r="A10267" t="s">
        <v>20104</v>
      </c>
      <c r="B10267" t="s">
        <v>11775</v>
      </c>
      <c r="C10267" t="str">
        <f>HYPERLINK("https://nematode.unl.edu/tylpec14.jpg")</f>
        <v>https://nematode.unl.edu/tylpec14.jpg</v>
      </c>
      <c r="D10267" t="s">
        <v>16</v>
      </c>
      <c r="G10267" t="s">
        <v>2964</v>
      </c>
      <c r="I10267" t="s">
        <v>41</v>
      </c>
      <c r="J10267" t="s">
        <v>46</v>
      </c>
      <c r="L10267" t="s">
        <v>11770</v>
      </c>
      <c r="M10267" t="s">
        <v>11766</v>
      </c>
      <c r="N10267" t="s">
        <v>11766</v>
      </c>
      <c r="O10267" t="s">
        <v>73</v>
      </c>
      <c r="P10267" t="s">
        <v>81</v>
      </c>
      <c r="Q10267" t="s">
        <v>2579</v>
      </c>
      <c r="R10267" t="s">
        <v>11767</v>
      </c>
    </row>
    <row r="10268" spans="1:18" x14ac:dyDescent="0.25">
      <c r="A10268" t="s">
        <v>20105</v>
      </c>
      <c r="B10268" t="s">
        <v>11776</v>
      </c>
      <c r="C10268" t="str">
        <f>HYPERLINK("https://nematode.unl.edu/tylpec15.jpg")</f>
        <v>https://nematode.unl.edu/tylpec15.jpg</v>
      </c>
      <c r="D10268" t="s">
        <v>16</v>
      </c>
      <c r="G10268" t="s">
        <v>2964</v>
      </c>
      <c r="I10268" t="s">
        <v>529</v>
      </c>
      <c r="J10268" t="s">
        <v>46</v>
      </c>
      <c r="L10268" t="s">
        <v>11770</v>
      </c>
      <c r="M10268" t="s">
        <v>11766</v>
      </c>
      <c r="N10268" t="s">
        <v>11766</v>
      </c>
      <c r="O10268" t="s">
        <v>73</v>
      </c>
      <c r="P10268" t="s">
        <v>81</v>
      </c>
      <c r="Q10268" t="s">
        <v>2579</v>
      </c>
      <c r="R10268" t="s">
        <v>11767</v>
      </c>
    </row>
    <row r="10269" spans="1:18" x14ac:dyDescent="0.25">
      <c r="A10269" t="s">
        <v>20097</v>
      </c>
      <c r="B10269" t="s">
        <v>11777</v>
      </c>
      <c r="C10269" t="str">
        <f>HYPERLINK("https://nematode.unl.edu/tylpec2.jpg")</f>
        <v>https://nematode.unl.edu/tylpec2.jpg</v>
      </c>
      <c r="D10269" t="s">
        <v>43</v>
      </c>
      <c r="G10269" t="s">
        <v>34</v>
      </c>
      <c r="H10269" t="s">
        <v>18</v>
      </c>
      <c r="I10269" t="s">
        <v>516</v>
      </c>
      <c r="J10269" t="s">
        <v>46</v>
      </c>
      <c r="L10269" t="s">
        <v>11770</v>
      </c>
      <c r="M10269" t="s">
        <v>11766</v>
      </c>
      <c r="N10269" t="s">
        <v>11766</v>
      </c>
      <c r="O10269" t="s">
        <v>73</v>
      </c>
      <c r="P10269" t="s">
        <v>81</v>
      </c>
      <c r="Q10269" t="s">
        <v>2579</v>
      </c>
      <c r="R10269" t="s">
        <v>11767</v>
      </c>
    </row>
    <row r="10270" spans="1:18" x14ac:dyDescent="0.25">
      <c r="A10270" t="s">
        <v>20092</v>
      </c>
      <c r="B10270" t="s">
        <v>11778</v>
      </c>
      <c r="C10270" t="str">
        <f>HYPERLINK("https://nematode.unl.edu/tylpec3.jpg")</f>
        <v>https://nematode.unl.edu/tylpec3.jpg</v>
      </c>
      <c r="D10270" t="s">
        <v>43</v>
      </c>
      <c r="G10270" t="s">
        <v>17</v>
      </c>
      <c r="H10270" t="s">
        <v>18</v>
      </c>
      <c r="J10270" t="s">
        <v>46</v>
      </c>
      <c r="M10270" t="s">
        <v>11766</v>
      </c>
      <c r="N10270" t="s">
        <v>11766</v>
      </c>
      <c r="O10270" t="s">
        <v>73</v>
      </c>
      <c r="P10270" t="s">
        <v>81</v>
      </c>
      <c r="Q10270" t="s">
        <v>2579</v>
      </c>
      <c r="R10270" t="s">
        <v>11767</v>
      </c>
    </row>
    <row r="10271" spans="1:18" x14ac:dyDescent="0.25">
      <c r="A10271" t="s">
        <v>20108</v>
      </c>
      <c r="B10271" t="s">
        <v>11779</v>
      </c>
      <c r="C10271" t="str">
        <f>HYPERLINK("https://nematode.unl.edu/tylpec4.jpg")</f>
        <v>https://nematode.unl.edu/tylpec4.jpg</v>
      </c>
      <c r="D10271" t="s">
        <v>43</v>
      </c>
      <c r="G10271" t="s">
        <v>51</v>
      </c>
      <c r="I10271" t="s">
        <v>19</v>
      </c>
      <c r="J10271" t="s">
        <v>46</v>
      </c>
      <c r="M10271" t="s">
        <v>11766</v>
      </c>
      <c r="N10271" t="s">
        <v>11766</v>
      </c>
      <c r="O10271" t="s">
        <v>73</v>
      </c>
      <c r="P10271" t="s">
        <v>81</v>
      </c>
      <c r="Q10271" t="s">
        <v>2579</v>
      </c>
      <c r="R10271" t="s">
        <v>11767</v>
      </c>
    </row>
    <row r="10272" spans="1:18" x14ac:dyDescent="0.25">
      <c r="A10272" t="s">
        <v>20107</v>
      </c>
      <c r="B10272" t="s">
        <v>11780</v>
      </c>
      <c r="C10272" t="str">
        <f>HYPERLINK("https://nematode.unl.edu/tylpec5.jpg")</f>
        <v>https://nematode.unl.edu/tylpec5.jpg</v>
      </c>
      <c r="D10272" t="s">
        <v>77</v>
      </c>
      <c r="G10272" t="s">
        <v>28</v>
      </c>
      <c r="J10272" t="s">
        <v>46</v>
      </c>
      <c r="M10272" t="s">
        <v>11766</v>
      </c>
      <c r="N10272" t="s">
        <v>11766</v>
      </c>
      <c r="O10272" t="s">
        <v>73</v>
      </c>
      <c r="P10272" t="s">
        <v>81</v>
      </c>
      <c r="Q10272" t="s">
        <v>2579</v>
      </c>
      <c r="R10272" t="s">
        <v>11767</v>
      </c>
    </row>
    <row r="10273" spans="1:18" x14ac:dyDescent="0.25">
      <c r="A10273" t="s">
        <v>20098</v>
      </c>
      <c r="B10273" t="s">
        <v>11781</v>
      </c>
      <c r="C10273" t="str">
        <f>HYPERLINK("https://nematode.unl.edu/tylpec6.jpg")</f>
        <v>https://nematode.unl.edu/tylpec6.jpg</v>
      </c>
      <c r="D10273" t="s">
        <v>43</v>
      </c>
      <c r="G10273" t="s">
        <v>34</v>
      </c>
      <c r="H10273" t="s">
        <v>18</v>
      </c>
      <c r="J10273" t="s">
        <v>46</v>
      </c>
      <c r="M10273" t="s">
        <v>11766</v>
      </c>
      <c r="N10273" t="s">
        <v>11766</v>
      </c>
      <c r="O10273" t="s">
        <v>73</v>
      </c>
      <c r="P10273" t="s">
        <v>81</v>
      </c>
      <c r="Q10273" t="s">
        <v>2579</v>
      </c>
      <c r="R10273" t="s">
        <v>11767</v>
      </c>
    </row>
    <row r="10274" spans="1:18" x14ac:dyDescent="0.25">
      <c r="A10274" t="s">
        <v>20093</v>
      </c>
      <c r="B10274" t="s">
        <v>11782</v>
      </c>
      <c r="C10274" t="str">
        <f>HYPERLINK("https://nematode.unl.edu/tylpec7.jpg")</f>
        <v>https://nematode.unl.edu/tylpec7.jpg</v>
      </c>
      <c r="D10274" t="s">
        <v>43</v>
      </c>
      <c r="G10274" t="s">
        <v>17</v>
      </c>
      <c r="H10274" t="s">
        <v>18</v>
      </c>
      <c r="I10274" t="s">
        <v>41</v>
      </c>
      <c r="J10274" t="s">
        <v>46</v>
      </c>
      <c r="M10274" t="s">
        <v>11766</v>
      </c>
      <c r="N10274" t="s">
        <v>11766</v>
      </c>
      <c r="O10274" t="s">
        <v>73</v>
      </c>
      <c r="P10274" t="s">
        <v>81</v>
      </c>
      <c r="Q10274" t="s">
        <v>2579</v>
      </c>
      <c r="R10274" t="s">
        <v>11767</v>
      </c>
    </row>
    <row r="10275" spans="1:18" x14ac:dyDescent="0.25">
      <c r="A10275" t="s">
        <v>20109</v>
      </c>
      <c r="B10275" t="s">
        <v>11783</v>
      </c>
      <c r="C10275" t="str">
        <f>HYPERLINK("https://nematode.unl.edu/tylpec8.jpg")</f>
        <v>https://nematode.unl.edu/tylpec8.jpg</v>
      </c>
      <c r="D10275" t="s">
        <v>43</v>
      </c>
      <c r="G10275" t="s">
        <v>51</v>
      </c>
      <c r="I10275" t="s">
        <v>41</v>
      </c>
      <c r="J10275" t="s">
        <v>46</v>
      </c>
      <c r="L10275" t="s">
        <v>11770</v>
      </c>
      <c r="M10275" t="s">
        <v>11766</v>
      </c>
      <c r="N10275" t="s">
        <v>11766</v>
      </c>
      <c r="O10275" t="s">
        <v>73</v>
      </c>
      <c r="P10275" t="s">
        <v>81</v>
      </c>
      <c r="Q10275" t="s">
        <v>2579</v>
      </c>
      <c r="R10275" t="s">
        <v>11767</v>
      </c>
    </row>
    <row r="10276" spans="1:18" x14ac:dyDescent="0.25">
      <c r="A10276" t="s">
        <v>20091</v>
      </c>
      <c r="B10276" t="s">
        <v>11784</v>
      </c>
      <c r="C10276" t="str">
        <f>HYPERLINK("https://nematode.unl.edu/tylpec9.jpg")</f>
        <v>https://nematode.unl.edu/tylpec9.jpg</v>
      </c>
      <c r="D10276" t="s">
        <v>43</v>
      </c>
      <c r="G10276" t="s">
        <v>386</v>
      </c>
      <c r="H10276" t="s">
        <v>18</v>
      </c>
      <c r="I10276" t="s">
        <v>41</v>
      </c>
      <c r="J10276" t="s">
        <v>46</v>
      </c>
      <c r="M10276" t="s">
        <v>11766</v>
      </c>
      <c r="N10276" t="s">
        <v>11766</v>
      </c>
      <c r="O10276" t="s">
        <v>73</v>
      </c>
      <c r="P10276" t="s">
        <v>81</v>
      </c>
      <c r="Q10276" t="s">
        <v>2579</v>
      </c>
      <c r="R10276" t="s">
        <v>11767</v>
      </c>
    </row>
    <row r="10277" spans="1:18" x14ac:dyDescent="0.25">
      <c r="A10277" t="s">
        <v>20099</v>
      </c>
      <c r="B10277" t="s">
        <v>11785</v>
      </c>
      <c r="C10277" t="str">
        <f>HYPERLINK("https://nematode.unl.edu/tylpro1.jpg")</f>
        <v>https://nematode.unl.edu/tylpro1.jpg</v>
      </c>
      <c r="D10277" t="s">
        <v>43</v>
      </c>
      <c r="G10277" t="s">
        <v>34</v>
      </c>
      <c r="H10277" t="s">
        <v>18</v>
      </c>
      <c r="I10277" t="s">
        <v>529</v>
      </c>
      <c r="J10277" t="s">
        <v>1945</v>
      </c>
      <c r="M10277" t="s">
        <v>11766</v>
      </c>
      <c r="N10277" t="s">
        <v>11766</v>
      </c>
      <c r="O10277" t="s">
        <v>73</v>
      </c>
      <c r="P10277" t="s">
        <v>81</v>
      </c>
      <c r="Q10277" t="s">
        <v>2579</v>
      </c>
      <c r="R10277" t="s">
        <v>11767</v>
      </c>
    </row>
    <row r="10278" spans="1:18" x14ac:dyDescent="0.25">
      <c r="A10278" t="s">
        <v>20103</v>
      </c>
      <c r="B10278" t="s">
        <v>11786</v>
      </c>
      <c r="C10278" t="str">
        <f>HYPERLINK("https://nematode.unl.edu/tylproj1.jpg")</f>
        <v>https://nematode.unl.edu/tylproj1.jpg</v>
      </c>
      <c r="D10278" t="s">
        <v>43</v>
      </c>
      <c r="G10278" t="s">
        <v>44</v>
      </c>
      <c r="I10278" t="s">
        <v>499</v>
      </c>
      <c r="J10278" t="s">
        <v>46</v>
      </c>
      <c r="L10278" t="s">
        <v>11770</v>
      </c>
      <c r="M10278" t="s">
        <v>11766</v>
      </c>
      <c r="N10278" t="s">
        <v>11766</v>
      </c>
      <c r="O10278" t="s">
        <v>73</v>
      </c>
      <c r="P10278" t="s">
        <v>81</v>
      </c>
      <c r="Q10278" t="s">
        <v>2579</v>
      </c>
      <c r="R10278" t="s">
        <v>11767</v>
      </c>
    </row>
    <row r="10279" spans="1:18" x14ac:dyDescent="0.25">
      <c r="A10279" t="s">
        <v>22099</v>
      </c>
      <c r="B10279" t="s">
        <v>11616</v>
      </c>
      <c r="C10279" t="str">
        <f>HYPERLINK("https://nematode.unl.edu/tyls1.jpg")</f>
        <v>https://nematode.unl.edu/tyls1.jpg</v>
      </c>
      <c r="D10279" t="s">
        <v>77</v>
      </c>
      <c r="G10279" t="s">
        <v>28</v>
      </c>
      <c r="I10279" t="s">
        <v>19</v>
      </c>
      <c r="L10279" t="s">
        <v>85</v>
      </c>
      <c r="M10279" t="s">
        <v>11599</v>
      </c>
      <c r="N10279" t="s">
        <v>11599</v>
      </c>
      <c r="O10279" t="s">
        <v>73</v>
      </c>
      <c r="P10279" t="s">
        <v>81</v>
      </c>
      <c r="Q10279" t="s">
        <v>952</v>
      </c>
      <c r="R10279" t="s">
        <v>11517</v>
      </c>
    </row>
    <row r="10280" spans="1:18" x14ac:dyDescent="0.25">
      <c r="A10280" t="s">
        <v>22076</v>
      </c>
      <c r="B10280" t="s">
        <v>11617</v>
      </c>
      <c r="C10280" t="str">
        <f>HYPERLINK("https://nematode.unl.edu/tyls2.jpg")</f>
        <v>https://nematode.unl.edu/tyls2.jpg</v>
      </c>
      <c r="D10280" t="s">
        <v>43</v>
      </c>
      <c r="G10280" t="s">
        <v>96</v>
      </c>
      <c r="H10280" t="s">
        <v>18</v>
      </c>
      <c r="I10280" t="s">
        <v>19</v>
      </c>
      <c r="L10280" t="s">
        <v>85</v>
      </c>
      <c r="M10280" t="s">
        <v>11599</v>
      </c>
      <c r="N10280" t="s">
        <v>11599</v>
      </c>
      <c r="O10280" t="s">
        <v>73</v>
      </c>
      <c r="P10280" t="s">
        <v>81</v>
      </c>
      <c r="Q10280" t="s">
        <v>952</v>
      </c>
      <c r="R10280" t="s">
        <v>11517</v>
      </c>
    </row>
    <row r="10281" spans="1:18" x14ac:dyDescent="0.25">
      <c r="A10281" t="s">
        <v>22104</v>
      </c>
      <c r="B10281" t="s">
        <v>11618</v>
      </c>
      <c r="C10281" t="str">
        <f>HYPERLINK("https://nematode.unl.edu/tyls3.jpg")</f>
        <v>https://nematode.unl.edu/tyls3.jpg</v>
      </c>
      <c r="D10281" t="s">
        <v>43</v>
      </c>
      <c r="G10281" t="s">
        <v>51</v>
      </c>
      <c r="L10281" t="s">
        <v>85</v>
      </c>
      <c r="M10281" t="s">
        <v>11599</v>
      </c>
      <c r="N10281" t="s">
        <v>11599</v>
      </c>
      <c r="O10281" t="s">
        <v>73</v>
      </c>
      <c r="P10281" t="s">
        <v>81</v>
      </c>
      <c r="Q10281" t="s">
        <v>952</v>
      </c>
      <c r="R10281" t="s">
        <v>11517</v>
      </c>
    </row>
    <row r="10282" spans="1:18" x14ac:dyDescent="0.25">
      <c r="A10282" t="s">
        <v>22100</v>
      </c>
      <c r="B10282" t="s">
        <v>11619</v>
      </c>
      <c r="C10282" t="str">
        <f>HYPERLINK("https://nematode.unl.edu/tyls4.jpg")</f>
        <v>https://nematode.unl.edu/tyls4.jpg</v>
      </c>
      <c r="D10282" t="s">
        <v>43</v>
      </c>
      <c r="G10282" t="s">
        <v>28</v>
      </c>
      <c r="I10282" t="s">
        <v>19</v>
      </c>
      <c r="L10282" t="s">
        <v>85</v>
      </c>
      <c r="M10282" t="s">
        <v>11599</v>
      </c>
      <c r="N10282" t="s">
        <v>11599</v>
      </c>
      <c r="O10282" t="s">
        <v>73</v>
      </c>
      <c r="P10282" t="s">
        <v>81</v>
      </c>
      <c r="Q10282" t="s">
        <v>952</v>
      </c>
      <c r="R10282" t="s">
        <v>11517</v>
      </c>
    </row>
    <row r="10283" spans="1:18" x14ac:dyDescent="0.25">
      <c r="A10283" t="s">
        <v>22090</v>
      </c>
      <c r="B10283" t="s">
        <v>11620</v>
      </c>
      <c r="C10283" t="str">
        <f>HYPERLINK("https://nematode.unl.edu/tyls5.jpg")</f>
        <v>https://nematode.unl.edu/tyls5.jpg</v>
      </c>
      <c r="D10283" t="s">
        <v>43</v>
      </c>
      <c r="G10283" t="s">
        <v>44</v>
      </c>
      <c r="I10283" t="s">
        <v>91</v>
      </c>
      <c r="J10283" t="s">
        <v>116</v>
      </c>
      <c r="L10283" t="s">
        <v>85</v>
      </c>
      <c r="M10283" t="s">
        <v>11599</v>
      </c>
      <c r="N10283" t="s">
        <v>11599</v>
      </c>
      <c r="O10283" t="s">
        <v>73</v>
      </c>
      <c r="P10283" t="s">
        <v>81</v>
      </c>
      <c r="Q10283" t="s">
        <v>952</v>
      </c>
      <c r="R10283" t="s">
        <v>11517</v>
      </c>
    </row>
    <row r="10284" spans="1:18" x14ac:dyDescent="0.25">
      <c r="A10284" t="s">
        <v>22087</v>
      </c>
      <c r="B10284" t="s">
        <v>11621</v>
      </c>
      <c r="C10284" t="str">
        <f>HYPERLINK("https://nematode.unl.edu/tyls6.jpg")</f>
        <v>https://nematode.unl.edu/tyls6.jpg</v>
      </c>
      <c r="D10284" t="s">
        <v>43</v>
      </c>
      <c r="G10284" t="s">
        <v>34</v>
      </c>
      <c r="H10284" t="s">
        <v>18</v>
      </c>
      <c r="L10284" t="s">
        <v>85</v>
      </c>
      <c r="M10284" t="s">
        <v>11599</v>
      </c>
      <c r="N10284" t="s">
        <v>11599</v>
      </c>
      <c r="O10284" t="s">
        <v>73</v>
      </c>
      <c r="P10284" t="s">
        <v>81</v>
      </c>
      <c r="Q10284" t="s">
        <v>952</v>
      </c>
      <c r="R10284" t="s">
        <v>11517</v>
      </c>
    </row>
    <row r="10285" spans="1:18" x14ac:dyDescent="0.25">
      <c r="A10285" t="s">
        <v>22105</v>
      </c>
      <c r="B10285" t="s">
        <v>11622</v>
      </c>
      <c r="C10285" t="str">
        <f>HYPERLINK("https://nematode.unl.edu/tyls7.jpg")</f>
        <v>https://nematode.unl.edu/tyls7.jpg</v>
      </c>
      <c r="D10285" t="s">
        <v>43</v>
      </c>
      <c r="G10285" t="s">
        <v>51</v>
      </c>
      <c r="I10285" t="s">
        <v>19</v>
      </c>
      <c r="L10285" t="s">
        <v>85</v>
      </c>
      <c r="M10285" t="s">
        <v>11599</v>
      </c>
      <c r="N10285" t="s">
        <v>11599</v>
      </c>
      <c r="O10285" t="s">
        <v>73</v>
      </c>
      <c r="P10285" t="s">
        <v>81</v>
      </c>
      <c r="Q10285" t="s">
        <v>952</v>
      </c>
      <c r="R10285" t="s">
        <v>11517</v>
      </c>
    </row>
    <row r="10286" spans="1:18" x14ac:dyDescent="0.25">
      <c r="A10286" t="s">
        <v>22101</v>
      </c>
      <c r="B10286" t="s">
        <v>11623</v>
      </c>
      <c r="C10286" t="str">
        <f>HYPERLINK("https://nematode.unl.edu/tyls8.jpg")</f>
        <v>https://nematode.unl.edu/tyls8.jpg</v>
      </c>
      <c r="D10286" t="s">
        <v>43</v>
      </c>
      <c r="G10286" t="s">
        <v>28</v>
      </c>
      <c r="I10286" t="s">
        <v>19</v>
      </c>
      <c r="L10286" t="s">
        <v>85</v>
      </c>
      <c r="M10286" t="s">
        <v>11599</v>
      </c>
      <c r="N10286" t="s">
        <v>11599</v>
      </c>
      <c r="O10286" t="s">
        <v>73</v>
      </c>
      <c r="P10286" t="s">
        <v>81</v>
      </c>
      <c r="Q10286" t="s">
        <v>952</v>
      </c>
      <c r="R10286" t="s">
        <v>11517</v>
      </c>
    </row>
    <row r="10287" spans="1:18" x14ac:dyDescent="0.25">
      <c r="A10287" t="s">
        <v>22088</v>
      </c>
      <c r="B10287" t="s">
        <v>11624</v>
      </c>
      <c r="C10287" t="str">
        <f>HYPERLINK("https://nematode.unl.edu/tyls9.jpg")</f>
        <v>https://nematode.unl.edu/tyls9.jpg</v>
      </c>
      <c r="D10287" t="s">
        <v>43</v>
      </c>
      <c r="G10287" t="s">
        <v>34</v>
      </c>
      <c r="H10287" t="s">
        <v>18</v>
      </c>
      <c r="I10287" t="s">
        <v>41</v>
      </c>
      <c r="L10287" t="s">
        <v>85</v>
      </c>
      <c r="M10287" t="s">
        <v>11599</v>
      </c>
      <c r="N10287" t="s">
        <v>11599</v>
      </c>
      <c r="O10287" t="s">
        <v>73</v>
      </c>
      <c r="P10287" t="s">
        <v>81</v>
      </c>
      <c r="Q10287" t="s">
        <v>952</v>
      </c>
      <c r="R10287" t="s">
        <v>11517</v>
      </c>
    </row>
    <row r="10288" spans="1:18" x14ac:dyDescent="0.25">
      <c r="A10288" t="s">
        <v>16048</v>
      </c>
      <c r="B10288" t="s">
        <v>11733</v>
      </c>
      <c r="C10288" t="str">
        <f>HYPERLINK("https://nematode.unl.edu/tylstyl.jpg")</f>
        <v>https://nematode.unl.edu/tylstyl.jpg</v>
      </c>
      <c r="D10288" t="s">
        <v>77</v>
      </c>
      <c r="G10288" t="s">
        <v>34</v>
      </c>
      <c r="H10288" t="s">
        <v>18</v>
      </c>
      <c r="I10288" t="s">
        <v>41</v>
      </c>
      <c r="J10288" t="s">
        <v>46</v>
      </c>
      <c r="L10288" t="s">
        <v>727</v>
      </c>
      <c r="M10288" t="s">
        <v>11732</v>
      </c>
      <c r="N10288" t="s">
        <v>11732</v>
      </c>
      <c r="O10288" t="s">
        <v>23</v>
      </c>
      <c r="P10288" t="s">
        <v>24</v>
      </c>
      <c r="Q10288" t="s">
        <v>1071</v>
      </c>
      <c r="R10288" t="s">
        <v>1856</v>
      </c>
    </row>
    <row r="10289" spans="1:18" x14ac:dyDescent="0.25">
      <c r="A10289" t="s">
        <v>16016</v>
      </c>
      <c r="B10289" t="s">
        <v>1853</v>
      </c>
      <c r="C10289" t="str">
        <f>HYPERLINK("https://nematode.unl.edu/tymax1.jpg")</f>
        <v>https://nematode.unl.edu/tymax1.jpg</v>
      </c>
      <c r="D10289" t="s">
        <v>16</v>
      </c>
      <c r="G10289" t="s">
        <v>28</v>
      </c>
      <c r="I10289" t="s">
        <v>19</v>
      </c>
      <c r="M10289" t="s">
        <v>1854</v>
      </c>
      <c r="N10289" t="s">
        <v>1855</v>
      </c>
      <c r="O10289" t="s">
        <v>23</v>
      </c>
      <c r="P10289" t="s">
        <v>24</v>
      </c>
      <c r="Q10289" t="s">
        <v>1071</v>
      </c>
      <c r="R10289" t="s">
        <v>1856</v>
      </c>
    </row>
    <row r="10290" spans="1:18" x14ac:dyDescent="0.25">
      <c r="A10290" t="s">
        <v>16017</v>
      </c>
      <c r="B10290" t="s">
        <v>1857</v>
      </c>
      <c r="C10290" t="str">
        <f>HYPERLINK("https://nematode.unl.edu/tymax10.jpg")</f>
        <v>https://nematode.unl.edu/tymax10.jpg</v>
      </c>
      <c r="D10290" t="s">
        <v>43</v>
      </c>
      <c r="G10290" t="s">
        <v>28</v>
      </c>
      <c r="I10290" t="s">
        <v>19</v>
      </c>
      <c r="J10290" t="s">
        <v>20</v>
      </c>
      <c r="L10290" t="s">
        <v>64</v>
      </c>
      <c r="M10290" t="s">
        <v>1854</v>
      </c>
      <c r="N10290" t="s">
        <v>1855</v>
      </c>
      <c r="O10290" t="s">
        <v>23</v>
      </c>
      <c r="P10290" t="s">
        <v>24</v>
      </c>
      <c r="Q10290" t="s">
        <v>1071</v>
      </c>
      <c r="R10290" t="s">
        <v>1856</v>
      </c>
    </row>
    <row r="10291" spans="1:18" x14ac:dyDescent="0.25">
      <c r="A10291" t="s">
        <v>16010</v>
      </c>
      <c r="B10291" t="s">
        <v>1858</v>
      </c>
      <c r="C10291" t="str">
        <f>HYPERLINK("https://nematode.unl.edu/tymax12.jpg")</f>
        <v>https://nematode.unl.edu/tymax12.jpg</v>
      </c>
      <c r="D10291" t="s">
        <v>43</v>
      </c>
      <c r="G10291" t="s">
        <v>44</v>
      </c>
      <c r="I10291" t="s">
        <v>91</v>
      </c>
      <c r="J10291" t="s">
        <v>20</v>
      </c>
      <c r="L10291" t="s">
        <v>64</v>
      </c>
      <c r="M10291" t="s">
        <v>1854</v>
      </c>
      <c r="N10291" t="s">
        <v>1855</v>
      </c>
      <c r="O10291" t="s">
        <v>23</v>
      </c>
      <c r="P10291" t="s">
        <v>24</v>
      </c>
      <c r="Q10291" t="s">
        <v>1071</v>
      </c>
      <c r="R10291" t="s">
        <v>1856</v>
      </c>
    </row>
    <row r="10292" spans="1:18" x14ac:dyDescent="0.25">
      <c r="A10292" t="s">
        <v>16004</v>
      </c>
      <c r="B10292" t="s">
        <v>1859</v>
      </c>
      <c r="C10292" t="str">
        <f>HYPERLINK("https://nematode.unl.edu/tymax13.jpg")</f>
        <v>https://nematode.unl.edu/tymax13.jpg</v>
      </c>
      <c r="G10292" t="s">
        <v>34</v>
      </c>
      <c r="H10292" t="s">
        <v>18</v>
      </c>
      <c r="I10292" t="s">
        <v>19</v>
      </c>
      <c r="J10292" t="s">
        <v>20</v>
      </c>
      <c r="L10292" t="s">
        <v>352</v>
      </c>
      <c r="M10292" t="s">
        <v>1854</v>
      </c>
      <c r="N10292" t="s">
        <v>1855</v>
      </c>
      <c r="O10292" t="s">
        <v>23</v>
      </c>
      <c r="P10292" t="s">
        <v>24</v>
      </c>
      <c r="Q10292" t="s">
        <v>1071</v>
      </c>
      <c r="R10292" t="s">
        <v>1856</v>
      </c>
    </row>
    <row r="10293" spans="1:18" x14ac:dyDescent="0.25">
      <c r="A10293" t="s">
        <v>16024</v>
      </c>
      <c r="B10293" t="s">
        <v>1860</v>
      </c>
      <c r="C10293" t="str">
        <f>HYPERLINK("https://nematode.unl.edu/tymax14.jpg")</f>
        <v>https://nematode.unl.edu/tymax14.jpg</v>
      </c>
      <c r="D10293" t="s">
        <v>43</v>
      </c>
      <c r="G10293" t="s">
        <v>51</v>
      </c>
      <c r="I10293" t="s">
        <v>19</v>
      </c>
      <c r="J10293" t="s">
        <v>20</v>
      </c>
      <c r="L10293" t="s">
        <v>217</v>
      </c>
      <c r="M10293" t="s">
        <v>1854</v>
      </c>
      <c r="N10293" t="s">
        <v>1855</v>
      </c>
      <c r="O10293" t="s">
        <v>23</v>
      </c>
      <c r="P10293" t="s">
        <v>24</v>
      </c>
      <c r="Q10293" t="s">
        <v>1071</v>
      </c>
      <c r="R10293" t="s">
        <v>1856</v>
      </c>
    </row>
    <row r="10294" spans="1:18" x14ac:dyDescent="0.25">
      <c r="A10294" t="s">
        <v>16018</v>
      </c>
      <c r="B10294" t="s">
        <v>1861</v>
      </c>
      <c r="C10294" t="str">
        <f>HYPERLINK("https://nematode.unl.edu/tymax15.jpg")</f>
        <v>https://nematode.unl.edu/tymax15.jpg</v>
      </c>
      <c r="D10294" t="s">
        <v>43</v>
      </c>
      <c r="G10294" t="s">
        <v>28</v>
      </c>
      <c r="I10294" t="s">
        <v>19</v>
      </c>
      <c r="J10294" t="s">
        <v>20</v>
      </c>
      <c r="L10294" t="s">
        <v>141</v>
      </c>
      <c r="M10294" t="s">
        <v>1854</v>
      </c>
      <c r="N10294" t="s">
        <v>1855</v>
      </c>
      <c r="O10294" t="s">
        <v>23</v>
      </c>
      <c r="P10294" t="s">
        <v>24</v>
      </c>
      <c r="Q10294" t="s">
        <v>1071</v>
      </c>
      <c r="R10294" t="s">
        <v>1856</v>
      </c>
    </row>
    <row r="10295" spans="1:18" x14ac:dyDescent="0.25">
      <c r="A10295" t="s">
        <v>16005</v>
      </c>
      <c r="B10295" t="s">
        <v>1862</v>
      </c>
      <c r="C10295" t="str">
        <f>HYPERLINK("https://nematode.unl.edu/tymax16.jpg")</f>
        <v>https://nematode.unl.edu/tymax16.jpg</v>
      </c>
      <c r="D10295" t="s">
        <v>43</v>
      </c>
      <c r="G10295" t="s">
        <v>34</v>
      </c>
      <c r="H10295" t="s">
        <v>18</v>
      </c>
      <c r="I10295" t="s">
        <v>41</v>
      </c>
      <c r="J10295" t="s">
        <v>20</v>
      </c>
      <c r="L10295" t="s">
        <v>217</v>
      </c>
      <c r="M10295" t="s">
        <v>1854</v>
      </c>
      <c r="N10295" t="s">
        <v>1855</v>
      </c>
      <c r="O10295" t="s">
        <v>23</v>
      </c>
      <c r="P10295" t="s">
        <v>24</v>
      </c>
      <c r="Q10295" t="s">
        <v>1071</v>
      </c>
      <c r="R10295" t="s">
        <v>1856</v>
      </c>
    </row>
    <row r="10296" spans="1:18" x14ac:dyDescent="0.25">
      <c r="A10296" t="s">
        <v>16011</v>
      </c>
      <c r="B10296" t="s">
        <v>1863</v>
      </c>
      <c r="C10296" t="str">
        <f>HYPERLINK("https://nematode.unl.edu/tymax17.jpg")</f>
        <v>https://nematode.unl.edu/tymax17.jpg</v>
      </c>
      <c r="D10296" t="s">
        <v>43</v>
      </c>
      <c r="G10296" t="s">
        <v>44</v>
      </c>
      <c r="I10296" t="s">
        <v>499</v>
      </c>
      <c r="J10296" t="s">
        <v>20</v>
      </c>
      <c r="L10296" t="s">
        <v>64</v>
      </c>
      <c r="M10296" t="s">
        <v>1854</v>
      </c>
      <c r="N10296" t="s">
        <v>1855</v>
      </c>
      <c r="O10296" t="s">
        <v>23</v>
      </c>
      <c r="P10296" t="s">
        <v>24</v>
      </c>
      <c r="Q10296" t="s">
        <v>1071</v>
      </c>
      <c r="R10296" t="s">
        <v>1856</v>
      </c>
    </row>
    <row r="10297" spans="1:18" x14ac:dyDescent="0.25">
      <c r="A10297" t="s">
        <v>16006</v>
      </c>
      <c r="B10297" t="s">
        <v>1864</v>
      </c>
      <c r="C10297" t="str">
        <f>HYPERLINK("https://nematode.unl.edu/tymax2.jpg")</f>
        <v>https://nematode.unl.edu/tymax2.jpg</v>
      </c>
      <c r="D10297" t="s">
        <v>16</v>
      </c>
      <c r="G10297" t="s">
        <v>34</v>
      </c>
      <c r="H10297" t="s">
        <v>18</v>
      </c>
      <c r="I10297" t="s">
        <v>19</v>
      </c>
      <c r="J10297" t="s">
        <v>20</v>
      </c>
      <c r="M10297" t="s">
        <v>1854</v>
      </c>
      <c r="N10297" t="s">
        <v>1855</v>
      </c>
      <c r="O10297" t="s">
        <v>23</v>
      </c>
      <c r="P10297" t="s">
        <v>24</v>
      </c>
      <c r="Q10297" t="s">
        <v>1071</v>
      </c>
      <c r="R10297" t="s">
        <v>1856</v>
      </c>
    </row>
    <row r="10298" spans="1:18" x14ac:dyDescent="0.25">
      <c r="A10298" t="s">
        <v>16012</v>
      </c>
      <c r="B10298" t="s">
        <v>1865</v>
      </c>
      <c r="C10298" t="str">
        <f>HYPERLINK("https://nematode.unl.edu/tymax3.jpg")</f>
        <v>https://nematode.unl.edu/tymax3.jpg</v>
      </c>
      <c r="D10298" t="s">
        <v>16</v>
      </c>
      <c r="G10298" t="s">
        <v>44</v>
      </c>
      <c r="I10298" t="s">
        <v>45</v>
      </c>
      <c r="J10298" t="s">
        <v>20</v>
      </c>
      <c r="L10298" t="s">
        <v>85</v>
      </c>
      <c r="M10298" t="s">
        <v>1854</v>
      </c>
      <c r="N10298" t="s">
        <v>1855</v>
      </c>
      <c r="O10298" t="s">
        <v>23</v>
      </c>
      <c r="P10298" t="s">
        <v>24</v>
      </c>
      <c r="Q10298" t="s">
        <v>1071</v>
      </c>
      <c r="R10298" t="s">
        <v>1856</v>
      </c>
    </row>
    <row r="10299" spans="1:18" x14ac:dyDescent="0.25">
      <c r="A10299" t="s">
        <v>16019</v>
      </c>
      <c r="B10299" t="s">
        <v>1866</v>
      </c>
      <c r="C10299" t="str">
        <f>HYPERLINK("https://nematode.unl.edu/tymax4.jpg")</f>
        <v>https://nematode.unl.edu/tymax4.jpg</v>
      </c>
      <c r="D10299" t="s">
        <v>43</v>
      </c>
      <c r="G10299" t="s">
        <v>28</v>
      </c>
      <c r="I10299" t="s">
        <v>19</v>
      </c>
      <c r="M10299" t="s">
        <v>1854</v>
      </c>
      <c r="N10299" t="s">
        <v>1855</v>
      </c>
      <c r="O10299" t="s">
        <v>23</v>
      </c>
      <c r="P10299" t="s">
        <v>24</v>
      </c>
      <c r="Q10299" t="s">
        <v>1071</v>
      </c>
      <c r="R10299" t="s">
        <v>1856</v>
      </c>
    </row>
    <row r="10300" spans="1:18" x14ac:dyDescent="0.25">
      <c r="A10300" t="s">
        <v>16007</v>
      </c>
      <c r="B10300" t="s">
        <v>1867</v>
      </c>
      <c r="C10300" t="str">
        <f>HYPERLINK("https://nematode.unl.edu/tymax5.jpg")</f>
        <v>https://nematode.unl.edu/tymax5.jpg</v>
      </c>
      <c r="D10300" t="s">
        <v>43</v>
      </c>
      <c r="G10300" t="s">
        <v>34</v>
      </c>
      <c r="H10300" t="s">
        <v>18</v>
      </c>
      <c r="J10300" t="s">
        <v>20</v>
      </c>
      <c r="M10300" t="s">
        <v>1854</v>
      </c>
      <c r="N10300" t="s">
        <v>1855</v>
      </c>
      <c r="O10300" t="s">
        <v>23</v>
      </c>
      <c r="P10300" t="s">
        <v>24</v>
      </c>
      <c r="Q10300" t="s">
        <v>1071</v>
      </c>
      <c r="R10300" t="s">
        <v>1856</v>
      </c>
    </row>
    <row r="10301" spans="1:18" x14ac:dyDescent="0.25">
      <c r="A10301" t="s">
        <v>16013</v>
      </c>
      <c r="B10301" t="s">
        <v>1868</v>
      </c>
      <c r="C10301" t="str">
        <f>HYPERLINK("https://nematode.unl.edu/tymax6.jpg")</f>
        <v>https://nematode.unl.edu/tymax6.jpg</v>
      </c>
      <c r="D10301" t="s">
        <v>77</v>
      </c>
      <c r="G10301" t="s">
        <v>44</v>
      </c>
      <c r="I10301" t="s">
        <v>91</v>
      </c>
      <c r="J10301" t="s">
        <v>20</v>
      </c>
      <c r="L10301" t="s">
        <v>85</v>
      </c>
      <c r="M10301" t="s">
        <v>1854</v>
      </c>
      <c r="N10301" t="s">
        <v>1855</v>
      </c>
      <c r="O10301" t="s">
        <v>23</v>
      </c>
      <c r="P10301" t="s">
        <v>24</v>
      </c>
      <c r="Q10301" t="s">
        <v>1071</v>
      </c>
      <c r="R10301" t="s">
        <v>1856</v>
      </c>
    </row>
    <row r="10302" spans="1:18" x14ac:dyDescent="0.25">
      <c r="A10302" t="s">
        <v>16014</v>
      </c>
      <c r="B10302" t="s">
        <v>1869</v>
      </c>
      <c r="C10302" t="str">
        <f>HYPERLINK("https://nematode.unl.edu/tymax7.jpg")</f>
        <v>https://nematode.unl.edu/tymax7.jpg</v>
      </c>
      <c r="D10302" t="s">
        <v>16</v>
      </c>
      <c r="G10302" t="s">
        <v>44</v>
      </c>
      <c r="I10302" t="s">
        <v>45</v>
      </c>
      <c r="J10302" t="s">
        <v>20</v>
      </c>
      <c r="L10302" t="s">
        <v>85</v>
      </c>
      <c r="M10302" t="s">
        <v>1854</v>
      </c>
      <c r="N10302" t="s">
        <v>1855</v>
      </c>
      <c r="O10302" t="s">
        <v>23</v>
      </c>
      <c r="P10302" t="s">
        <v>24</v>
      </c>
      <c r="Q10302" t="s">
        <v>1071</v>
      </c>
      <c r="R10302" t="s">
        <v>1856</v>
      </c>
    </row>
    <row r="10303" spans="1:18" x14ac:dyDescent="0.25">
      <c r="A10303" t="s">
        <v>16008</v>
      </c>
      <c r="B10303" t="s">
        <v>1870</v>
      </c>
      <c r="C10303" t="str">
        <f>HYPERLINK("https://nematode.unl.edu/tymax8.jpg")</f>
        <v>https://nematode.unl.edu/tymax8.jpg</v>
      </c>
      <c r="D10303" t="s">
        <v>43</v>
      </c>
      <c r="G10303" t="s">
        <v>34</v>
      </c>
      <c r="H10303" t="s">
        <v>18</v>
      </c>
      <c r="I10303" t="s">
        <v>137</v>
      </c>
      <c r="J10303" t="s">
        <v>20</v>
      </c>
      <c r="L10303" t="s">
        <v>64</v>
      </c>
      <c r="M10303" t="s">
        <v>1854</v>
      </c>
      <c r="N10303" t="s">
        <v>1855</v>
      </c>
      <c r="O10303" t="s">
        <v>23</v>
      </c>
      <c r="P10303" t="s">
        <v>24</v>
      </c>
      <c r="Q10303" t="s">
        <v>1071</v>
      </c>
      <c r="R10303" t="s">
        <v>1856</v>
      </c>
    </row>
    <row r="10304" spans="1:18" x14ac:dyDescent="0.25">
      <c r="A10304" t="s">
        <v>16020</v>
      </c>
      <c r="B10304" t="s">
        <v>1871</v>
      </c>
      <c r="C10304" t="str">
        <f>HYPERLINK("https://nematode.unl.edu/tymax9.jpg")</f>
        <v>https://nematode.unl.edu/tymax9.jpg</v>
      </c>
      <c r="D10304" t="s">
        <v>43</v>
      </c>
      <c r="G10304" t="s">
        <v>28</v>
      </c>
      <c r="I10304" t="s">
        <v>137</v>
      </c>
      <c r="J10304" t="s">
        <v>20</v>
      </c>
      <c r="L10304" t="s">
        <v>64</v>
      </c>
      <c r="M10304" t="s">
        <v>1854</v>
      </c>
      <c r="N10304" t="s">
        <v>1855</v>
      </c>
      <c r="O10304" t="s">
        <v>23</v>
      </c>
      <c r="P10304" t="s">
        <v>24</v>
      </c>
      <c r="Q10304" t="s">
        <v>1071</v>
      </c>
      <c r="R10304" t="s">
        <v>1856</v>
      </c>
    </row>
    <row r="10305" spans="1:18" x14ac:dyDescent="0.25">
      <c r="A10305" t="s">
        <v>16021</v>
      </c>
      <c r="B10305" t="s">
        <v>1872</v>
      </c>
      <c r="C10305" t="str">
        <f>HYPERLINK("https://nematode.unl.edu/tymaxcmp.jpg")</f>
        <v>https://nematode.unl.edu/tymaxcmp.jpg</v>
      </c>
      <c r="D10305" t="s">
        <v>43</v>
      </c>
      <c r="G10305" t="s">
        <v>28</v>
      </c>
      <c r="M10305" t="s">
        <v>1854</v>
      </c>
      <c r="N10305" t="s">
        <v>1855</v>
      </c>
      <c r="O10305" t="s">
        <v>23</v>
      </c>
      <c r="P10305" t="s">
        <v>24</v>
      </c>
      <c r="Q10305" t="s">
        <v>1071</v>
      </c>
      <c r="R10305" t="s">
        <v>1856</v>
      </c>
    </row>
    <row r="10306" spans="1:18" x14ac:dyDescent="0.25">
      <c r="A10306" t="s">
        <v>21834</v>
      </c>
      <c r="B10306" t="s">
        <v>11641</v>
      </c>
      <c r="C10306" t="str">
        <f>HYPERLINK("https://nematode.unl.edu/tymin1.jpg")</f>
        <v>https://nematode.unl.edu/tymin1.jpg</v>
      </c>
      <c r="D10306" t="s">
        <v>43</v>
      </c>
      <c r="G10306" t="s">
        <v>96</v>
      </c>
      <c r="H10306" t="s">
        <v>18</v>
      </c>
      <c r="I10306" t="s">
        <v>19</v>
      </c>
      <c r="J10306" t="s">
        <v>46</v>
      </c>
      <c r="M10306" t="s">
        <v>11636</v>
      </c>
      <c r="N10306" t="s">
        <v>11636</v>
      </c>
      <c r="O10306" t="s">
        <v>73</v>
      </c>
      <c r="P10306" t="s">
        <v>81</v>
      </c>
      <c r="Q10306" t="s">
        <v>82</v>
      </c>
      <c r="R10306" t="s">
        <v>11637</v>
      </c>
    </row>
    <row r="10307" spans="1:18" x14ac:dyDescent="0.25">
      <c r="A10307" t="s">
        <v>21845</v>
      </c>
      <c r="B10307" t="s">
        <v>11642</v>
      </c>
      <c r="C10307" t="str">
        <f>HYPERLINK("https://nematode.unl.edu/tymin2.jpg")</f>
        <v>https://nematode.unl.edu/tymin2.jpg</v>
      </c>
      <c r="D10307" t="s">
        <v>43</v>
      </c>
      <c r="G10307" t="s">
        <v>51</v>
      </c>
      <c r="I10307" t="s">
        <v>19</v>
      </c>
      <c r="J10307" t="s">
        <v>46</v>
      </c>
      <c r="M10307" t="s">
        <v>11636</v>
      </c>
      <c r="N10307" t="s">
        <v>11636</v>
      </c>
      <c r="O10307" t="s">
        <v>73</v>
      </c>
      <c r="P10307" t="s">
        <v>81</v>
      </c>
      <c r="Q10307" t="s">
        <v>82</v>
      </c>
      <c r="R10307" t="s">
        <v>11637</v>
      </c>
    </row>
    <row r="10308" spans="1:18" x14ac:dyDescent="0.25">
      <c r="A10308" t="s">
        <v>21843</v>
      </c>
      <c r="B10308" t="s">
        <v>11643</v>
      </c>
      <c r="C10308" t="str">
        <f>HYPERLINK("https://nematode.unl.edu/tymin3.jpg")</f>
        <v>https://nematode.unl.edu/tymin3.jpg</v>
      </c>
      <c r="D10308" t="s">
        <v>43</v>
      </c>
      <c r="G10308" t="s">
        <v>28</v>
      </c>
      <c r="I10308" t="s">
        <v>19</v>
      </c>
      <c r="J10308" t="s">
        <v>46</v>
      </c>
      <c r="M10308" t="s">
        <v>11636</v>
      </c>
      <c r="N10308" t="s">
        <v>11636</v>
      </c>
      <c r="O10308" t="s">
        <v>73</v>
      </c>
      <c r="P10308" t="s">
        <v>81</v>
      </c>
      <c r="Q10308" t="s">
        <v>82</v>
      </c>
      <c r="R10308" t="s">
        <v>11637</v>
      </c>
    </row>
    <row r="10309" spans="1:18" x14ac:dyDescent="0.25">
      <c r="A10309" t="s">
        <v>21837</v>
      </c>
      <c r="B10309" t="s">
        <v>11644</v>
      </c>
      <c r="C10309" t="str">
        <f>HYPERLINK("https://nematode.unl.edu/tymin4.jpg")</f>
        <v>https://nematode.unl.edu/tymin4.jpg</v>
      </c>
      <c r="D10309" t="s">
        <v>43</v>
      </c>
      <c r="G10309" t="s">
        <v>34</v>
      </c>
      <c r="H10309" t="s">
        <v>18</v>
      </c>
      <c r="I10309" t="s">
        <v>41</v>
      </c>
      <c r="J10309" t="s">
        <v>46</v>
      </c>
      <c r="M10309" t="s">
        <v>11636</v>
      </c>
      <c r="N10309" t="s">
        <v>11636</v>
      </c>
      <c r="O10309" t="s">
        <v>73</v>
      </c>
      <c r="P10309" t="s">
        <v>81</v>
      </c>
      <c r="Q10309" t="s">
        <v>82</v>
      </c>
      <c r="R10309" t="s">
        <v>11637</v>
      </c>
    </row>
    <row r="10310" spans="1:18" x14ac:dyDescent="0.25">
      <c r="A10310" t="s">
        <v>21841</v>
      </c>
      <c r="B10310" t="s">
        <v>11645</v>
      </c>
      <c r="C10310" t="str">
        <f>HYPERLINK("https://nematode.unl.edu/tymin5.jpg")</f>
        <v>https://nematode.unl.edu/tymin5.jpg</v>
      </c>
      <c r="G10310" t="s">
        <v>243</v>
      </c>
      <c r="I10310" t="s">
        <v>41</v>
      </c>
      <c r="J10310" t="s">
        <v>46</v>
      </c>
      <c r="M10310" t="s">
        <v>11636</v>
      </c>
      <c r="N10310" t="s">
        <v>11636</v>
      </c>
      <c r="O10310" t="s">
        <v>73</v>
      </c>
      <c r="P10310" t="s">
        <v>81</v>
      </c>
      <c r="Q10310" t="s">
        <v>82</v>
      </c>
      <c r="R10310" t="s">
        <v>11637</v>
      </c>
    </row>
    <row r="10311" spans="1:18" x14ac:dyDescent="0.25">
      <c r="A10311" t="s">
        <v>21846</v>
      </c>
      <c r="B10311" t="s">
        <v>11646</v>
      </c>
      <c r="C10311" t="str">
        <f>HYPERLINK("https://nematode.unl.edu/tymin6.jpg")</f>
        <v>https://nematode.unl.edu/tymin6.jpg</v>
      </c>
      <c r="D10311" t="s">
        <v>43</v>
      </c>
      <c r="G10311" t="s">
        <v>51</v>
      </c>
      <c r="I10311" t="s">
        <v>529</v>
      </c>
      <c r="J10311" t="s">
        <v>46</v>
      </c>
      <c r="L10311" t="s">
        <v>4142</v>
      </c>
      <c r="M10311" t="s">
        <v>11636</v>
      </c>
      <c r="N10311" t="s">
        <v>11636</v>
      </c>
      <c r="O10311" t="s">
        <v>73</v>
      </c>
      <c r="P10311" t="s">
        <v>81</v>
      </c>
      <c r="Q10311" t="s">
        <v>82</v>
      </c>
      <c r="R10311" t="s">
        <v>11637</v>
      </c>
    </row>
    <row r="10312" spans="1:18" x14ac:dyDescent="0.25">
      <c r="A10312" t="s">
        <v>21844</v>
      </c>
      <c r="B10312" t="s">
        <v>11647</v>
      </c>
      <c r="C10312" t="str">
        <f>HYPERLINK("https://nematode.unl.edu/tymin7.jpg")</f>
        <v>https://nematode.unl.edu/tymin7.jpg</v>
      </c>
      <c r="D10312" t="s">
        <v>43</v>
      </c>
      <c r="G10312" t="s">
        <v>28</v>
      </c>
      <c r="I10312" t="s">
        <v>41</v>
      </c>
      <c r="M10312" t="s">
        <v>11636</v>
      </c>
      <c r="N10312" t="s">
        <v>11636</v>
      </c>
      <c r="O10312" t="s">
        <v>73</v>
      </c>
      <c r="P10312" t="s">
        <v>81</v>
      </c>
      <c r="Q10312" t="s">
        <v>82</v>
      </c>
      <c r="R10312" t="s">
        <v>11637</v>
      </c>
    </row>
    <row r="10313" spans="1:18" x14ac:dyDescent="0.25">
      <c r="A10313" t="s">
        <v>21838</v>
      </c>
      <c r="B10313" t="s">
        <v>11648</v>
      </c>
      <c r="C10313" t="str">
        <f>HYPERLINK("https://nematode.unl.edu/tymin8.jpg")</f>
        <v>https://nematode.unl.edu/tymin8.jpg</v>
      </c>
      <c r="G10313" t="s">
        <v>34</v>
      </c>
      <c r="H10313" t="s">
        <v>18</v>
      </c>
      <c r="I10313" t="s">
        <v>41</v>
      </c>
      <c r="J10313" t="s">
        <v>46</v>
      </c>
      <c r="M10313" t="s">
        <v>11636</v>
      </c>
      <c r="N10313" t="s">
        <v>11636</v>
      </c>
      <c r="O10313" t="s">
        <v>73</v>
      </c>
      <c r="P10313" t="s">
        <v>81</v>
      </c>
      <c r="Q10313" t="s">
        <v>82</v>
      </c>
      <c r="R10313" t="s">
        <v>11637</v>
      </c>
    </row>
    <row r="10314" spans="1:18" x14ac:dyDescent="0.25">
      <c r="A10314" t="s">
        <v>21840</v>
      </c>
      <c r="B10314" t="s">
        <v>11649</v>
      </c>
      <c r="C10314" t="str">
        <f>HYPERLINK("https://nematode.unl.edu/tymin9.jpg")</f>
        <v>https://nematode.unl.edu/tymin9.jpg</v>
      </c>
      <c r="D10314" t="s">
        <v>43</v>
      </c>
      <c r="G10314" t="s">
        <v>44</v>
      </c>
      <c r="I10314" t="s">
        <v>499</v>
      </c>
      <c r="J10314" t="s">
        <v>46</v>
      </c>
      <c r="L10314" t="s">
        <v>4142</v>
      </c>
      <c r="M10314" t="s">
        <v>11636</v>
      </c>
      <c r="N10314" t="s">
        <v>11636</v>
      </c>
      <c r="O10314" t="s">
        <v>73</v>
      </c>
      <c r="P10314" t="s">
        <v>81</v>
      </c>
      <c r="Q10314" t="s">
        <v>82</v>
      </c>
      <c r="R10314" t="s">
        <v>11637</v>
      </c>
    </row>
    <row r="10315" spans="1:18" x14ac:dyDescent="0.25">
      <c r="A10315" t="s">
        <v>22113</v>
      </c>
      <c r="B10315" t="s">
        <v>11650</v>
      </c>
      <c r="C10315" t="str">
        <f>HYPERLINK("https://nematode.unl.edu/tynan1.jpg")</f>
        <v>https://nematode.unl.edu/tynan1.jpg</v>
      </c>
      <c r="D10315" t="s">
        <v>43</v>
      </c>
      <c r="G10315" t="s">
        <v>905</v>
      </c>
      <c r="L10315" t="s">
        <v>138</v>
      </c>
      <c r="M10315" t="s">
        <v>11651</v>
      </c>
      <c r="N10315" t="s">
        <v>11651</v>
      </c>
      <c r="O10315" t="s">
        <v>73</v>
      </c>
      <c r="P10315" t="s">
        <v>81</v>
      </c>
      <c r="Q10315" t="s">
        <v>3664</v>
      </c>
      <c r="R10315" t="s">
        <v>11637</v>
      </c>
    </row>
    <row r="10316" spans="1:18" x14ac:dyDescent="0.25">
      <c r="A10316" t="s">
        <v>22111</v>
      </c>
      <c r="B10316" t="s">
        <v>11652</v>
      </c>
      <c r="C10316" t="str">
        <f>HYPERLINK("https://nematode.unl.edu/tynan2.jpg")</f>
        <v>https://nematode.unl.edu/tynan2.jpg</v>
      </c>
      <c r="D10316" t="s">
        <v>43</v>
      </c>
      <c r="G10316" t="s">
        <v>96</v>
      </c>
      <c r="H10316" t="s">
        <v>18</v>
      </c>
      <c r="J10316" t="s">
        <v>20</v>
      </c>
      <c r="L10316" t="s">
        <v>352</v>
      </c>
      <c r="M10316" t="s">
        <v>11651</v>
      </c>
      <c r="N10316" t="s">
        <v>11651</v>
      </c>
      <c r="O10316" t="s">
        <v>73</v>
      </c>
      <c r="P10316" t="s">
        <v>81</v>
      </c>
      <c r="Q10316" t="s">
        <v>3664</v>
      </c>
      <c r="R10316" t="s">
        <v>11637</v>
      </c>
    </row>
    <row r="10317" spans="1:18" x14ac:dyDescent="0.25">
      <c r="A10317" t="s">
        <v>22117</v>
      </c>
      <c r="B10317" t="s">
        <v>11653</v>
      </c>
      <c r="C10317" t="str">
        <f>HYPERLINK("https://nematode.unl.edu/tynan3.jpg")</f>
        <v>https://nematode.unl.edu/tynan3.jpg</v>
      </c>
      <c r="D10317" t="s">
        <v>43</v>
      </c>
      <c r="G10317" t="s">
        <v>51</v>
      </c>
      <c r="I10317" t="s">
        <v>19</v>
      </c>
      <c r="L10317" t="s">
        <v>138</v>
      </c>
      <c r="M10317" t="s">
        <v>11651</v>
      </c>
      <c r="N10317" t="s">
        <v>11651</v>
      </c>
      <c r="O10317" t="s">
        <v>73</v>
      </c>
      <c r="P10317" t="s">
        <v>81</v>
      </c>
      <c r="Q10317" t="s">
        <v>3664</v>
      </c>
      <c r="R10317" t="s">
        <v>11637</v>
      </c>
    </row>
    <row r="10318" spans="1:18" x14ac:dyDescent="0.25">
      <c r="A10318" t="s">
        <v>22115</v>
      </c>
      <c r="B10318" t="s">
        <v>11654</v>
      </c>
      <c r="C10318" t="str">
        <f>HYPERLINK("https://nematode.unl.edu/tynan4.jpg")</f>
        <v>https://nematode.unl.edu/tynan4.jpg</v>
      </c>
      <c r="D10318" t="s">
        <v>43</v>
      </c>
      <c r="G10318" t="s">
        <v>28</v>
      </c>
      <c r="J10318" t="s">
        <v>20</v>
      </c>
      <c r="M10318" t="s">
        <v>11651</v>
      </c>
      <c r="N10318" t="s">
        <v>11651</v>
      </c>
      <c r="O10318" t="s">
        <v>73</v>
      </c>
      <c r="P10318" t="s">
        <v>81</v>
      </c>
      <c r="Q10318" t="s">
        <v>3664</v>
      </c>
      <c r="R10318" t="s">
        <v>11637</v>
      </c>
    </row>
    <row r="10319" spans="1:18" x14ac:dyDescent="0.25">
      <c r="A10319" t="s">
        <v>22112</v>
      </c>
      <c r="B10319" t="s">
        <v>11655</v>
      </c>
      <c r="C10319" t="str">
        <f>HYPERLINK("https://nematode.unl.edu/tynan5.jpg")</f>
        <v>https://nematode.unl.edu/tynan5.jpg</v>
      </c>
      <c r="G10319" t="s">
        <v>34</v>
      </c>
      <c r="H10319" t="s">
        <v>18</v>
      </c>
      <c r="I10319" t="s">
        <v>41</v>
      </c>
      <c r="J10319" t="s">
        <v>20</v>
      </c>
      <c r="L10319" t="s">
        <v>85</v>
      </c>
      <c r="M10319" t="s">
        <v>11651</v>
      </c>
      <c r="N10319" t="s">
        <v>11651</v>
      </c>
      <c r="O10319" t="s">
        <v>73</v>
      </c>
      <c r="P10319" t="s">
        <v>81</v>
      </c>
      <c r="Q10319" t="s">
        <v>3664</v>
      </c>
      <c r="R10319" t="s">
        <v>11637</v>
      </c>
    </row>
    <row r="10320" spans="1:18" x14ac:dyDescent="0.25">
      <c r="A10320" t="s">
        <v>22118</v>
      </c>
      <c r="B10320" t="s">
        <v>11656</v>
      </c>
      <c r="C10320" t="str">
        <f>HYPERLINK("https://nematode.unl.edu/tynan6.jpg")</f>
        <v>https://nematode.unl.edu/tynan6.jpg</v>
      </c>
      <c r="D10320" t="s">
        <v>43</v>
      </c>
      <c r="G10320" t="s">
        <v>51</v>
      </c>
      <c r="I10320" t="s">
        <v>41</v>
      </c>
      <c r="J10320" t="s">
        <v>20</v>
      </c>
      <c r="L10320" t="s">
        <v>141</v>
      </c>
      <c r="M10320" t="s">
        <v>11651</v>
      </c>
      <c r="N10320" t="s">
        <v>11651</v>
      </c>
      <c r="O10320" t="s">
        <v>73</v>
      </c>
      <c r="P10320" t="s">
        <v>81</v>
      </c>
      <c r="Q10320" t="s">
        <v>3664</v>
      </c>
      <c r="R10320" t="s">
        <v>11637</v>
      </c>
    </row>
    <row r="10321" spans="1:18" x14ac:dyDescent="0.25">
      <c r="A10321" t="s">
        <v>22116</v>
      </c>
      <c r="B10321" t="s">
        <v>11657</v>
      </c>
      <c r="C10321" t="str">
        <f>HYPERLINK("https://nematode.unl.edu/tynan7.jpg")</f>
        <v>https://nematode.unl.edu/tynan7.jpg</v>
      </c>
      <c r="D10321" t="s">
        <v>43</v>
      </c>
      <c r="G10321" t="s">
        <v>28</v>
      </c>
      <c r="I10321" t="s">
        <v>41</v>
      </c>
      <c r="J10321" t="s">
        <v>20</v>
      </c>
      <c r="L10321" t="s">
        <v>138</v>
      </c>
      <c r="M10321" t="s">
        <v>11651</v>
      </c>
      <c r="N10321" t="s">
        <v>11651</v>
      </c>
      <c r="O10321" t="s">
        <v>73</v>
      </c>
      <c r="P10321" t="s">
        <v>81</v>
      </c>
      <c r="Q10321" t="s">
        <v>3664</v>
      </c>
      <c r="R10321" t="s">
        <v>11637</v>
      </c>
    </row>
    <row r="10322" spans="1:18" x14ac:dyDescent="0.25">
      <c r="A10322" t="s">
        <v>22114</v>
      </c>
      <c r="B10322" t="s">
        <v>11658</v>
      </c>
      <c r="C10322" t="str">
        <f>HYPERLINK("https://nematode.unl.edu/tynancmp.jpg")</f>
        <v>https://nematode.unl.edu/tynancmp.jpg</v>
      </c>
      <c r="G10322" t="s">
        <v>905</v>
      </c>
      <c r="M10322" t="s">
        <v>11651</v>
      </c>
      <c r="N10322" t="s">
        <v>11651</v>
      </c>
      <c r="O10322" t="s">
        <v>73</v>
      </c>
      <c r="P10322" t="s">
        <v>81</v>
      </c>
      <c r="Q10322" t="s">
        <v>3664</v>
      </c>
      <c r="R10322" t="s">
        <v>11637</v>
      </c>
    </row>
    <row r="10323" spans="1:18" x14ac:dyDescent="0.25">
      <c r="A10323" t="s">
        <v>16022</v>
      </c>
      <c r="B10323" t="s">
        <v>1873</v>
      </c>
      <c r="C10323" t="str">
        <f>HYPERLINK("https://nematode.unl.edu/tynchmax1.jpg")</f>
        <v>https://nematode.unl.edu/tynchmax1.jpg</v>
      </c>
      <c r="D10323" t="s">
        <v>43</v>
      </c>
      <c r="G10323" t="s">
        <v>28</v>
      </c>
      <c r="J10323" t="s">
        <v>127</v>
      </c>
      <c r="L10323" t="s">
        <v>131</v>
      </c>
      <c r="M10323" t="s">
        <v>1854</v>
      </c>
      <c r="N10323" t="s">
        <v>1855</v>
      </c>
      <c r="O10323" t="s">
        <v>23</v>
      </c>
      <c r="P10323" t="s">
        <v>24</v>
      </c>
      <c r="Q10323" t="s">
        <v>1071</v>
      </c>
      <c r="R10323" t="s">
        <v>1856</v>
      </c>
    </row>
    <row r="10324" spans="1:18" x14ac:dyDescent="0.25">
      <c r="A10324" t="s">
        <v>16002</v>
      </c>
      <c r="B10324" t="s">
        <v>1874</v>
      </c>
      <c r="C10324" t="str">
        <f>HYPERLINK("https://nematode.unl.edu/tynchmax2.jpg")</f>
        <v>https://nematode.unl.edu/tynchmax2.jpg</v>
      </c>
      <c r="D10324" t="s">
        <v>43</v>
      </c>
      <c r="G10324" t="s">
        <v>96</v>
      </c>
      <c r="H10324" t="s">
        <v>18</v>
      </c>
      <c r="J10324" t="s">
        <v>127</v>
      </c>
      <c r="L10324" t="s">
        <v>128</v>
      </c>
      <c r="M10324" t="s">
        <v>1854</v>
      </c>
      <c r="N10324" t="s">
        <v>1855</v>
      </c>
      <c r="O10324" t="s">
        <v>23</v>
      </c>
      <c r="P10324" t="s">
        <v>24</v>
      </c>
      <c r="Q10324" t="s">
        <v>1071</v>
      </c>
      <c r="R10324" t="s">
        <v>1856</v>
      </c>
    </row>
    <row r="10325" spans="1:18" x14ac:dyDescent="0.25">
      <c r="A10325" t="s">
        <v>16025</v>
      </c>
      <c r="B10325" t="s">
        <v>1875</v>
      </c>
      <c r="C10325" t="str">
        <f>HYPERLINK("https://nematode.unl.edu/tynchmax3.jpg")</f>
        <v>https://nematode.unl.edu/tynchmax3.jpg</v>
      </c>
      <c r="D10325" t="s">
        <v>43</v>
      </c>
      <c r="G10325" t="s">
        <v>51</v>
      </c>
      <c r="I10325" t="s">
        <v>19</v>
      </c>
      <c r="L10325" t="s">
        <v>131</v>
      </c>
      <c r="M10325" t="s">
        <v>1854</v>
      </c>
      <c r="N10325" t="s">
        <v>1855</v>
      </c>
      <c r="O10325" t="s">
        <v>23</v>
      </c>
      <c r="P10325" t="s">
        <v>24</v>
      </c>
      <c r="Q10325" t="s">
        <v>1071</v>
      </c>
      <c r="R10325" t="s">
        <v>1856</v>
      </c>
    </row>
    <row r="10326" spans="1:18" x14ac:dyDescent="0.25">
      <c r="A10326" t="s">
        <v>16023</v>
      </c>
      <c r="B10326" t="s">
        <v>1876</v>
      </c>
      <c r="C10326" t="str">
        <f>HYPERLINK("https://nematode.unl.edu/tynchmax4.jpg")</f>
        <v>https://nematode.unl.edu/tynchmax4.jpg</v>
      </c>
      <c r="D10326" t="s">
        <v>43</v>
      </c>
      <c r="G10326" t="s">
        <v>28</v>
      </c>
      <c r="I10326" t="s">
        <v>19</v>
      </c>
      <c r="M10326" t="s">
        <v>1854</v>
      </c>
      <c r="N10326" t="s">
        <v>1855</v>
      </c>
      <c r="O10326" t="s">
        <v>23</v>
      </c>
      <c r="P10326" t="s">
        <v>24</v>
      </c>
      <c r="Q10326" t="s">
        <v>1071</v>
      </c>
      <c r="R10326" t="s">
        <v>1856</v>
      </c>
    </row>
    <row r="10327" spans="1:18" x14ac:dyDescent="0.25">
      <c r="A10327" t="s">
        <v>16003</v>
      </c>
      <c r="B10327" t="s">
        <v>1877</v>
      </c>
      <c r="C10327" t="str">
        <f>HYPERLINK("https://nematode.unl.edu/tynchmax5.jpg")</f>
        <v>https://nematode.unl.edu/tynchmax5.jpg</v>
      </c>
      <c r="D10327" t="s">
        <v>43</v>
      </c>
      <c r="G10327" t="s">
        <v>96</v>
      </c>
      <c r="H10327" t="s">
        <v>18</v>
      </c>
      <c r="I10327" t="s">
        <v>19</v>
      </c>
      <c r="J10327" t="s">
        <v>127</v>
      </c>
      <c r="L10327" t="s">
        <v>131</v>
      </c>
      <c r="M10327" t="s">
        <v>1854</v>
      </c>
      <c r="N10327" t="s">
        <v>1855</v>
      </c>
      <c r="O10327" t="s">
        <v>23</v>
      </c>
      <c r="P10327" t="s">
        <v>24</v>
      </c>
      <c r="Q10327" t="s">
        <v>1071</v>
      </c>
      <c r="R10327" t="s">
        <v>1856</v>
      </c>
    </row>
    <row r="10328" spans="1:18" x14ac:dyDescent="0.25">
      <c r="A10328" t="s">
        <v>16009</v>
      </c>
      <c r="B10328" t="s">
        <v>1878</v>
      </c>
      <c r="C10328" t="str">
        <f>HYPERLINK("https://nematode.unl.edu/tynchmax8.jpg")</f>
        <v>https://nematode.unl.edu/tynchmax8.jpg</v>
      </c>
      <c r="D10328" t="s">
        <v>77</v>
      </c>
      <c r="G10328" t="s">
        <v>34</v>
      </c>
      <c r="H10328" t="s">
        <v>18</v>
      </c>
      <c r="I10328" t="s">
        <v>41</v>
      </c>
      <c r="J10328" t="s">
        <v>127</v>
      </c>
      <c r="L10328" t="s">
        <v>128</v>
      </c>
      <c r="M10328" t="s">
        <v>1854</v>
      </c>
      <c r="N10328" t="s">
        <v>1855</v>
      </c>
      <c r="O10328" t="s">
        <v>23</v>
      </c>
      <c r="P10328" t="s">
        <v>24</v>
      </c>
      <c r="Q10328" t="s">
        <v>1071</v>
      </c>
      <c r="R10328" t="s">
        <v>1856</v>
      </c>
    </row>
    <row r="10329" spans="1:18" x14ac:dyDescent="0.25">
      <c r="A10329" t="s">
        <v>16015</v>
      </c>
      <c r="B10329" t="s">
        <v>1879</v>
      </c>
      <c r="C10329" t="str">
        <f>HYPERLINK("https://nematode.unl.edu/tynchmax9.jpg")</f>
        <v>https://nematode.unl.edu/tynchmax9.jpg</v>
      </c>
      <c r="D10329" t="s">
        <v>43</v>
      </c>
      <c r="G10329" t="s">
        <v>53</v>
      </c>
      <c r="I10329" t="s">
        <v>41</v>
      </c>
      <c r="J10329" t="s">
        <v>127</v>
      </c>
      <c r="L10329" t="s">
        <v>128</v>
      </c>
      <c r="M10329" t="s">
        <v>1854</v>
      </c>
      <c r="N10329" t="s">
        <v>1855</v>
      </c>
      <c r="O10329" t="s">
        <v>23</v>
      </c>
      <c r="P10329" t="s">
        <v>24</v>
      </c>
      <c r="Q10329" t="s">
        <v>1071</v>
      </c>
      <c r="R10329" t="s">
        <v>1856</v>
      </c>
    </row>
    <row r="10330" spans="1:18" x14ac:dyDescent="0.25">
      <c r="A10330" t="s">
        <v>16049</v>
      </c>
      <c r="B10330" t="s">
        <v>11734</v>
      </c>
      <c r="C10330" t="str">
        <f>HYPERLINK("https://nematode.unl.edu/tynud1.jpg")</f>
        <v>https://nematode.unl.edu/tynud1.jpg</v>
      </c>
      <c r="D10330" t="s">
        <v>43</v>
      </c>
      <c r="G10330" t="s">
        <v>34</v>
      </c>
      <c r="H10330" t="s">
        <v>18</v>
      </c>
      <c r="I10330" t="s">
        <v>19</v>
      </c>
      <c r="J10330" t="s">
        <v>20</v>
      </c>
      <c r="L10330" t="s">
        <v>85</v>
      </c>
      <c r="M10330" t="s">
        <v>11732</v>
      </c>
      <c r="N10330" t="s">
        <v>11732</v>
      </c>
      <c r="O10330" t="s">
        <v>23</v>
      </c>
      <c r="P10330" t="s">
        <v>24</v>
      </c>
      <c r="Q10330" t="s">
        <v>1071</v>
      </c>
      <c r="R10330" t="s">
        <v>1856</v>
      </c>
    </row>
    <row r="10331" spans="1:18" x14ac:dyDescent="0.25">
      <c r="A10331" t="s">
        <v>16059</v>
      </c>
      <c r="B10331" t="s">
        <v>11735</v>
      </c>
      <c r="C10331" t="str">
        <f>HYPERLINK("https://nematode.unl.edu/tynud2.jpg")</f>
        <v>https://nematode.unl.edu/tynud2.jpg</v>
      </c>
      <c r="D10331" t="s">
        <v>43</v>
      </c>
      <c r="G10331" t="s">
        <v>51</v>
      </c>
      <c r="I10331" t="s">
        <v>19</v>
      </c>
      <c r="J10331" t="s">
        <v>20</v>
      </c>
      <c r="M10331" t="s">
        <v>11732</v>
      </c>
      <c r="N10331" t="s">
        <v>11732</v>
      </c>
      <c r="O10331" t="s">
        <v>23</v>
      </c>
      <c r="P10331" t="s">
        <v>24</v>
      </c>
      <c r="Q10331" t="s">
        <v>1071</v>
      </c>
      <c r="R10331" t="s">
        <v>1856</v>
      </c>
    </row>
    <row r="10332" spans="1:18" x14ac:dyDescent="0.25">
      <c r="A10332" t="s">
        <v>16057</v>
      </c>
      <c r="B10332" t="s">
        <v>11736</v>
      </c>
      <c r="C10332" t="str">
        <f>HYPERLINK("https://nematode.unl.edu/tynud3.jpg")</f>
        <v>https://nematode.unl.edu/tynud3.jpg</v>
      </c>
      <c r="D10332" t="s">
        <v>43</v>
      </c>
      <c r="G10332" t="s">
        <v>28</v>
      </c>
      <c r="I10332" t="s">
        <v>19</v>
      </c>
      <c r="M10332" t="s">
        <v>11732</v>
      </c>
      <c r="N10332" t="s">
        <v>11732</v>
      </c>
      <c r="O10332" t="s">
        <v>23</v>
      </c>
      <c r="P10332" t="s">
        <v>24</v>
      </c>
      <c r="Q10332" t="s">
        <v>1071</v>
      </c>
      <c r="R10332" t="s">
        <v>1856</v>
      </c>
    </row>
    <row r="10333" spans="1:18" x14ac:dyDescent="0.25">
      <c r="A10333" t="s">
        <v>16052</v>
      </c>
      <c r="B10333" t="s">
        <v>11737</v>
      </c>
      <c r="C10333" t="str">
        <f>HYPERLINK("https://nematode.unl.edu/tynud4.jpg")</f>
        <v>https://nematode.unl.edu/tynud4.jpg</v>
      </c>
      <c r="D10333" t="s">
        <v>43</v>
      </c>
      <c r="G10333" t="s">
        <v>44</v>
      </c>
      <c r="I10333" t="s">
        <v>45</v>
      </c>
      <c r="J10333" t="s">
        <v>20</v>
      </c>
      <c r="L10333" t="s">
        <v>85</v>
      </c>
      <c r="M10333" t="s">
        <v>11732</v>
      </c>
      <c r="N10333" t="s">
        <v>11732</v>
      </c>
      <c r="O10333" t="s">
        <v>23</v>
      </c>
      <c r="P10333" t="s">
        <v>24</v>
      </c>
      <c r="Q10333" t="s">
        <v>1071</v>
      </c>
      <c r="R10333" t="s">
        <v>1856</v>
      </c>
    </row>
    <row r="10334" spans="1:18" x14ac:dyDescent="0.25">
      <c r="A10334" t="s">
        <v>16045</v>
      </c>
      <c r="B10334" t="s">
        <v>11738</v>
      </c>
      <c r="C10334" t="str">
        <f>HYPERLINK("https://nematode.unl.edu/tynud6.jpg")</f>
        <v>https://nematode.unl.edu/tynud6.jpg</v>
      </c>
      <c r="G10334" t="s">
        <v>96</v>
      </c>
      <c r="H10334" t="s">
        <v>18</v>
      </c>
      <c r="I10334" t="s">
        <v>19</v>
      </c>
      <c r="J10334" t="s">
        <v>20</v>
      </c>
      <c r="M10334" t="s">
        <v>11732</v>
      </c>
      <c r="N10334" t="s">
        <v>11732</v>
      </c>
      <c r="O10334" t="s">
        <v>23</v>
      </c>
      <c r="P10334" t="s">
        <v>24</v>
      </c>
      <c r="Q10334" t="s">
        <v>1071</v>
      </c>
      <c r="R10334" t="s">
        <v>1856</v>
      </c>
    </row>
    <row r="10335" spans="1:18" x14ac:dyDescent="0.25">
      <c r="A10335" t="s">
        <v>16058</v>
      </c>
      <c r="B10335" t="s">
        <v>11739</v>
      </c>
      <c r="C10335" t="str">
        <f>HYPERLINK("https://nematode.unl.edu/tynudcmp.jpg")</f>
        <v>https://nematode.unl.edu/tynudcmp.jpg</v>
      </c>
      <c r="D10335" t="s">
        <v>43</v>
      </c>
      <c r="G10335" t="s">
        <v>28</v>
      </c>
      <c r="M10335" t="s">
        <v>11732</v>
      </c>
      <c r="N10335" t="s">
        <v>11732</v>
      </c>
      <c r="O10335" t="s">
        <v>23</v>
      </c>
      <c r="P10335" t="s">
        <v>24</v>
      </c>
      <c r="Q10335" t="s">
        <v>1071</v>
      </c>
      <c r="R10335" t="s">
        <v>1856</v>
      </c>
    </row>
    <row r="10336" spans="1:18" x14ac:dyDescent="0.25">
      <c r="A10336" t="s">
        <v>16053</v>
      </c>
      <c r="B10336" t="s">
        <v>11740</v>
      </c>
      <c r="C10336" t="str">
        <f>HYPERLINK("https://nematode.unl.edu/tynuds1.jpg")</f>
        <v>https://nematode.unl.edu/tynuds1.jpg</v>
      </c>
      <c r="D10336" t="s">
        <v>77</v>
      </c>
      <c r="G10336" t="s">
        <v>44</v>
      </c>
      <c r="I10336" t="s">
        <v>45</v>
      </c>
      <c r="J10336" t="s">
        <v>46</v>
      </c>
      <c r="L10336" t="s">
        <v>727</v>
      </c>
      <c r="M10336" t="s">
        <v>11732</v>
      </c>
      <c r="N10336" t="s">
        <v>11732</v>
      </c>
      <c r="O10336" t="s">
        <v>23</v>
      </c>
      <c r="P10336" t="s">
        <v>24</v>
      </c>
      <c r="Q10336" t="s">
        <v>1071</v>
      </c>
      <c r="R10336" t="s">
        <v>1856</v>
      </c>
    </row>
    <row r="10337" spans="1:18" x14ac:dyDescent="0.25">
      <c r="A10337" t="s">
        <v>16050</v>
      </c>
      <c r="B10337" t="s">
        <v>11741</v>
      </c>
      <c r="C10337" t="str">
        <f>HYPERLINK("https://nematode.unl.edu/tynuds2.jpg")</f>
        <v>https://nematode.unl.edu/tynuds2.jpg</v>
      </c>
      <c r="D10337" t="s">
        <v>77</v>
      </c>
      <c r="G10337" t="s">
        <v>34</v>
      </c>
      <c r="H10337" t="s">
        <v>18</v>
      </c>
      <c r="L10337" t="s">
        <v>727</v>
      </c>
      <c r="M10337" t="s">
        <v>11732</v>
      </c>
      <c r="N10337" t="s">
        <v>11732</v>
      </c>
      <c r="O10337" t="s">
        <v>23</v>
      </c>
      <c r="P10337" t="s">
        <v>24</v>
      </c>
      <c r="Q10337" t="s">
        <v>1071</v>
      </c>
      <c r="R10337" t="s">
        <v>1856</v>
      </c>
    </row>
    <row r="10338" spans="1:18" x14ac:dyDescent="0.25">
      <c r="A10338" t="s">
        <v>16051</v>
      </c>
      <c r="B10338" t="s">
        <v>11742</v>
      </c>
      <c r="C10338" t="str">
        <f>HYPERLINK("https://nematode.unl.edu/tynuds3.jpg")</f>
        <v>https://nematode.unl.edu/tynuds3.jpg</v>
      </c>
      <c r="D10338" t="s">
        <v>77</v>
      </c>
      <c r="G10338" t="s">
        <v>34</v>
      </c>
      <c r="H10338" t="s">
        <v>18</v>
      </c>
      <c r="I10338" t="s">
        <v>41</v>
      </c>
      <c r="J10338" t="s">
        <v>46</v>
      </c>
      <c r="L10338" t="s">
        <v>727</v>
      </c>
      <c r="M10338" t="s">
        <v>11732</v>
      </c>
      <c r="N10338" t="s">
        <v>11732</v>
      </c>
      <c r="O10338" t="s">
        <v>23</v>
      </c>
      <c r="P10338" t="s">
        <v>24</v>
      </c>
      <c r="Q10338" t="s">
        <v>1071</v>
      </c>
      <c r="R10338" t="s">
        <v>1856</v>
      </c>
    </row>
    <row r="10339" spans="1:18" x14ac:dyDescent="0.25">
      <c r="A10339" t="s">
        <v>16055</v>
      </c>
      <c r="B10339" t="s">
        <v>11743</v>
      </c>
      <c r="C10339" t="str">
        <f>HYPERLINK("https://nematode.unl.edu/tynuds4.jpg")</f>
        <v>https://nematode.unl.edu/tynuds4.jpg</v>
      </c>
      <c r="D10339" t="s">
        <v>77</v>
      </c>
      <c r="G10339" t="s">
        <v>1906</v>
      </c>
      <c r="I10339" t="s">
        <v>41</v>
      </c>
      <c r="J10339" t="s">
        <v>46</v>
      </c>
      <c r="L10339" t="s">
        <v>727</v>
      </c>
      <c r="M10339" t="s">
        <v>11732</v>
      </c>
      <c r="N10339" t="s">
        <v>11732</v>
      </c>
      <c r="O10339" t="s">
        <v>23</v>
      </c>
      <c r="P10339" t="s">
        <v>24</v>
      </c>
      <c r="Q10339" t="s">
        <v>1071</v>
      </c>
      <c r="R10339" t="s">
        <v>1856</v>
      </c>
    </row>
    <row r="10340" spans="1:18" x14ac:dyDescent="0.25">
      <c r="A10340" t="s">
        <v>16056</v>
      </c>
      <c r="B10340" t="s">
        <v>11744</v>
      </c>
      <c r="C10340" t="str">
        <f>HYPERLINK("https://nematode.unl.edu/tynuds5.jpg")</f>
        <v>https://nematode.unl.edu/tynuds5.jpg</v>
      </c>
      <c r="D10340" t="s">
        <v>77</v>
      </c>
      <c r="G10340" t="s">
        <v>112</v>
      </c>
      <c r="I10340" t="s">
        <v>19</v>
      </c>
      <c r="J10340" t="s">
        <v>46</v>
      </c>
      <c r="L10340" t="s">
        <v>727</v>
      </c>
      <c r="M10340" t="s">
        <v>11732</v>
      </c>
      <c r="N10340" t="s">
        <v>11732</v>
      </c>
      <c r="O10340" t="s">
        <v>23</v>
      </c>
      <c r="P10340" t="s">
        <v>24</v>
      </c>
      <c r="Q10340" t="s">
        <v>1071</v>
      </c>
      <c r="R10340" t="s">
        <v>1856</v>
      </c>
    </row>
    <row r="10341" spans="1:18" x14ac:dyDescent="0.25">
      <c r="A10341" t="s">
        <v>16054</v>
      </c>
      <c r="B10341" t="s">
        <v>11745</v>
      </c>
      <c r="C10341" t="str">
        <f>HYPERLINK("https://nematode.unl.edu/tynuds6.jpg")</f>
        <v>https://nematode.unl.edu/tynuds6.jpg</v>
      </c>
      <c r="D10341" t="s">
        <v>43</v>
      </c>
      <c r="G10341" t="s">
        <v>44</v>
      </c>
      <c r="I10341" t="s">
        <v>45</v>
      </c>
      <c r="J10341" t="s">
        <v>46</v>
      </c>
      <c r="L10341" t="s">
        <v>105</v>
      </c>
      <c r="M10341" t="s">
        <v>11732</v>
      </c>
      <c r="N10341" t="s">
        <v>11732</v>
      </c>
      <c r="O10341" t="s">
        <v>23</v>
      </c>
      <c r="P10341" t="s">
        <v>24</v>
      </c>
      <c r="Q10341" t="s">
        <v>1071</v>
      </c>
      <c r="R10341" t="s">
        <v>1856</v>
      </c>
    </row>
    <row r="10342" spans="1:18" x14ac:dyDescent="0.25">
      <c r="A10342" t="s">
        <v>16046</v>
      </c>
      <c r="B10342" t="s">
        <v>11746</v>
      </c>
      <c r="C10342" t="str">
        <f>HYPERLINK("https://nematode.unl.edu/tynuds7.jpg")</f>
        <v>https://nematode.unl.edu/tynuds7.jpg</v>
      </c>
      <c r="D10342" t="s">
        <v>77</v>
      </c>
      <c r="G10342" t="s">
        <v>17</v>
      </c>
      <c r="H10342" t="s">
        <v>18</v>
      </c>
      <c r="J10342" t="s">
        <v>46</v>
      </c>
      <c r="L10342" t="s">
        <v>105</v>
      </c>
      <c r="M10342" t="s">
        <v>11732</v>
      </c>
      <c r="N10342" t="s">
        <v>11732</v>
      </c>
      <c r="O10342" t="s">
        <v>23</v>
      </c>
      <c r="P10342" t="s">
        <v>24</v>
      </c>
      <c r="Q10342" t="s">
        <v>1071</v>
      </c>
      <c r="R10342" t="s">
        <v>1856</v>
      </c>
    </row>
    <row r="10343" spans="1:18" x14ac:dyDescent="0.25">
      <c r="A10343" t="s">
        <v>16060</v>
      </c>
      <c r="B10343" t="s">
        <v>11747</v>
      </c>
      <c r="C10343" t="str">
        <f>HYPERLINK("https://nematode.unl.edu/tynuds8.jpg")</f>
        <v>https://nematode.unl.edu/tynuds8.jpg</v>
      </c>
      <c r="D10343" t="s">
        <v>43</v>
      </c>
      <c r="G10343" t="s">
        <v>51</v>
      </c>
      <c r="J10343" t="s">
        <v>46</v>
      </c>
      <c r="L10343" t="s">
        <v>105</v>
      </c>
      <c r="M10343" t="s">
        <v>11732</v>
      </c>
      <c r="N10343" t="s">
        <v>11732</v>
      </c>
      <c r="O10343" t="s">
        <v>23</v>
      </c>
      <c r="P10343" t="s">
        <v>24</v>
      </c>
      <c r="Q10343" t="s">
        <v>1071</v>
      </c>
      <c r="R10343" t="s">
        <v>1856</v>
      </c>
    </row>
    <row r="10344" spans="1:18" x14ac:dyDescent="0.25">
      <c r="A10344" t="s">
        <v>21848</v>
      </c>
      <c r="B10344" t="s">
        <v>11666</v>
      </c>
      <c r="C10344" t="str">
        <f>HYPERLINK("https://nematode.unl.edu/typho1.jpg")</f>
        <v>https://nematode.unl.edu/typho1.jpg</v>
      </c>
      <c r="D10344" t="s">
        <v>43</v>
      </c>
      <c r="G10344" t="s">
        <v>96</v>
      </c>
      <c r="H10344" t="s">
        <v>18</v>
      </c>
      <c r="I10344" t="s">
        <v>516</v>
      </c>
      <c r="J10344" t="s">
        <v>20</v>
      </c>
      <c r="L10344" t="s">
        <v>6932</v>
      </c>
      <c r="M10344" t="s">
        <v>11660</v>
      </c>
      <c r="N10344" t="s">
        <v>11660</v>
      </c>
      <c r="O10344" t="s">
        <v>73</v>
      </c>
      <c r="P10344" t="s">
        <v>81</v>
      </c>
      <c r="Q10344" t="s">
        <v>82</v>
      </c>
      <c r="R10344" t="s">
        <v>11637</v>
      </c>
    </row>
    <row r="10345" spans="1:18" x14ac:dyDescent="0.25">
      <c r="A10345" t="s">
        <v>21849</v>
      </c>
      <c r="B10345" t="s">
        <v>11667</v>
      </c>
      <c r="C10345" t="str">
        <f>HYPERLINK("https://nematode.unl.edu/typho2.jpg")</f>
        <v>https://nematode.unl.edu/typho2.jpg</v>
      </c>
      <c r="D10345" t="s">
        <v>77</v>
      </c>
      <c r="G10345" t="s">
        <v>96</v>
      </c>
      <c r="H10345" t="s">
        <v>18</v>
      </c>
      <c r="L10345" t="s">
        <v>85</v>
      </c>
      <c r="M10345" t="s">
        <v>11660</v>
      </c>
      <c r="N10345" t="s">
        <v>11660</v>
      </c>
      <c r="O10345" t="s">
        <v>73</v>
      </c>
      <c r="P10345" t="s">
        <v>81</v>
      </c>
      <c r="Q10345" t="s">
        <v>82</v>
      </c>
      <c r="R10345" t="s">
        <v>11637</v>
      </c>
    </row>
    <row r="10346" spans="1:18" x14ac:dyDescent="0.25">
      <c r="A10346" t="s">
        <v>21871</v>
      </c>
      <c r="B10346" t="s">
        <v>11668</v>
      </c>
      <c r="C10346" t="str">
        <f>HYPERLINK("https://nematode.unl.edu/typho3.jpg")</f>
        <v>https://nematode.unl.edu/typho3.jpg</v>
      </c>
      <c r="D10346" t="s">
        <v>43</v>
      </c>
      <c r="G10346" t="s">
        <v>51</v>
      </c>
      <c r="I10346" t="s">
        <v>19</v>
      </c>
      <c r="L10346" t="s">
        <v>85</v>
      </c>
      <c r="M10346" t="s">
        <v>11660</v>
      </c>
      <c r="N10346" t="s">
        <v>11660</v>
      </c>
      <c r="O10346" t="s">
        <v>73</v>
      </c>
      <c r="P10346" t="s">
        <v>81</v>
      </c>
      <c r="Q10346" t="s">
        <v>82</v>
      </c>
      <c r="R10346" t="s">
        <v>11637</v>
      </c>
    </row>
    <row r="10347" spans="1:18" x14ac:dyDescent="0.25">
      <c r="A10347" t="s">
        <v>21865</v>
      </c>
      <c r="B10347" t="s">
        <v>11669</v>
      </c>
      <c r="C10347" t="str">
        <f>HYPERLINK("https://nematode.unl.edu/typho4.jpg")</f>
        <v>https://nematode.unl.edu/typho4.jpg</v>
      </c>
      <c r="D10347" t="s">
        <v>43</v>
      </c>
      <c r="G10347" t="s">
        <v>28</v>
      </c>
      <c r="L10347" t="s">
        <v>85</v>
      </c>
      <c r="M10347" t="s">
        <v>11660</v>
      </c>
      <c r="N10347" t="s">
        <v>11660</v>
      </c>
      <c r="O10347" t="s">
        <v>73</v>
      </c>
      <c r="P10347" t="s">
        <v>81</v>
      </c>
      <c r="Q10347" t="s">
        <v>82</v>
      </c>
      <c r="R10347" t="s">
        <v>11637</v>
      </c>
    </row>
    <row r="10348" spans="1:18" x14ac:dyDescent="0.25">
      <c r="A10348" t="s">
        <v>21858</v>
      </c>
      <c r="B10348" t="s">
        <v>11670</v>
      </c>
      <c r="C10348" t="str">
        <f>HYPERLINK("https://nematode.unl.edu/typho5.jpg")</f>
        <v>https://nematode.unl.edu/typho5.jpg</v>
      </c>
      <c r="D10348" t="s">
        <v>43</v>
      </c>
      <c r="G10348" t="s">
        <v>34</v>
      </c>
      <c r="H10348" t="s">
        <v>18</v>
      </c>
      <c r="I10348" t="s">
        <v>41</v>
      </c>
      <c r="M10348" t="s">
        <v>11660</v>
      </c>
      <c r="N10348" t="s">
        <v>11660</v>
      </c>
      <c r="O10348" t="s">
        <v>73</v>
      </c>
      <c r="P10348" t="s">
        <v>81</v>
      </c>
      <c r="Q10348" t="s">
        <v>82</v>
      </c>
      <c r="R10348" t="s">
        <v>11637</v>
      </c>
    </row>
    <row r="10349" spans="1:18" x14ac:dyDescent="0.25">
      <c r="A10349" t="s">
        <v>21850</v>
      </c>
      <c r="B10349" t="s">
        <v>11671</v>
      </c>
      <c r="C10349" t="str">
        <f>HYPERLINK("https://nematode.unl.edu/typro1.jpg")</f>
        <v>https://nematode.unl.edu/typro1.jpg</v>
      </c>
      <c r="D10349" t="s">
        <v>43</v>
      </c>
      <c r="G10349" t="s">
        <v>96</v>
      </c>
      <c r="H10349" t="s">
        <v>18</v>
      </c>
      <c r="I10349" t="s">
        <v>19</v>
      </c>
      <c r="J10349" t="s">
        <v>20</v>
      </c>
      <c r="L10349" t="s">
        <v>141</v>
      </c>
      <c r="M10349" t="s">
        <v>11660</v>
      </c>
      <c r="N10349" t="s">
        <v>11660</v>
      </c>
      <c r="O10349" t="s">
        <v>73</v>
      </c>
      <c r="P10349" t="s">
        <v>81</v>
      </c>
      <c r="Q10349" t="s">
        <v>82</v>
      </c>
      <c r="R10349" t="s">
        <v>11637</v>
      </c>
    </row>
    <row r="10350" spans="1:18" x14ac:dyDescent="0.25">
      <c r="A10350" t="s">
        <v>21859</v>
      </c>
      <c r="B10350" t="s">
        <v>11672</v>
      </c>
      <c r="C10350" t="str">
        <f>HYPERLINK("https://nematode.unl.edu/typro10.jpg")</f>
        <v>https://nematode.unl.edu/typro10.jpg</v>
      </c>
      <c r="D10350" t="s">
        <v>43</v>
      </c>
      <c r="G10350" t="s">
        <v>34</v>
      </c>
      <c r="H10350" t="s">
        <v>18</v>
      </c>
      <c r="I10350" t="s">
        <v>41</v>
      </c>
      <c r="J10350" t="s">
        <v>20</v>
      </c>
      <c r="L10350" t="s">
        <v>141</v>
      </c>
      <c r="M10350" t="s">
        <v>11660</v>
      </c>
      <c r="N10350" t="s">
        <v>11660</v>
      </c>
      <c r="O10350" t="s">
        <v>73</v>
      </c>
      <c r="P10350" t="s">
        <v>81</v>
      </c>
      <c r="Q10350" t="s">
        <v>82</v>
      </c>
      <c r="R10350" t="s">
        <v>11637</v>
      </c>
    </row>
    <row r="10351" spans="1:18" x14ac:dyDescent="0.25">
      <c r="A10351" t="s">
        <v>21856</v>
      </c>
      <c r="B10351" t="s">
        <v>11673</v>
      </c>
      <c r="C10351" t="str">
        <f>HYPERLINK("https://nematode.unl.edu/typro11.jpg")</f>
        <v>https://nematode.unl.edu/typro11.jpg</v>
      </c>
      <c r="G10351" t="s">
        <v>17</v>
      </c>
      <c r="H10351" t="s">
        <v>18</v>
      </c>
      <c r="I10351" t="s">
        <v>41</v>
      </c>
      <c r="J10351" t="s">
        <v>20</v>
      </c>
      <c r="L10351" t="s">
        <v>1768</v>
      </c>
      <c r="M10351" t="s">
        <v>11660</v>
      </c>
      <c r="N10351" t="s">
        <v>11660</v>
      </c>
      <c r="O10351" t="s">
        <v>73</v>
      </c>
      <c r="P10351" t="s">
        <v>81</v>
      </c>
      <c r="Q10351" t="s">
        <v>82</v>
      </c>
      <c r="R10351" t="s">
        <v>11637</v>
      </c>
    </row>
    <row r="10352" spans="1:18" x14ac:dyDescent="0.25">
      <c r="A10352" t="s">
        <v>21872</v>
      </c>
      <c r="B10352" t="s">
        <v>11674</v>
      </c>
      <c r="C10352" t="str">
        <f>HYPERLINK("https://nematode.unl.edu/typro12.jpg")</f>
        <v>https://nematode.unl.edu/typro12.jpg</v>
      </c>
      <c r="D10352" t="s">
        <v>43</v>
      </c>
      <c r="G10352" t="s">
        <v>51</v>
      </c>
      <c r="I10352" t="s">
        <v>41</v>
      </c>
      <c r="J10352" t="s">
        <v>20</v>
      </c>
      <c r="L10352" t="s">
        <v>141</v>
      </c>
      <c r="M10352" t="s">
        <v>11660</v>
      </c>
      <c r="N10352" t="s">
        <v>11660</v>
      </c>
      <c r="O10352" t="s">
        <v>73</v>
      </c>
      <c r="P10352" t="s">
        <v>81</v>
      </c>
      <c r="Q10352" t="s">
        <v>82</v>
      </c>
      <c r="R10352" t="s">
        <v>11637</v>
      </c>
    </row>
    <row r="10353" spans="1:18" x14ac:dyDescent="0.25">
      <c r="A10353" t="s">
        <v>21862</v>
      </c>
      <c r="B10353" t="s">
        <v>11675</v>
      </c>
      <c r="C10353" t="str">
        <f>HYPERLINK("https://nematode.unl.edu/typro13.jpg")</f>
        <v>https://nematode.unl.edu/typro13.jpg</v>
      </c>
      <c r="D10353" t="s">
        <v>43</v>
      </c>
      <c r="G10353" t="s">
        <v>44</v>
      </c>
      <c r="I10353" t="s">
        <v>45</v>
      </c>
      <c r="J10353" t="s">
        <v>20</v>
      </c>
      <c r="L10353" t="s">
        <v>64</v>
      </c>
      <c r="M10353" t="s">
        <v>11660</v>
      </c>
      <c r="N10353" t="s">
        <v>11660</v>
      </c>
      <c r="O10353" t="s">
        <v>73</v>
      </c>
      <c r="P10353" t="s">
        <v>81</v>
      </c>
      <c r="Q10353" t="s">
        <v>82</v>
      </c>
      <c r="R10353" t="s">
        <v>11637</v>
      </c>
    </row>
    <row r="10354" spans="1:18" x14ac:dyDescent="0.25">
      <c r="A10354" t="s">
        <v>21851</v>
      </c>
      <c r="B10354" t="s">
        <v>11676</v>
      </c>
      <c r="C10354" t="str">
        <f>HYPERLINK("https://nematode.unl.edu/typro14.jpg")</f>
        <v>https://nematode.unl.edu/typro14.jpg</v>
      </c>
      <c r="D10354" t="s">
        <v>43</v>
      </c>
      <c r="G10354" t="s">
        <v>96</v>
      </c>
      <c r="H10354" t="s">
        <v>18</v>
      </c>
      <c r="I10354" t="s">
        <v>19</v>
      </c>
      <c r="J10354" t="s">
        <v>20</v>
      </c>
      <c r="L10354" t="s">
        <v>64</v>
      </c>
      <c r="M10354" t="s">
        <v>11660</v>
      </c>
      <c r="N10354" t="s">
        <v>11660</v>
      </c>
      <c r="O10354" t="s">
        <v>73</v>
      </c>
      <c r="P10354" t="s">
        <v>81</v>
      </c>
      <c r="Q10354" t="s">
        <v>82</v>
      </c>
      <c r="R10354" t="s">
        <v>11637</v>
      </c>
    </row>
    <row r="10355" spans="1:18" x14ac:dyDescent="0.25">
      <c r="A10355" t="s">
        <v>21860</v>
      </c>
      <c r="B10355" t="s">
        <v>11677</v>
      </c>
      <c r="C10355" t="str">
        <f>HYPERLINK("https://nematode.unl.edu/typro15.jpg")</f>
        <v>https://nematode.unl.edu/typro15.jpg</v>
      </c>
      <c r="D10355" t="s">
        <v>43</v>
      </c>
      <c r="G10355" t="s">
        <v>34</v>
      </c>
      <c r="H10355" t="s">
        <v>18</v>
      </c>
      <c r="I10355" t="s">
        <v>41</v>
      </c>
      <c r="J10355" t="s">
        <v>20</v>
      </c>
      <c r="L10355" t="s">
        <v>64</v>
      </c>
      <c r="M10355" t="s">
        <v>11660</v>
      </c>
      <c r="N10355" t="s">
        <v>11660</v>
      </c>
      <c r="O10355" t="s">
        <v>73</v>
      </c>
      <c r="P10355" t="s">
        <v>81</v>
      </c>
      <c r="Q10355" t="s">
        <v>82</v>
      </c>
      <c r="R10355" t="s">
        <v>11637</v>
      </c>
    </row>
    <row r="10356" spans="1:18" x14ac:dyDescent="0.25">
      <c r="A10356" t="s">
        <v>21852</v>
      </c>
      <c r="B10356" t="s">
        <v>11678</v>
      </c>
      <c r="C10356" t="str">
        <f>HYPERLINK("https://nematode.unl.edu/typro16.jpg")</f>
        <v>https://nematode.unl.edu/typro16.jpg</v>
      </c>
      <c r="D10356" t="s">
        <v>43</v>
      </c>
      <c r="G10356" t="s">
        <v>96</v>
      </c>
      <c r="H10356" t="s">
        <v>18</v>
      </c>
      <c r="I10356" t="s">
        <v>41</v>
      </c>
      <c r="J10356" t="s">
        <v>20</v>
      </c>
      <c r="L10356" t="s">
        <v>64</v>
      </c>
      <c r="M10356" t="s">
        <v>11660</v>
      </c>
      <c r="N10356" t="s">
        <v>11660</v>
      </c>
      <c r="O10356" t="s">
        <v>73</v>
      </c>
      <c r="P10356" t="s">
        <v>81</v>
      </c>
      <c r="Q10356" t="s">
        <v>82</v>
      </c>
      <c r="R10356" t="s">
        <v>11637</v>
      </c>
    </row>
    <row r="10357" spans="1:18" x14ac:dyDescent="0.25">
      <c r="A10357" t="s">
        <v>21873</v>
      </c>
      <c r="B10357" t="s">
        <v>11679</v>
      </c>
      <c r="C10357" t="str">
        <f>HYPERLINK("https://nematode.unl.edu/typro17.jpg")</f>
        <v>https://nematode.unl.edu/typro17.jpg</v>
      </c>
      <c r="D10357" t="s">
        <v>43</v>
      </c>
      <c r="G10357" t="s">
        <v>51</v>
      </c>
      <c r="I10357" t="s">
        <v>19</v>
      </c>
      <c r="J10357" t="s">
        <v>20</v>
      </c>
      <c r="L10357" t="s">
        <v>64</v>
      </c>
      <c r="M10357" t="s">
        <v>11660</v>
      </c>
      <c r="N10357" t="s">
        <v>11660</v>
      </c>
      <c r="O10357" t="s">
        <v>73</v>
      </c>
      <c r="P10357" t="s">
        <v>81</v>
      </c>
      <c r="Q10357" t="s">
        <v>82</v>
      </c>
      <c r="R10357" t="s">
        <v>11637</v>
      </c>
    </row>
    <row r="10358" spans="1:18" x14ac:dyDescent="0.25">
      <c r="A10358" t="s">
        <v>21866</v>
      </c>
      <c r="B10358" t="s">
        <v>11680</v>
      </c>
      <c r="C10358" t="str">
        <f>HYPERLINK("https://nematode.unl.edu/typro18.jpg")</f>
        <v>https://nematode.unl.edu/typro18.jpg</v>
      </c>
      <c r="D10358" t="s">
        <v>43</v>
      </c>
      <c r="G10358" t="s">
        <v>28</v>
      </c>
      <c r="J10358" t="s">
        <v>20</v>
      </c>
      <c r="L10358" t="s">
        <v>64</v>
      </c>
      <c r="M10358" t="s">
        <v>11660</v>
      </c>
      <c r="N10358" t="s">
        <v>11660</v>
      </c>
      <c r="O10358" t="s">
        <v>73</v>
      </c>
      <c r="P10358" t="s">
        <v>81</v>
      </c>
      <c r="Q10358" t="s">
        <v>82</v>
      </c>
      <c r="R10358" t="s">
        <v>11637</v>
      </c>
    </row>
    <row r="10359" spans="1:18" x14ac:dyDescent="0.25">
      <c r="A10359" t="s">
        <v>21874</v>
      </c>
      <c r="B10359" t="s">
        <v>11681</v>
      </c>
      <c r="C10359" t="str">
        <f>HYPERLINK("https://nematode.unl.edu/typro2.jpg")</f>
        <v>https://nematode.unl.edu/typro2.jpg</v>
      </c>
      <c r="D10359" t="s">
        <v>43</v>
      </c>
      <c r="G10359" t="s">
        <v>51</v>
      </c>
      <c r="J10359" t="s">
        <v>20</v>
      </c>
      <c r="L10359" t="s">
        <v>141</v>
      </c>
      <c r="M10359" t="s">
        <v>11660</v>
      </c>
      <c r="N10359" t="s">
        <v>11660</v>
      </c>
      <c r="O10359" t="s">
        <v>73</v>
      </c>
      <c r="P10359" t="s">
        <v>81</v>
      </c>
      <c r="Q10359" t="s">
        <v>82</v>
      </c>
      <c r="R10359" t="s">
        <v>11637</v>
      </c>
    </row>
    <row r="10360" spans="1:18" x14ac:dyDescent="0.25">
      <c r="A10360" t="s">
        <v>21867</v>
      </c>
      <c r="B10360" t="s">
        <v>11682</v>
      </c>
      <c r="C10360" t="str">
        <f>HYPERLINK("https://nematode.unl.edu/typro3.jpg")</f>
        <v>https://nematode.unl.edu/typro3.jpg</v>
      </c>
      <c r="D10360" t="s">
        <v>43</v>
      </c>
      <c r="G10360" t="s">
        <v>28</v>
      </c>
      <c r="J10360" t="s">
        <v>20</v>
      </c>
      <c r="L10360" t="s">
        <v>141</v>
      </c>
      <c r="M10360" t="s">
        <v>11660</v>
      </c>
      <c r="N10360" t="s">
        <v>11660</v>
      </c>
      <c r="O10360" t="s">
        <v>73</v>
      </c>
      <c r="P10360" t="s">
        <v>81</v>
      </c>
      <c r="Q10360" t="s">
        <v>82</v>
      </c>
      <c r="R10360" t="s">
        <v>11637</v>
      </c>
    </row>
    <row r="10361" spans="1:18" x14ac:dyDescent="0.25">
      <c r="A10361" t="s">
        <v>21863</v>
      </c>
      <c r="B10361" t="s">
        <v>11683</v>
      </c>
      <c r="C10361" t="str">
        <f>HYPERLINK("https://nematode.unl.edu/typro4.jpg")</f>
        <v>https://nematode.unl.edu/typro4.jpg</v>
      </c>
      <c r="D10361" t="s">
        <v>43</v>
      </c>
      <c r="G10361" t="s">
        <v>44</v>
      </c>
      <c r="I10361" t="s">
        <v>499</v>
      </c>
      <c r="J10361" t="s">
        <v>20</v>
      </c>
      <c r="L10361" t="s">
        <v>193</v>
      </c>
      <c r="M10361" t="s">
        <v>11660</v>
      </c>
      <c r="N10361" t="s">
        <v>11660</v>
      </c>
      <c r="O10361" t="s">
        <v>73</v>
      </c>
      <c r="P10361" t="s">
        <v>81</v>
      </c>
      <c r="Q10361" t="s">
        <v>82</v>
      </c>
      <c r="R10361" t="s">
        <v>11637</v>
      </c>
    </row>
    <row r="10362" spans="1:18" x14ac:dyDescent="0.25">
      <c r="A10362" t="s">
        <v>21875</v>
      </c>
      <c r="B10362" t="s">
        <v>11684</v>
      </c>
      <c r="C10362" t="str">
        <f>HYPERLINK("https://nematode.unl.edu/typro5.jpg")</f>
        <v>https://nematode.unl.edu/typro5.jpg</v>
      </c>
      <c r="D10362" t="s">
        <v>43</v>
      </c>
      <c r="G10362" t="s">
        <v>51</v>
      </c>
      <c r="I10362" t="s">
        <v>41</v>
      </c>
      <c r="J10362" t="s">
        <v>20</v>
      </c>
      <c r="L10362" t="s">
        <v>141</v>
      </c>
      <c r="M10362" t="s">
        <v>11660</v>
      </c>
      <c r="N10362" t="s">
        <v>11660</v>
      </c>
      <c r="O10362" t="s">
        <v>73</v>
      </c>
      <c r="P10362" t="s">
        <v>81</v>
      </c>
      <c r="Q10362" t="s">
        <v>82</v>
      </c>
      <c r="R10362" t="s">
        <v>11637</v>
      </c>
    </row>
    <row r="10363" spans="1:18" x14ac:dyDescent="0.25">
      <c r="A10363" t="s">
        <v>21861</v>
      </c>
      <c r="B10363" t="s">
        <v>11685</v>
      </c>
      <c r="C10363" t="str">
        <f>HYPERLINK("https://nematode.unl.edu/typro6.jpg")</f>
        <v>https://nematode.unl.edu/typro6.jpg</v>
      </c>
      <c r="D10363" t="s">
        <v>43</v>
      </c>
      <c r="G10363" t="s">
        <v>34</v>
      </c>
      <c r="H10363" t="s">
        <v>18</v>
      </c>
      <c r="I10363" t="s">
        <v>41</v>
      </c>
      <c r="J10363" t="s">
        <v>20</v>
      </c>
      <c r="L10363" t="s">
        <v>141</v>
      </c>
      <c r="M10363" t="s">
        <v>11660</v>
      </c>
      <c r="N10363" t="s">
        <v>11660</v>
      </c>
      <c r="O10363" t="s">
        <v>73</v>
      </c>
      <c r="P10363" t="s">
        <v>81</v>
      </c>
      <c r="Q10363" t="s">
        <v>82</v>
      </c>
      <c r="R10363" t="s">
        <v>11637</v>
      </c>
    </row>
    <row r="10364" spans="1:18" x14ac:dyDescent="0.25">
      <c r="A10364" t="s">
        <v>21868</v>
      </c>
      <c r="B10364" t="s">
        <v>11686</v>
      </c>
      <c r="C10364" t="str">
        <f>HYPERLINK("https://nematode.unl.edu/typro7.jpg")</f>
        <v>https://nematode.unl.edu/typro7.jpg</v>
      </c>
      <c r="D10364" t="s">
        <v>43</v>
      </c>
      <c r="G10364" t="s">
        <v>28</v>
      </c>
      <c r="I10364" t="s">
        <v>19</v>
      </c>
      <c r="J10364" t="s">
        <v>20</v>
      </c>
      <c r="M10364" t="s">
        <v>11660</v>
      </c>
      <c r="N10364" t="s">
        <v>11660</v>
      </c>
      <c r="O10364" t="s">
        <v>73</v>
      </c>
      <c r="P10364" t="s">
        <v>81</v>
      </c>
      <c r="Q10364" t="s">
        <v>82</v>
      </c>
      <c r="R10364" t="s">
        <v>11637</v>
      </c>
    </row>
    <row r="10365" spans="1:18" x14ac:dyDescent="0.25">
      <c r="A10365" t="s">
        <v>21876</v>
      </c>
      <c r="B10365" t="s">
        <v>11687</v>
      </c>
      <c r="C10365" t="str">
        <f>HYPERLINK("https://nematode.unl.edu/typro8.jpg")</f>
        <v>https://nematode.unl.edu/typro8.jpg</v>
      </c>
      <c r="D10365" t="s">
        <v>43</v>
      </c>
      <c r="G10365" t="s">
        <v>51</v>
      </c>
      <c r="I10365" t="s">
        <v>19</v>
      </c>
      <c r="J10365" t="s">
        <v>20</v>
      </c>
      <c r="L10365" t="s">
        <v>141</v>
      </c>
      <c r="M10365" t="s">
        <v>11660</v>
      </c>
      <c r="N10365" t="s">
        <v>11660</v>
      </c>
      <c r="O10365" t="s">
        <v>73</v>
      </c>
      <c r="P10365" t="s">
        <v>81</v>
      </c>
      <c r="Q10365" t="s">
        <v>82</v>
      </c>
      <c r="R10365" t="s">
        <v>11637</v>
      </c>
    </row>
    <row r="10366" spans="1:18" x14ac:dyDescent="0.25">
      <c r="A10366" t="s">
        <v>21853</v>
      </c>
      <c r="B10366" t="s">
        <v>11688</v>
      </c>
      <c r="C10366" t="str">
        <f>HYPERLINK("https://nematode.unl.edu/typro9.jpg")</f>
        <v>https://nematode.unl.edu/typro9.jpg</v>
      </c>
      <c r="D10366" t="s">
        <v>43</v>
      </c>
      <c r="G10366" t="s">
        <v>96</v>
      </c>
      <c r="H10366" t="s">
        <v>18</v>
      </c>
      <c r="I10366" t="s">
        <v>19</v>
      </c>
      <c r="J10366" t="s">
        <v>20</v>
      </c>
      <c r="L10366" t="s">
        <v>141</v>
      </c>
      <c r="M10366" t="s">
        <v>11660</v>
      </c>
      <c r="N10366" t="s">
        <v>11660</v>
      </c>
      <c r="O10366" t="s">
        <v>73</v>
      </c>
      <c r="P10366" t="s">
        <v>81</v>
      </c>
      <c r="Q10366" t="s">
        <v>82</v>
      </c>
      <c r="R10366" t="s">
        <v>11637</v>
      </c>
    </row>
    <row r="10367" spans="1:18" x14ac:dyDescent="0.25">
      <c r="A10367" t="s">
        <v>21854</v>
      </c>
      <c r="B10367" t="s">
        <v>11689</v>
      </c>
      <c r="C10367" t="str">
        <f>HYPERLINK("https://nematode.unl.edu/typrocmp.jpg")</f>
        <v>https://nematode.unl.edu/typrocmp.jpg</v>
      </c>
      <c r="G10367" t="s">
        <v>96</v>
      </c>
      <c r="H10367" t="s">
        <v>18</v>
      </c>
      <c r="M10367" t="s">
        <v>11660</v>
      </c>
      <c r="N10367" t="s">
        <v>11660</v>
      </c>
      <c r="O10367" t="s">
        <v>73</v>
      </c>
      <c r="P10367" t="s">
        <v>81</v>
      </c>
      <c r="Q10367" t="s">
        <v>82</v>
      </c>
      <c r="R10367" t="s">
        <v>11637</v>
      </c>
    </row>
    <row r="10368" spans="1:18" x14ac:dyDescent="0.25">
      <c r="A10368" t="s">
        <v>21881</v>
      </c>
      <c r="B10368" t="s">
        <v>11690</v>
      </c>
      <c r="C10368" t="str">
        <f>HYPERLINK("https://nematode.unl.edu/tystec1.jpg")</f>
        <v>https://nematode.unl.edu/tystec1.jpg</v>
      </c>
      <c r="D10368" t="s">
        <v>43</v>
      </c>
      <c r="G10368" t="s">
        <v>44</v>
      </c>
      <c r="I10368" t="s">
        <v>45</v>
      </c>
      <c r="J10368" t="s">
        <v>20</v>
      </c>
      <c r="L10368" t="s">
        <v>206</v>
      </c>
      <c r="M10368" t="s">
        <v>11691</v>
      </c>
      <c r="N10368" t="s">
        <v>11691</v>
      </c>
      <c r="O10368" t="s">
        <v>73</v>
      </c>
      <c r="P10368" t="s">
        <v>81</v>
      </c>
      <c r="Q10368" t="s">
        <v>82</v>
      </c>
      <c r="R10368" t="s">
        <v>11637</v>
      </c>
    </row>
    <row r="10369" spans="1:18" x14ac:dyDescent="0.25">
      <c r="A10369" t="s">
        <v>21878</v>
      </c>
      <c r="B10369" t="s">
        <v>11692</v>
      </c>
      <c r="C10369" t="str">
        <f>HYPERLINK("https://nematode.unl.edu/tystec2.jpg")</f>
        <v>https://nematode.unl.edu/tystec2.jpg</v>
      </c>
      <c r="D10369" t="s">
        <v>77</v>
      </c>
      <c r="G10369" t="s">
        <v>96</v>
      </c>
      <c r="H10369" t="s">
        <v>18</v>
      </c>
      <c r="I10369" t="s">
        <v>19</v>
      </c>
      <c r="J10369" t="s">
        <v>20</v>
      </c>
      <c r="M10369" t="s">
        <v>11691</v>
      </c>
      <c r="N10369" t="s">
        <v>11691</v>
      </c>
      <c r="O10369" t="s">
        <v>73</v>
      </c>
      <c r="P10369" t="s">
        <v>81</v>
      </c>
      <c r="Q10369" t="s">
        <v>82</v>
      </c>
      <c r="R10369" t="s">
        <v>11637</v>
      </c>
    </row>
    <row r="10370" spans="1:18" x14ac:dyDescent="0.25">
      <c r="A10370" t="s">
        <v>21884</v>
      </c>
      <c r="B10370" t="s">
        <v>11693</v>
      </c>
      <c r="C10370" t="str">
        <f>HYPERLINK("https://nematode.unl.edu/tystec3.jpg")</f>
        <v>https://nematode.unl.edu/tystec3.jpg</v>
      </c>
      <c r="D10370" t="s">
        <v>43</v>
      </c>
      <c r="G10370" t="s">
        <v>51</v>
      </c>
      <c r="J10370" t="s">
        <v>20</v>
      </c>
      <c r="M10370" t="s">
        <v>11691</v>
      </c>
      <c r="N10370" t="s">
        <v>11691</v>
      </c>
      <c r="O10370" t="s">
        <v>73</v>
      </c>
      <c r="P10370" t="s">
        <v>81</v>
      </c>
      <c r="Q10370" t="s">
        <v>82</v>
      </c>
      <c r="R10370" t="s">
        <v>11637</v>
      </c>
    </row>
    <row r="10371" spans="1:18" x14ac:dyDescent="0.25">
      <c r="A10371" t="s">
        <v>21882</v>
      </c>
      <c r="B10371" t="s">
        <v>11694</v>
      </c>
      <c r="C10371" t="str">
        <f>HYPERLINK("https://nematode.unl.edu/tystec4.jpg")</f>
        <v>https://nematode.unl.edu/tystec4.jpg</v>
      </c>
      <c r="D10371" t="s">
        <v>43</v>
      </c>
      <c r="G10371" t="s">
        <v>28</v>
      </c>
      <c r="J10371" t="s">
        <v>20</v>
      </c>
      <c r="M10371" t="s">
        <v>11691</v>
      </c>
      <c r="N10371" t="s">
        <v>11691</v>
      </c>
      <c r="O10371" t="s">
        <v>73</v>
      </c>
      <c r="P10371" t="s">
        <v>81</v>
      </c>
      <c r="Q10371" t="s">
        <v>82</v>
      </c>
      <c r="R10371" t="s">
        <v>11637</v>
      </c>
    </row>
    <row r="10372" spans="1:18" x14ac:dyDescent="0.25">
      <c r="A10372" t="s">
        <v>21879</v>
      </c>
      <c r="B10372" t="s">
        <v>11695</v>
      </c>
      <c r="C10372" t="str">
        <f>HYPERLINK("https://nematode.unl.edu/tystec5.jpg")</f>
        <v>https://nematode.unl.edu/tystec5.jpg</v>
      </c>
      <c r="D10372" t="s">
        <v>43</v>
      </c>
      <c r="G10372" t="s">
        <v>34</v>
      </c>
      <c r="H10372" t="s">
        <v>18</v>
      </c>
      <c r="I10372" t="s">
        <v>41</v>
      </c>
      <c r="M10372" t="s">
        <v>11691</v>
      </c>
      <c r="N10372" t="s">
        <v>11691</v>
      </c>
      <c r="O10372" t="s">
        <v>73</v>
      </c>
      <c r="P10372" t="s">
        <v>81</v>
      </c>
      <c r="Q10372" t="s">
        <v>82</v>
      </c>
      <c r="R10372" t="s">
        <v>11637</v>
      </c>
    </row>
    <row r="10373" spans="1:18" x14ac:dyDescent="0.25">
      <c r="A10373" t="s">
        <v>21880</v>
      </c>
      <c r="B10373" t="s">
        <v>11696</v>
      </c>
      <c r="C10373" t="str">
        <f>HYPERLINK("https://nematode.unl.edu/tystec6.jpg")</f>
        <v>https://nematode.unl.edu/tystec6.jpg</v>
      </c>
      <c r="D10373" t="s">
        <v>43</v>
      </c>
      <c r="G10373" t="s">
        <v>87</v>
      </c>
      <c r="I10373" t="s">
        <v>41</v>
      </c>
      <c r="J10373" t="s">
        <v>20</v>
      </c>
      <c r="M10373" t="s">
        <v>11691</v>
      </c>
      <c r="N10373" t="s">
        <v>11691</v>
      </c>
      <c r="O10373" t="s">
        <v>73</v>
      </c>
      <c r="P10373" t="s">
        <v>81</v>
      </c>
      <c r="Q10373" t="s">
        <v>82</v>
      </c>
      <c r="R10373" t="s">
        <v>11637</v>
      </c>
    </row>
    <row r="10374" spans="1:18" x14ac:dyDescent="0.25">
      <c r="A10374" t="s">
        <v>21885</v>
      </c>
      <c r="B10374" t="s">
        <v>11697</v>
      </c>
      <c r="C10374" t="str">
        <f>HYPERLINK("https://nematode.unl.edu/tystec7.jpg")</f>
        <v>https://nematode.unl.edu/tystec7.jpg</v>
      </c>
      <c r="D10374" t="s">
        <v>43</v>
      </c>
      <c r="G10374" t="s">
        <v>51</v>
      </c>
      <c r="I10374" t="s">
        <v>41</v>
      </c>
      <c r="J10374" t="s">
        <v>20</v>
      </c>
      <c r="M10374" t="s">
        <v>11691</v>
      </c>
      <c r="N10374" t="s">
        <v>11691</v>
      </c>
      <c r="O10374" t="s">
        <v>73</v>
      </c>
      <c r="P10374" t="s">
        <v>81</v>
      </c>
      <c r="Q10374" t="s">
        <v>82</v>
      </c>
      <c r="R10374" t="s">
        <v>11637</v>
      </c>
    </row>
    <row r="10375" spans="1:18" x14ac:dyDescent="0.25">
      <c r="A10375" t="s">
        <v>21883</v>
      </c>
      <c r="B10375" t="s">
        <v>11698</v>
      </c>
      <c r="C10375" t="str">
        <f>HYPERLINK("https://nematode.unl.edu/tystec8.jpg")</f>
        <v>https://nematode.unl.edu/tystec8.jpg</v>
      </c>
      <c r="D10375" t="s">
        <v>43</v>
      </c>
      <c r="G10375" t="s">
        <v>28</v>
      </c>
      <c r="I10375" t="s">
        <v>41</v>
      </c>
      <c r="J10375" t="s">
        <v>20</v>
      </c>
      <c r="L10375" t="s">
        <v>206</v>
      </c>
      <c r="M10375" t="s">
        <v>11691</v>
      </c>
      <c r="N10375" t="s">
        <v>11691</v>
      </c>
      <c r="O10375" t="s">
        <v>73</v>
      </c>
      <c r="P10375" t="s">
        <v>81</v>
      </c>
      <c r="Q10375" t="s">
        <v>82</v>
      </c>
      <c r="R10375" t="s">
        <v>11637</v>
      </c>
    </row>
    <row r="10376" spans="1:18" x14ac:dyDescent="0.25">
      <c r="A10376" t="s">
        <v>21877</v>
      </c>
      <c r="B10376" t="s">
        <v>11699</v>
      </c>
      <c r="C10376" t="str">
        <f>HYPERLINK("https://nematode.unl.edu/tystec9.jpg")</f>
        <v>https://nematode.unl.edu/tystec9.jpg</v>
      </c>
      <c r="D10376" t="s">
        <v>77</v>
      </c>
      <c r="G10376" t="s">
        <v>386</v>
      </c>
      <c r="H10376" t="s">
        <v>18</v>
      </c>
      <c r="I10376" t="s">
        <v>41</v>
      </c>
      <c r="J10376" t="s">
        <v>20</v>
      </c>
      <c r="L10376" t="s">
        <v>206</v>
      </c>
      <c r="M10376" t="s">
        <v>11691</v>
      </c>
      <c r="N10376" t="s">
        <v>11691</v>
      </c>
      <c r="O10376" t="s">
        <v>73</v>
      </c>
      <c r="P10376" t="s">
        <v>81</v>
      </c>
      <c r="Q10376" t="s">
        <v>82</v>
      </c>
      <c r="R10376" t="s">
        <v>11637</v>
      </c>
    </row>
    <row r="10377" spans="1:18" x14ac:dyDescent="0.25">
      <c r="A10377" t="s">
        <v>22091</v>
      </c>
      <c r="B10377" t="s">
        <v>11625</v>
      </c>
      <c r="C10377" t="str">
        <f>HYPERLINK("https://nematode.unl.edu/tystri1.jpg")</f>
        <v>https://nematode.unl.edu/tystri1.jpg</v>
      </c>
      <c r="D10377" t="s">
        <v>77</v>
      </c>
      <c r="G10377" t="s">
        <v>44</v>
      </c>
      <c r="I10377" t="s">
        <v>45</v>
      </c>
      <c r="J10377" t="s">
        <v>1292</v>
      </c>
      <c r="L10377" t="s">
        <v>11626</v>
      </c>
      <c r="M10377" t="s">
        <v>11599</v>
      </c>
      <c r="N10377" t="s">
        <v>11599</v>
      </c>
      <c r="O10377" t="s">
        <v>73</v>
      </c>
      <c r="P10377" t="s">
        <v>81</v>
      </c>
      <c r="Q10377" t="s">
        <v>952</v>
      </c>
      <c r="R10377" t="s">
        <v>11517</v>
      </c>
    </row>
    <row r="10378" spans="1:18" x14ac:dyDescent="0.25">
      <c r="A10378" t="s">
        <v>22077</v>
      </c>
      <c r="B10378" t="s">
        <v>11627</v>
      </c>
      <c r="C10378" t="str">
        <f>HYPERLINK("https://nematode.unl.edu/tystri2.jpg")</f>
        <v>https://nematode.unl.edu/tystri2.jpg</v>
      </c>
      <c r="D10378" t="s">
        <v>77</v>
      </c>
      <c r="G10378" t="s">
        <v>96</v>
      </c>
      <c r="H10378" t="s">
        <v>18</v>
      </c>
      <c r="I10378" t="s">
        <v>137</v>
      </c>
      <c r="M10378" t="s">
        <v>11599</v>
      </c>
      <c r="N10378" t="s">
        <v>11599</v>
      </c>
      <c r="O10378" t="s">
        <v>73</v>
      </c>
      <c r="P10378" t="s">
        <v>81</v>
      </c>
      <c r="Q10378" t="s">
        <v>952</v>
      </c>
      <c r="R10378" t="s">
        <v>11517</v>
      </c>
    </row>
    <row r="10379" spans="1:18" x14ac:dyDescent="0.25">
      <c r="A10379" t="s">
        <v>22096</v>
      </c>
      <c r="B10379" t="s">
        <v>11628</v>
      </c>
      <c r="C10379" t="str">
        <f>HYPERLINK("https://nematode.unl.edu/tystri3.jpg")</f>
        <v>https://nematode.unl.edu/tystri3.jpg</v>
      </c>
      <c r="D10379" t="s">
        <v>77</v>
      </c>
      <c r="G10379" t="s">
        <v>181</v>
      </c>
      <c r="I10379" t="s">
        <v>137</v>
      </c>
      <c r="M10379" t="s">
        <v>11599</v>
      </c>
      <c r="N10379" t="s">
        <v>11599</v>
      </c>
      <c r="O10379" t="s">
        <v>73</v>
      </c>
      <c r="P10379" t="s">
        <v>81</v>
      </c>
      <c r="Q10379" t="s">
        <v>952</v>
      </c>
      <c r="R10379" t="s">
        <v>11517</v>
      </c>
    </row>
    <row r="10380" spans="1:18" x14ac:dyDescent="0.25">
      <c r="A10380" t="s">
        <v>22078</v>
      </c>
      <c r="B10380" t="s">
        <v>11629</v>
      </c>
      <c r="C10380" t="str">
        <f>HYPERLINK("https://nematode.unl.edu/tystri4.jpg")</f>
        <v>https://nematode.unl.edu/tystri4.jpg</v>
      </c>
      <c r="D10380" t="s">
        <v>77</v>
      </c>
      <c r="G10380" t="s">
        <v>96</v>
      </c>
      <c r="H10380" t="s">
        <v>18</v>
      </c>
      <c r="I10380" t="s">
        <v>19</v>
      </c>
      <c r="M10380" t="s">
        <v>11599</v>
      </c>
      <c r="N10380" t="s">
        <v>11599</v>
      </c>
      <c r="O10380" t="s">
        <v>73</v>
      </c>
      <c r="P10380" t="s">
        <v>81</v>
      </c>
      <c r="Q10380" t="s">
        <v>952</v>
      </c>
      <c r="R10380" t="s">
        <v>11517</v>
      </c>
    </row>
    <row r="10381" spans="1:18" x14ac:dyDescent="0.25">
      <c r="A10381" t="s">
        <v>22097</v>
      </c>
      <c r="B10381" t="s">
        <v>11630</v>
      </c>
      <c r="C10381" t="str">
        <f>HYPERLINK("https://nematode.unl.edu/tystri5.jpg")</f>
        <v>https://nematode.unl.edu/tystri5.jpg</v>
      </c>
      <c r="D10381" t="s">
        <v>77</v>
      </c>
      <c r="G10381" t="s">
        <v>11631</v>
      </c>
      <c r="I10381" t="s">
        <v>516</v>
      </c>
      <c r="J10381" t="s">
        <v>1292</v>
      </c>
      <c r="L10381" t="s">
        <v>11626</v>
      </c>
      <c r="M10381" t="s">
        <v>11599</v>
      </c>
      <c r="N10381" t="s">
        <v>11599</v>
      </c>
      <c r="O10381" t="s">
        <v>73</v>
      </c>
      <c r="P10381" t="s">
        <v>81</v>
      </c>
      <c r="Q10381" t="s">
        <v>952</v>
      </c>
      <c r="R10381" t="s">
        <v>11517</v>
      </c>
    </row>
    <row r="10382" spans="1:18" x14ac:dyDescent="0.25">
      <c r="A10382" t="s">
        <v>22089</v>
      </c>
      <c r="B10382" t="s">
        <v>11632</v>
      </c>
      <c r="C10382" t="str">
        <f>HYPERLINK("https://nematode.unl.edu/tystri6.jpg")</f>
        <v>https://nematode.unl.edu/tystri6.jpg</v>
      </c>
      <c r="D10382" t="s">
        <v>77</v>
      </c>
      <c r="G10382" t="s">
        <v>34</v>
      </c>
      <c r="H10382" t="s">
        <v>18</v>
      </c>
      <c r="I10382" t="s">
        <v>41</v>
      </c>
      <c r="J10382" t="s">
        <v>1292</v>
      </c>
      <c r="M10382" t="s">
        <v>11599</v>
      </c>
      <c r="N10382" t="s">
        <v>11599</v>
      </c>
      <c r="O10382" t="s">
        <v>73</v>
      </c>
      <c r="P10382" t="s">
        <v>81</v>
      </c>
      <c r="Q10382" t="s">
        <v>952</v>
      </c>
      <c r="R10382" t="s">
        <v>11517</v>
      </c>
    </row>
    <row r="10383" spans="1:18" x14ac:dyDescent="0.25">
      <c r="A10383" t="s">
        <v>22079</v>
      </c>
      <c r="B10383" t="s">
        <v>11633</v>
      </c>
      <c r="C10383" t="str">
        <f>HYPERLINK("https://nematode.unl.edu/tystri7.jpg")</f>
        <v>https://nematode.unl.edu/tystri7.jpg</v>
      </c>
      <c r="D10383" t="s">
        <v>77</v>
      </c>
      <c r="G10383" t="s">
        <v>17</v>
      </c>
      <c r="H10383" t="s">
        <v>18</v>
      </c>
      <c r="I10383" t="s">
        <v>41</v>
      </c>
      <c r="M10383" t="s">
        <v>11599</v>
      </c>
      <c r="N10383" t="s">
        <v>11599</v>
      </c>
      <c r="O10383" t="s">
        <v>73</v>
      </c>
      <c r="P10383" t="s">
        <v>81</v>
      </c>
      <c r="Q10383" t="s">
        <v>952</v>
      </c>
      <c r="R10383" t="s">
        <v>11517</v>
      </c>
    </row>
    <row r="10384" spans="1:18" x14ac:dyDescent="0.25">
      <c r="A10384" t="s">
        <v>22102</v>
      </c>
      <c r="B10384" t="s">
        <v>11634</v>
      </c>
      <c r="C10384" t="str">
        <f>HYPERLINK("https://nematode.unl.edu/tystri8.jpg")</f>
        <v>https://nematode.unl.edu/tystri8.jpg</v>
      </c>
      <c r="D10384" t="s">
        <v>77</v>
      </c>
      <c r="G10384" t="s">
        <v>28</v>
      </c>
      <c r="M10384" t="s">
        <v>11599</v>
      </c>
      <c r="N10384" t="s">
        <v>11599</v>
      </c>
      <c r="O10384" t="s">
        <v>73</v>
      </c>
      <c r="P10384" t="s">
        <v>81</v>
      </c>
      <c r="Q10384" t="s">
        <v>952</v>
      </c>
      <c r="R10384" t="s">
        <v>11517</v>
      </c>
    </row>
    <row r="10385" spans="1:18" x14ac:dyDescent="0.25">
      <c r="A10385" t="s">
        <v>21886</v>
      </c>
      <c r="B10385" t="s">
        <v>11700</v>
      </c>
      <c r="C10385" t="str">
        <f>HYPERLINK("https://nematode.unl.edu/tyter1.jpg")</f>
        <v>https://nematode.unl.edu/tyter1.jpg</v>
      </c>
      <c r="D10385" t="s">
        <v>43</v>
      </c>
      <c r="G10385" t="s">
        <v>34</v>
      </c>
      <c r="H10385" t="s">
        <v>18</v>
      </c>
      <c r="I10385" t="s">
        <v>41</v>
      </c>
      <c r="J10385" t="s">
        <v>20</v>
      </c>
      <c r="L10385" t="s">
        <v>64</v>
      </c>
      <c r="M10385" t="s">
        <v>11701</v>
      </c>
      <c r="N10385" t="s">
        <v>11701</v>
      </c>
      <c r="O10385" t="s">
        <v>73</v>
      </c>
      <c r="P10385" t="s">
        <v>81</v>
      </c>
      <c r="Q10385" t="s">
        <v>82</v>
      </c>
      <c r="R10385" t="s">
        <v>11637</v>
      </c>
    </row>
    <row r="10386" spans="1:18" x14ac:dyDescent="0.25">
      <c r="A10386" t="s">
        <v>21891</v>
      </c>
      <c r="B10386" t="s">
        <v>11702</v>
      </c>
      <c r="C10386" t="str">
        <f>HYPERLINK("https://nematode.unl.edu/tyter2.jpg")</f>
        <v>https://nematode.unl.edu/tyter2.jpg</v>
      </c>
      <c r="D10386" t="s">
        <v>43</v>
      </c>
      <c r="G10386" t="s">
        <v>28</v>
      </c>
      <c r="J10386" t="s">
        <v>20</v>
      </c>
      <c r="L10386" t="s">
        <v>64</v>
      </c>
      <c r="M10386" t="s">
        <v>11701</v>
      </c>
      <c r="N10386" t="s">
        <v>11701</v>
      </c>
      <c r="O10386" t="s">
        <v>73</v>
      </c>
      <c r="P10386" t="s">
        <v>81</v>
      </c>
      <c r="Q10386" t="s">
        <v>82</v>
      </c>
      <c r="R10386" t="s">
        <v>11637</v>
      </c>
    </row>
    <row r="10387" spans="1:18" x14ac:dyDescent="0.25">
      <c r="A10387" t="s">
        <v>21893</v>
      </c>
      <c r="B10387" t="s">
        <v>11703</v>
      </c>
      <c r="C10387" t="str">
        <f>HYPERLINK("https://nematode.unl.edu/tyter3.jpg")</f>
        <v>https://nematode.unl.edu/tyter3.jpg</v>
      </c>
      <c r="D10387" t="s">
        <v>43</v>
      </c>
      <c r="G10387" t="s">
        <v>51</v>
      </c>
      <c r="I10387" t="s">
        <v>529</v>
      </c>
      <c r="J10387" t="s">
        <v>20</v>
      </c>
      <c r="L10387" t="s">
        <v>193</v>
      </c>
      <c r="M10387" t="s">
        <v>11701</v>
      </c>
      <c r="N10387" t="s">
        <v>11701</v>
      </c>
      <c r="O10387" t="s">
        <v>73</v>
      </c>
      <c r="P10387" t="s">
        <v>81</v>
      </c>
      <c r="Q10387" t="s">
        <v>82</v>
      </c>
      <c r="R10387" t="s">
        <v>11637</v>
      </c>
    </row>
    <row r="10388" spans="1:18" x14ac:dyDescent="0.25">
      <c r="A10388" t="s">
        <v>21889</v>
      </c>
      <c r="B10388" t="s">
        <v>11704</v>
      </c>
      <c r="C10388" t="str">
        <f>HYPERLINK("https://nematode.unl.edu/tyter4.jpg")</f>
        <v>https://nematode.unl.edu/tyter4.jpg</v>
      </c>
      <c r="D10388" t="s">
        <v>43</v>
      </c>
      <c r="G10388" t="s">
        <v>87</v>
      </c>
      <c r="I10388" t="s">
        <v>529</v>
      </c>
      <c r="J10388" t="s">
        <v>20</v>
      </c>
      <c r="L10388" t="s">
        <v>193</v>
      </c>
      <c r="M10388" t="s">
        <v>11701</v>
      </c>
      <c r="N10388" t="s">
        <v>11701</v>
      </c>
      <c r="O10388" t="s">
        <v>73</v>
      </c>
      <c r="P10388" t="s">
        <v>81</v>
      </c>
      <c r="Q10388" t="s">
        <v>82</v>
      </c>
      <c r="R10388" t="s">
        <v>11637</v>
      </c>
    </row>
    <row r="10389" spans="1:18" x14ac:dyDescent="0.25">
      <c r="A10389" t="s">
        <v>21892</v>
      </c>
      <c r="B10389" t="s">
        <v>11705</v>
      </c>
      <c r="C10389" t="str">
        <f>HYPERLINK("https://nematode.unl.edu/tyter5.jpg")</f>
        <v>https://nematode.unl.edu/tyter5.jpg</v>
      </c>
      <c r="D10389" t="s">
        <v>43</v>
      </c>
      <c r="G10389" t="s">
        <v>28</v>
      </c>
      <c r="I10389" t="s">
        <v>19</v>
      </c>
      <c r="J10389" t="s">
        <v>20</v>
      </c>
      <c r="M10389" t="s">
        <v>11701</v>
      </c>
      <c r="N10389" t="s">
        <v>11701</v>
      </c>
      <c r="O10389" t="s">
        <v>73</v>
      </c>
      <c r="P10389" t="s">
        <v>81</v>
      </c>
      <c r="Q10389" t="s">
        <v>82</v>
      </c>
      <c r="R10389" t="s">
        <v>11637</v>
      </c>
    </row>
    <row r="10390" spans="1:18" x14ac:dyDescent="0.25">
      <c r="A10390" t="s">
        <v>21894</v>
      </c>
      <c r="B10390" t="s">
        <v>11706</v>
      </c>
      <c r="C10390" t="str">
        <f>HYPERLINK("https://nematode.unl.edu/tyter6.jpg")</f>
        <v>https://nematode.unl.edu/tyter6.jpg</v>
      </c>
      <c r="D10390" t="s">
        <v>43</v>
      </c>
      <c r="G10390" t="s">
        <v>51</v>
      </c>
      <c r="J10390" t="s">
        <v>20</v>
      </c>
      <c r="M10390" t="s">
        <v>11701</v>
      </c>
      <c r="N10390" t="s">
        <v>11701</v>
      </c>
      <c r="O10390" t="s">
        <v>73</v>
      </c>
      <c r="P10390" t="s">
        <v>81</v>
      </c>
      <c r="Q10390" t="s">
        <v>82</v>
      </c>
      <c r="R10390" t="s">
        <v>11637</v>
      </c>
    </row>
    <row r="10391" spans="1:18" x14ac:dyDescent="0.25">
      <c r="A10391" t="s">
        <v>21890</v>
      </c>
      <c r="B10391" t="s">
        <v>11707</v>
      </c>
      <c r="C10391" t="str">
        <f>HYPERLINK("https://nematode.unl.edu/tyter7.jpg")</f>
        <v>https://nematode.unl.edu/tyter7.jpg</v>
      </c>
      <c r="D10391" t="s">
        <v>43</v>
      </c>
      <c r="G10391" t="s">
        <v>87</v>
      </c>
      <c r="I10391" t="s">
        <v>19</v>
      </c>
      <c r="J10391" t="s">
        <v>20</v>
      </c>
      <c r="M10391" t="s">
        <v>11701</v>
      </c>
      <c r="N10391" t="s">
        <v>11701</v>
      </c>
      <c r="O10391" t="s">
        <v>73</v>
      </c>
      <c r="P10391" t="s">
        <v>81</v>
      </c>
      <c r="Q10391" t="s">
        <v>82</v>
      </c>
      <c r="R10391" t="s">
        <v>11637</v>
      </c>
    </row>
    <row r="10392" spans="1:18" x14ac:dyDescent="0.25">
      <c r="A10392" t="s">
        <v>21887</v>
      </c>
      <c r="B10392" t="s">
        <v>11708</v>
      </c>
      <c r="C10392" t="str">
        <f>HYPERLINK("https://nematode.unl.edu/tyter8.jpg")</f>
        <v>https://nematode.unl.edu/tyter8.jpg</v>
      </c>
      <c r="G10392" t="s">
        <v>34</v>
      </c>
      <c r="H10392" t="s">
        <v>18</v>
      </c>
      <c r="I10392" t="s">
        <v>19</v>
      </c>
      <c r="J10392" t="s">
        <v>20</v>
      </c>
      <c r="L10392" t="s">
        <v>85</v>
      </c>
      <c r="M10392" t="s">
        <v>11701</v>
      </c>
      <c r="N10392" t="s">
        <v>11701</v>
      </c>
      <c r="O10392" t="s">
        <v>73</v>
      </c>
      <c r="P10392" t="s">
        <v>81</v>
      </c>
      <c r="Q10392" t="s">
        <v>82</v>
      </c>
      <c r="R10392" t="s">
        <v>11637</v>
      </c>
    </row>
    <row r="10393" spans="1:18" x14ac:dyDescent="0.25">
      <c r="A10393" t="s">
        <v>21888</v>
      </c>
      <c r="B10393" t="s">
        <v>11709</v>
      </c>
      <c r="C10393" t="str">
        <f>HYPERLINK("https://nematode.unl.edu/tyter9.jpg")</f>
        <v>https://nematode.unl.edu/tyter9.jpg</v>
      </c>
      <c r="D10393" t="s">
        <v>43</v>
      </c>
      <c r="G10393" t="s">
        <v>34</v>
      </c>
      <c r="H10393" t="s">
        <v>18</v>
      </c>
      <c r="I10393" t="s">
        <v>41</v>
      </c>
      <c r="J10393" t="s">
        <v>20</v>
      </c>
      <c r="L10393" t="s">
        <v>85</v>
      </c>
      <c r="M10393" t="s">
        <v>11701</v>
      </c>
      <c r="N10393" t="s">
        <v>11701</v>
      </c>
      <c r="O10393" t="s">
        <v>73</v>
      </c>
      <c r="P10393" t="s">
        <v>81</v>
      </c>
      <c r="Q10393" t="s">
        <v>82</v>
      </c>
      <c r="R10393" t="s">
        <v>11637</v>
      </c>
    </row>
    <row r="10394" spans="1:18" x14ac:dyDescent="0.25">
      <c r="A10394" t="s">
        <v>22830</v>
      </c>
      <c r="B10394" t="s">
        <v>12152</v>
      </c>
      <c r="C10394" t="str">
        <f>HYPERLINK("https://nematode.unl.edu/UNL-Nemalogo.jpg")</f>
        <v>https://nematode.unl.edu/UNL-Nemalogo.jpg</v>
      </c>
    </row>
    <row r="10395" spans="1:18" x14ac:dyDescent="0.25">
      <c r="A10395" t="s">
        <v>21927</v>
      </c>
      <c r="B10395" t="s">
        <v>11839</v>
      </c>
      <c r="C10395" t="str">
        <f>HYPERLINK("https://nematode.unl.edu/willin1.jpg")</f>
        <v>https://nematode.unl.edu/willin1.jpg</v>
      </c>
      <c r="D10395" t="s">
        <v>16</v>
      </c>
      <c r="G10395" t="s">
        <v>34</v>
      </c>
      <c r="H10395" t="s">
        <v>18</v>
      </c>
      <c r="I10395" t="s">
        <v>19</v>
      </c>
      <c r="J10395" t="s">
        <v>267</v>
      </c>
      <c r="M10395" t="s">
        <v>11840</v>
      </c>
      <c r="N10395" t="s">
        <v>11840</v>
      </c>
      <c r="O10395" t="s">
        <v>73</v>
      </c>
      <c r="P10395" t="s">
        <v>81</v>
      </c>
      <c r="Q10395" t="s">
        <v>3842</v>
      </c>
      <c r="R10395" t="s">
        <v>11840</v>
      </c>
    </row>
    <row r="10396" spans="1:18" x14ac:dyDescent="0.25">
      <c r="A10396" t="s">
        <v>21928</v>
      </c>
      <c r="B10396" t="s">
        <v>11841</v>
      </c>
      <c r="C10396" t="str">
        <f>HYPERLINK("https://nematode.unl.edu/willin2.jpg")</f>
        <v>https://nematode.unl.edu/willin2.jpg</v>
      </c>
      <c r="D10396" t="s">
        <v>16</v>
      </c>
      <c r="G10396" t="s">
        <v>28</v>
      </c>
      <c r="I10396" t="s">
        <v>19</v>
      </c>
      <c r="J10396" t="s">
        <v>267</v>
      </c>
      <c r="M10396" t="s">
        <v>11840</v>
      </c>
      <c r="N10396" t="s">
        <v>11840</v>
      </c>
      <c r="O10396" t="s">
        <v>73</v>
      </c>
      <c r="P10396" t="s">
        <v>81</v>
      </c>
      <c r="Q10396" t="s">
        <v>3842</v>
      </c>
      <c r="R10396" t="s">
        <v>11840</v>
      </c>
    </row>
    <row r="10397" spans="1:18" x14ac:dyDescent="0.25">
      <c r="A10397" t="s">
        <v>12695</v>
      </c>
      <c r="B10397" t="s">
        <v>11842</v>
      </c>
      <c r="C10397" t="str">
        <f>HYPERLINK("https://nematode.unl.edu/wilson1.jpg")</f>
        <v>https://nematode.unl.edu/wilson1.jpg</v>
      </c>
      <c r="D10397" t="s">
        <v>16</v>
      </c>
      <c r="G10397" t="s">
        <v>34</v>
      </c>
      <c r="H10397" t="s">
        <v>18</v>
      </c>
      <c r="I10397" t="s">
        <v>41</v>
      </c>
      <c r="L10397" t="s">
        <v>64</v>
      </c>
      <c r="M10397" t="s">
        <v>11843</v>
      </c>
      <c r="N10397" t="s">
        <v>11843</v>
      </c>
      <c r="O10397" t="s">
        <v>23</v>
      </c>
      <c r="P10397" t="s">
        <v>1649</v>
      </c>
      <c r="Q10397" t="s">
        <v>1650</v>
      </c>
      <c r="R10397" t="s">
        <v>11843</v>
      </c>
    </row>
    <row r="10398" spans="1:18" x14ac:dyDescent="0.25">
      <c r="A10398" t="s">
        <v>12711</v>
      </c>
      <c r="B10398" t="s">
        <v>11844</v>
      </c>
      <c r="C10398" t="str">
        <f>HYPERLINK("https://nematode.unl.edu/wilson10.jpg")</f>
        <v>https://nematode.unl.edu/wilson10.jpg</v>
      </c>
      <c r="D10398" t="s">
        <v>16</v>
      </c>
      <c r="G10398" t="s">
        <v>28</v>
      </c>
      <c r="J10398" t="s">
        <v>20</v>
      </c>
      <c r="L10398" t="s">
        <v>64</v>
      </c>
      <c r="M10398" t="s">
        <v>11843</v>
      </c>
      <c r="N10398" t="s">
        <v>11843</v>
      </c>
      <c r="O10398" t="s">
        <v>23</v>
      </c>
      <c r="P10398" t="s">
        <v>1649</v>
      </c>
      <c r="Q10398" t="s">
        <v>1650</v>
      </c>
      <c r="R10398" t="s">
        <v>11843</v>
      </c>
    </row>
    <row r="10399" spans="1:18" x14ac:dyDescent="0.25">
      <c r="A10399" t="s">
        <v>12696</v>
      </c>
      <c r="B10399" t="s">
        <v>11845</v>
      </c>
      <c r="C10399" t="str">
        <f>HYPERLINK("https://nematode.unl.edu/wilson11.jpg")</f>
        <v>https://nematode.unl.edu/wilson11.jpg</v>
      </c>
      <c r="D10399" t="s">
        <v>16</v>
      </c>
      <c r="G10399" t="s">
        <v>34</v>
      </c>
      <c r="H10399" t="s">
        <v>18</v>
      </c>
      <c r="I10399" t="s">
        <v>19</v>
      </c>
      <c r="J10399" t="s">
        <v>20</v>
      </c>
      <c r="L10399" t="s">
        <v>64</v>
      </c>
      <c r="M10399" t="s">
        <v>11843</v>
      </c>
      <c r="N10399" t="s">
        <v>11843</v>
      </c>
      <c r="O10399" t="s">
        <v>23</v>
      </c>
      <c r="P10399" t="s">
        <v>1649</v>
      </c>
      <c r="Q10399" t="s">
        <v>1650</v>
      </c>
      <c r="R10399" t="s">
        <v>11843</v>
      </c>
    </row>
    <row r="10400" spans="1:18" x14ac:dyDescent="0.25">
      <c r="A10400" t="s">
        <v>12697</v>
      </c>
      <c r="B10400" t="s">
        <v>11846</v>
      </c>
      <c r="C10400" t="str">
        <f>HYPERLINK("https://nematode.unl.edu/wilson12.jpg")</f>
        <v>https://nematode.unl.edu/wilson12.jpg</v>
      </c>
      <c r="D10400" t="s">
        <v>16</v>
      </c>
      <c r="G10400" t="s">
        <v>34</v>
      </c>
      <c r="H10400" t="s">
        <v>18</v>
      </c>
      <c r="I10400" t="s">
        <v>41</v>
      </c>
      <c r="J10400" t="s">
        <v>20</v>
      </c>
      <c r="L10400" t="s">
        <v>64</v>
      </c>
      <c r="M10400" t="s">
        <v>11843</v>
      </c>
      <c r="N10400" t="s">
        <v>11843</v>
      </c>
      <c r="O10400" t="s">
        <v>23</v>
      </c>
      <c r="P10400" t="s">
        <v>1649</v>
      </c>
      <c r="Q10400" t="s">
        <v>1650</v>
      </c>
      <c r="R10400" t="s">
        <v>11843</v>
      </c>
    </row>
    <row r="10401" spans="1:18" x14ac:dyDescent="0.25">
      <c r="A10401" t="s">
        <v>12698</v>
      </c>
      <c r="B10401" t="s">
        <v>11847</v>
      </c>
      <c r="C10401" t="str">
        <f>HYPERLINK("https://nematode.unl.edu/wilson13.jpg")</f>
        <v>https://nematode.unl.edu/wilson13.jpg</v>
      </c>
      <c r="D10401" t="s">
        <v>16</v>
      </c>
      <c r="G10401" t="s">
        <v>34</v>
      </c>
      <c r="H10401" t="s">
        <v>18</v>
      </c>
      <c r="I10401" t="s">
        <v>19</v>
      </c>
      <c r="J10401" t="s">
        <v>20</v>
      </c>
      <c r="L10401" t="s">
        <v>64</v>
      </c>
      <c r="M10401" t="s">
        <v>11843</v>
      </c>
      <c r="N10401" t="s">
        <v>11843</v>
      </c>
      <c r="O10401" t="s">
        <v>23</v>
      </c>
      <c r="P10401" t="s">
        <v>1649</v>
      </c>
      <c r="Q10401" t="s">
        <v>1650</v>
      </c>
      <c r="R10401" t="s">
        <v>11843</v>
      </c>
    </row>
    <row r="10402" spans="1:18" x14ac:dyDescent="0.25">
      <c r="A10402" t="s">
        <v>12712</v>
      </c>
      <c r="B10402" t="s">
        <v>11848</v>
      </c>
      <c r="C10402" t="str">
        <f>HYPERLINK("https://nematode.unl.edu/wilson14.jpg")</f>
        <v>https://nematode.unl.edu/wilson14.jpg</v>
      </c>
      <c r="G10402" t="s">
        <v>28</v>
      </c>
      <c r="J10402" t="s">
        <v>20</v>
      </c>
      <c r="L10402" t="s">
        <v>64</v>
      </c>
      <c r="M10402" t="s">
        <v>11843</v>
      </c>
      <c r="N10402" t="s">
        <v>11843</v>
      </c>
      <c r="O10402" t="s">
        <v>23</v>
      </c>
      <c r="P10402" t="s">
        <v>1649</v>
      </c>
      <c r="Q10402" t="s">
        <v>1650</v>
      </c>
      <c r="R10402" t="s">
        <v>11843</v>
      </c>
    </row>
    <row r="10403" spans="1:18" x14ac:dyDescent="0.25">
      <c r="A10403" t="s">
        <v>12699</v>
      </c>
      <c r="B10403" t="s">
        <v>11849</v>
      </c>
      <c r="C10403" t="str">
        <f>HYPERLINK("https://nematode.unl.edu/wilson15.jpg")</f>
        <v>https://nematode.unl.edu/wilson15.jpg</v>
      </c>
      <c r="D10403" t="s">
        <v>16</v>
      </c>
      <c r="G10403" t="s">
        <v>34</v>
      </c>
      <c r="H10403" t="s">
        <v>18</v>
      </c>
      <c r="I10403" t="s">
        <v>41</v>
      </c>
      <c r="J10403" t="s">
        <v>20</v>
      </c>
      <c r="L10403" t="s">
        <v>64</v>
      </c>
      <c r="M10403" t="s">
        <v>11843</v>
      </c>
      <c r="N10403" t="s">
        <v>11843</v>
      </c>
      <c r="O10403" t="s">
        <v>23</v>
      </c>
      <c r="P10403" t="s">
        <v>1649</v>
      </c>
      <c r="Q10403" t="s">
        <v>1650</v>
      </c>
      <c r="R10403" t="s">
        <v>11843</v>
      </c>
    </row>
    <row r="10404" spans="1:18" x14ac:dyDescent="0.25">
      <c r="A10404" t="s">
        <v>12700</v>
      </c>
      <c r="B10404" t="s">
        <v>11850</v>
      </c>
      <c r="C10404" t="str">
        <f>HYPERLINK("https://nematode.unl.edu/wilson16.jpg")</f>
        <v>https://nematode.unl.edu/wilson16.jpg</v>
      </c>
      <c r="D10404" t="s">
        <v>16</v>
      </c>
      <c r="G10404" t="s">
        <v>34</v>
      </c>
      <c r="H10404" t="s">
        <v>18</v>
      </c>
      <c r="I10404" t="s">
        <v>41</v>
      </c>
      <c r="J10404" t="s">
        <v>20</v>
      </c>
      <c r="L10404" t="s">
        <v>64</v>
      </c>
      <c r="M10404" t="s">
        <v>11843</v>
      </c>
      <c r="N10404" t="s">
        <v>11843</v>
      </c>
      <c r="O10404" t="s">
        <v>23</v>
      </c>
      <c r="P10404" t="s">
        <v>1649</v>
      </c>
      <c r="Q10404" t="s">
        <v>1650</v>
      </c>
      <c r="R10404" t="s">
        <v>11843</v>
      </c>
    </row>
    <row r="10405" spans="1:18" x14ac:dyDescent="0.25">
      <c r="A10405" t="s">
        <v>12701</v>
      </c>
      <c r="B10405" t="s">
        <v>11851</v>
      </c>
      <c r="C10405" t="str">
        <f>HYPERLINK("https://nematode.unl.edu/wilson17.jpg")</f>
        <v>https://nematode.unl.edu/wilson17.jpg</v>
      </c>
      <c r="D10405" t="s">
        <v>16</v>
      </c>
      <c r="G10405" t="s">
        <v>34</v>
      </c>
      <c r="H10405" t="s">
        <v>18</v>
      </c>
      <c r="I10405" t="s">
        <v>41</v>
      </c>
      <c r="J10405" t="s">
        <v>20</v>
      </c>
      <c r="M10405" t="s">
        <v>11843</v>
      </c>
      <c r="N10405" t="s">
        <v>11843</v>
      </c>
      <c r="O10405" t="s">
        <v>23</v>
      </c>
      <c r="P10405" t="s">
        <v>1649</v>
      </c>
      <c r="Q10405" t="s">
        <v>1650</v>
      </c>
      <c r="R10405" t="s">
        <v>11843</v>
      </c>
    </row>
    <row r="10406" spans="1:18" x14ac:dyDescent="0.25">
      <c r="A10406" t="s">
        <v>12702</v>
      </c>
      <c r="B10406" t="s">
        <v>11852</v>
      </c>
      <c r="C10406" t="str">
        <f>HYPERLINK("https://nematode.unl.edu/wilson18.jpg")</f>
        <v>https://nematode.unl.edu/wilson18.jpg</v>
      </c>
      <c r="D10406" t="s">
        <v>43</v>
      </c>
      <c r="G10406" t="s">
        <v>34</v>
      </c>
      <c r="H10406" t="s">
        <v>18</v>
      </c>
      <c r="M10406" t="s">
        <v>11843</v>
      </c>
      <c r="N10406" t="s">
        <v>11843</v>
      </c>
      <c r="O10406" t="s">
        <v>23</v>
      </c>
      <c r="P10406" t="s">
        <v>1649</v>
      </c>
      <c r="Q10406" t="s">
        <v>1650</v>
      </c>
      <c r="R10406" t="s">
        <v>11843</v>
      </c>
    </row>
    <row r="10407" spans="1:18" x14ac:dyDescent="0.25">
      <c r="A10407" t="s">
        <v>12716</v>
      </c>
      <c r="B10407" t="s">
        <v>11853</v>
      </c>
      <c r="C10407" t="str">
        <f>HYPERLINK("https://nematode.unl.edu/wilson19.jpg")</f>
        <v>https://nematode.unl.edu/wilson19.jpg</v>
      </c>
      <c r="D10407" t="s">
        <v>43</v>
      </c>
      <c r="G10407" t="s">
        <v>51</v>
      </c>
      <c r="I10407" t="s">
        <v>516</v>
      </c>
      <c r="J10407" t="s">
        <v>20</v>
      </c>
      <c r="L10407" t="s">
        <v>29</v>
      </c>
      <c r="M10407" t="s">
        <v>11843</v>
      </c>
      <c r="N10407" t="s">
        <v>11843</v>
      </c>
      <c r="O10407" t="s">
        <v>23</v>
      </c>
      <c r="P10407" t="s">
        <v>1649</v>
      </c>
      <c r="Q10407" t="s">
        <v>1650</v>
      </c>
      <c r="R10407" t="s">
        <v>11843</v>
      </c>
    </row>
    <row r="10408" spans="1:18" x14ac:dyDescent="0.25">
      <c r="A10408" t="s">
        <v>12708</v>
      </c>
      <c r="B10408" t="s">
        <v>11854</v>
      </c>
      <c r="C10408" t="str">
        <f>HYPERLINK("https://nematode.unl.edu/wilson2.jpg")</f>
        <v>https://nematode.unl.edu/wilson2.jpg</v>
      </c>
      <c r="D10408" t="s">
        <v>16</v>
      </c>
      <c r="G10408" t="s">
        <v>44</v>
      </c>
      <c r="I10408" t="s">
        <v>45</v>
      </c>
      <c r="J10408" t="s">
        <v>20</v>
      </c>
      <c r="L10408" t="s">
        <v>85</v>
      </c>
      <c r="M10408" t="s">
        <v>11843</v>
      </c>
      <c r="N10408" t="s">
        <v>11843</v>
      </c>
      <c r="O10408" t="s">
        <v>23</v>
      </c>
      <c r="P10408" t="s">
        <v>1649</v>
      </c>
      <c r="Q10408" t="s">
        <v>1650</v>
      </c>
      <c r="R10408" t="s">
        <v>11843</v>
      </c>
    </row>
    <row r="10409" spans="1:18" x14ac:dyDescent="0.25">
      <c r="A10409" t="s">
        <v>12713</v>
      </c>
      <c r="B10409" t="s">
        <v>11855</v>
      </c>
      <c r="C10409" t="str">
        <f>HYPERLINK("https://nematode.unl.edu/wilson20.jpg")</f>
        <v>https://nematode.unl.edu/wilson20.jpg</v>
      </c>
      <c r="D10409" t="s">
        <v>43</v>
      </c>
      <c r="G10409" t="s">
        <v>28</v>
      </c>
      <c r="I10409" t="s">
        <v>19</v>
      </c>
      <c r="J10409" t="s">
        <v>20</v>
      </c>
      <c r="L10409" t="s">
        <v>29</v>
      </c>
      <c r="M10409" t="s">
        <v>11843</v>
      </c>
      <c r="N10409" t="s">
        <v>11843</v>
      </c>
      <c r="O10409" t="s">
        <v>23</v>
      </c>
      <c r="P10409" t="s">
        <v>1649</v>
      </c>
      <c r="Q10409" t="s">
        <v>1650</v>
      </c>
      <c r="R10409" t="s">
        <v>11843</v>
      </c>
    </row>
    <row r="10410" spans="1:18" x14ac:dyDescent="0.25">
      <c r="A10410" t="s">
        <v>12710</v>
      </c>
      <c r="B10410" t="s">
        <v>11856</v>
      </c>
      <c r="C10410" t="str">
        <f>HYPERLINK("https://nematode.unl.edu/wilson21.jpg")</f>
        <v>https://nematode.unl.edu/wilson21.jpg</v>
      </c>
      <c r="D10410" t="s">
        <v>43</v>
      </c>
      <c r="G10410" t="s">
        <v>53</v>
      </c>
      <c r="I10410" t="s">
        <v>41</v>
      </c>
      <c r="J10410" t="s">
        <v>20</v>
      </c>
      <c r="L10410" t="s">
        <v>29</v>
      </c>
      <c r="M10410" t="s">
        <v>11843</v>
      </c>
      <c r="N10410" t="s">
        <v>11843</v>
      </c>
      <c r="O10410" t="s">
        <v>23</v>
      </c>
      <c r="P10410" t="s">
        <v>1649</v>
      </c>
      <c r="Q10410" t="s">
        <v>1650</v>
      </c>
      <c r="R10410" t="s">
        <v>11843</v>
      </c>
    </row>
    <row r="10411" spans="1:18" x14ac:dyDescent="0.25">
      <c r="A10411" t="s">
        <v>12703</v>
      </c>
      <c r="B10411" t="s">
        <v>11857</v>
      </c>
      <c r="C10411" t="str">
        <f>HYPERLINK("https://nematode.unl.edu/wilson22.jpg")</f>
        <v>https://nematode.unl.edu/wilson22.jpg</v>
      </c>
      <c r="D10411" t="s">
        <v>43</v>
      </c>
      <c r="G10411" t="s">
        <v>34</v>
      </c>
      <c r="H10411" t="s">
        <v>18</v>
      </c>
      <c r="I10411" t="s">
        <v>41</v>
      </c>
      <c r="J10411" t="s">
        <v>20</v>
      </c>
      <c r="L10411" t="s">
        <v>29</v>
      </c>
      <c r="M10411" t="s">
        <v>11843</v>
      </c>
      <c r="N10411" t="s">
        <v>11843</v>
      </c>
      <c r="O10411" t="s">
        <v>23</v>
      </c>
      <c r="P10411" t="s">
        <v>1649</v>
      </c>
      <c r="Q10411" t="s">
        <v>1650</v>
      </c>
      <c r="R10411" t="s">
        <v>11843</v>
      </c>
    </row>
    <row r="10412" spans="1:18" x14ac:dyDescent="0.25">
      <c r="A10412" t="s">
        <v>12704</v>
      </c>
      <c r="B10412" t="s">
        <v>11858</v>
      </c>
      <c r="C10412" t="str">
        <f>HYPERLINK("https://nematode.unl.edu/wilson23.jpg")</f>
        <v>https://nematode.unl.edu/wilson23.jpg</v>
      </c>
      <c r="D10412" t="s">
        <v>43</v>
      </c>
      <c r="G10412" t="s">
        <v>34</v>
      </c>
      <c r="H10412" t="s">
        <v>18</v>
      </c>
      <c r="I10412" t="s">
        <v>41</v>
      </c>
      <c r="J10412" t="s">
        <v>20</v>
      </c>
      <c r="L10412" t="s">
        <v>85</v>
      </c>
      <c r="M10412" t="s">
        <v>11843</v>
      </c>
      <c r="N10412" t="s">
        <v>11843</v>
      </c>
      <c r="O10412" t="s">
        <v>23</v>
      </c>
      <c r="P10412" t="s">
        <v>1649</v>
      </c>
      <c r="Q10412" t="s">
        <v>1650</v>
      </c>
      <c r="R10412" t="s">
        <v>11843</v>
      </c>
    </row>
    <row r="10413" spans="1:18" x14ac:dyDescent="0.25">
      <c r="A10413" t="s">
        <v>12715</v>
      </c>
      <c r="B10413" t="s">
        <v>11859</v>
      </c>
      <c r="C10413" t="str">
        <f>HYPERLINK("https://nematode.unl.edu/wilson24.jpg")</f>
        <v>https://nematode.unl.edu/wilson24.jpg</v>
      </c>
      <c r="D10413" t="s">
        <v>43</v>
      </c>
      <c r="G10413" t="s">
        <v>422</v>
      </c>
      <c r="I10413" t="s">
        <v>41</v>
      </c>
      <c r="J10413" t="s">
        <v>20</v>
      </c>
      <c r="L10413" t="s">
        <v>85</v>
      </c>
      <c r="M10413" t="s">
        <v>11843</v>
      </c>
      <c r="N10413" t="s">
        <v>11843</v>
      </c>
      <c r="O10413" t="s">
        <v>23</v>
      </c>
      <c r="P10413" t="s">
        <v>1649</v>
      </c>
      <c r="Q10413" t="s">
        <v>1650</v>
      </c>
      <c r="R10413" t="s">
        <v>11843</v>
      </c>
    </row>
    <row r="10414" spans="1:18" x14ac:dyDescent="0.25">
      <c r="A10414" t="s">
        <v>12705</v>
      </c>
      <c r="B10414" t="s">
        <v>11860</v>
      </c>
      <c r="C10414" t="str">
        <f>HYPERLINK("https://nematode.unl.edu/wilson3.jpg")</f>
        <v>https://nematode.unl.edu/wilson3.jpg</v>
      </c>
      <c r="D10414" t="s">
        <v>16</v>
      </c>
      <c r="G10414" t="s">
        <v>34</v>
      </c>
      <c r="H10414" t="s">
        <v>18</v>
      </c>
      <c r="I10414" t="s">
        <v>19</v>
      </c>
      <c r="J10414" t="s">
        <v>20</v>
      </c>
      <c r="L10414" t="s">
        <v>85</v>
      </c>
      <c r="M10414" t="s">
        <v>11843</v>
      </c>
      <c r="N10414" t="s">
        <v>11843</v>
      </c>
      <c r="O10414" t="s">
        <v>23</v>
      </c>
      <c r="P10414" t="s">
        <v>1649</v>
      </c>
      <c r="Q10414" t="s">
        <v>1650</v>
      </c>
      <c r="R10414" t="s">
        <v>11843</v>
      </c>
    </row>
    <row r="10415" spans="1:18" x14ac:dyDescent="0.25">
      <c r="A10415" t="s">
        <v>12714</v>
      </c>
      <c r="B10415" t="s">
        <v>11861</v>
      </c>
      <c r="C10415" t="str">
        <f>HYPERLINK("https://nematode.unl.edu/wilson4.jpg")</f>
        <v>https://nematode.unl.edu/wilson4.jpg</v>
      </c>
      <c r="D10415" t="s">
        <v>16</v>
      </c>
      <c r="G10415" t="s">
        <v>28</v>
      </c>
      <c r="I10415" t="s">
        <v>529</v>
      </c>
      <c r="J10415" t="s">
        <v>20</v>
      </c>
      <c r="L10415" t="s">
        <v>85</v>
      </c>
      <c r="M10415" t="s">
        <v>11843</v>
      </c>
      <c r="N10415" t="s">
        <v>11843</v>
      </c>
      <c r="O10415" t="s">
        <v>23</v>
      </c>
      <c r="P10415" t="s">
        <v>1649</v>
      </c>
      <c r="Q10415" t="s">
        <v>1650</v>
      </c>
      <c r="R10415" t="s">
        <v>11843</v>
      </c>
    </row>
    <row r="10416" spans="1:18" x14ac:dyDescent="0.25">
      <c r="A10416" t="s">
        <v>12706</v>
      </c>
      <c r="B10416" t="s">
        <v>11862</v>
      </c>
      <c r="C10416" t="str">
        <f>HYPERLINK("https://nematode.unl.edu/wilson5.jpg")</f>
        <v>https://nematode.unl.edu/wilson5.jpg</v>
      </c>
      <c r="D10416" t="s">
        <v>16</v>
      </c>
      <c r="G10416" t="s">
        <v>34</v>
      </c>
      <c r="H10416" t="s">
        <v>18</v>
      </c>
      <c r="I10416" t="s">
        <v>19</v>
      </c>
      <c r="J10416" t="s">
        <v>20</v>
      </c>
      <c r="L10416" t="s">
        <v>85</v>
      </c>
      <c r="M10416" t="s">
        <v>11843</v>
      </c>
      <c r="N10416" t="s">
        <v>11843</v>
      </c>
      <c r="O10416" t="s">
        <v>23</v>
      </c>
      <c r="P10416" t="s">
        <v>1649</v>
      </c>
      <c r="Q10416" t="s">
        <v>1650</v>
      </c>
      <c r="R10416" t="s">
        <v>11843</v>
      </c>
    </row>
    <row r="10417" spans="1:18" x14ac:dyDescent="0.25">
      <c r="A10417" t="s">
        <v>12707</v>
      </c>
      <c r="B10417" t="s">
        <v>11863</v>
      </c>
      <c r="C10417" t="str">
        <f>HYPERLINK("https://nematode.unl.edu/wilson6.jpg")</f>
        <v>https://nematode.unl.edu/wilson6.jpg</v>
      </c>
      <c r="D10417" t="s">
        <v>16</v>
      </c>
      <c r="G10417" t="s">
        <v>34</v>
      </c>
      <c r="H10417" t="s">
        <v>18</v>
      </c>
      <c r="I10417" t="s">
        <v>41</v>
      </c>
      <c r="J10417" t="s">
        <v>20</v>
      </c>
      <c r="L10417" t="s">
        <v>85</v>
      </c>
      <c r="M10417" t="s">
        <v>11843</v>
      </c>
      <c r="N10417" t="s">
        <v>11843</v>
      </c>
      <c r="O10417" t="s">
        <v>23</v>
      </c>
      <c r="P10417" t="s">
        <v>1649</v>
      </c>
      <c r="Q10417" t="s">
        <v>1650</v>
      </c>
      <c r="R10417" t="s">
        <v>11843</v>
      </c>
    </row>
    <row r="10418" spans="1:18" x14ac:dyDescent="0.25">
      <c r="A10418" t="s">
        <v>12709</v>
      </c>
      <c r="B10418" t="s">
        <v>11864</v>
      </c>
      <c r="C10418" t="str">
        <f>HYPERLINK("https://nematode.unl.edu/wilson7.jpg")</f>
        <v>https://nematode.unl.edu/wilson7.jpg</v>
      </c>
      <c r="D10418" t="s">
        <v>43</v>
      </c>
      <c r="G10418" t="s">
        <v>44</v>
      </c>
      <c r="I10418" t="s">
        <v>45</v>
      </c>
      <c r="J10418" t="s">
        <v>20</v>
      </c>
      <c r="L10418" t="s">
        <v>29</v>
      </c>
      <c r="M10418" t="s">
        <v>11843</v>
      </c>
      <c r="N10418" t="s">
        <v>11843</v>
      </c>
      <c r="O10418" t="s">
        <v>23</v>
      </c>
      <c r="P10418" t="s">
        <v>1649</v>
      </c>
      <c r="Q10418" t="s">
        <v>1650</v>
      </c>
      <c r="R10418" t="s">
        <v>11843</v>
      </c>
    </row>
    <row r="10419" spans="1:18" x14ac:dyDescent="0.25">
      <c r="A10419" t="s">
        <v>20187</v>
      </c>
      <c r="B10419" t="s">
        <v>12080</v>
      </c>
      <c r="C10419" t="str">
        <f>HYPERLINK("https://nematode.unl.edu/xcost1.jpg")</f>
        <v>https://nematode.unl.edu/xcost1.jpg</v>
      </c>
      <c r="D10419" t="s">
        <v>43</v>
      </c>
      <c r="G10419" t="s">
        <v>44</v>
      </c>
      <c r="I10419" t="s">
        <v>19</v>
      </c>
      <c r="J10419" t="s">
        <v>1517</v>
      </c>
      <c r="L10419" t="s">
        <v>1526</v>
      </c>
      <c r="M10419" t="s">
        <v>12081</v>
      </c>
      <c r="N10419" t="s">
        <v>12081</v>
      </c>
      <c r="O10419" t="s">
        <v>73</v>
      </c>
      <c r="P10419" t="s">
        <v>81</v>
      </c>
      <c r="Q10419" t="s">
        <v>7077</v>
      </c>
      <c r="R10419" t="s">
        <v>12016</v>
      </c>
    </row>
    <row r="10420" spans="1:18" x14ac:dyDescent="0.25">
      <c r="A10420" t="s">
        <v>20190</v>
      </c>
      <c r="B10420" t="s">
        <v>12082</v>
      </c>
      <c r="C10420" t="str">
        <f>HYPERLINK("https://nematode.unl.edu/xcost10.jpg")</f>
        <v>https://nematode.unl.edu/xcost10.jpg</v>
      </c>
      <c r="D10420" t="s">
        <v>43</v>
      </c>
      <c r="G10420" t="s">
        <v>28</v>
      </c>
      <c r="I10420" t="s">
        <v>41</v>
      </c>
      <c r="J10420" t="s">
        <v>1517</v>
      </c>
      <c r="L10420" t="s">
        <v>1526</v>
      </c>
      <c r="M10420" t="s">
        <v>12081</v>
      </c>
      <c r="N10420" t="s">
        <v>12081</v>
      </c>
      <c r="O10420" t="s">
        <v>73</v>
      </c>
      <c r="P10420" t="s">
        <v>81</v>
      </c>
      <c r="Q10420" t="s">
        <v>7077</v>
      </c>
      <c r="R10420" t="s">
        <v>12016</v>
      </c>
    </row>
    <row r="10421" spans="1:18" x14ac:dyDescent="0.25">
      <c r="A10421" t="s">
        <v>20185</v>
      </c>
      <c r="B10421" t="s">
        <v>12083</v>
      </c>
      <c r="C10421" t="str">
        <f>HYPERLINK("https://nematode.unl.edu/xcost2.jpg")</f>
        <v>https://nematode.unl.edu/xcost2.jpg</v>
      </c>
      <c r="D10421" t="s">
        <v>77</v>
      </c>
      <c r="G10421" t="s">
        <v>34</v>
      </c>
      <c r="H10421" t="s">
        <v>18</v>
      </c>
      <c r="I10421" t="s">
        <v>41</v>
      </c>
      <c r="J10421" t="s">
        <v>1517</v>
      </c>
      <c r="L10421" t="s">
        <v>1526</v>
      </c>
      <c r="M10421" t="s">
        <v>12081</v>
      </c>
      <c r="N10421" t="s">
        <v>12081</v>
      </c>
      <c r="O10421" t="s">
        <v>73</v>
      </c>
      <c r="P10421" t="s">
        <v>81</v>
      </c>
      <c r="Q10421" t="s">
        <v>7077</v>
      </c>
      <c r="R10421" t="s">
        <v>12016</v>
      </c>
    </row>
    <row r="10422" spans="1:18" x14ac:dyDescent="0.25">
      <c r="A10422" t="s">
        <v>20183</v>
      </c>
      <c r="B10422" t="s">
        <v>12084</v>
      </c>
      <c r="C10422" t="str">
        <f>HYPERLINK("https://nematode.unl.edu/xcost3.jpg")</f>
        <v>https://nematode.unl.edu/xcost3.jpg</v>
      </c>
      <c r="D10422" t="s">
        <v>77</v>
      </c>
      <c r="G10422" t="s">
        <v>386</v>
      </c>
      <c r="H10422" t="s">
        <v>18</v>
      </c>
      <c r="I10422" t="s">
        <v>41</v>
      </c>
      <c r="J10422" t="s">
        <v>1517</v>
      </c>
      <c r="L10422" t="s">
        <v>1526</v>
      </c>
      <c r="M10422" t="s">
        <v>12081</v>
      </c>
      <c r="N10422" t="s">
        <v>12081</v>
      </c>
      <c r="O10422" t="s">
        <v>73</v>
      </c>
      <c r="P10422" t="s">
        <v>81</v>
      </c>
      <c r="Q10422" t="s">
        <v>7077</v>
      </c>
      <c r="R10422" t="s">
        <v>12016</v>
      </c>
    </row>
    <row r="10423" spans="1:18" x14ac:dyDescent="0.25">
      <c r="A10423" t="s">
        <v>20189</v>
      </c>
      <c r="B10423" t="s">
        <v>12085</v>
      </c>
      <c r="C10423" t="str">
        <f>HYPERLINK("https://nematode.unl.edu/xcost4.jpg")</f>
        <v>https://nematode.unl.edu/xcost4.jpg</v>
      </c>
      <c r="D10423" t="s">
        <v>43</v>
      </c>
      <c r="G10423" t="s">
        <v>1550</v>
      </c>
      <c r="I10423" t="s">
        <v>41</v>
      </c>
      <c r="J10423" t="s">
        <v>1517</v>
      </c>
      <c r="L10423" t="s">
        <v>1526</v>
      </c>
      <c r="M10423" t="s">
        <v>12081</v>
      </c>
      <c r="N10423" t="s">
        <v>12081</v>
      </c>
      <c r="O10423" t="s">
        <v>73</v>
      </c>
      <c r="P10423" t="s">
        <v>81</v>
      </c>
      <c r="Q10423" t="s">
        <v>7077</v>
      </c>
      <c r="R10423" t="s">
        <v>12016</v>
      </c>
    </row>
    <row r="10424" spans="1:18" x14ac:dyDescent="0.25">
      <c r="A10424" t="s">
        <v>20192</v>
      </c>
      <c r="B10424" t="s">
        <v>12086</v>
      </c>
      <c r="C10424" t="str">
        <f>HYPERLINK("https://nematode.unl.edu/xcost5.jpg")</f>
        <v>https://nematode.unl.edu/xcost5.jpg</v>
      </c>
      <c r="D10424" t="s">
        <v>43</v>
      </c>
      <c r="G10424" t="s">
        <v>51</v>
      </c>
      <c r="I10424" t="s">
        <v>41</v>
      </c>
      <c r="J10424" t="s">
        <v>1517</v>
      </c>
      <c r="L10424" t="s">
        <v>1526</v>
      </c>
      <c r="M10424" t="s">
        <v>12081</v>
      </c>
      <c r="N10424" t="s">
        <v>12081</v>
      </c>
      <c r="O10424" t="s">
        <v>73</v>
      </c>
      <c r="P10424" t="s">
        <v>81</v>
      </c>
      <c r="Q10424" t="s">
        <v>7077</v>
      </c>
      <c r="R10424" t="s">
        <v>12016</v>
      </c>
    </row>
    <row r="10425" spans="1:18" x14ac:dyDescent="0.25">
      <c r="A10425" t="s">
        <v>20191</v>
      </c>
      <c r="B10425" t="s">
        <v>12087</v>
      </c>
      <c r="C10425" t="str">
        <f>HYPERLINK("https://nematode.unl.edu/xcost6.jpg")</f>
        <v>https://nematode.unl.edu/xcost6.jpg</v>
      </c>
      <c r="D10425" t="s">
        <v>43</v>
      </c>
      <c r="G10425" t="s">
        <v>28</v>
      </c>
      <c r="I10425" t="s">
        <v>529</v>
      </c>
      <c r="J10425" t="s">
        <v>1517</v>
      </c>
      <c r="L10425" t="s">
        <v>1526</v>
      </c>
      <c r="M10425" t="s">
        <v>12081</v>
      </c>
      <c r="N10425" t="s">
        <v>12081</v>
      </c>
      <c r="O10425" t="s">
        <v>73</v>
      </c>
      <c r="P10425" t="s">
        <v>81</v>
      </c>
      <c r="Q10425" t="s">
        <v>7077</v>
      </c>
      <c r="R10425" t="s">
        <v>12016</v>
      </c>
    </row>
    <row r="10426" spans="1:18" x14ac:dyDescent="0.25">
      <c r="A10426" t="s">
        <v>20188</v>
      </c>
      <c r="B10426" t="s">
        <v>12088</v>
      </c>
      <c r="C10426" t="str">
        <f>HYPERLINK("https://nematode.unl.edu/xcost7.jpg")</f>
        <v>https://nematode.unl.edu/xcost7.jpg</v>
      </c>
      <c r="D10426" t="s">
        <v>43</v>
      </c>
      <c r="G10426" t="s">
        <v>44</v>
      </c>
      <c r="I10426" t="s">
        <v>516</v>
      </c>
      <c r="J10426" t="s">
        <v>1517</v>
      </c>
      <c r="L10426" t="s">
        <v>1526</v>
      </c>
      <c r="M10426" t="s">
        <v>12081</v>
      </c>
      <c r="N10426" t="s">
        <v>12081</v>
      </c>
      <c r="O10426" t="s">
        <v>73</v>
      </c>
      <c r="P10426" t="s">
        <v>81</v>
      </c>
      <c r="Q10426" t="s">
        <v>7077</v>
      </c>
      <c r="R10426" t="s">
        <v>12016</v>
      </c>
    </row>
    <row r="10427" spans="1:18" x14ac:dyDescent="0.25">
      <c r="A10427" t="s">
        <v>20184</v>
      </c>
      <c r="B10427" t="s">
        <v>12089</v>
      </c>
      <c r="C10427" t="str">
        <f>HYPERLINK("https://nematode.unl.edu/xcost8.jpg")</f>
        <v>https://nematode.unl.edu/xcost8.jpg</v>
      </c>
      <c r="D10427" t="s">
        <v>43</v>
      </c>
      <c r="G10427" t="s">
        <v>386</v>
      </c>
      <c r="H10427" t="s">
        <v>18</v>
      </c>
      <c r="I10427" t="s">
        <v>41</v>
      </c>
      <c r="J10427" t="s">
        <v>1517</v>
      </c>
      <c r="L10427" t="s">
        <v>1526</v>
      </c>
      <c r="M10427" t="s">
        <v>12081</v>
      </c>
      <c r="N10427" t="s">
        <v>12081</v>
      </c>
      <c r="O10427" t="s">
        <v>73</v>
      </c>
      <c r="P10427" t="s">
        <v>81</v>
      </c>
      <c r="Q10427" t="s">
        <v>7077</v>
      </c>
      <c r="R10427" t="s">
        <v>12016</v>
      </c>
    </row>
    <row r="10428" spans="1:18" x14ac:dyDescent="0.25">
      <c r="A10428" t="s">
        <v>20186</v>
      </c>
      <c r="B10428" t="s">
        <v>12090</v>
      </c>
      <c r="C10428" t="str">
        <f>HYPERLINK("https://nematode.unl.edu/xcost9.jpg")</f>
        <v>https://nematode.unl.edu/xcost9.jpg</v>
      </c>
      <c r="D10428" t="s">
        <v>43</v>
      </c>
      <c r="G10428" t="s">
        <v>34</v>
      </c>
      <c r="H10428" t="s">
        <v>18</v>
      </c>
      <c r="I10428" t="s">
        <v>41</v>
      </c>
      <c r="J10428" t="s">
        <v>1517</v>
      </c>
      <c r="L10428" t="s">
        <v>1526</v>
      </c>
      <c r="M10428" t="s">
        <v>12081</v>
      </c>
      <c r="N10428" t="s">
        <v>12081</v>
      </c>
      <c r="O10428" t="s">
        <v>73</v>
      </c>
      <c r="P10428" t="s">
        <v>81</v>
      </c>
      <c r="Q10428" t="s">
        <v>7077</v>
      </c>
      <c r="R10428" t="s">
        <v>12016</v>
      </c>
    </row>
    <row r="10429" spans="1:18" x14ac:dyDescent="0.25">
      <c r="A10429" t="s">
        <v>15638</v>
      </c>
      <c r="B10429" t="s">
        <v>11865</v>
      </c>
      <c r="C10429" t="str">
        <f>HYPERLINK("https://nematode.unl.edu/xemactim1.jpg")</f>
        <v>https://nematode.unl.edu/xemactim1.jpg</v>
      </c>
      <c r="D10429" t="s">
        <v>43</v>
      </c>
      <c r="G10429" t="s">
        <v>44</v>
      </c>
      <c r="I10429" t="s">
        <v>19</v>
      </c>
      <c r="J10429" t="s">
        <v>11866</v>
      </c>
      <c r="L10429" t="s">
        <v>6241</v>
      </c>
      <c r="M10429" t="s">
        <v>1941</v>
      </c>
      <c r="N10429" t="s">
        <v>1941</v>
      </c>
      <c r="O10429" t="s">
        <v>23</v>
      </c>
      <c r="P10429" t="s">
        <v>24</v>
      </c>
      <c r="Q10429" t="s">
        <v>642</v>
      </c>
      <c r="R10429" t="s">
        <v>1942</v>
      </c>
    </row>
    <row r="10430" spans="1:18" x14ac:dyDescent="0.25">
      <c r="A10430" t="s">
        <v>15639</v>
      </c>
      <c r="B10430" t="s">
        <v>11867</v>
      </c>
      <c r="C10430" t="str">
        <f>HYPERLINK("https://nematode.unl.edu/xemactim10.jpg")</f>
        <v>https://nematode.unl.edu/xemactim10.jpg</v>
      </c>
      <c r="D10430" t="s">
        <v>43</v>
      </c>
      <c r="G10430" t="s">
        <v>44</v>
      </c>
      <c r="I10430" t="s">
        <v>516</v>
      </c>
      <c r="J10430" t="s">
        <v>11866</v>
      </c>
      <c r="L10430" t="s">
        <v>6241</v>
      </c>
      <c r="M10430" t="s">
        <v>1941</v>
      </c>
      <c r="N10430" t="s">
        <v>1941</v>
      </c>
      <c r="O10430" t="s">
        <v>23</v>
      </c>
      <c r="P10430" t="s">
        <v>24</v>
      </c>
      <c r="Q10430" t="s">
        <v>642</v>
      </c>
      <c r="R10430" t="s">
        <v>1942</v>
      </c>
    </row>
    <row r="10431" spans="1:18" x14ac:dyDescent="0.25">
      <c r="A10431" t="s">
        <v>15640</v>
      </c>
      <c r="B10431" t="s">
        <v>11868</v>
      </c>
      <c r="C10431" t="str">
        <f>HYPERLINK("https://nematode.unl.edu/xemactim11.jpg")</f>
        <v>https://nematode.unl.edu/xemactim11.jpg</v>
      </c>
      <c r="D10431" t="s">
        <v>43</v>
      </c>
      <c r="G10431" t="s">
        <v>44</v>
      </c>
      <c r="I10431" t="s">
        <v>41</v>
      </c>
      <c r="J10431" t="s">
        <v>11866</v>
      </c>
      <c r="L10431" t="s">
        <v>6241</v>
      </c>
      <c r="M10431" t="s">
        <v>1941</v>
      </c>
      <c r="N10431" t="s">
        <v>1941</v>
      </c>
      <c r="O10431" t="s">
        <v>23</v>
      </c>
      <c r="P10431" t="s">
        <v>24</v>
      </c>
      <c r="Q10431" t="s">
        <v>642</v>
      </c>
      <c r="R10431" t="s">
        <v>1942</v>
      </c>
    </row>
    <row r="10432" spans="1:18" x14ac:dyDescent="0.25">
      <c r="A10432" t="s">
        <v>15607</v>
      </c>
      <c r="B10432" t="s">
        <v>11869</v>
      </c>
      <c r="C10432" t="str">
        <f>HYPERLINK("https://nematode.unl.edu/xemactim12.jpg")</f>
        <v>https://nematode.unl.edu/xemactim12.jpg</v>
      </c>
      <c r="D10432" t="s">
        <v>43</v>
      </c>
      <c r="G10432" t="s">
        <v>34</v>
      </c>
      <c r="H10432" t="s">
        <v>18</v>
      </c>
      <c r="I10432" t="s">
        <v>41</v>
      </c>
      <c r="J10432" t="s">
        <v>11866</v>
      </c>
      <c r="L10432" t="s">
        <v>6241</v>
      </c>
      <c r="M10432" t="s">
        <v>1941</v>
      </c>
      <c r="N10432" t="s">
        <v>1941</v>
      </c>
      <c r="O10432" t="s">
        <v>23</v>
      </c>
      <c r="P10432" t="s">
        <v>24</v>
      </c>
      <c r="Q10432" t="s">
        <v>642</v>
      </c>
      <c r="R10432" t="s">
        <v>1942</v>
      </c>
    </row>
    <row r="10433" spans="1:18" x14ac:dyDescent="0.25">
      <c r="A10433" t="s">
        <v>15689</v>
      </c>
      <c r="B10433" t="s">
        <v>11870</v>
      </c>
      <c r="C10433" t="str">
        <f>HYPERLINK("https://nematode.unl.edu/xemactim13.jpg")</f>
        <v>https://nematode.unl.edu/xemactim13.jpg</v>
      </c>
      <c r="D10433" t="s">
        <v>43</v>
      </c>
      <c r="G10433" t="s">
        <v>4041</v>
      </c>
      <c r="I10433" t="s">
        <v>41</v>
      </c>
      <c r="J10433" t="s">
        <v>11866</v>
      </c>
      <c r="L10433" t="s">
        <v>6241</v>
      </c>
      <c r="M10433" t="s">
        <v>1941</v>
      </c>
      <c r="N10433" t="s">
        <v>1941</v>
      </c>
      <c r="O10433" t="s">
        <v>23</v>
      </c>
      <c r="P10433" t="s">
        <v>24</v>
      </c>
      <c r="Q10433" t="s">
        <v>642</v>
      </c>
      <c r="R10433" t="s">
        <v>1942</v>
      </c>
    </row>
    <row r="10434" spans="1:18" x14ac:dyDescent="0.25">
      <c r="A10434" t="s">
        <v>15701</v>
      </c>
      <c r="B10434" t="s">
        <v>11871</v>
      </c>
      <c r="C10434" t="str">
        <f>HYPERLINK("https://nematode.unl.edu/xemactim14.jpg")</f>
        <v>https://nematode.unl.edu/xemactim14.jpg</v>
      </c>
      <c r="D10434" t="s">
        <v>43</v>
      </c>
      <c r="G10434" t="s">
        <v>28</v>
      </c>
      <c r="I10434" t="s">
        <v>41</v>
      </c>
      <c r="J10434" t="s">
        <v>11866</v>
      </c>
      <c r="L10434" t="s">
        <v>6241</v>
      </c>
      <c r="M10434" t="s">
        <v>1941</v>
      </c>
      <c r="N10434" t="s">
        <v>1941</v>
      </c>
      <c r="O10434" t="s">
        <v>23</v>
      </c>
      <c r="P10434" t="s">
        <v>24</v>
      </c>
      <c r="Q10434" t="s">
        <v>642</v>
      </c>
      <c r="R10434" t="s">
        <v>1942</v>
      </c>
    </row>
    <row r="10435" spans="1:18" x14ac:dyDescent="0.25">
      <c r="A10435" t="s">
        <v>15637</v>
      </c>
      <c r="B10435" t="s">
        <v>11872</v>
      </c>
      <c r="C10435" t="str">
        <f>HYPERLINK("https://nematode.unl.edu/xemactim15.jpg")</f>
        <v>https://nematode.unl.edu/xemactim15.jpg</v>
      </c>
      <c r="D10435" t="s">
        <v>43</v>
      </c>
      <c r="G10435" t="s">
        <v>3942</v>
      </c>
      <c r="I10435" t="s">
        <v>41</v>
      </c>
      <c r="J10435" t="s">
        <v>11866</v>
      </c>
      <c r="L10435" t="s">
        <v>6241</v>
      </c>
      <c r="M10435" t="s">
        <v>1941</v>
      </c>
      <c r="N10435" t="s">
        <v>1941</v>
      </c>
      <c r="O10435" t="s">
        <v>23</v>
      </c>
      <c r="P10435" t="s">
        <v>24</v>
      </c>
      <c r="Q10435" t="s">
        <v>642</v>
      </c>
      <c r="R10435" t="s">
        <v>1942</v>
      </c>
    </row>
    <row r="10436" spans="1:18" x14ac:dyDescent="0.25">
      <c r="A10436" t="s">
        <v>15608</v>
      </c>
      <c r="B10436" t="s">
        <v>11873</v>
      </c>
      <c r="C10436" t="str">
        <f>HYPERLINK("https://nematode.unl.edu/xemactim16.jpg")</f>
        <v>https://nematode.unl.edu/xemactim16.jpg</v>
      </c>
      <c r="D10436" t="s">
        <v>43</v>
      </c>
      <c r="G10436" t="s">
        <v>34</v>
      </c>
      <c r="H10436" t="s">
        <v>18</v>
      </c>
      <c r="I10436" t="s">
        <v>41</v>
      </c>
      <c r="J10436" t="s">
        <v>11866</v>
      </c>
      <c r="L10436" t="s">
        <v>6241</v>
      </c>
      <c r="M10436" t="s">
        <v>1941</v>
      </c>
      <c r="N10436" t="s">
        <v>1941</v>
      </c>
      <c r="O10436" t="s">
        <v>23</v>
      </c>
      <c r="P10436" t="s">
        <v>24</v>
      </c>
      <c r="Q10436" t="s">
        <v>642</v>
      </c>
      <c r="R10436" t="s">
        <v>1942</v>
      </c>
    </row>
    <row r="10437" spans="1:18" x14ac:dyDescent="0.25">
      <c r="A10437" t="s">
        <v>15641</v>
      </c>
      <c r="B10437" t="s">
        <v>11874</v>
      </c>
      <c r="C10437" t="str">
        <f>HYPERLINK("https://nematode.unl.edu/xemactim2.jpg")</f>
        <v>https://nematode.unl.edu/xemactim2.jpg</v>
      </c>
      <c r="D10437" t="s">
        <v>43</v>
      </c>
      <c r="G10437" t="s">
        <v>44</v>
      </c>
      <c r="I10437" t="s">
        <v>41</v>
      </c>
      <c r="J10437" t="s">
        <v>11866</v>
      </c>
      <c r="L10437" t="s">
        <v>6241</v>
      </c>
      <c r="M10437" t="s">
        <v>1941</v>
      </c>
      <c r="N10437" t="s">
        <v>1941</v>
      </c>
      <c r="O10437" t="s">
        <v>23</v>
      </c>
      <c r="P10437" t="s">
        <v>24</v>
      </c>
      <c r="Q10437" t="s">
        <v>642</v>
      </c>
      <c r="R10437" t="s">
        <v>1942</v>
      </c>
    </row>
    <row r="10438" spans="1:18" x14ac:dyDescent="0.25">
      <c r="A10438" t="s">
        <v>15609</v>
      </c>
      <c r="B10438" t="s">
        <v>11875</v>
      </c>
      <c r="C10438" t="str">
        <f>HYPERLINK("https://nematode.unl.edu/xemactim3.jpg")</f>
        <v>https://nematode.unl.edu/xemactim3.jpg</v>
      </c>
      <c r="D10438" t="s">
        <v>43</v>
      </c>
      <c r="G10438" t="s">
        <v>34</v>
      </c>
      <c r="H10438" t="s">
        <v>18</v>
      </c>
      <c r="I10438" t="s">
        <v>41</v>
      </c>
      <c r="J10438" t="s">
        <v>11866</v>
      </c>
      <c r="L10438" t="s">
        <v>6241</v>
      </c>
      <c r="M10438" t="s">
        <v>1941</v>
      </c>
      <c r="N10438" t="s">
        <v>1941</v>
      </c>
      <c r="O10438" t="s">
        <v>23</v>
      </c>
      <c r="P10438" t="s">
        <v>24</v>
      </c>
      <c r="Q10438" t="s">
        <v>642</v>
      </c>
      <c r="R10438" t="s">
        <v>1942</v>
      </c>
    </row>
    <row r="10439" spans="1:18" x14ac:dyDescent="0.25">
      <c r="A10439" t="s">
        <v>15702</v>
      </c>
      <c r="B10439" t="s">
        <v>11876</v>
      </c>
      <c r="C10439" t="str">
        <f>HYPERLINK("https://nematode.unl.edu/xemactim4.jpg")</f>
        <v>https://nematode.unl.edu/xemactim4.jpg</v>
      </c>
      <c r="D10439" t="s">
        <v>43</v>
      </c>
      <c r="G10439" t="s">
        <v>28</v>
      </c>
      <c r="I10439" t="s">
        <v>41</v>
      </c>
      <c r="J10439" t="s">
        <v>11866</v>
      </c>
      <c r="L10439" t="s">
        <v>6241</v>
      </c>
      <c r="M10439" t="s">
        <v>1941</v>
      </c>
      <c r="N10439" t="s">
        <v>1941</v>
      </c>
      <c r="O10439" t="s">
        <v>23</v>
      </c>
      <c r="P10439" t="s">
        <v>24</v>
      </c>
      <c r="Q10439" t="s">
        <v>642</v>
      </c>
      <c r="R10439" t="s">
        <v>1942</v>
      </c>
    </row>
    <row r="10440" spans="1:18" x14ac:dyDescent="0.25">
      <c r="A10440" t="s">
        <v>15703</v>
      </c>
      <c r="B10440" t="s">
        <v>11877</v>
      </c>
      <c r="C10440" t="str">
        <f>HYPERLINK("https://nematode.unl.edu/xemactim5.jpg")</f>
        <v>https://nematode.unl.edu/xemactim5.jpg</v>
      </c>
      <c r="D10440" t="s">
        <v>43</v>
      </c>
      <c r="G10440" t="s">
        <v>28</v>
      </c>
      <c r="I10440" t="s">
        <v>41</v>
      </c>
      <c r="J10440" t="s">
        <v>11866</v>
      </c>
      <c r="L10440" t="s">
        <v>6241</v>
      </c>
      <c r="M10440" t="s">
        <v>1941</v>
      </c>
      <c r="N10440" t="s">
        <v>1941</v>
      </c>
      <c r="O10440" t="s">
        <v>23</v>
      </c>
      <c r="P10440" t="s">
        <v>24</v>
      </c>
      <c r="Q10440" t="s">
        <v>642</v>
      </c>
      <c r="R10440" t="s">
        <v>1942</v>
      </c>
    </row>
    <row r="10441" spans="1:18" x14ac:dyDescent="0.25">
      <c r="A10441" t="s">
        <v>15596</v>
      </c>
      <c r="B10441" t="s">
        <v>11878</v>
      </c>
      <c r="C10441" t="str">
        <f>HYPERLINK("https://nematode.unl.edu/xemactim6.jpg")</f>
        <v>https://nematode.unl.edu/xemactim6.jpg</v>
      </c>
      <c r="D10441" t="s">
        <v>43</v>
      </c>
      <c r="G10441" t="s">
        <v>96</v>
      </c>
      <c r="H10441" t="s">
        <v>18</v>
      </c>
      <c r="I10441" t="s">
        <v>41</v>
      </c>
      <c r="J10441" t="s">
        <v>11866</v>
      </c>
      <c r="L10441" t="s">
        <v>6241</v>
      </c>
      <c r="M10441" t="s">
        <v>1941</v>
      </c>
      <c r="N10441" t="s">
        <v>1941</v>
      </c>
      <c r="O10441" t="s">
        <v>23</v>
      </c>
      <c r="P10441" t="s">
        <v>24</v>
      </c>
      <c r="Q10441" t="s">
        <v>642</v>
      </c>
      <c r="R10441" t="s">
        <v>1942</v>
      </c>
    </row>
    <row r="10442" spans="1:18" x14ac:dyDescent="0.25">
      <c r="A10442" t="s">
        <v>15597</v>
      </c>
      <c r="B10442" t="s">
        <v>11879</v>
      </c>
      <c r="C10442" t="str">
        <f>HYPERLINK("https://nematode.unl.edu/xemactim7.jpg")</f>
        <v>https://nematode.unl.edu/xemactim7.jpg</v>
      </c>
      <c r="D10442" t="s">
        <v>43</v>
      </c>
      <c r="G10442" t="s">
        <v>96</v>
      </c>
      <c r="H10442" t="s">
        <v>18</v>
      </c>
      <c r="I10442" t="s">
        <v>41</v>
      </c>
      <c r="J10442" t="s">
        <v>11866</v>
      </c>
      <c r="L10442" t="s">
        <v>6241</v>
      </c>
      <c r="M10442" t="s">
        <v>1941</v>
      </c>
      <c r="N10442" t="s">
        <v>1941</v>
      </c>
      <c r="O10442" t="s">
        <v>23</v>
      </c>
      <c r="P10442" t="s">
        <v>24</v>
      </c>
      <c r="Q10442" t="s">
        <v>642</v>
      </c>
      <c r="R10442" t="s">
        <v>1942</v>
      </c>
    </row>
    <row r="10443" spans="1:18" x14ac:dyDescent="0.25">
      <c r="A10443" t="s">
        <v>15642</v>
      </c>
      <c r="B10443" t="s">
        <v>11880</v>
      </c>
      <c r="C10443" t="str">
        <f>HYPERLINK("https://nematode.unl.edu/xemactim8.jpg")</f>
        <v>https://nematode.unl.edu/xemactim8.jpg</v>
      </c>
      <c r="D10443" t="s">
        <v>43</v>
      </c>
      <c r="G10443" t="s">
        <v>44</v>
      </c>
      <c r="I10443" t="s">
        <v>19</v>
      </c>
      <c r="J10443" t="s">
        <v>11866</v>
      </c>
      <c r="L10443" t="s">
        <v>6241</v>
      </c>
      <c r="M10443" t="s">
        <v>1941</v>
      </c>
      <c r="N10443" t="s">
        <v>1941</v>
      </c>
      <c r="O10443" t="s">
        <v>23</v>
      </c>
      <c r="P10443" t="s">
        <v>24</v>
      </c>
      <c r="Q10443" t="s">
        <v>642</v>
      </c>
      <c r="R10443" t="s">
        <v>1942</v>
      </c>
    </row>
    <row r="10444" spans="1:18" x14ac:dyDescent="0.25">
      <c r="A10444" t="s">
        <v>15610</v>
      </c>
      <c r="B10444" t="s">
        <v>11881</v>
      </c>
      <c r="C10444" t="str">
        <f>HYPERLINK("https://nematode.unl.edu/xemactim9.jpg")</f>
        <v>https://nematode.unl.edu/xemactim9.jpg</v>
      </c>
      <c r="D10444" t="s">
        <v>43</v>
      </c>
      <c r="G10444" t="s">
        <v>34</v>
      </c>
      <c r="H10444" t="s">
        <v>18</v>
      </c>
      <c r="I10444" t="s">
        <v>41</v>
      </c>
      <c r="J10444" t="s">
        <v>11866</v>
      </c>
      <c r="L10444" t="s">
        <v>6241</v>
      </c>
      <c r="M10444" t="s">
        <v>1941</v>
      </c>
      <c r="N10444" t="s">
        <v>1941</v>
      </c>
      <c r="O10444" t="s">
        <v>23</v>
      </c>
      <c r="P10444" t="s">
        <v>24</v>
      </c>
      <c r="Q10444" t="s">
        <v>642</v>
      </c>
      <c r="R10444" t="s">
        <v>1942</v>
      </c>
    </row>
    <row r="10445" spans="1:18" x14ac:dyDescent="0.25">
      <c r="A10445" t="s">
        <v>15643</v>
      </c>
      <c r="B10445" t="s">
        <v>11882</v>
      </c>
      <c r="C10445" t="str">
        <f>HYPERLINK("https://nematode.unl.edu/xemads1.jpg")</f>
        <v>https://nematode.unl.edu/xemads1.jpg</v>
      </c>
      <c r="D10445" t="s">
        <v>43</v>
      </c>
      <c r="G10445" t="s">
        <v>44</v>
      </c>
      <c r="I10445" t="s">
        <v>41</v>
      </c>
      <c r="J10445" t="s">
        <v>6284</v>
      </c>
      <c r="L10445" t="s">
        <v>6285</v>
      </c>
      <c r="M10445" t="s">
        <v>1941</v>
      </c>
      <c r="N10445" t="s">
        <v>1941</v>
      </c>
      <c r="O10445" t="s">
        <v>23</v>
      </c>
      <c r="P10445" t="s">
        <v>24</v>
      </c>
      <c r="Q10445" t="s">
        <v>642</v>
      </c>
      <c r="R10445" t="s">
        <v>1942</v>
      </c>
    </row>
    <row r="10446" spans="1:18" x14ac:dyDescent="0.25">
      <c r="A10446" t="s">
        <v>15704</v>
      </c>
      <c r="B10446" t="s">
        <v>11883</v>
      </c>
      <c r="C10446" t="str">
        <f>HYPERLINK("https://nematode.unl.edu/xemads10.jpg")</f>
        <v>https://nematode.unl.edu/xemads10.jpg</v>
      </c>
      <c r="D10446" t="s">
        <v>43</v>
      </c>
      <c r="G10446" t="s">
        <v>28</v>
      </c>
      <c r="I10446" t="s">
        <v>41</v>
      </c>
      <c r="J10446" t="s">
        <v>6284</v>
      </c>
      <c r="L10446" t="s">
        <v>6285</v>
      </c>
      <c r="M10446" t="s">
        <v>1941</v>
      </c>
      <c r="N10446" t="s">
        <v>1941</v>
      </c>
      <c r="O10446" t="s">
        <v>23</v>
      </c>
      <c r="P10446" t="s">
        <v>24</v>
      </c>
      <c r="Q10446" t="s">
        <v>642</v>
      </c>
      <c r="R10446" t="s">
        <v>1942</v>
      </c>
    </row>
    <row r="10447" spans="1:18" x14ac:dyDescent="0.25">
      <c r="A10447" t="s">
        <v>15644</v>
      </c>
      <c r="B10447" t="s">
        <v>11884</v>
      </c>
      <c r="C10447" t="str">
        <f>HYPERLINK("https://nematode.unl.edu/xemads11.jpg")</f>
        <v>https://nematode.unl.edu/xemads11.jpg</v>
      </c>
      <c r="D10447" t="s">
        <v>43</v>
      </c>
      <c r="G10447" t="s">
        <v>44</v>
      </c>
      <c r="I10447" t="s">
        <v>19</v>
      </c>
      <c r="J10447" t="s">
        <v>6284</v>
      </c>
      <c r="L10447" t="s">
        <v>6285</v>
      </c>
      <c r="M10447" t="s">
        <v>1941</v>
      </c>
      <c r="N10447" t="s">
        <v>1941</v>
      </c>
      <c r="O10447" t="s">
        <v>23</v>
      </c>
      <c r="P10447" t="s">
        <v>24</v>
      </c>
      <c r="Q10447" t="s">
        <v>642</v>
      </c>
      <c r="R10447" t="s">
        <v>1942</v>
      </c>
    </row>
    <row r="10448" spans="1:18" x14ac:dyDescent="0.25">
      <c r="A10448" t="s">
        <v>15598</v>
      </c>
      <c r="B10448" t="s">
        <v>11885</v>
      </c>
      <c r="C10448" t="str">
        <f>HYPERLINK("https://nematode.unl.edu/xemads12.jpg")</f>
        <v>https://nematode.unl.edu/xemads12.jpg</v>
      </c>
      <c r="D10448" t="s">
        <v>43</v>
      </c>
      <c r="G10448" t="s">
        <v>96</v>
      </c>
      <c r="H10448" t="s">
        <v>18</v>
      </c>
      <c r="I10448" t="s">
        <v>41</v>
      </c>
      <c r="J10448" t="s">
        <v>6284</v>
      </c>
      <c r="L10448" t="s">
        <v>6285</v>
      </c>
      <c r="M10448" t="s">
        <v>1941</v>
      </c>
      <c r="N10448" t="s">
        <v>1941</v>
      </c>
      <c r="O10448" t="s">
        <v>23</v>
      </c>
      <c r="P10448" t="s">
        <v>24</v>
      </c>
      <c r="Q10448" t="s">
        <v>642</v>
      </c>
      <c r="R10448" t="s">
        <v>1942</v>
      </c>
    </row>
    <row r="10449" spans="1:18" x14ac:dyDescent="0.25">
      <c r="A10449" t="s">
        <v>15692</v>
      </c>
      <c r="B10449" t="s">
        <v>11886</v>
      </c>
      <c r="C10449" t="str">
        <f>HYPERLINK("https://nematode.unl.edu/xemads13.jpg")</f>
        <v>https://nematode.unl.edu/xemads13.jpg</v>
      </c>
      <c r="D10449" t="s">
        <v>43</v>
      </c>
      <c r="G10449" t="s">
        <v>181</v>
      </c>
      <c r="I10449" t="s">
        <v>41</v>
      </c>
      <c r="J10449" t="s">
        <v>6284</v>
      </c>
      <c r="L10449" t="s">
        <v>6285</v>
      </c>
      <c r="M10449" t="s">
        <v>1941</v>
      </c>
      <c r="N10449" t="s">
        <v>1941</v>
      </c>
      <c r="O10449" t="s">
        <v>23</v>
      </c>
      <c r="P10449" t="s">
        <v>24</v>
      </c>
      <c r="Q10449" t="s">
        <v>642</v>
      </c>
      <c r="R10449" t="s">
        <v>1942</v>
      </c>
    </row>
    <row r="10450" spans="1:18" x14ac:dyDescent="0.25">
      <c r="A10450" t="s">
        <v>15611</v>
      </c>
      <c r="B10450" t="s">
        <v>11887</v>
      </c>
      <c r="C10450" t="str">
        <f>HYPERLINK("https://nematode.unl.edu/xemads2.jpg")</f>
        <v>https://nematode.unl.edu/xemads2.jpg</v>
      </c>
      <c r="D10450" t="s">
        <v>43</v>
      </c>
      <c r="G10450" t="s">
        <v>34</v>
      </c>
      <c r="H10450" t="s">
        <v>18</v>
      </c>
      <c r="I10450" t="s">
        <v>41</v>
      </c>
      <c r="J10450" t="s">
        <v>6284</v>
      </c>
      <c r="L10450" t="s">
        <v>6285</v>
      </c>
      <c r="M10450" t="s">
        <v>1941</v>
      </c>
      <c r="N10450" t="s">
        <v>1941</v>
      </c>
      <c r="O10450" t="s">
        <v>23</v>
      </c>
      <c r="P10450" t="s">
        <v>24</v>
      </c>
      <c r="Q10450" t="s">
        <v>642</v>
      </c>
      <c r="R10450" t="s">
        <v>1942</v>
      </c>
    </row>
    <row r="10451" spans="1:18" x14ac:dyDescent="0.25">
      <c r="A10451" t="s">
        <v>15705</v>
      </c>
      <c r="B10451" t="s">
        <v>11888</v>
      </c>
      <c r="C10451" t="str">
        <f>HYPERLINK("https://nematode.unl.edu/xemads3.jpg")</f>
        <v>https://nematode.unl.edu/xemads3.jpg</v>
      </c>
      <c r="D10451" t="s">
        <v>43</v>
      </c>
      <c r="G10451" t="s">
        <v>28</v>
      </c>
      <c r="I10451" t="s">
        <v>41</v>
      </c>
      <c r="J10451" t="s">
        <v>6284</v>
      </c>
      <c r="L10451" t="s">
        <v>6285</v>
      </c>
      <c r="M10451" t="s">
        <v>1941</v>
      </c>
      <c r="N10451" t="s">
        <v>1941</v>
      </c>
      <c r="O10451" t="s">
        <v>23</v>
      </c>
      <c r="P10451" t="s">
        <v>24</v>
      </c>
      <c r="Q10451" t="s">
        <v>642</v>
      </c>
      <c r="R10451" t="s">
        <v>1942</v>
      </c>
    </row>
    <row r="10452" spans="1:18" x14ac:dyDescent="0.25">
      <c r="A10452" t="s">
        <v>15645</v>
      </c>
      <c r="B10452" t="s">
        <v>11889</v>
      </c>
      <c r="C10452" t="str">
        <f>HYPERLINK("https://nematode.unl.edu/xemads4.jpg")</f>
        <v>https://nematode.unl.edu/xemads4.jpg</v>
      </c>
      <c r="D10452" t="s">
        <v>43</v>
      </c>
      <c r="G10452" t="s">
        <v>44</v>
      </c>
      <c r="I10452" t="s">
        <v>41</v>
      </c>
      <c r="J10452" t="s">
        <v>6284</v>
      </c>
      <c r="L10452" t="s">
        <v>6285</v>
      </c>
      <c r="M10452" t="s">
        <v>1941</v>
      </c>
      <c r="N10452" t="s">
        <v>1941</v>
      </c>
      <c r="O10452" t="s">
        <v>23</v>
      </c>
      <c r="P10452" t="s">
        <v>24</v>
      </c>
      <c r="Q10452" t="s">
        <v>642</v>
      </c>
      <c r="R10452" t="s">
        <v>1942</v>
      </c>
    </row>
    <row r="10453" spans="1:18" x14ac:dyDescent="0.25">
      <c r="A10453" t="s">
        <v>15646</v>
      </c>
      <c r="B10453" t="s">
        <v>11890</v>
      </c>
      <c r="C10453" t="str">
        <f>HYPERLINK("https://nematode.unl.edu/xemads5.jpg")</f>
        <v>https://nematode.unl.edu/xemads5.jpg</v>
      </c>
      <c r="D10453" t="s">
        <v>16</v>
      </c>
      <c r="G10453" t="s">
        <v>44</v>
      </c>
      <c r="I10453" t="s">
        <v>19</v>
      </c>
      <c r="J10453" t="s">
        <v>6284</v>
      </c>
      <c r="L10453" t="s">
        <v>6285</v>
      </c>
      <c r="M10453" t="s">
        <v>1941</v>
      </c>
      <c r="N10453" t="s">
        <v>1941</v>
      </c>
      <c r="O10453" t="s">
        <v>23</v>
      </c>
      <c r="P10453" t="s">
        <v>24</v>
      </c>
      <c r="Q10453" t="s">
        <v>642</v>
      </c>
      <c r="R10453" t="s">
        <v>1942</v>
      </c>
    </row>
    <row r="10454" spans="1:18" x14ac:dyDescent="0.25">
      <c r="A10454" t="s">
        <v>15599</v>
      </c>
      <c r="B10454" t="s">
        <v>11891</v>
      </c>
      <c r="C10454" t="str">
        <f>HYPERLINK("https://nematode.unl.edu/xemads6.jpg")</f>
        <v>https://nematode.unl.edu/xemads6.jpg</v>
      </c>
      <c r="D10454" t="s">
        <v>16</v>
      </c>
      <c r="G10454" t="s">
        <v>96</v>
      </c>
      <c r="H10454" t="s">
        <v>18</v>
      </c>
      <c r="I10454" t="s">
        <v>41</v>
      </c>
      <c r="J10454" t="s">
        <v>6284</v>
      </c>
      <c r="L10454" t="s">
        <v>6285</v>
      </c>
      <c r="M10454" t="s">
        <v>1941</v>
      </c>
      <c r="N10454" t="s">
        <v>1941</v>
      </c>
      <c r="O10454" t="s">
        <v>23</v>
      </c>
      <c r="P10454" t="s">
        <v>24</v>
      </c>
      <c r="Q10454" t="s">
        <v>642</v>
      </c>
      <c r="R10454" t="s">
        <v>1942</v>
      </c>
    </row>
    <row r="10455" spans="1:18" x14ac:dyDescent="0.25">
      <c r="A10455" t="s">
        <v>15600</v>
      </c>
      <c r="B10455" t="s">
        <v>11892</v>
      </c>
      <c r="C10455" t="str">
        <f>HYPERLINK("https://nematode.unl.edu/xemads7.jpg")</f>
        <v>https://nematode.unl.edu/xemads7.jpg</v>
      </c>
      <c r="D10455" t="s">
        <v>16</v>
      </c>
      <c r="G10455" t="s">
        <v>96</v>
      </c>
      <c r="H10455" t="s">
        <v>18</v>
      </c>
      <c r="I10455" t="s">
        <v>41</v>
      </c>
      <c r="J10455" t="s">
        <v>6284</v>
      </c>
      <c r="L10455" t="s">
        <v>6285</v>
      </c>
      <c r="M10455" t="s">
        <v>1941</v>
      </c>
      <c r="N10455" t="s">
        <v>1941</v>
      </c>
      <c r="O10455" t="s">
        <v>23</v>
      </c>
      <c r="P10455" t="s">
        <v>24</v>
      </c>
      <c r="Q10455" t="s">
        <v>642</v>
      </c>
      <c r="R10455" t="s">
        <v>1942</v>
      </c>
    </row>
    <row r="10456" spans="1:18" x14ac:dyDescent="0.25">
      <c r="A10456" t="s">
        <v>15647</v>
      </c>
      <c r="B10456" t="s">
        <v>11893</v>
      </c>
      <c r="C10456" t="str">
        <f>HYPERLINK("https://nematode.unl.edu/xemads8.jpg")</f>
        <v>https://nematode.unl.edu/xemads8.jpg</v>
      </c>
      <c r="D10456" t="s">
        <v>43</v>
      </c>
      <c r="G10456" t="s">
        <v>44</v>
      </c>
      <c r="I10456" t="s">
        <v>19</v>
      </c>
      <c r="J10456" t="s">
        <v>6284</v>
      </c>
      <c r="L10456" t="s">
        <v>6285</v>
      </c>
      <c r="M10456" t="s">
        <v>1941</v>
      </c>
      <c r="N10456" t="s">
        <v>1941</v>
      </c>
      <c r="O10456" t="s">
        <v>23</v>
      </c>
      <c r="P10456" t="s">
        <v>24</v>
      </c>
      <c r="Q10456" t="s">
        <v>642</v>
      </c>
      <c r="R10456" t="s">
        <v>1942</v>
      </c>
    </row>
    <row r="10457" spans="1:18" x14ac:dyDescent="0.25">
      <c r="A10457" t="s">
        <v>15601</v>
      </c>
      <c r="B10457" t="s">
        <v>11894</v>
      </c>
      <c r="C10457" t="str">
        <f>HYPERLINK("https://nematode.unl.edu/xemads9.jpg")</f>
        <v>https://nematode.unl.edu/xemads9.jpg</v>
      </c>
      <c r="D10457" t="s">
        <v>43</v>
      </c>
      <c r="G10457" t="s">
        <v>96</v>
      </c>
      <c r="H10457" t="s">
        <v>18</v>
      </c>
      <c r="I10457" t="s">
        <v>41</v>
      </c>
      <c r="J10457" t="s">
        <v>6284</v>
      </c>
      <c r="L10457" t="s">
        <v>6285</v>
      </c>
      <c r="M10457" t="s">
        <v>1941</v>
      </c>
      <c r="N10457" t="s">
        <v>1941</v>
      </c>
      <c r="O10457" t="s">
        <v>23</v>
      </c>
      <c r="P10457" t="s">
        <v>24</v>
      </c>
      <c r="Q10457" t="s">
        <v>642</v>
      </c>
      <c r="R10457" t="s">
        <v>1942</v>
      </c>
    </row>
    <row r="10458" spans="1:18" x14ac:dyDescent="0.25">
      <c r="A10458" t="s">
        <v>15648</v>
      </c>
      <c r="B10458" t="s">
        <v>11895</v>
      </c>
      <c r="C10458" t="str">
        <f>HYPERLINK("https://nematode.unl.edu/xemafax1.jpg")</f>
        <v>https://nematode.unl.edu/xemafax1.jpg</v>
      </c>
      <c r="D10458" t="s">
        <v>43</v>
      </c>
      <c r="G10458" t="s">
        <v>44</v>
      </c>
      <c r="I10458" t="s">
        <v>19</v>
      </c>
      <c r="J10458" t="s">
        <v>8780</v>
      </c>
      <c r="L10458" t="s">
        <v>1628</v>
      </c>
      <c r="M10458" t="s">
        <v>1941</v>
      </c>
      <c r="N10458" t="s">
        <v>1941</v>
      </c>
      <c r="O10458" t="s">
        <v>23</v>
      </c>
      <c r="P10458" t="s">
        <v>24</v>
      </c>
      <c r="Q10458" t="s">
        <v>642</v>
      </c>
      <c r="R10458" t="s">
        <v>1942</v>
      </c>
    </row>
    <row r="10459" spans="1:18" x14ac:dyDescent="0.25">
      <c r="A10459" t="s">
        <v>15612</v>
      </c>
      <c r="B10459" t="s">
        <v>11896</v>
      </c>
      <c r="C10459" t="str">
        <f>HYPERLINK("https://nematode.unl.edu/xemafax2.jpg")</f>
        <v>https://nematode.unl.edu/xemafax2.jpg</v>
      </c>
      <c r="D10459" t="s">
        <v>43</v>
      </c>
      <c r="G10459" t="s">
        <v>34</v>
      </c>
      <c r="H10459" t="s">
        <v>18</v>
      </c>
      <c r="I10459" t="s">
        <v>41</v>
      </c>
      <c r="J10459" t="s">
        <v>8780</v>
      </c>
      <c r="L10459" t="s">
        <v>1628</v>
      </c>
      <c r="M10459" t="s">
        <v>1941</v>
      </c>
      <c r="N10459" t="s">
        <v>1941</v>
      </c>
      <c r="O10459" t="s">
        <v>23</v>
      </c>
      <c r="P10459" t="s">
        <v>24</v>
      </c>
      <c r="Q10459" t="s">
        <v>642</v>
      </c>
      <c r="R10459" t="s">
        <v>1942</v>
      </c>
    </row>
    <row r="10460" spans="1:18" x14ac:dyDescent="0.25">
      <c r="A10460" t="s">
        <v>15706</v>
      </c>
      <c r="B10460" t="s">
        <v>11897</v>
      </c>
      <c r="C10460" t="str">
        <f>HYPERLINK("https://nematode.unl.edu/xemafax3.jpg")</f>
        <v>https://nematode.unl.edu/xemafax3.jpg</v>
      </c>
      <c r="D10460" t="s">
        <v>43</v>
      </c>
      <c r="G10460" t="s">
        <v>28</v>
      </c>
      <c r="I10460" t="s">
        <v>41</v>
      </c>
      <c r="J10460" t="s">
        <v>8780</v>
      </c>
      <c r="L10460" t="s">
        <v>1628</v>
      </c>
      <c r="M10460" t="s">
        <v>1941</v>
      </c>
      <c r="N10460" t="s">
        <v>1941</v>
      </c>
      <c r="O10460" t="s">
        <v>23</v>
      </c>
      <c r="P10460" t="s">
        <v>24</v>
      </c>
      <c r="Q10460" t="s">
        <v>642</v>
      </c>
      <c r="R10460" t="s">
        <v>1942</v>
      </c>
    </row>
    <row r="10461" spans="1:18" x14ac:dyDescent="0.25">
      <c r="A10461" t="s">
        <v>15649</v>
      </c>
      <c r="B10461" t="s">
        <v>11898</v>
      </c>
      <c r="C10461" t="str">
        <f>HYPERLINK("https://nematode.unl.edu/xemafax4.jpg")</f>
        <v>https://nematode.unl.edu/xemafax4.jpg</v>
      </c>
      <c r="D10461" t="s">
        <v>43</v>
      </c>
      <c r="G10461" t="s">
        <v>44</v>
      </c>
      <c r="I10461" t="s">
        <v>19</v>
      </c>
      <c r="J10461" t="s">
        <v>8780</v>
      </c>
      <c r="L10461" t="s">
        <v>1628</v>
      </c>
      <c r="M10461" t="s">
        <v>1941</v>
      </c>
      <c r="N10461" t="s">
        <v>1941</v>
      </c>
      <c r="O10461" t="s">
        <v>23</v>
      </c>
      <c r="P10461" t="s">
        <v>24</v>
      </c>
      <c r="Q10461" t="s">
        <v>642</v>
      </c>
      <c r="R10461" t="s">
        <v>1942</v>
      </c>
    </row>
    <row r="10462" spans="1:18" x14ac:dyDescent="0.25">
      <c r="A10462" t="s">
        <v>15613</v>
      </c>
      <c r="B10462" t="s">
        <v>11899</v>
      </c>
      <c r="C10462" t="str">
        <f>HYPERLINK("https://nematode.unl.edu/xemafax5.jpg")</f>
        <v>https://nematode.unl.edu/xemafax5.jpg</v>
      </c>
      <c r="D10462" t="s">
        <v>43</v>
      </c>
      <c r="G10462" t="s">
        <v>34</v>
      </c>
      <c r="H10462" t="s">
        <v>18</v>
      </c>
      <c r="I10462" t="s">
        <v>41</v>
      </c>
      <c r="J10462" t="s">
        <v>8780</v>
      </c>
      <c r="L10462" t="s">
        <v>1628</v>
      </c>
      <c r="M10462" t="s">
        <v>1941</v>
      </c>
      <c r="N10462" t="s">
        <v>1941</v>
      </c>
      <c r="O10462" t="s">
        <v>23</v>
      </c>
      <c r="P10462" t="s">
        <v>24</v>
      </c>
      <c r="Q10462" t="s">
        <v>642</v>
      </c>
      <c r="R10462" t="s">
        <v>1942</v>
      </c>
    </row>
    <row r="10463" spans="1:18" x14ac:dyDescent="0.25">
      <c r="A10463" t="s">
        <v>15707</v>
      </c>
      <c r="B10463" t="s">
        <v>11900</v>
      </c>
      <c r="C10463" t="str">
        <f>HYPERLINK("https://nematode.unl.edu/xemafax6.jpg")</f>
        <v>https://nematode.unl.edu/xemafax6.jpg</v>
      </c>
      <c r="D10463" t="s">
        <v>43</v>
      </c>
      <c r="G10463" t="s">
        <v>28</v>
      </c>
      <c r="I10463" t="s">
        <v>41</v>
      </c>
      <c r="J10463" t="s">
        <v>8780</v>
      </c>
      <c r="L10463" t="s">
        <v>1628</v>
      </c>
      <c r="M10463" t="s">
        <v>1941</v>
      </c>
      <c r="N10463" t="s">
        <v>1941</v>
      </c>
      <c r="O10463" t="s">
        <v>23</v>
      </c>
      <c r="P10463" t="s">
        <v>24</v>
      </c>
      <c r="Q10463" t="s">
        <v>642</v>
      </c>
      <c r="R10463" t="s">
        <v>1942</v>
      </c>
    </row>
    <row r="10464" spans="1:18" x14ac:dyDescent="0.25">
      <c r="A10464" t="s">
        <v>15636</v>
      </c>
      <c r="B10464" t="s">
        <v>11901</v>
      </c>
      <c r="C10464" t="str">
        <f>HYPERLINK("https://nematode.unl.edu/xemafax7.jpg")</f>
        <v>https://nematode.unl.edu/xemafax7.jpg</v>
      </c>
      <c r="D10464" t="s">
        <v>43</v>
      </c>
      <c r="G10464" t="s">
        <v>1258</v>
      </c>
      <c r="I10464" t="s">
        <v>41</v>
      </c>
      <c r="J10464" t="s">
        <v>8780</v>
      </c>
      <c r="L10464" t="s">
        <v>1628</v>
      </c>
      <c r="M10464" t="s">
        <v>1941</v>
      </c>
      <c r="N10464" t="s">
        <v>1941</v>
      </c>
      <c r="O10464" t="s">
        <v>23</v>
      </c>
      <c r="P10464" t="s">
        <v>24</v>
      </c>
      <c r="Q10464" t="s">
        <v>642</v>
      </c>
      <c r="R10464" t="s">
        <v>1942</v>
      </c>
    </row>
    <row r="10465" spans="1:18" x14ac:dyDescent="0.25">
      <c r="A10465" t="s">
        <v>15650</v>
      </c>
      <c r="B10465" t="s">
        <v>11902</v>
      </c>
      <c r="C10465" t="str">
        <f>HYPERLINK("https://nematode.unl.edu/xemagsmo1.jpg")</f>
        <v>https://nematode.unl.edu/xemagsmo1.jpg</v>
      </c>
      <c r="D10465" t="s">
        <v>43</v>
      </c>
      <c r="G10465" t="s">
        <v>44</v>
      </c>
      <c r="I10465" t="s">
        <v>516</v>
      </c>
      <c r="J10465" t="s">
        <v>2350</v>
      </c>
      <c r="L10465" t="s">
        <v>11903</v>
      </c>
      <c r="M10465" t="s">
        <v>1941</v>
      </c>
      <c r="N10465" t="s">
        <v>1941</v>
      </c>
      <c r="O10465" t="s">
        <v>23</v>
      </c>
      <c r="P10465" t="s">
        <v>24</v>
      </c>
      <c r="Q10465" t="s">
        <v>642</v>
      </c>
      <c r="R10465" t="s">
        <v>1942</v>
      </c>
    </row>
    <row r="10466" spans="1:18" x14ac:dyDescent="0.25">
      <c r="A10466" t="s">
        <v>15602</v>
      </c>
      <c r="B10466" t="s">
        <v>11904</v>
      </c>
      <c r="C10466" t="str">
        <f>HYPERLINK("https://nematode.unl.edu/xemagsmo2.jpg")</f>
        <v>https://nematode.unl.edu/xemagsmo2.jpg</v>
      </c>
      <c r="D10466" t="s">
        <v>43</v>
      </c>
      <c r="G10466" t="s">
        <v>96</v>
      </c>
      <c r="H10466" t="s">
        <v>18</v>
      </c>
      <c r="I10466" t="s">
        <v>41</v>
      </c>
      <c r="J10466" t="s">
        <v>2350</v>
      </c>
      <c r="L10466" t="s">
        <v>11903</v>
      </c>
      <c r="M10466" t="s">
        <v>1941</v>
      </c>
      <c r="N10466" t="s">
        <v>1941</v>
      </c>
      <c r="O10466" t="s">
        <v>23</v>
      </c>
      <c r="P10466" t="s">
        <v>24</v>
      </c>
      <c r="Q10466" t="s">
        <v>642</v>
      </c>
      <c r="R10466" t="s">
        <v>1942</v>
      </c>
    </row>
    <row r="10467" spans="1:18" x14ac:dyDescent="0.25">
      <c r="A10467" t="s">
        <v>15708</v>
      </c>
      <c r="B10467" t="s">
        <v>11905</v>
      </c>
      <c r="C10467" t="str">
        <f>HYPERLINK("https://nematode.unl.edu/xemagsmo3.jpg")</f>
        <v>https://nematode.unl.edu/xemagsmo3.jpg</v>
      </c>
      <c r="D10467" t="s">
        <v>43</v>
      </c>
      <c r="G10467" t="s">
        <v>28</v>
      </c>
      <c r="I10467" t="s">
        <v>529</v>
      </c>
      <c r="J10467" t="s">
        <v>2350</v>
      </c>
      <c r="L10467" t="s">
        <v>11903</v>
      </c>
      <c r="M10467" t="s">
        <v>1941</v>
      </c>
      <c r="N10467" t="s">
        <v>1941</v>
      </c>
      <c r="O10467" t="s">
        <v>23</v>
      </c>
      <c r="P10467" t="s">
        <v>24</v>
      </c>
      <c r="Q10467" t="s">
        <v>642</v>
      </c>
      <c r="R10467" t="s">
        <v>1942</v>
      </c>
    </row>
    <row r="10468" spans="1:18" x14ac:dyDescent="0.25">
      <c r="A10468" t="s">
        <v>15651</v>
      </c>
      <c r="B10468" t="s">
        <v>11906</v>
      </c>
      <c r="C10468" t="str">
        <f>HYPERLINK("https://nematode.unl.edu/xemagsmo4.jpg")</f>
        <v>https://nematode.unl.edu/xemagsmo4.jpg</v>
      </c>
      <c r="D10468" t="s">
        <v>43</v>
      </c>
      <c r="G10468" t="s">
        <v>44</v>
      </c>
      <c r="I10468" t="s">
        <v>19</v>
      </c>
      <c r="J10468" t="s">
        <v>2350</v>
      </c>
      <c r="L10468" t="s">
        <v>11903</v>
      </c>
      <c r="M10468" t="s">
        <v>1941</v>
      </c>
      <c r="N10468" t="s">
        <v>1941</v>
      </c>
      <c r="O10468" t="s">
        <v>23</v>
      </c>
      <c r="P10468" t="s">
        <v>24</v>
      </c>
      <c r="Q10468" t="s">
        <v>642</v>
      </c>
      <c r="R10468" t="s">
        <v>1942</v>
      </c>
    </row>
    <row r="10469" spans="1:18" x14ac:dyDescent="0.25">
      <c r="A10469" t="s">
        <v>15603</v>
      </c>
      <c r="B10469" t="s">
        <v>11907</v>
      </c>
      <c r="C10469" t="str">
        <f>HYPERLINK("https://nematode.unl.edu/xemagsmo5.jpg")</f>
        <v>https://nematode.unl.edu/xemagsmo5.jpg</v>
      </c>
      <c r="D10469" t="s">
        <v>43</v>
      </c>
      <c r="G10469" t="s">
        <v>96</v>
      </c>
      <c r="H10469" t="s">
        <v>18</v>
      </c>
      <c r="I10469" t="s">
        <v>41</v>
      </c>
      <c r="J10469" t="s">
        <v>2350</v>
      </c>
      <c r="L10469" t="s">
        <v>11903</v>
      </c>
      <c r="M10469" t="s">
        <v>1941</v>
      </c>
      <c r="N10469" t="s">
        <v>1941</v>
      </c>
      <c r="O10469" t="s">
        <v>23</v>
      </c>
      <c r="P10469" t="s">
        <v>24</v>
      </c>
      <c r="Q10469" t="s">
        <v>642</v>
      </c>
      <c r="R10469" t="s">
        <v>1942</v>
      </c>
    </row>
    <row r="10470" spans="1:18" x14ac:dyDescent="0.25">
      <c r="A10470" t="s">
        <v>15604</v>
      </c>
      <c r="B10470" t="s">
        <v>11908</v>
      </c>
      <c r="C10470" t="str">
        <f>HYPERLINK("https://nematode.unl.edu/xemagsmo6.jpg")</f>
        <v>https://nematode.unl.edu/xemagsmo6.jpg</v>
      </c>
      <c r="D10470" t="s">
        <v>43</v>
      </c>
      <c r="G10470" t="s">
        <v>96</v>
      </c>
      <c r="H10470" t="s">
        <v>18</v>
      </c>
      <c r="I10470" t="s">
        <v>529</v>
      </c>
      <c r="J10470" t="s">
        <v>2350</v>
      </c>
      <c r="L10470" t="s">
        <v>11903</v>
      </c>
      <c r="M10470" t="s">
        <v>1941</v>
      </c>
      <c r="N10470" t="s">
        <v>1941</v>
      </c>
      <c r="O10470" t="s">
        <v>23</v>
      </c>
      <c r="P10470" t="s">
        <v>24</v>
      </c>
      <c r="Q10470" t="s">
        <v>642</v>
      </c>
      <c r="R10470" t="s">
        <v>1942</v>
      </c>
    </row>
    <row r="10471" spans="1:18" x14ac:dyDescent="0.25">
      <c r="A10471" t="s">
        <v>15693</v>
      </c>
      <c r="B10471" t="s">
        <v>11909</v>
      </c>
      <c r="C10471" t="str">
        <f>HYPERLINK("https://nematode.unl.edu/xemagsmo7.jpg")</f>
        <v>https://nematode.unl.edu/xemagsmo7.jpg</v>
      </c>
      <c r="D10471" t="s">
        <v>43</v>
      </c>
      <c r="G10471" t="s">
        <v>181</v>
      </c>
      <c r="I10471" t="s">
        <v>41</v>
      </c>
      <c r="J10471" t="s">
        <v>2350</v>
      </c>
      <c r="L10471" t="s">
        <v>11903</v>
      </c>
      <c r="M10471" t="s">
        <v>1941</v>
      </c>
      <c r="N10471" t="s">
        <v>1941</v>
      </c>
      <c r="O10471" t="s">
        <v>23</v>
      </c>
      <c r="P10471" t="s">
        <v>24</v>
      </c>
      <c r="Q10471" t="s">
        <v>642</v>
      </c>
      <c r="R10471" t="s">
        <v>1942</v>
      </c>
    </row>
    <row r="10472" spans="1:18" x14ac:dyDescent="0.25">
      <c r="A10472" t="s">
        <v>15694</v>
      </c>
      <c r="B10472" t="s">
        <v>11910</v>
      </c>
      <c r="C10472" t="str">
        <f>HYPERLINK("https://nematode.unl.edu/xemagsmo8.jpg")</f>
        <v>https://nematode.unl.edu/xemagsmo8.jpg</v>
      </c>
      <c r="D10472" t="s">
        <v>43</v>
      </c>
      <c r="G10472" t="s">
        <v>181</v>
      </c>
      <c r="I10472" t="s">
        <v>41</v>
      </c>
      <c r="J10472" t="s">
        <v>2350</v>
      </c>
      <c r="L10472" t="s">
        <v>11903</v>
      </c>
      <c r="M10472" t="s">
        <v>1941</v>
      </c>
      <c r="N10472" t="s">
        <v>1941</v>
      </c>
      <c r="O10472" t="s">
        <v>23</v>
      </c>
      <c r="P10472" t="s">
        <v>24</v>
      </c>
      <c r="Q10472" t="s">
        <v>642</v>
      </c>
      <c r="R10472" t="s">
        <v>1942</v>
      </c>
    </row>
    <row r="10473" spans="1:18" x14ac:dyDescent="0.25">
      <c r="A10473" t="s">
        <v>15652</v>
      </c>
      <c r="B10473" t="s">
        <v>11911</v>
      </c>
      <c r="C10473" t="str">
        <f>HYPERLINK("https://nematode.unl.edu/xenocrimac1.jpg")</f>
        <v>https://nematode.unl.edu/xenocrimac1.jpg</v>
      </c>
      <c r="D10473" t="s">
        <v>77</v>
      </c>
      <c r="G10473" t="s">
        <v>44</v>
      </c>
      <c r="I10473" t="s">
        <v>19</v>
      </c>
      <c r="J10473" t="s">
        <v>11912</v>
      </c>
      <c r="L10473" t="s">
        <v>11913</v>
      </c>
      <c r="M10473" t="s">
        <v>1941</v>
      </c>
      <c r="N10473" t="s">
        <v>1941</v>
      </c>
      <c r="O10473" t="s">
        <v>23</v>
      </c>
      <c r="P10473" t="s">
        <v>24</v>
      </c>
      <c r="Q10473" t="s">
        <v>642</v>
      </c>
      <c r="R10473" t="s">
        <v>1942</v>
      </c>
    </row>
    <row r="10474" spans="1:18" x14ac:dyDescent="0.25">
      <c r="A10474" t="s">
        <v>15614</v>
      </c>
      <c r="B10474" t="s">
        <v>11914</v>
      </c>
      <c r="C10474" t="str">
        <f>HYPERLINK("https://nematode.unl.edu/xenocrimac10.jpg")</f>
        <v>https://nematode.unl.edu/xenocrimac10.jpg</v>
      </c>
      <c r="D10474" t="s">
        <v>43</v>
      </c>
      <c r="G10474" t="s">
        <v>34</v>
      </c>
      <c r="H10474" t="s">
        <v>18</v>
      </c>
      <c r="I10474" t="s">
        <v>41</v>
      </c>
      <c r="J10474" t="s">
        <v>11912</v>
      </c>
      <c r="L10474" t="s">
        <v>11913</v>
      </c>
      <c r="M10474" t="s">
        <v>1941</v>
      </c>
      <c r="N10474" t="s">
        <v>1941</v>
      </c>
      <c r="O10474" t="s">
        <v>23</v>
      </c>
      <c r="P10474" t="s">
        <v>24</v>
      </c>
      <c r="Q10474" t="s">
        <v>642</v>
      </c>
      <c r="R10474" t="s">
        <v>1942</v>
      </c>
    </row>
    <row r="10475" spans="1:18" x14ac:dyDescent="0.25">
      <c r="A10475" t="s">
        <v>15686</v>
      </c>
      <c r="B10475" t="s">
        <v>11915</v>
      </c>
      <c r="C10475" t="str">
        <f>HYPERLINK("https://nematode.unl.edu/xenocrimac11.jpg")</f>
        <v>https://nematode.unl.edu/xenocrimac11.jpg</v>
      </c>
      <c r="D10475" t="s">
        <v>43</v>
      </c>
      <c r="G10475" t="s">
        <v>224</v>
      </c>
      <c r="I10475" t="s">
        <v>41</v>
      </c>
      <c r="J10475" t="s">
        <v>11912</v>
      </c>
      <c r="L10475" t="s">
        <v>11913</v>
      </c>
      <c r="M10475" t="s">
        <v>1941</v>
      </c>
      <c r="N10475" t="s">
        <v>1941</v>
      </c>
      <c r="O10475" t="s">
        <v>23</v>
      </c>
      <c r="P10475" t="s">
        <v>24</v>
      </c>
      <c r="Q10475" t="s">
        <v>642</v>
      </c>
      <c r="R10475" t="s">
        <v>1942</v>
      </c>
    </row>
    <row r="10476" spans="1:18" x14ac:dyDescent="0.25">
      <c r="A10476" t="s">
        <v>15709</v>
      </c>
      <c r="B10476" t="s">
        <v>11916</v>
      </c>
      <c r="C10476" t="str">
        <f>HYPERLINK("https://nematode.unl.edu/xenocrimac12.jpg")</f>
        <v>https://nematode.unl.edu/xenocrimac12.jpg</v>
      </c>
      <c r="D10476" t="s">
        <v>43</v>
      </c>
      <c r="G10476" t="s">
        <v>28</v>
      </c>
      <c r="I10476" t="s">
        <v>41</v>
      </c>
      <c r="J10476" t="s">
        <v>11912</v>
      </c>
      <c r="L10476" t="s">
        <v>11913</v>
      </c>
      <c r="M10476" t="s">
        <v>1941</v>
      </c>
      <c r="N10476" t="s">
        <v>1941</v>
      </c>
      <c r="O10476" t="s">
        <v>23</v>
      </c>
      <c r="P10476" t="s">
        <v>24</v>
      </c>
      <c r="Q10476" t="s">
        <v>642</v>
      </c>
      <c r="R10476" t="s">
        <v>1942</v>
      </c>
    </row>
    <row r="10477" spans="1:18" x14ac:dyDescent="0.25">
      <c r="A10477" t="s">
        <v>15615</v>
      </c>
      <c r="B10477" t="s">
        <v>11917</v>
      </c>
      <c r="C10477" t="str">
        <f>HYPERLINK("https://nematode.unl.edu/xenocrimac2.jpg")</f>
        <v>https://nematode.unl.edu/xenocrimac2.jpg</v>
      </c>
      <c r="D10477" t="s">
        <v>43</v>
      </c>
      <c r="G10477" t="s">
        <v>34</v>
      </c>
      <c r="H10477" t="s">
        <v>18</v>
      </c>
      <c r="I10477" t="s">
        <v>41</v>
      </c>
      <c r="J10477" t="s">
        <v>11918</v>
      </c>
      <c r="L10477" t="s">
        <v>11913</v>
      </c>
      <c r="M10477" t="s">
        <v>1941</v>
      </c>
      <c r="N10477" t="s">
        <v>1941</v>
      </c>
      <c r="O10477" t="s">
        <v>23</v>
      </c>
      <c r="P10477" t="s">
        <v>24</v>
      </c>
      <c r="Q10477" t="s">
        <v>642</v>
      </c>
      <c r="R10477" t="s">
        <v>1942</v>
      </c>
    </row>
    <row r="10478" spans="1:18" x14ac:dyDescent="0.25">
      <c r="A10478" t="s">
        <v>15726</v>
      </c>
      <c r="B10478" t="s">
        <v>11919</v>
      </c>
      <c r="C10478" t="str">
        <f>HYPERLINK("https://nematode.unl.edu/xenocrimac3.jpg")</f>
        <v>https://nematode.unl.edu/xenocrimac3.jpg</v>
      </c>
      <c r="D10478" t="s">
        <v>43</v>
      </c>
      <c r="G10478" t="s">
        <v>51</v>
      </c>
      <c r="I10478" t="s">
        <v>41</v>
      </c>
      <c r="J10478" t="s">
        <v>11918</v>
      </c>
      <c r="L10478" t="s">
        <v>11913</v>
      </c>
      <c r="M10478" t="s">
        <v>1941</v>
      </c>
      <c r="N10478" t="s">
        <v>1941</v>
      </c>
      <c r="O10478" t="s">
        <v>23</v>
      </c>
      <c r="P10478" t="s">
        <v>24</v>
      </c>
      <c r="Q10478" t="s">
        <v>642</v>
      </c>
      <c r="R10478" t="s">
        <v>1942</v>
      </c>
    </row>
    <row r="10479" spans="1:18" x14ac:dyDescent="0.25">
      <c r="A10479" t="s">
        <v>15653</v>
      </c>
      <c r="B10479" t="s">
        <v>11920</v>
      </c>
      <c r="C10479" t="str">
        <f>HYPERLINK("https://nematode.unl.edu/xenocrimac4.jpg")</f>
        <v>https://nematode.unl.edu/xenocrimac4.jpg</v>
      </c>
      <c r="D10479" t="s">
        <v>43</v>
      </c>
      <c r="G10479" t="s">
        <v>44</v>
      </c>
      <c r="I10479" t="s">
        <v>19</v>
      </c>
      <c r="J10479" t="s">
        <v>11918</v>
      </c>
      <c r="L10479" t="s">
        <v>11913</v>
      </c>
      <c r="M10479" t="s">
        <v>1941</v>
      </c>
      <c r="N10479" t="s">
        <v>1941</v>
      </c>
      <c r="O10479" t="s">
        <v>23</v>
      </c>
      <c r="P10479" t="s">
        <v>24</v>
      </c>
      <c r="Q10479" t="s">
        <v>642</v>
      </c>
      <c r="R10479" t="s">
        <v>1942</v>
      </c>
    </row>
    <row r="10480" spans="1:18" x14ac:dyDescent="0.25">
      <c r="A10480" t="s">
        <v>15616</v>
      </c>
      <c r="B10480" t="s">
        <v>11921</v>
      </c>
      <c r="C10480" t="str">
        <f>HYPERLINK("https://nematode.unl.edu/xenocrimac5.jpg")</f>
        <v>https://nematode.unl.edu/xenocrimac5.jpg</v>
      </c>
      <c r="D10480" t="s">
        <v>43</v>
      </c>
      <c r="G10480" t="s">
        <v>34</v>
      </c>
      <c r="H10480" t="s">
        <v>18</v>
      </c>
      <c r="I10480" t="s">
        <v>41</v>
      </c>
      <c r="J10480" t="s">
        <v>11918</v>
      </c>
      <c r="L10480" t="s">
        <v>11913</v>
      </c>
      <c r="M10480" t="s">
        <v>1941</v>
      </c>
      <c r="N10480" t="s">
        <v>1941</v>
      </c>
      <c r="O10480" t="s">
        <v>23</v>
      </c>
      <c r="P10480" t="s">
        <v>24</v>
      </c>
      <c r="Q10480" t="s">
        <v>642</v>
      </c>
      <c r="R10480" t="s">
        <v>1942</v>
      </c>
    </row>
    <row r="10481" spans="1:18" x14ac:dyDescent="0.25">
      <c r="A10481" t="s">
        <v>15710</v>
      </c>
      <c r="B10481" t="s">
        <v>11922</v>
      </c>
      <c r="C10481" t="str">
        <f>HYPERLINK("https://nematode.unl.edu/xenocrimac6.jpg")</f>
        <v>https://nematode.unl.edu/xenocrimac6.jpg</v>
      </c>
      <c r="D10481" t="s">
        <v>43</v>
      </c>
      <c r="G10481" t="s">
        <v>28</v>
      </c>
      <c r="I10481" t="s">
        <v>41</v>
      </c>
      <c r="J10481" t="s">
        <v>11918</v>
      </c>
      <c r="L10481" t="s">
        <v>11913</v>
      </c>
      <c r="M10481" t="s">
        <v>1941</v>
      </c>
      <c r="N10481" t="s">
        <v>1941</v>
      </c>
      <c r="O10481" t="s">
        <v>23</v>
      </c>
      <c r="P10481" t="s">
        <v>24</v>
      </c>
      <c r="Q10481" t="s">
        <v>642</v>
      </c>
      <c r="R10481" t="s">
        <v>1942</v>
      </c>
    </row>
    <row r="10482" spans="1:18" x14ac:dyDescent="0.25">
      <c r="A10482" t="s">
        <v>15654</v>
      </c>
      <c r="B10482" t="s">
        <v>11923</v>
      </c>
      <c r="C10482" t="str">
        <f>HYPERLINK("https://nematode.unl.edu/xenocrimac7.jpg")</f>
        <v>https://nematode.unl.edu/xenocrimac7.jpg</v>
      </c>
      <c r="D10482" t="s">
        <v>43</v>
      </c>
      <c r="G10482" t="s">
        <v>44</v>
      </c>
      <c r="I10482" t="s">
        <v>19</v>
      </c>
      <c r="J10482" t="s">
        <v>11918</v>
      </c>
      <c r="L10482" t="s">
        <v>11913</v>
      </c>
      <c r="M10482" t="s">
        <v>1941</v>
      </c>
      <c r="N10482" t="s">
        <v>1941</v>
      </c>
      <c r="O10482" t="s">
        <v>23</v>
      </c>
      <c r="P10482" t="s">
        <v>24</v>
      </c>
      <c r="Q10482" t="s">
        <v>642</v>
      </c>
      <c r="R10482" t="s">
        <v>1942</v>
      </c>
    </row>
    <row r="10483" spans="1:18" x14ac:dyDescent="0.25">
      <c r="A10483" t="s">
        <v>15617</v>
      </c>
      <c r="B10483" t="s">
        <v>11924</v>
      </c>
      <c r="C10483" t="str">
        <f>HYPERLINK("https://nematode.unl.edu/xenocrimac8.jpg")</f>
        <v>https://nematode.unl.edu/xenocrimac8.jpg</v>
      </c>
      <c r="D10483" t="s">
        <v>43</v>
      </c>
      <c r="G10483" t="s">
        <v>34</v>
      </c>
      <c r="H10483" t="s">
        <v>18</v>
      </c>
      <c r="I10483" t="s">
        <v>41</v>
      </c>
      <c r="J10483" t="s">
        <v>11918</v>
      </c>
      <c r="L10483" t="s">
        <v>11913</v>
      </c>
      <c r="M10483" t="s">
        <v>1941</v>
      </c>
      <c r="N10483" t="s">
        <v>1941</v>
      </c>
      <c r="O10483" t="s">
        <v>23</v>
      </c>
      <c r="P10483" t="s">
        <v>24</v>
      </c>
      <c r="Q10483" t="s">
        <v>642</v>
      </c>
      <c r="R10483" t="s">
        <v>1942</v>
      </c>
    </row>
    <row r="10484" spans="1:18" x14ac:dyDescent="0.25">
      <c r="A10484" t="s">
        <v>15711</v>
      </c>
      <c r="B10484" t="s">
        <v>11925</v>
      </c>
      <c r="C10484" t="str">
        <f>HYPERLINK("https://nematode.unl.edu/xenocrimac9.jpg")</f>
        <v>https://nematode.unl.edu/xenocrimac9.jpg</v>
      </c>
      <c r="D10484" t="s">
        <v>43</v>
      </c>
      <c r="G10484" t="s">
        <v>28</v>
      </c>
      <c r="I10484" t="s">
        <v>41</v>
      </c>
      <c r="J10484" t="s">
        <v>11918</v>
      </c>
      <c r="L10484" t="s">
        <v>11913</v>
      </c>
      <c r="M10484" t="s">
        <v>1941</v>
      </c>
      <c r="N10484" t="s">
        <v>1941</v>
      </c>
      <c r="O10484" t="s">
        <v>23</v>
      </c>
      <c r="P10484" t="s">
        <v>24</v>
      </c>
      <c r="Q10484" t="s">
        <v>642</v>
      </c>
      <c r="R10484" t="s">
        <v>1942</v>
      </c>
    </row>
    <row r="10485" spans="1:18" x14ac:dyDescent="0.25">
      <c r="A10485" t="s">
        <v>15727</v>
      </c>
      <c r="B10485" t="s">
        <v>1939</v>
      </c>
      <c r="C10485" t="str">
        <f>HYPERLINK("https://nematode.unl.edu/xenocrimacoll.jpg")</f>
        <v>https://nematode.unl.edu/xenocrimacoll.jpg</v>
      </c>
      <c r="D10485" t="s">
        <v>43</v>
      </c>
      <c r="G10485" t="s">
        <v>108</v>
      </c>
      <c r="M10485" t="s">
        <v>1940</v>
      </c>
      <c r="N10485" t="s">
        <v>1941</v>
      </c>
      <c r="O10485" t="s">
        <v>23</v>
      </c>
      <c r="P10485" t="s">
        <v>24</v>
      </c>
      <c r="Q10485" t="s">
        <v>642</v>
      </c>
      <c r="R10485" t="s">
        <v>1942</v>
      </c>
    </row>
    <row r="10486" spans="1:18" x14ac:dyDescent="0.25">
      <c r="A10486" t="s">
        <v>15655</v>
      </c>
      <c r="B10486" t="s">
        <v>11926</v>
      </c>
      <c r="C10486" t="str">
        <f>HYPERLINK("https://nematode.unl.edu/xenocrimds1.jpg")</f>
        <v>https://nematode.unl.edu/xenocrimds1.jpg</v>
      </c>
      <c r="D10486" t="s">
        <v>77</v>
      </c>
      <c r="G10486" t="s">
        <v>44</v>
      </c>
      <c r="I10486" t="s">
        <v>19</v>
      </c>
      <c r="J10486" t="s">
        <v>11927</v>
      </c>
      <c r="K10486" t="s">
        <v>22862</v>
      </c>
      <c r="L10486" t="s">
        <v>11928</v>
      </c>
      <c r="M10486" t="s">
        <v>1941</v>
      </c>
      <c r="N10486" t="s">
        <v>1941</v>
      </c>
      <c r="O10486" t="s">
        <v>23</v>
      </c>
      <c r="P10486" t="s">
        <v>24</v>
      </c>
      <c r="Q10486" t="s">
        <v>642</v>
      </c>
      <c r="R10486" t="s">
        <v>1942</v>
      </c>
    </row>
    <row r="10487" spans="1:18" x14ac:dyDescent="0.25">
      <c r="A10487" t="s">
        <v>15656</v>
      </c>
      <c r="B10487" t="s">
        <v>11929</v>
      </c>
      <c r="C10487" t="str">
        <f>HYPERLINK("https://nematode.unl.edu/xenocrimds10.jpg")</f>
        <v>https://nematode.unl.edu/xenocrimds10.jpg</v>
      </c>
      <c r="D10487" t="s">
        <v>43</v>
      </c>
      <c r="G10487" t="s">
        <v>44</v>
      </c>
      <c r="I10487" t="s">
        <v>137</v>
      </c>
      <c r="J10487" t="s">
        <v>11927</v>
      </c>
      <c r="K10487" t="s">
        <v>22862</v>
      </c>
      <c r="L10487" t="s">
        <v>8501</v>
      </c>
      <c r="M10487" t="s">
        <v>1941</v>
      </c>
      <c r="N10487" t="s">
        <v>1941</v>
      </c>
      <c r="O10487" t="s">
        <v>23</v>
      </c>
      <c r="P10487" t="s">
        <v>24</v>
      </c>
      <c r="Q10487" t="s">
        <v>642</v>
      </c>
      <c r="R10487" t="s">
        <v>1942</v>
      </c>
    </row>
    <row r="10488" spans="1:18" x14ac:dyDescent="0.25">
      <c r="A10488" t="s">
        <v>15657</v>
      </c>
      <c r="B10488" t="s">
        <v>11930</v>
      </c>
      <c r="C10488" t="str">
        <f>HYPERLINK("https://nematode.unl.edu/xenocrimds11.jpg")</f>
        <v>https://nematode.unl.edu/xenocrimds11.jpg</v>
      </c>
      <c r="D10488" t="s">
        <v>43</v>
      </c>
      <c r="G10488" t="s">
        <v>44</v>
      </c>
      <c r="I10488" t="s">
        <v>19</v>
      </c>
      <c r="J10488" t="s">
        <v>11927</v>
      </c>
      <c r="K10488" t="s">
        <v>22862</v>
      </c>
      <c r="L10488" t="s">
        <v>8501</v>
      </c>
      <c r="M10488" t="s">
        <v>1941</v>
      </c>
      <c r="N10488" t="s">
        <v>1941</v>
      </c>
      <c r="O10488" t="s">
        <v>23</v>
      </c>
      <c r="P10488" t="s">
        <v>24</v>
      </c>
      <c r="Q10488" t="s">
        <v>642</v>
      </c>
      <c r="R10488" t="s">
        <v>1942</v>
      </c>
    </row>
    <row r="10489" spans="1:18" x14ac:dyDescent="0.25">
      <c r="A10489" t="s">
        <v>15605</v>
      </c>
      <c r="B10489" t="s">
        <v>11931</v>
      </c>
      <c r="C10489" t="str">
        <f>HYPERLINK("https://nematode.unl.edu/xenocrimds12.jpg")</f>
        <v>https://nematode.unl.edu/xenocrimds12.jpg</v>
      </c>
      <c r="D10489" t="s">
        <v>43</v>
      </c>
      <c r="G10489" t="s">
        <v>96</v>
      </c>
      <c r="H10489" t="s">
        <v>18</v>
      </c>
      <c r="I10489" t="s">
        <v>41</v>
      </c>
      <c r="J10489" t="s">
        <v>11927</v>
      </c>
      <c r="K10489" t="s">
        <v>22862</v>
      </c>
      <c r="L10489" t="s">
        <v>8501</v>
      </c>
      <c r="M10489" t="s">
        <v>1941</v>
      </c>
      <c r="N10489" t="s">
        <v>1941</v>
      </c>
      <c r="O10489" t="s">
        <v>23</v>
      </c>
      <c r="P10489" t="s">
        <v>24</v>
      </c>
      <c r="Q10489" t="s">
        <v>642</v>
      </c>
      <c r="R10489" t="s">
        <v>1942</v>
      </c>
    </row>
    <row r="10490" spans="1:18" x14ac:dyDescent="0.25">
      <c r="A10490" t="s">
        <v>15695</v>
      </c>
      <c r="B10490" t="s">
        <v>11932</v>
      </c>
      <c r="C10490" t="str">
        <f>HYPERLINK("https://nematode.unl.edu/xenocrimds13.jpg")</f>
        <v>https://nematode.unl.edu/xenocrimds13.jpg</v>
      </c>
      <c r="D10490" t="s">
        <v>43</v>
      </c>
      <c r="G10490" t="s">
        <v>181</v>
      </c>
      <c r="I10490" t="s">
        <v>41</v>
      </c>
      <c r="J10490" t="s">
        <v>11927</v>
      </c>
      <c r="K10490" t="s">
        <v>22862</v>
      </c>
      <c r="L10490" t="s">
        <v>8501</v>
      </c>
      <c r="M10490" t="s">
        <v>1941</v>
      </c>
      <c r="N10490" t="s">
        <v>1941</v>
      </c>
      <c r="O10490" t="s">
        <v>23</v>
      </c>
      <c r="P10490" t="s">
        <v>24</v>
      </c>
      <c r="Q10490" t="s">
        <v>642</v>
      </c>
      <c r="R10490" t="s">
        <v>1942</v>
      </c>
    </row>
    <row r="10491" spans="1:18" x14ac:dyDescent="0.25">
      <c r="A10491" t="s">
        <v>15687</v>
      </c>
      <c r="B10491" t="s">
        <v>11933</v>
      </c>
      <c r="C10491" t="str">
        <f>HYPERLINK("https://nematode.unl.edu/xenocrimds14.jpg")</f>
        <v>https://nematode.unl.edu/xenocrimds14.jpg</v>
      </c>
      <c r="D10491" t="s">
        <v>43</v>
      </c>
      <c r="G10491" t="s">
        <v>224</v>
      </c>
      <c r="I10491" t="s">
        <v>41</v>
      </c>
      <c r="J10491" t="s">
        <v>11927</v>
      </c>
      <c r="K10491" t="s">
        <v>22862</v>
      </c>
      <c r="L10491" t="s">
        <v>8501</v>
      </c>
      <c r="M10491" t="s">
        <v>1941</v>
      </c>
      <c r="N10491" t="s">
        <v>1941</v>
      </c>
      <c r="O10491" t="s">
        <v>23</v>
      </c>
      <c r="P10491" t="s">
        <v>24</v>
      </c>
      <c r="Q10491" t="s">
        <v>642</v>
      </c>
      <c r="R10491" t="s">
        <v>1942</v>
      </c>
    </row>
    <row r="10492" spans="1:18" x14ac:dyDescent="0.25">
      <c r="A10492" t="s">
        <v>15696</v>
      </c>
      <c r="B10492" t="s">
        <v>11934</v>
      </c>
      <c r="C10492" t="str">
        <f>HYPERLINK("https://nematode.unl.edu/xenocrimds2.jpg")</f>
        <v>https://nematode.unl.edu/xenocrimds2.jpg</v>
      </c>
      <c r="D10492" t="s">
        <v>43</v>
      </c>
      <c r="G10492" t="s">
        <v>181</v>
      </c>
      <c r="I10492" t="s">
        <v>41</v>
      </c>
      <c r="J10492" t="s">
        <v>11927</v>
      </c>
      <c r="K10492" t="s">
        <v>22862</v>
      </c>
      <c r="L10492" t="s">
        <v>11928</v>
      </c>
      <c r="M10492" t="s">
        <v>1941</v>
      </c>
      <c r="N10492" t="s">
        <v>1941</v>
      </c>
      <c r="O10492" t="s">
        <v>23</v>
      </c>
      <c r="P10492" t="s">
        <v>24</v>
      </c>
      <c r="Q10492" t="s">
        <v>642</v>
      </c>
      <c r="R10492" t="s">
        <v>1942</v>
      </c>
    </row>
    <row r="10493" spans="1:18" x14ac:dyDescent="0.25">
      <c r="A10493" t="s">
        <v>15658</v>
      </c>
      <c r="B10493" t="s">
        <v>11935</v>
      </c>
      <c r="C10493" t="str">
        <f>HYPERLINK("https://nematode.unl.edu/xenocrimds3.jpg")</f>
        <v>https://nematode.unl.edu/xenocrimds3.jpg</v>
      </c>
      <c r="D10493" t="s">
        <v>43</v>
      </c>
      <c r="G10493" t="s">
        <v>44</v>
      </c>
      <c r="I10493" t="s">
        <v>19</v>
      </c>
      <c r="J10493" t="s">
        <v>11927</v>
      </c>
      <c r="K10493" t="s">
        <v>22862</v>
      </c>
      <c r="L10493" t="s">
        <v>11928</v>
      </c>
      <c r="M10493" t="s">
        <v>1941</v>
      </c>
      <c r="N10493" t="s">
        <v>1941</v>
      </c>
      <c r="O10493" t="s">
        <v>23</v>
      </c>
      <c r="P10493" t="s">
        <v>24</v>
      </c>
      <c r="Q10493" t="s">
        <v>642</v>
      </c>
      <c r="R10493" t="s">
        <v>1942</v>
      </c>
    </row>
    <row r="10494" spans="1:18" x14ac:dyDescent="0.25">
      <c r="A10494" t="s">
        <v>15635</v>
      </c>
      <c r="B10494" t="s">
        <v>11936</v>
      </c>
      <c r="C10494" t="str">
        <f>HYPERLINK("https://nematode.unl.edu/xenocrimds4.jpg")</f>
        <v>https://nematode.unl.edu/xenocrimds4.jpg</v>
      </c>
      <c r="D10494" t="s">
        <v>43</v>
      </c>
      <c r="G10494" t="s">
        <v>11937</v>
      </c>
      <c r="H10494" t="s">
        <v>18</v>
      </c>
      <c r="I10494" t="s">
        <v>529</v>
      </c>
      <c r="J10494" t="s">
        <v>11927</v>
      </c>
      <c r="K10494" t="s">
        <v>22862</v>
      </c>
      <c r="L10494" t="s">
        <v>11928</v>
      </c>
      <c r="M10494" t="s">
        <v>1941</v>
      </c>
      <c r="N10494" t="s">
        <v>1941</v>
      </c>
      <c r="O10494" t="s">
        <v>23</v>
      </c>
      <c r="P10494" t="s">
        <v>24</v>
      </c>
      <c r="Q10494" t="s">
        <v>642</v>
      </c>
      <c r="R10494" t="s">
        <v>1942</v>
      </c>
    </row>
    <row r="10495" spans="1:18" x14ac:dyDescent="0.25">
      <c r="A10495" t="s">
        <v>15618</v>
      </c>
      <c r="B10495" t="s">
        <v>11938</v>
      </c>
      <c r="C10495" t="str">
        <f>HYPERLINK("https://nematode.unl.edu/xenocrimds5.jpg")</f>
        <v>https://nematode.unl.edu/xenocrimds5.jpg</v>
      </c>
      <c r="D10495" t="s">
        <v>43</v>
      </c>
      <c r="G10495" t="s">
        <v>34</v>
      </c>
      <c r="H10495" t="s">
        <v>18</v>
      </c>
      <c r="I10495" t="s">
        <v>41</v>
      </c>
      <c r="J10495" t="s">
        <v>11927</v>
      </c>
      <c r="K10495" t="s">
        <v>22862</v>
      </c>
      <c r="L10495" t="s">
        <v>11928</v>
      </c>
      <c r="M10495" t="s">
        <v>1941</v>
      </c>
      <c r="N10495" t="s">
        <v>1941</v>
      </c>
      <c r="O10495" t="s">
        <v>23</v>
      </c>
      <c r="P10495" t="s">
        <v>24</v>
      </c>
      <c r="Q10495" t="s">
        <v>642</v>
      </c>
      <c r="R10495" t="s">
        <v>1942</v>
      </c>
    </row>
    <row r="10496" spans="1:18" x14ac:dyDescent="0.25">
      <c r="A10496" t="s">
        <v>15712</v>
      </c>
      <c r="B10496" t="s">
        <v>11939</v>
      </c>
      <c r="C10496" t="str">
        <f>HYPERLINK("https://nematode.unl.edu/xenocrimds6.jpg")</f>
        <v>https://nematode.unl.edu/xenocrimds6.jpg</v>
      </c>
      <c r="D10496" t="s">
        <v>43</v>
      </c>
      <c r="G10496" t="s">
        <v>28</v>
      </c>
      <c r="I10496" t="s">
        <v>41</v>
      </c>
      <c r="J10496" t="s">
        <v>11927</v>
      </c>
      <c r="K10496" t="s">
        <v>22862</v>
      </c>
      <c r="L10496" t="s">
        <v>11928</v>
      </c>
      <c r="M10496" t="s">
        <v>1941</v>
      </c>
      <c r="N10496" t="s">
        <v>1941</v>
      </c>
      <c r="O10496" t="s">
        <v>23</v>
      </c>
      <c r="P10496" t="s">
        <v>24</v>
      </c>
      <c r="Q10496" t="s">
        <v>642</v>
      </c>
      <c r="R10496" t="s">
        <v>1942</v>
      </c>
    </row>
    <row r="10497" spans="1:18" x14ac:dyDescent="0.25">
      <c r="A10497" t="s">
        <v>15659</v>
      </c>
      <c r="B10497" t="s">
        <v>11940</v>
      </c>
      <c r="C10497" t="str">
        <f>HYPERLINK("https://nematode.unl.edu/xenocrimds7.jpg")</f>
        <v>https://nematode.unl.edu/xenocrimds7.jpg</v>
      </c>
      <c r="D10497" t="s">
        <v>43</v>
      </c>
      <c r="G10497" t="s">
        <v>44</v>
      </c>
      <c r="I10497" t="s">
        <v>516</v>
      </c>
      <c r="J10497" t="s">
        <v>11927</v>
      </c>
      <c r="K10497" t="s">
        <v>22862</v>
      </c>
      <c r="L10497" t="s">
        <v>8501</v>
      </c>
      <c r="M10497" t="s">
        <v>1941</v>
      </c>
      <c r="N10497" t="s">
        <v>1941</v>
      </c>
      <c r="O10497" t="s">
        <v>23</v>
      </c>
      <c r="P10497" t="s">
        <v>24</v>
      </c>
      <c r="Q10497" t="s">
        <v>642</v>
      </c>
      <c r="R10497" t="s">
        <v>1942</v>
      </c>
    </row>
    <row r="10498" spans="1:18" x14ac:dyDescent="0.25">
      <c r="A10498" t="s">
        <v>15660</v>
      </c>
      <c r="B10498" t="s">
        <v>11941</v>
      </c>
      <c r="C10498" t="str">
        <f>HYPERLINK("https://nematode.unl.edu/xenocrimds8.jpg")</f>
        <v>https://nematode.unl.edu/xenocrimds8.jpg</v>
      </c>
      <c r="D10498" t="s">
        <v>43</v>
      </c>
      <c r="G10498" t="s">
        <v>44</v>
      </c>
      <c r="I10498" t="s">
        <v>19</v>
      </c>
      <c r="J10498" t="s">
        <v>11927</v>
      </c>
      <c r="K10498" t="s">
        <v>22862</v>
      </c>
      <c r="L10498" t="s">
        <v>8501</v>
      </c>
      <c r="M10498" t="s">
        <v>1941</v>
      </c>
      <c r="N10498" t="s">
        <v>1941</v>
      </c>
      <c r="O10498" t="s">
        <v>23</v>
      </c>
      <c r="P10498" t="s">
        <v>24</v>
      </c>
      <c r="Q10498" t="s">
        <v>642</v>
      </c>
      <c r="R10498" t="s">
        <v>1942</v>
      </c>
    </row>
    <row r="10499" spans="1:18" x14ac:dyDescent="0.25">
      <c r="A10499" t="s">
        <v>15685</v>
      </c>
      <c r="B10499" t="s">
        <v>11942</v>
      </c>
      <c r="C10499" t="str">
        <f>HYPERLINK("https://nematode.unl.edu/xenocrimds9.jpg")</f>
        <v>https://nematode.unl.edu/xenocrimds9.jpg</v>
      </c>
      <c r="D10499" t="s">
        <v>43</v>
      </c>
      <c r="G10499" t="s">
        <v>11943</v>
      </c>
      <c r="I10499" t="s">
        <v>19</v>
      </c>
      <c r="J10499" t="s">
        <v>11927</v>
      </c>
      <c r="K10499" t="s">
        <v>22862</v>
      </c>
      <c r="L10499" t="s">
        <v>8501</v>
      </c>
      <c r="M10499" t="s">
        <v>1941</v>
      </c>
      <c r="N10499" t="s">
        <v>1941</v>
      </c>
      <c r="O10499" t="s">
        <v>23</v>
      </c>
      <c r="P10499" t="s">
        <v>24</v>
      </c>
      <c r="Q10499" t="s">
        <v>642</v>
      </c>
      <c r="R10499" t="s">
        <v>1942</v>
      </c>
    </row>
    <row r="10500" spans="1:18" x14ac:dyDescent="0.25">
      <c r="A10500" t="s">
        <v>15661</v>
      </c>
      <c r="B10500" t="s">
        <v>11944</v>
      </c>
      <c r="C10500" t="str">
        <f>HYPERLINK("https://nematode.unl.edu/xenocrimn1.jpg")</f>
        <v>https://nematode.unl.edu/xenocrimn1.jpg</v>
      </c>
      <c r="D10500" t="s">
        <v>43</v>
      </c>
      <c r="G10500" t="s">
        <v>44</v>
      </c>
      <c r="I10500" t="s">
        <v>19</v>
      </c>
      <c r="J10500" t="s">
        <v>11945</v>
      </c>
      <c r="L10500" t="s">
        <v>1628</v>
      </c>
      <c r="M10500" t="s">
        <v>1941</v>
      </c>
      <c r="N10500" t="s">
        <v>1941</v>
      </c>
      <c r="O10500" t="s">
        <v>23</v>
      </c>
      <c r="P10500" t="s">
        <v>24</v>
      </c>
      <c r="Q10500" t="s">
        <v>642</v>
      </c>
      <c r="R10500" t="s">
        <v>1942</v>
      </c>
    </row>
    <row r="10501" spans="1:18" x14ac:dyDescent="0.25">
      <c r="A10501" t="s">
        <v>15619</v>
      </c>
      <c r="B10501" t="s">
        <v>11946</v>
      </c>
      <c r="C10501" t="str">
        <f>HYPERLINK("https://nematode.unl.edu/xenocrimn2.jpg")</f>
        <v>https://nematode.unl.edu/xenocrimn2.jpg</v>
      </c>
      <c r="D10501" t="s">
        <v>43</v>
      </c>
      <c r="G10501" t="s">
        <v>34</v>
      </c>
      <c r="H10501" t="s">
        <v>18</v>
      </c>
      <c r="I10501" t="s">
        <v>41</v>
      </c>
      <c r="J10501" t="s">
        <v>11945</v>
      </c>
      <c r="L10501" t="s">
        <v>1628</v>
      </c>
      <c r="M10501" t="s">
        <v>1941</v>
      </c>
      <c r="N10501" t="s">
        <v>1941</v>
      </c>
      <c r="O10501" t="s">
        <v>23</v>
      </c>
      <c r="P10501" t="s">
        <v>24</v>
      </c>
      <c r="Q10501" t="s">
        <v>642</v>
      </c>
      <c r="R10501" t="s">
        <v>1942</v>
      </c>
    </row>
    <row r="10502" spans="1:18" x14ac:dyDescent="0.25">
      <c r="A10502" t="s">
        <v>15690</v>
      </c>
      <c r="B10502" t="s">
        <v>11947</v>
      </c>
      <c r="C10502" t="str">
        <f>HYPERLINK("https://nematode.unl.edu/xenocrimn3.jpg")</f>
        <v>https://nematode.unl.edu/xenocrimn3.jpg</v>
      </c>
      <c r="D10502" t="s">
        <v>43</v>
      </c>
      <c r="G10502" t="s">
        <v>4041</v>
      </c>
      <c r="I10502" t="s">
        <v>41</v>
      </c>
      <c r="J10502" t="s">
        <v>11945</v>
      </c>
      <c r="L10502" t="s">
        <v>1628</v>
      </c>
      <c r="M10502" t="s">
        <v>1941</v>
      </c>
      <c r="N10502" t="s">
        <v>1941</v>
      </c>
      <c r="O10502" t="s">
        <v>23</v>
      </c>
      <c r="P10502" t="s">
        <v>24</v>
      </c>
      <c r="Q10502" t="s">
        <v>642</v>
      </c>
      <c r="R10502" t="s">
        <v>1942</v>
      </c>
    </row>
    <row r="10503" spans="1:18" x14ac:dyDescent="0.25">
      <c r="A10503" t="s">
        <v>15713</v>
      </c>
      <c r="B10503" t="s">
        <v>11948</v>
      </c>
      <c r="C10503" t="str">
        <f>HYPERLINK("https://nematode.unl.edu/xenocrimn4.jpg")</f>
        <v>https://nematode.unl.edu/xenocrimn4.jpg</v>
      </c>
      <c r="D10503" t="s">
        <v>43</v>
      </c>
      <c r="G10503" t="s">
        <v>28</v>
      </c>
      <c r="I10503" t="s">
        <v>41</v>
      </c>
      <c r="J10503" t="s">
        <v>11945</v>
      </c>
      <c r="L10503" t="s">
        <v>1628</v>
      </c>
      <c r="M10503" t="s">
        <v>1941</v>
      </c>
      <c r="N10503" t="s">
        <v>1941</v>
      </c>
      <c r="O10503" t="s">
        <v>23</v>
      </c>
      <c r="P10503" t="s">
        <v>24</v>
      </c>
      <c r="Q10503" t="s">
        <v>642</v>
      </c>
      <c r="R10503" t="s">
        <v>1942</v>
      </c>
    </row>
    <row r="10504" spans="1:18" x14ac:dyDescent="0.25">
      <c r="A10504" t="s">
        <v>15662</v>
      </c>
      <c r="B10504" t="s">
        <v>11949</v>
      </c>
      <c r="C10504" t="str">
        <f>HYPERLINK("https://nematode.unl.edu/xenocrimn5.jpg")</f>
        <v>https://nematode.unl.edu/xenocrimn5.jpg</v>
      </c>
      <c r="D10504" t="s">
        <v>43</v>
      </c>
      <c r="G10504" t="s">
        <v>44</v>
      </c>
      <c r="I10504" t="s">
        <v>19</v>
      </c>
      <c r="J10504" t="s">
        <v>11945</v>
      </c>
      <c r="L10504" t="s">
        <v>1628</v>
      </c>
      <c r="M10504" t="s">
        <v>1941</v>
      </c>
      <c r="N10504" t="s">
        <v>1941</v>
      </c>
      <c r="O10504" t="s">
        <v>23</v>
      </c>
      <c r="P10504" t="s">
        <v>24</v>
      </c>
      <c r="Q10504" t="s">
        <v>642</v>
      </c>
      <c r="R10504" t="s">
        <v>1942</v>
      </c>
    </row>
    <row r="10505" spans="1:18" x14ac:dyDescent="0.25">
      <c r="A10505" t="s">
        <v>15620</v>
      </c>
      <c r="B10505" t="s">
        <v>11950</v>
      </c>
      <c r="C10505" t="str">
        <f>HYPERLINK("https://nematode.unl.edu/xenocrimn6.jpg")</f>
        <v>https://nematode.unl.edu/xenocrimn6.jpg</v>
      </c>
      <c r="D10505" t="s">
        <v>43</v>
      </c>
      <c r="G10505" t="s">
        <v>34</v>
      </c>
      <c r="H10505" t="s">
        <v>18</v>
      </c>
      <c r="I10505" t="s">
        <v>41</v>
      </c>
      <c r="J10505" t="s">
        <v>11945</v>
      </c>
      <c r="L10505" t="s">
        <v>1628</v>
      </c>
      <c r="M10505" t="s">
        <v>1941</v>
      </c>
      <c r="N10505" t="s">
        <v>1941</v>
      </c>
      <c r="O10505" t="s">
        <v>23</v>
      </c>
      <c r="P10505" t="s">
        <v>24</v>
      </c>
      <c r="Q10505" t="s">
        <v>642</v>
      </c>
      <c r="R10505" t="s">
        <v>1942</v>
      </c>
    </row>
    <row r="10506" spans="1:18" x14ac:dyDescent="0.25">
      <c r="A10506" t="s">
        <v>15700</v>
      </c>
      <c r="B10506" t="s">
        <v>11951</v>
      </c>
      <c r="C10506" t="str">
        <f>HYPERLINK("https://nematode.unl.edu/xenocrimn7.jpg")</f>
        <v>https://nematode.unl.edu/xenocrimn7.jpg</v>
      </c>
      <c r="D10506" t="s">
        <v>43</v>
      </c>
      <c r="G10506" t="s">
        <v>11952</v>
      </c>
      <c r="I10506" t="s">
        <v>41</v>
      </c>
      <c r="J10506" t="s">
        <v>11945</v>
      </c>
      <c r="L10506" t="s">
        <v>1628</v>
      </c>
      <c r="M10506" t="s">
        <v>1941</v>
      </c>
      <c r="N10506" t="s">
        <v>1941</v>
      </c>
      <c r="O10506" t="s">
        <v>23</v>
      </c>
      <c r="P10506" t="s">
        <v>24</v>
      </c>
      <c r="Q10506" t="s">
        <v>642</v>
      </c>
      <c r="R10506" t="s">
        <v>1942</v>
      </c>
    </row>
    <row r="10507" spans="1:18" x14ac:dyDescent="0.25">
      <c r="A10507" t="s">
        <v>15714</v>
      </c>
      <c r="B10507" t="s">
        <v>11953</v>
      </c>
      <c r="C10507" t="str">
        <f>HYPERLINK("https://nematode.unl.edu/xenocrimn8.jpg")</f>
        <v>https://nematode.unl.edu/xenocrimn8.jpg</v>
      </c>
      <c r="D10507" t="s">
        <v>43</v>
      </c>
      <c r="G10507" t="s">
        <v>28</v>
      </c>
      <c r="I10507" t="s">
        <v>19</v>
      </c>
      <c r="J10507" t="s">
        <v>11945</v>
      </c>
      <c r="L10507" t="s">
        <v>1628</v>
      </c>
      <c r="M10507" t="s">
        <v>1941</v>
      </c>
      <c r="N10507" t="s">
        <v>1941</v>
      </c>
      <c r="O10507" t="s">
        <v>23</v>
      </c>
      <c r="P10507" t="s">
        <v>24</v>
      </c>
      <c r="Q10507" t="s">
        <v>642</v>
      </c>
      <c r="R10507" t="s">
        <v>1942</v>
      </c>
    </row>
    <row r="10508" spans="1:18" x14ac:dyDescent="0.25">
      <c r="A10508" t="s">
        <v>15663</v>
      </c>
      <c r="B10508" t="s">
        <v>11954</v>
      </c>
      <c r="C10508" t="str">
        <f>HYPERLINK("https://nematode.unl.edu/xenocrimn9.jpg")</f>
        <v>https://nematode.unl.edu/xenocrimn9.jpg</v>
      </c>
      <c r="D10508" t="s">
        <v>43</v>
      </c>
      <c r="G10508" t="s">
        <v>44</v>
      </c>
      <c r="I10508" t="s">
        <v>516</v>
      </c>
      <c r="J10508" t="s">
        <v>11945</v>
      </c>
      <c r="L10508" t="s">
        <v>1628</v>
      </c>
      <c r="M10508" t="s">
        <v>1941</v>
      </c>
      <c r="N10508" t="s">
        <v>1941</v>
      </c>
      <c r="O10508" t="s">
        <v>23</v>
      </c>
      <c r="P10508" t="s">
        <v>24</v>
      </c>
      <c r="Q10508" t="s">
        <v>642</v>
      </c>
      <c r="R10508" t="s">
        <v>1942</v>
      </c>
    </row>
    <row r="10509" spans="1:18" x14ac:dyDescent="0.25">
      <c r="A10509" t="s">
        <v>15664</v>
      </c>
      <c r="B10509" t="s">
        <v>11955</v>
      </c>
      <c r="C10509" t="str">
        <f>HYPERLINK("https://nematode.unl.edu/xenolou1.jpg")</f>
        <v>https://nematode.unl.edu/xenolou1.jpg</v>
      </c>
      <c r="D10509" t="s">
        <v>43</v>
      </c>
      <c r="G10509" t="s">
        <v>44</v>
      </c>
      <c r="I10509" t="s">
        <v>19</v>
      </c>
      <c r="J10509" t="s">
        <v>11956</v>
      </c>
      <c r="L10509" t="s">
        <v>11957</v>
      </c>
      <c r="M10509" t="s">
        <v>1941</v>
      </c>
      <c r="N10509" t="s">
        <v>1941</v>
      </c>
      <c r="O10509" t="s">
        <v>23</v>
      </c>
      <c r="P10509" t="s">
        <v>24</v>
      </c>
      <c r="Q10509" t="s">
        <v>642</v>
      </c>
      <c r="R10509" t="s">
        <v>1942</v>
      </c>
    </row>
    <row r="10510" spans="1:18" x14ac:dyDescent="0.25">
      <c r="A10510" t="s">
        <v>15621</v>
      </c>
      <c r="B10510" t="s">
        <v>11958</v>
      </c>
      <c r="C10510" t="str">
        <f>HYPERLINK("https://nematode.unl.edu/xenolou2.jpg")</f>
        <v>https://nematode.unl.edu/xenolou2.jpg</v>
      </c>
      <c r="D10510" t="s">
        <v>43</v>
      </c>
      <c r="G10510" t="s">
        <v>34</v>
      </c>
      <c r="H10510" t="s">
        <v>18</v>
      </c>
      <c r="I10510" t="s">
        <v>41</v>
      </c>
      <c r="J10510" t="s">
        <v>11956</v>
      </c>
      <c r="L10510" t="s">
        <v>11957</v>
      </c>
      <c r="M10510" t="s">
        <v>1941</v>
      </c>
      <c r="N10510" t="s">
        <v>1941</v>
      </c>
      <c r="O10510" t="s">
        <v>23</v>
      </c>
      <c r="P10510" t="s">
        <v>24</v>
      </c>
      <c r="Q10510" t="s">
        <v>642</v>
      </c>
      <c r="R10510" t="s">
        <v>1942</v>
      </c>
    </row>
    <row r="10511" spans="1:18" x14ac:dyDescent="0.25">
      <c r="A10511" t="s">
        <v>15698</v>
      </c>
      <c r="B10511" t="s">
        <v>11959</v>
      </c>
      <c r="C10511" t="str">
        <f>HYPERLINK("https://nematode.unl.edu/xenolou3.jpg")</f>
        <v>https://nematode.unl.edu/xenolou3.jpg</v>
      </c>
      <c r="D10511" t="s">
        <v>43</v>
      </c>
      <c r="G10511" t="s">
        <v>674</v>
      </c>
      <c r="I10511" t="s">
        <v>41</v>
      </c>
      <c r="J10511" t="s">
        <v>11956</v>
      </c>
      <c r="L10511" t="s">
        <v>11957</v>
      </c>
      <c r="M10511" t="s">
        <v>1941</v>
      </c>
      <c r="N10511" t="s">
        <v>1941</v>
      </c>
      <c r="O10511" t="s">
        <v>23</v>
      </c>
      <c r="P10511" t="s">
        <v>24</v>
      </c>
      <c r="Q10511" t="s">
        <v>642</v>
      </c>
      <c r="R10511" t="s">
        <v>1942</v>
      </c>
    </row>
    <row r="10512" spans="1:18" x14ac:dyDescent="0.25">
      <c r="A10512" t="s">
        <v>15715</v>
      </c>
      <c r="B10512" t="s">
        <v>11960</v>
      </c>
      <c r="C10512" t="str">
        <f>HYPERLINK("https://nematode.unl.edu/xenolou4.jpg")</f>
        <v>https://nematode.unl.edu/xenolou4.jpg</v>
      </c>
      <c r="D10512" t="s">
        <v>43</v>
      </c>
      <c r="G10512" t="s">
        <v>28</v>
      </c>
      <c r="I10512" t="s">
        <v>41</v>
      </c>
      <c r="J10512" t="s">
        <v>11956</v>
      </c>
      <c r="L10512" t="s">
        <v>11957</v>
      </c>
      <c r="M10512" t="s">
        <v>1941</v>
      </c>
      <c r="N10512" t="s">
        <v>1941</v>
      </c>
      <c r="O10512" t="s">
        <v>23</v>
      </c>
      <c r="P10512" t="s">
        <v>24</v>
      </c>
      <c r="Q10512" t="s">
        <v>642</v>
      </c>
      <c r="R10512" t="s">
        <v>1942</v>
      </c>
    </row>
    <row r="10513" spans="1:18" x14ac:dyDescent="0.25">
      <c r="A10513" t="s">
        <v>15665</v>
      </c>
      <c r="B10513" t="s">
        <v>11961</v>
      </c>
      <c r="C10513" t="str">
        <f>HYPERLINK("https://nematode.unl.edu/xenoloup1.jpg")</f>
        <v>https://nematode.unl.edu/xenoloup1.jpg</v>
      </c>
      <c r="D10513" t="s">
        <v>43</v>
      </c>
      <c r="G10513" t="s">
        <v>44</v>
      </c>
      <c r="I10513" t="s">
        <v>19</v>
      </c>
      <c r="J10513" t="s">
        <v>3952</v>
      </c>
      <c r="L10513" t="s">
        <v>11957</v>
      </c>
      <c r="M10513" t="s">
        <v>1941</v>
      </c>
      <c r="N10513" t="s">
        <v>1941</v>
      </c>
      <c r="O10513" t="s">
        <v>23</v>
      </c>
      <c r="P10513" t="s">
        <v>24</v>
      </c>
      <c r="Q10513" t="s">
        <v>642</v>
      </c>
      <c r="R10513" t="s">
        <v>1942</v>
      </c>
    </row>
    <row r="10514" spans="1:18" x14ac:dyDescent="0.25">
      <c r="A10514" t="s">
        <v>15606</v>
      </c>
      <c r="B10514" t="s">
        <v>11962</v>
      </c>
      <c r="C10514" t="str">
        <f>HYPERLINK("https://nematode.unl.edu/xenoloup2.jpg")</f>
        <v>https://nematode.unl.edu/xenoloup2.jpg</v>
      </c>
      <c r="D10514" t="s">
        <v>43</v>
      </c>
      <c r="G10514" t="s">
        <v>96</v>
      </c>
      <c r="H10514" t="s">
        <v>18</v>
      </c>
      <c r="I10514" t="s">
        <v>41</v>
      </c>
      <c r="J10514" t="s">
        <v>3952</v>
      </c>
      <c r="L10514" t="s">
        <v>11957</v>
      </c>
      <c r="M10514" t="s">
        <v>1941</v>
      </c>
      <c r="N10514" t="s">
        <v>1941</v>
      </c>
      <c r="O10514" t="s">
        <v>23</v>
      </c>
      <c r="P10514" t="s">
        <v>24</v>
      </c>
      <c r="Q10514" t="s">
        <v>642</v>
      </c>
      <c r="R10514" t="s">
        <v>1942</v>
      </c>
    </row>
    <row r="10515" spans="1:18" x14ac:dyDescent="0.25">
      <c r="A10515" t="s">
        <v>15697</v>
      </c>
      <c r="B10515" t="s">
        <v>11963</v>
      </c>
      <c r="C10515" t="str">
        <f>HYPERLINK("https://nematode.unl.edu/xenoloup3.jpg")</f>
        <v>https://nematode.unl.edu/xenoloup3.jpg</v>
      </c>
      <c r="D10515" t="s">
        <v>43</v>
      </c>
      <c r="G10515" t="s">
        <v>181</v>
      </c>
      <c r="I10515" t="s">
        <v>41</v>
      </c>
      <c r="J10515" t="s">
        <v>3952</v>
      </c>
      <c r="L10515" t="s">
        <v>11957</v>
      </c>
      <c r="M10515" t="s">
        <v>1941</v>
      </c>
      <c r="N10515" t="s">
        <v>1941</v>
      </c>
      <c r="O10515" t="s">
        <v>23</v>
      </c>
      <c r="P10515" t="s">
        <v>24</v>
      </c>
      <c r="Q10515" t="s">
        <v>642</v>
      </c>
      <c r="R10515" t="s">
        <v>1942</v>
      </c>
    </row>
    <row r="10516" spans="1:18" x14ac:dyDescent="0.25">
      <c r="A10516" t="s">
        <v>15666</v>
      </c>
      <c r="B10516" t="s">
        <v>11964</v>
      </c>
      <c r="C10516" t="str">
        <f>HYPERLINK("https://nematode.unl.edu/xenoloup4.jpg")</f>
        <v>https://nematode.unl.edu/xenoloup4.jpg</v>
      </c>
      <c r="D10516" t="s">
        <v>43</v>
      </c>
      <c r="G10516" t="s">
        <v>44</v>
      </c>
      <c r="I10516" t="s">
        <v>41</v>
      </c>
      <c r="J10516" t="s">
        <v>3952</v>
      </c>
      <c r="L10516" t="s">
        <v>11957</v>
      </c>
      <c r="M10516" t="s">
        <v>1941</v>
      </c>
      <c r="N10516" t="s">
        <v>1941</v>
      </c>
      <c r="O10516" t="s">
        <v>23</v>
      </c>
      <c r="P10516" t="s">
        <v>24</v>
      </c>
      <c r="Q10516" t="s">
        <v>642</v>
      </c>
      <c r="R10516" t="s">
        <v>1942</v>
      </c>
    </row>
    <row r="10517" spans="1:18" x14ac:dyDescent="0.25">
      <c r="A10517" t="s">
        <v>15667</v>
      </c>
      <c r="B10517" t="s">
        <v>11965</v>
      </c>
      <c r="C10517" t="str">
        <f>HYPERLINK("https://nematode.unl.edu/xenoloup5.jpg")</f>
        <v>https://nematode.unl.edu/xenoloup5.jpg</v>
      </c>
      <c r="D10517" t="s">
        <v>43</v>
      </c>
      <c r="G10517" t="s">
        <v>44</v>
      </c>
      <c r="I10517" t="s">
        <v>19</v>
      </c>
      <c r="J10517" t="s">
        <v>3952</v>
      </c>
      <c r="L10517" t="s">
        <v>11957</v>
      </c>
      <c r="M10517" t="s">
        <v>1941</v>
      </c>
      <c r="N10517" t="s">
        <v>1941</v>
      </c>
      <c r="O10517" t="s">
        <v>23</v>
      </c>
      <c r="P10517" t="s">
        <v>24</v>
      </c>
      <c r="Q10517" t="s">
        <v>642</v>
      </c>
      <c r="R10517" t="s">
        <v>1942</v>
      </c>
    </row>
    <row r="10518" spans="1:18" x14ac:dyDescent="0.25">
      <c r="A10518" t="s">
        <v>15668</v>
      </c>
      <c r="B10518" t="s">
        <v>11966</v>
      </c>
      <c r="C10518" t="str">
        <f>HYPERLINK("https://nematode.unl.edu/xenoloup6.jpg")</f>
        <v>https://nematode.unl.edu/xenoloup6.jpg</v>
      </c>
      <c r="D10518" t="s">
        <v>43</v>
      </c>
      <c r="G10518" t="s">
        <v>44</v>
      </c>
      <c r="I10518" t="s">
        <v>19</v>
      </c>
      <c r="J10518" t="s">
        <v>3952</v>
      </c>
      <c r="L10518" t="s">
        <v>11957</v>
      </c>
      <c r="M10518" t="s">
        <v>1941</v>
      </c>
      <c r="N10518" t="s">
        <v>1941</v>
      </c>
      <c r="O10518" t="s">
        <v>23</v>
      </c>
      <c r="P10518" t="s">
        <v>24</v>
      </c>
      <c r="Q10518" t="s">
        <v>642</v>
      </c>
      <c r="R10518" t="s">
        <v>1942</v>
      </c>
    </row>
    <row r="10519" spans="1:18" x14ac:dyDescent="0.25">
      <c r="A10519" t="s">
        <v>15669</v>
      </c>
      <c r="B10519" t="s">
        <v>11967</v>
      </c>
      <c r="C10519" t="str">
        <f>HYPERLINK("https://nematode.unl.edu/xenoloup7.jpg")</f>
        <v>https://nematode.unl.edu/xenoloup7.jpg</v>
      </c>
      <c r="D10519" t="s">
        <v>43</v>
      </c>
      <c r="G10519" t="s">
        <v>44</v>
      </c>
      <c r="I10519" t="s">
        <v>19</v>
      </c>
      <c r="J10519" t="s">
        <v>3952</v>
      </c>
      <c r="L10519" t="s">
        <v>11957</v>
      </c>
      <c r="M10519" t="s">
        <v>1941</v>
      </c>
      <c r="N10519" t="s">
        <v>1941</v>
      </c>
      <c r="O10519" t="s">
        <v>23</v>
      </c>
      <c r="P10519" t="s">
        <v>24</v>
      </c>
      <c r="Q10519" t="s">
        <v>642</v>
      </c>
      <c r="R10519" t="s">
        <v>1942</v>
      </c>
    </row>
    <row r="10520" spans="1:18" x14ac:dyDescent="0.25">
      <c r="A10520" t="s">
        <v>15670</v>
      </c>
      <c r="B10520" t="s">
        <v>11968</v>
      </c>
      <c r="C10520" t="str">
        <f>HYPERLINK("https://nematode.unl.edu/xenoloup8.jpg")</f>
        <v>https://nematode.unl.edu/xenoloup8.jpg</v>
      </c>
      <c r="D10520" t="s">
        <v>43</v>
      </c>
      <c r="G10520" t="s">
        <v>44</v>
      </c>
      <c r="I10520" t="s">
        <v>41</v>
      </c>
      <c r="J10520" t="s">
        <v>3952</v>
      </c>
      <c r="L10520" t="s">
        <v>11957</v>
      </c>
      <c r="M10520" t="s">
        <v>1941</v>
      </c>
      <c r="N10520" t="s">
        <v>1941</v>
      </c>
      <c r="O10520" t="s">
        <v>23</v>
      </c>
      <c r="P10520" t="s">
        <v>24</v>
      </c>
      <c r="Q10520" t="s">
        <v>642</v>
      </c>
      <c r="R10520" t="s">
        <v>1942</v>
      </c>
    </row>
    <row r="10521" spans="1:18" x14ac:dyDescent="0.25">
      <c r="A10521" t="s">
        <v>15671</v>
      </c>
      <c r="B10521" t="s">
        <v>11969</v>
      </c>
      <c r="C10521" t="str">
        <f>HYPERLINK("https://nematode.unl.edu/xenomavo1.jpg")</f>
        <v>https://nematode.unl.edu/xenomavo1.jpg</v>
      </c>
      <c r="D10521" t="s">
        <v>43</v>
      </c>
      <c r="G10521" t="s">
        <v>44</v>
      </c>
      <c r="I10521" t="s">
        <v>19</v>
      </c>
      <c r="J10521" t="s">
        <v>638</v>
      </c>
      <c r="K10521" t="s">
        <v>22854</v>
      </c>
      <c r="L10521" t="s">
        <v>639</v>
      </c>
      <c r="M10521" t="s">
        <v>1941</v>
      </c>
      <c r="N10521" t="s">
        <v>1941</v>
      </c>
      <c r="O10521" t="s">
        <v>23</v>
      </c>
      <c r="P10521" t="s">
        <v>24</v>
      </c>
      <c r="Q10521" t="s">
        <v>642</v>
      </c>
      <c r="R10521" t="s">
        <v>1942</v>
      </c>
    </row>
    <row r="10522" spans="1:18" x14ac:dyDescent="0.25">
      <c r="A10522" t="s">
        <v>15622</v>
      </c>
      <c r="B10522" t="s">
        <v>11970</v>
      </c>
      <c r="C10522" t="str">
        <f>HYPERLINK("https://nematode.unl.edu/xenomavo2.jpg")</f>
        <v>https://nematode.unl.edu/xenomavo2.jpg</v>
      </c>
      <c r="D10522" t="s">
        <v>43</v>
      </c>
      <c r="G10522" t="s">
        <v>34</v>
      </c>
      <c r="H10522" t="s">
        <v>18</v>
      </c>
      <c r="I10522" t="s">
        <v>41</v>
      </c>
      <c r="J10522" t="s">
        <v>638</v>
      </c>
      <c r="K10522" t="s">
        <v>22854</v>
      </c>
      <c r="L10522" t="s">
        <v>639</v>
      </c>
      <c r="M10522" t="s">
        <v>1941</v>
      </c>
      <c r="N10522" t="s">
        <v>1941</v>
      </c>
      <c r="O10522" t="s">
        <v>23</v>
      </c>
      <c r="P10522" t="s">
        <v>24</v>
      </c>
      <c r="Q10522" t="s">
        <v>642</v>
      </c>
      <c r="R10522" t="s">
        <v>1942</v>
      </c>
    </row>
    <row r="10523" spans="1:18" x14ac:dyDescent="0.25">
      <c r="A10523" t="s">
        <v>15716</v>
      </c>
      <c r="B10523" t="s">
        <v>11971</v>
      </c>
      <c r="C10523" t="str">
        <f>HYPERLINK("https://nematode.unl.edu/xenomavo3.jpg")</f>
        <v>https://nematode.unl.edu/xenomavo3.jpg</v>
      </c>
      <c r="D10523" t="s">
        <v>43</v>
      </c>
      <c r="G10523" t="s">
        <v>28</v>
      </c>
      <c r="I10523" t="s">
        <v>41</v>
      </c>
      <c r="J10523" t="s">
        <v>638</v>
      </c>
      <c r="K10523" t="s">
        <v>22854</v>
      </c>
      <c r="L10523" t="s">
        <v>639</v>
      </c>
      <c r="M10523" t="s">
        <v>1941</v>
      </c>
      <c r="N10523" t="s">
        <v>1941</v>
      </c>
      <c r="O10523" t="s">
        <v>23</v>
      </c>
      <c r="P10523" t="s">
        <v>24</v>
      </c>
      <c r="Q10523" t="s">
        <v>642</v>
      </c>
      <c r="R10523" t="s">
        <v>1942</v>
      </c>
    </row>
    <row r="10524" spans="1:18" x14ac:dyDescent="0.25">
      <c r="A10524" t="s">
        <v>15623</v>
      </c>
      <c r="B10524" t="s">
        <v>11972</v>
      </c>
      <c r="C10524" t="str">
        <f>HYPERLINK("https://nematode.unl.edu/xenomavo4.jpg")</f>
        <v>https://nematode.unl.edu/xenomavo4.jpg</v>
      </c>
      <c r="D10524" t="s">
        <v>43</v>
      </c>
      <c r="G10524" t="s">
        <v>34</v>
      </c>
      <c r="H10524" t="s">
        <v>18</v>
      </c>
      <c r="I10524" t="s">
        <v>41</v>
      </c>
      <c r="J10524" t="s">
        <v>638</v>
      </c>
      <c r="K10524" t="s">
        <v>22854</v>
      </c>
      <c r="L10524" t="s">
        <v>639</v>
      </c>
      <c r="M10524" t="s">
        <v>1941</v>
      </c>
      <c r="N10524" t="s">
        <v>1941</v>
      </c>
      <c r="O10524" t="s">
        <v>23</v>
      </c>
      <c r="P10524" t="s">
        <v>24</v>
      </c>
      <c r="Q10524" t="s">
        <v>642</v>
      </c>
      <c r="R10524" t="s">
        <v>1942</v>
      </c>
    </row>
    <row r="10525" spans="1:18" x14ac:dyDescent="0.25">
      <c r="A10525" t="s">
        <v>15672</v>
      </c>
      <c r="B10525" t="s">
        <v>11973</v>
      </c>
      <c r="C10525" t="str">
        <f>HYPERLINK("https://nematode.unl.edu/xenomex1.jpg")</f>
        <v>https://nematode.unl.edu/xenomex1.jpg</v>
      </c>
      <c r="D10525" t="s">
        <v>43</v>
      </c>
      <c r="G10525" t="s">
        <v>44</v>
      </c>
      <c r="I10525" t="s">
        <v>19</v>
      </c>
      <c r="J10525" t="s">
        <v>11974</v>
      </c>
      <c r="L10525" t="s">
        <v>11975</v>
      </c>
      <c r="M10525" t="s">
        <v>1941</v>
      </c>
      <c r="N10525" t="s">
        <v>1941</v>
      </c>
      <c r="O10525" t="s">
        <v>23</v>
      </c>
      <c r="P10525" t="s">
        <v>24</v>
      </c>
      <c r="Q10525" t="s">
        <v>642</v>
      </c>
      <c r="R10525" t="s">
        <v>1942</v>
      </c>
    </row>
    <row r="10526" spans="1:18" x14ac:dyDescent="0.25">
      <c r="A10526" t="s">
        <v>15673</v>
      </c>
      <c r="B10526" t="s">
        <v>11976</v>
      </c>
      <c r="C10526" t="str">
        <f>HYPERLINK("https://nematode.unl.edu/xenomex10.jpg")</f>
        <v>https://nematode.unl.edu/xenomex10.jpg</v>
      </c>
      <c r="D10526" t="s">
        <v>43</v>
      </c>
      <c r="G10526" t="s">
        <v>44</v>
      </c>
      <c r="I10526" t="s">
        <v>19</v>
      </c>
      <c r="J10526" t="s">
        <v>11974</v>
      </c>
      <c r="M10526" t="s">
        <v>1941</v>
      </c>
      <c r="N10526" t="s">
        <v>1941</v>
      </c>
      <c r="O10526" t="s">
        <v>23</v>
      </c>
      <c r="P10526" t="s">
        <v>24</v>
      </c>
      <c r="Q10526" t="s">
        <v>642</v>
      </c>
      <c r="R10526" t="s">
        <v>1942</v>
      </c>
    </row>
    <row r="10527" spans="1:18" x14ac:dyDescent="0.25">
      <c r="A10527" t="s">
        <v>15624</v>
      </c>
      <c r="B10527" t="s">
        <v>11977</v>
      </c>
      <c r="C10527" t="str">
        <f>HYPERLINK("https://nematode.unl.edu/xenomex11.jpg")</f>
        <v>https://nematode.unl.edu/xenomex11.jpg</v>
      </c>
      <c r="D10527" t="s">
        <v>43</v>
      </c>
      <c r="G10527" t="s">
        <v>34</v>
      </c>
      <c r="H10527" t="s">
        <v>18</v>
      </c>
      <c r="I10527" t="s">
        <v>41</v>
      </c>
      <c r="J10527" t="s">
        <v>11974</v>
      </c>
      <c r="M10527" t="s">
        <v>1941</v>
      </c>
      <c r="N10527" t="s">
        <v>1941</v>
      </c>
      <c r="O10527" t="s">
        <v>23</v>
      </c>
      <c r="P10527" t="s">
        <v>24</v>
      </c>
      <c r="Q10527" t="s">
        <v>642</v>
      </c>
      <c r="R10527" t="s">
        <v>1942</v>
      </c>
    </row>
    <row r="10528" spans="1:18" x14ac:dyDescent="0.25">
      <c r="A10528" t="s">
        <v>15699</v>
      </c>
      <c r="B10528" t="s">
        <v>11978</v>
      </c>
      <c r="C10528" t="str">
        <f>HYPERLINK("https://nematode.unl.edu/xenomex12.jpg")</f>
        <v>https://nematode.unl.edu/xenomex12.jpg</v>
      </c>
      <c r="G10528" t="s">
        <v>674</v>
      </c>
      <c r="I10528" t="s">
        <v>41</v>
      </c>
      <c r="J10528" t="s">
        <v>11974</v>
      </c>
      <c r="M10528" t="s">
        <v>1941</v>
      </c>
      <c r="N10528" t="s">
        <v>1941</v>
      </c>
      <c r="O10528" t="s">
        <v>23</v>
      </c>
      <c r="P10528" t="s">
        <v>24</v>
      </c>
      <c r="Q10528" t="s">
        <v>642</v>
      </c>
      <c r="R10528" t="s">
        <v>1942</v>
      </c>
    </row>
    <row r="10529" spans="1:18" x14ac:dyDescent="0.25">
      <c r="A10529" t="s">
        <v>15717</v>
      </c>
      <c r="B10529" t="s">
        <v>11979</v>
      </c>
      <c r="C10529" t="str">
        <f>HYPERLINK("https://nematode.unl.edu/xenomex13.jpg")</f>
        <v>https://nematode.unl.edu/xenomex13.jpg</v>
      </c>
      <c r="D10529" t="s">
        <v>43</v>
      </c>
      <c r="G10529" t="s">
        <v>28</v>
      </c>
      <c r="I10529" t="s">
        <v>41</v>
      </c>
      <c r="J10529" t="s">
        <v>11974</v>
      </c>
      <c r="M10529" t="s">
        <v>1941</v>
      </c>
      <c r="N10529" t="s">
        <v>1941</v>
      </c>
      <c r="O10529" t="s">
        <v>23</v>
      </c>
      <c r="P10529" t="s">
        <v>24</v>
      </c>
      <c r="Q10529" t="s">
        <v>642</v>
      </c>
      <c r="R10529" t="s">
        <v>1942</v>
      </c>
    </row>
    <row r="10530" spans="1:18" x14ac:dyDescent="0.25">
      <c r="A10530" t="s">
        <v>15674</v>
      </c>
      <c r="B10530" t="s">
        <v>11980</v>
      </c>
      <c r="C10530" t="str">
        <f>HYPERLINK("https://nematode.unl.edu/xenomex14.jpg")</f>
        <v>https://nematode.unl.edu/xenomex14.jpg</v>
      </c>
      <c r="D10530" t="s">
        <v>43</v>
      </c>
      <c r="G10530" t="s">
        <v>44</v>
      </c>
      <c r="I10530" t="s">
        <v>19</v>
      </c>
      <c r="J10530" t="s">
        <v>11974</v>
      </c>
      <c r="L10530" t="s">
        <v>4061</v>
      </c>
      <c r="M10530" t="s">
        <v>1941</v>
      </c>
      <c r="N10530" t="s">
        <v>1941</v>
      </c>
      <c r="O10530" t="s">
        <v>23</v>
      </c>
      <c r="P10530" t="s">
        <v>24</v>
      </c>
      <c r="Q10530" t="s">
        <v>642</v>
      </c>
      <c r="R10530" t="s">
        <v>1942</v>
      </c>
    </row>
    <row r="10531" spans="1:18" x14ac:dyDescent="0.25">
      <c r="A10531" t="s">
        <v>15625</v>
      </c>
      <c r="B10531" t="s">
        <v>11981</v>
      </c>
      <c r="C10531" t="str">
        <f>HYPERLINK("https://nematode.unl.edu/xenomex15.jpg")</f>
        <v>https://nematode.unl.edu/xenomex15.jpg</v>
      </c>
      <c r="D10531" t="s">
        <v>43</v>
      </c>
      <c r="G10531" t="s">
        <v>34</v>
      </c>
      <c r="H10531" t="s">
        <v>18</v>
      </c>
      <c r="I10531" t="s">
        <v>41</v>
      </c>
      <c r="J10531" t="s">
        <v>11974</v>
      </c>
      <c r="M10531" t="s">
        <v>1941</v>
      </c>
      <c r="N10531" t="s">
        <v>1941</v>
      </c>
      <c r="O10531" t="s">
        <v>23</v>
      </c>
      <c r="P10531" t="s">
        <v>24</v>
      </c>
      <c r="Q10531" t="s">
        <v>642</v>
      </c>
      <c r="R10531" t="s">
        <v>1942</v>
      </c>
    </row>
    <row r="10532" spans="1:18" x14ac:dyDescent="0.25">
      <c r="A10532" t="s">
        <v>15718</v>
      </c>
      <c r="B10532" t="s">
        <v>11982</v>
      </c>
      <c r="C10532" t="str">
        <f>HYPERLINK("https://nematode.unl.edu/xenomex16.jpg")</f>
        <v>https://nematode.unl.edu/xenomex16.jpg</v>
      </c>
      <c r="D10532" t="s">
        <v>43</v>
      </c>
      <c r="G10532" t="s">
        <v>28</v>
      </c>
      <c r="I10532" t="s">
        <v>41</v>
      </c>
      <c r="J10532" t="s">
        <v>11974</v>
      </c>
      <c r="M10532" t="s">
        <v>1941</v>
      </c>
      <c r="N10532" t="s">
        <v>1941</v>
      </c>
      <c r="O10532" t="s">
        <v>23</v>
      </c>
      <c r="P10532" t="s">
        <v>24</v>
      </c>
      <c r="Q10532" t="s">
        <v>642</v>
      </c>
      <c r="R10532" t="s">
        <v>1942</v>
      </c>
    </row>
    <row r="10533" spans="1:18" x14ac:dyDescent="0.25">
      <c r="A10533" t="s">
        <v>15626</v>
      </c>
      <c r="B10533" t="s">
        <v>11983</v>
      </c>
      <c r="C10533" t="str">
        <f>HYPERLINK("https://nematode.unl.edu/xenomex17.jpg")</f>
        <v>https://nematode.unl.edu/xenomex17.jpg</v>
      </c>
      <c r="D10533" t="s">
        <v>43</v>
      </c>
      <c r="G10533" t="s">
        <v>34</v>
      </c>
      <c r="H10533" t="s">
        <v>18</v>
      </c>
      <c r="I10533" t="s">
        <v>41</v>
      </c>
      <c r="J10533" t="s">
        <v>11974</v>
      </c>
      <c r="M10533" t="s">
        <v>1941</v>
      </c>
      <c r="N10533" t="s">
        <v>1941</v>
      </c>
      <c r="O10533" t="s">
        <v>23</v>
      </c>
      <c r="P10533" t="s">
        <v>24</v>
      </c>
      <c r="Q10533" t="s">
        <v>642</v>
      </c>
      <c r="R10533" t="s">
        <v>1942</v>
      </c>
    </row>
    <row r="10534" spans="1:18" x14ac:dyDescent="0.25">
      <c r="A10534" t="s">
        <v>15627</v>
      </c>
      <c r="B10534" t="s">
        <v>11984</v>
      </c>
      <c r="C10534" t="str">
        <f>HYPERLINK("https://nematode.unl.edu/xenomex2.jpg")</f>
        <v>https://nematode.unl.edu/xenomex2.jpg</v>
      </c>
      <c r="D10534" t="s">
        <v>43</v>
      </c>
      <c r="G10534" t="s">
        <v>34</v>
      </c>
      <c r="H10534" t="s">
        <v>18</v>
      </c>
      <c r="I10534" t="s">
        <v>41</v>
      </c>
      <c r="J10534" t="s">
        <v>11974</v>
      </c>
      <c r="L10534" t="s">
        <v>11975</v>
      </c>
      <c r="M10534" t="s">
        <v>1941</v>
      </c>
      <c r="N10534" t="s">
        <v>1941</v>
      </c>
      <c r="O10534" t="s">
        <v>23</v>
      </c>
      <c r="P10534" t="s">
        <v>24</v>
      </c>
      <c r="Q10534" t="s">
        <v>642</v>
      </c>
      <c r="R10534" t="s">
        <v>1942</v>
      </c>
    </row>
    <row r="10535" spans="1:18" x14ac:dyDescent="0.25">
      <c r="A10535" t="s">
        <v>15675</v>
      </c>
      <c r="B10535" t="s">
        <v>11985</v>
      </c>
      <c r="C10535" t="str">
        <f>HYPERLINK("https://nematode.unl.edu/xenomex4.jpg")</f>
        <v>https://nematode.unl.edu/xenomex4.jpg</v>
      </c>
      <c r="D10535" t="s">
        <v>43</v>
      </c>
      <c r="G10535" t="s">
        <v>44</v>
      </c>
      <c r="I10535" t="s">
        <v>19</v>
      </c>
      <c r="J10535" t="s">
        <v>11974</v>
      </c>
      <c r="L10535" t="s">
        <v>4061</v>
      </c>
      <c r="M10535" t="s">
        <v>1941</v>
      </c>
      <c r="N10535" t="s">
        <v>1941</v>
      </c>
      <c r="O10535" t="s">
        <v>23</v>
      </c>
      <c r="P10535" t="s">
        <v>24</v>
      </c>
      <c r="Q10535" t="s">
        <v>642</v>
      </c>
      <c r="R10535" t="s">
        <v>1942</v>
      </c>
    </row>
    <row r="10536" spans="1:18" x14ac:dyDescent="0.25">
      <c r="A10536" t="s">
        <v>15628</v>
      </c>
      <c r="B10536" t="s">
        <v>11986</v>
      </c>
      <c r="C10536" t="str">
        <f>HYPERLINK("https://nematode.unl.edu/xenomex5.jpg")</f>
        <v>https://nematode.unl.edu/xenomex5.jpg</v>
      </c>
      <c r="D10536" t="s">
        <v>43</v>
      </c>
      <c r="G10536" t="s">
        <v>34</v>
      </c>
      <c r="H10536" t="s">
        <v>18</v>
      </c>
      <c r="I10536" t="s">
        <v>41</v>
      </c>
      <c r="J10536" t="s">
        <v>11974</v>
      </c>
      <c r="L10536" t="s">
        <v>4061</v>
      </c>
      <c r="M10536" t="s">
        <v>1941</v>
      </c>
      <c r="N10536" t="s">
        <v>1941</v>
      </c>
      <c r="O10536" t="s">
        <v>23</v>
      </c>
      <c r="P10536" t="s">
        <v>24</v>
      </c>
      <c r="Q10536" t="s">
        <v>642</v>
      </c>
      <c r="R10536" t="s">
        <v>1942</v>
      </c>
    </row>
    <row r="10537" spans="1:18" x14ac:dyDescent="0.25">
      <c r="A10537" t="s">
        <v>15719</v>
      </c>
      <c r="B10537" t="s">
        <v>11987</v>
      </c>
      <c r="C10537" t="str">
        <f>HYPERLINK("https://nematode.unl.edu/xenomex6.jpg")</f>
        <v>https://nematode.unl.edu/xenomex6.jpg</v>
      </c>
      <c r="D10537" t="s">
        <v>43</v>
      </c>
      <c r="G10537" t="s">
        <v>28</v>
      </c>
      <c r="I10537" t="s">
        <v>529</v>
      </c>
      <c r="J10537" t="s">
        <v>11974</v>
      </c>
      <c r="L10537" t="s">
        <v>4061</v>
      </c>
      <c r="M10537" t="s">
        <v>1941</v>
      </c>
      <c r="N10537" t="s">
        <v>1941</v>
      </c>
      <c r="O10537" t="s">
        <v>23</v>
      </c>
      <c r="P10537" t="s">
        <v>24</v>
      </c>
      <c r="Q10537" t="s">
        <v>642</v>
      </c>
      <c r="R10537" t="s">
        <v>1942</v>
      </c>
    </row>
    <row r="10538" spans="1:18" x14ac:dyDescent="0.25">
      <c r="A10538" t="s">
        <v>15676</v>
      </c>
      <c r="B10538" t="s">
        <v>11988</v>
      </c>
      <c r="C10538" t="str">
        <f>HYPERLINK("https://nematode.unl.edu/xenomex7.jpg")</f>
        <v>https://nematode.unl.edu/xenomex7.jpg</v>
      </c>
      <c r="D10538" t="s">
        <v>43</v>
      </c>
      <c r="G10538" t="s">
        <v>44</v>
      </c>
      <c r="I10538" t="s">
        <v>19</v>
      </c>
      <c r="J10538" t="s">
        <v>11974</v>
      </c>
      <c r="L10538" t="s">
        <v>11975</v>
      </c>
      <c r="M10538" t="s">
        <v>1941</v>
      </c>
      <c r="N10538" t="s">
        <v>1941</v>
      </c>
      <c r="O10538" t="s">
        <v>23</v>
      </c>
      <c r="P10538" t="s">
        <v>24</v>
      </c>
      <c r="Q10538" t="s">
        <v>642</v>
      </c>
      <c r="R10538" t="s">
        <v>1942</v>
      </c>
    </row>
    <row r="10539" spans="1:18" x14ac:dyDescent="0.25">
      <c r="A10539" t="s">
        <v>15629</v>
      </c>
      <c r="B10539" t="s">
        <v>11989</v>
      </c>
      <c r="C10539" t="str">
        <f>HYPERLINK("https://nematode.unl.edu/xenomex8.jpg")</f>
        <v>https://nematode.unl.edu/xenomex8.jpg</v>
      </c>
      <c r="D10539" t="s">
        <v>43</v>
      </c>
      <c r="G10539" t="s">
        <v>34</v>
      </c>
      <c r="H10539" t="s">
        <v>18</v>
      </c>
      <c r="I10539" t="s">
        <v>41</v>
      </c>
      <c r="J10539" t="s">
        <v>11974</v>
      </c>
      <c r="L10539" t="s">
        <v>11975</v>
      </c>
      <c r="M10539" t="s">
        <v>1941</v>
      </c>
      <c r="N10539" t="s">
        <v>1941</v>
      </c>
      <c r="O10539" t="s">
        <v>23</v>
      </c>
      <c r="P10539" t="s">
        <v>24</v>
      </c>
      <c r="Q10539" t="s">
        <v>642</v>
      </c>
      <c r="R10539" t="s">
        <v>1942</v>
      </c>
    </row>
    <row r="10540" spans="1:18" x14ac:dyDescent="0.25">
      <c r="A10540" t="s">
        <v>15720</v>
      </c>
      <c r="B10540" t="s">
        <v>11990</v>
      </c>
      <c r="C10540" t="str">
        <f>HYPERLINK("https://nematode.unl.edu/xenomex9.jpg")</f>
        <v>https://nematode.unl.edu/xenomex9.jpg</v>
      </c>
      <c r="D10540" t="s">
        <v>43</v>
      </c>
      <c r="G10540" t="s">
        <v>28</v>
      </c>
      <c r="I10540" t="s">
        <v>41</v>
      </c>
      <c r="J10540" t="s">
        <v>11974</v>
      </c>
      <c r="L10540" t="s">
        <v>11975</v>
      </c>
      <c r="M10540" t="s">
        <v>1941</v>
      </c>
      <c r="N10540" t="s">
        <v>1941</v>
      </c>
      <c r="O10540" t="s">
        <v>23</v>
      </c>
      <c r="P10540" t="s">
        <v>24</v>
      </c>
      <c r="Q10540" t="s">
        <v>642</v>
      </c>
      <c r="R10540" t="s">
        <v>1942</v>
      </c>
    </row>
    <row r="10541" spans="1:18" x14ac:dyDescent="0.25">
      <c r="A10541" t="s">
        <v>15677</v>
      </c>
      <c r="B10541" t="s">
        <v>11991</v>
      </c>
      <c r="C10541" t="str">
        <f>HYPERLINK("https://nematode.unl.edu/xenomiche1.jpg")</f>
        <v>https://nematode.unl.edu/xenomiche1.jpg</v>
      </c>
      <c r="D10541" t="s">
        <v>43</v>
      </c>
      <c r="G10541" t="s">
        <v>44</v>
      </c>
      <c r="I10541" t="s">
        <v>19</v>
      </c>
      <c r="J10541" t="s">
        <v>6188</v>
      </c>
      <c r="L10541" t="s">
        <v>6949</v>
      </c>
      <c r="M10541" t="s">
        <v>1941</v>
      </c>
      <c r="N10541" t="s">
        <v>1941</v>
      </c>
      <c r="O10541" t="s">
        <v>23</v>
      </c>
      <c r="P10541" t="s">
        <v>24</v>
      </c>
      <c r="Q10541" t="s">
        <v>642</v>
      </c>
      <c r="R10541" t="s">
        <v>1942</v>
      </c>
    </row>
    <row r="10542" spans="1:18" x14ac:dyDescent="0.25">
      <c r="A10542" t="s">
        <v>15630</v>
      </c>
      <c r="B10542" t="s">
        <v>11992</v>
      </c>
      <c r="C10542" t="str">
        <f>HYPERLINK("https://nematode.unl.edu/xenomiche2.jpg")</f>
        <v>https://nematode.unl.edu/xenomiche2.jpg</v>
      </c>
      <c r="D10542" t="s">
        <v>43</v>
      </c>
      <c r="G10542" t="s">
        <v>34</v>
      </c>
      <c r="H10542" t="s">
        <v>18</v>
      </c>
      <c r="I10542" t="s">
        <v>41</v>
      </c>
      <c r="J10542" t="s">
        <v>6188</v>
      </c>
      <c r="L10542" t="s">
        <v>6949</v>
      </c>
      <c r="M10542" t="s">
        <v>1941</v>
      </c>
      <c r="N10542" t="s">
        <v>1941</v>
      </c>
      <c r="O10542" t="s">
        <v>23</v>
      </c>
      <c r="P10542" t="s">
        <v>24</v>
      </c>
      <c r="Q10542" t="s">
        <v>642</v>
      </c>
      <c r="R10542" t="s">
        <v>1942</v>
      </c>
    </row>
    <row r="10543" spans="1:18" x14ac:dyDescent="0.25">
      <c r="A10543" t="s">
        <v>15721</v>
      </c>
      <c r="B10543" t="s">
        <v>11993</v>
      </c>
      <c r="C10543" t="str">
        <f>HYPERLINK("https://nematode.unl.edu/xenomiche3.jpg")</f>
        <v>https://nematode.unl.edu/xenomiche3.jpg</v>
      </c>
      <c r="D10543" t="s">
        <v>43</v>
      </c>
      <c r="G10543" t="s">
        <v>28</v>
      </c>
      <c r="I10543" t="s">
        <v>41</v>
      </c>
      <c r="J10543" t="s">
        <v>6188</v>
      </c>
      <c r="L10543" t="s">
        <v>6949</v>
      </c>
      <c r="M10543" t="s">
        <v>1941</v>
      </c>
      <c r="N10543" t="s">
        <v>1941</v>
      </c>
      <c r="O10543" t="s">
        <v>23</v>
      </c>
      <c r="P10543" t="s">
        <v>24</v>
      </c>
      <c r="Q10543" t="s">
        <v>642</v>
      </c>
      <c r="R10543" t="s">
        <v>1942</v>
      </c>
    </row>
    <row r="10544" spans="1:18" x14ac:dyDescent="0.25">
      <c r="A10544" t="s">
        <v>15688</v>
      </c>
      <c r="B10544" t="s">
        <v>11994</v>
      </c>
      <c r="C10544" t="str">
        <f>HYPERLINK("https://nematode.unl.edu/xenomiche4.jpg")</f>
        <v>https://nematode.unl.edu/xenomiche4.jpg</v>
      </c>
      <c r="D10544" t="s">
        <v>43</v>
      </c>
      <c r="G10544" t="s">
        <v>224</v>
      </c>
      <c r="I10544" t="s">
        <v>41</v>
      </c>
      <c r="J10544" t="s">
        <v>6188</v>
      </c>
      <c r="L10544" t="s">
        <v>6949</v>
      </c>
      <c r="M10544" t="s">
        <v>1941</v>
      </c>
      <c r="N10544" t="s">
        <v>1941</v>
      </c>
      <c r="O10544" t="s">
        <v>23</v>
      </c>
      <c r="P10544" t="s">
        <v>24</v>
      </c>
      <c r="Q10544" t="s">
        <v>642</v>
      </c>
      <c r="R10544" t="s">
        <v>1942</v>
      </c>
    </row>
    <row r="10545" spans="1:18" x14ac:dyDescent="0.25">
      <c r="A10545" t="s">
        <v>15678</v>
      </c>
      <c r="B10545" t="s">
        <v>11995</v>
      </c>
      <c r="C10545" t="str">
        <f>HYPERLINK("https://nematode.unl.edu/xenomols1.jpg")</f>
        <v>https://nematode.unl.edu/xenomols1.jpg</v>
      </c>
      <c r="D10545" t="s">
        <v>43</v>
      </c>
      <c r="G10545" t="s">
        <v>44</v>
      </c>
      <c r="I10545" t="s">
        <v>19</v>
      </c>
      <c r="J10545" t="s">
        <v>11996</v>
      </c>
      <c r="L10545" t="s">
        <v>11957</v>
      </c>
      <c r="M10545" t="s">
        <v>1941</v>
      </c>
      <c r="N10545" t="s">
        <v>1941</v>
      </c>
      <c r="O10545" t="s">
        <v>23</v>
      </c>
      <c r="P10545" t="s">
        <v>24</v>
      </c>
      <c r="Q10545" t="s">
        <v>642</v>
      </c>
      <c r="R10545" t="s">
        <v>1942</v>
      </c>
    </row>
    <row r="10546" spans="1:18" x14ac:dyDescent="0.25">
      <c r="A10546" t="s">
        <v>15679</v>
      </c>
      <c r="B10546" t="s">
        <v>11997</v>
      </c>
      <c r="C10546" t="str">
        <f>HYPERLINK("https://nematode.unl.edu/xenomols2.jpg")</f>
        <v>https://nematode.unl.edu/xenomols2.jpg</v>
      </c>
      <c r="D10546" t="s">
        <v>43</v>
      </c>
      <c r="G10546" t="s">
        <v>44</v>
      </c>
      <c r="I10546" t="s">
        <v>41</v>
      </c>
      <c r="J10546" t="s">
        <v>11996</v>
      </c>
      <c r="L10546" t="s">
        <v>11957</v>
      </c>
      <c r="M10546" t="s">
        <v>1941</v>
      </c>
      <c r="N10546" t="s">
        <v>1941</v>
      </c>
      <c r="O10546" t="s">
        <v>23</v>
      </c>
      <c r="P10546" t="s">
        <v>24</v>
      </c>
      <c r="Q10546" t="s">
        <v>642</v>
      </c>
      <c r="R10546" t="s">
        <v>1942</v>
      </c>
    </row>
    <row r="10547" spans="1:18" x14ac:dyDescent="0.25">
      <c r="A10547" t="s">
        <v>15680</v>
      </c>
      <c r="B10547" t="s">
        <v>11998</v>
      </c>
      <c r="C10547" t="str">
        <f>HYPERLINK("https://nematode.unl.edu/xenomols3.jpg")</f>
        <v>https://nematode.unl.edu/xenomols3.jpg</v>
      </c>
      <c r="D10547" t="s">
        <v>43</v>
      </c>
      <c r="G10547" t="s">
        <v>44</v>
      </c>
      <c r="I10547" t="s">
        <v>529</v>
      </c>
      <c r="J10547" t="s">
        <v>11996</v>
      </c>
      <c r="L10547" t="s">
        <v>11957</v>
      </c>
      <c r="M10547" t="s">
        <v>1941</v>
      </c>
      <c r="N10547" t="s">
        <v>1941</v>
      </c>
      <c r="O10547" t="s">
        <v>23</v>
      </c>
      <c r="P10547" t="s">
        <v>24</v>
      </c>
      <c r="Q10547" t="s">
        <v>642</v>
      </c>
      <c r="R10547" t="s">
        <v>1942</v>
      </c>
    </row>
    <row r="10548" spans="1:18" x14ac:dyDescent="0.25">
      <c r="A10548" t="s">
        <v>15631</v>
      </c>
      <c r="B10548" t="s">
        <v>11999</v>
      </c>
      <c r="C10548" t="str">
        <f>HYPERLINK("https://nematode.unl.edu/xenoss1.jpg")</f>
        <v>https://nematode.unl.edu/xenoss1.jpg</v>
      </c>
      <c r="D10548" t="s">
        <v>43</v>
      </c>
      <c r="G10548" t="s">
        <v>34</v>
      </c>
      <c r="H10548" t="s">
        <v>18</v>
      </c>
      <c r="I10548" t="s">
        <v>41</v>
      </c>
      <c r="J10548" t="s">
        <v>6460</v>
      </c>
      <c r="L10548" t="s">
        <v>12000</v>
      </c>
      <c r="M10548" t="s">
        <v>1941</v>
      </c>
      <c r="N10548" t="s">
        <v>1941</v>
      </c>
      <c r="O10548" t="s">
        <v>23</v>
      </c>
      <c r="P10548" t="s">
        <v>24</v>
      </c>
      <c r="Q10548" t="s">
        <v>642</v>
      </c>
      <c r="R10548" t="s">
        <v>1942</v>
      </c>
    </row>
    <row r="10549" spans="1:18" x14ac:dyDescent="0.25">
      <c r="A10549" t="s">
        <v>15722</v>
      </c>
      <c r="B10549" t="s">
        <v>12001</v>
      </c>
      <c r="C10549" t="str">
        <f>HYPERLINK("https://nematode.unl.edu/xenoss2.jpg")</f>
        <v>https://nematode.unl.edu/xenoss2.jpg</v>
      </c>
      <c r="D10549" t="s">
        <v>43</v>
      </c>
      <c r="G10549" t="s">
        <v>28</v>
      </c>
      <c r="I10549" t="s">
        <v>41</v>
      </c>
      <c r="J10549" t="s">
        <v>6460</v>
      </c>
      <c r="L10549" t="s">
        <v>12000</v>
      </c>
      <c r="M10549" t="s">
        <v>1941</v>
      </c>
      <c r="N10549" t="s">
        <v>1941</v>
      </c>
      <c r="O10549" t="s">
        <v>23</v>
      </c>
      <c r="P10549" t="s">
        <v>24</v>
      </c>
      <c r="Q10549" t="s">
        <v>642</v>
      </c>
      <c r="R10549" t="s">
        <v>1942</v>
      </c>
    </row>
    <row r="10550" spans="1:18" x14ac:dyDescent="0.25">
      <c r="A10550" t="s">
        <v>15681</v>
      </c>
      <c r="B10550" t="s">
        <v>12002</v>
      </c>
      <c r="C10550" t="str">
        <f>HYPERLINK("https://nematode.unl.edu/xenoss3.jpg")</f>
        <v>https://nematode.unl.edu/xenoss3.jpg</v>
      </c>
      <c r="D10550" t="s">
        <v>16</v>
      </c>
      <c r="G10550" t="s">
        <v>44</v>
      </c>
      <c r="I10550" t="s">
        <v>19</v>
      </c>
      <c r="J10550" t="s">
        <v>6460</v>
      </c>
      <c r="L10550" t="s">
        <v>12000</v>
      </c>
      <c r="M10550" t="s">
        <v>1941</v>
      </c>
      <c r="N10550" t="s">
        <v>1941</v>
      </c>
      <c r="O10550" t="s">
        <v>23</v>
      </c>
      <c r="P10550" t="s">
        <v>24</v>
      </c>
      <c r="Q10550" t="s">
        <v>642</v>
      </c>
      <c r="R10550" t="s">
        <v>1942</v>
      </c>
    </row>
    <row r="10551" spans="1:18" x14ac:dyDescent="0.25">
      <c r="A10551" t="s">
        <v>15632</v>
      </c>
      <c r="B10551" t="s">
        <v>12003</v>
      </c>
      <c r="C10551" t="str">
        <f>HYPERLINK("https://nematode.unl.edu/xenoss4.jpg")</f>
        <v>https://nematode.unl.edu/xenoss4.jpg</v>
      </c>
      <c r="D10551" t="s">
        <v>16</v>
      </c>
      <c r="G10551" t="s">
        <v>34</v>
      </c>
      <c r="H10551" t="s">
        <v>18</v>
      </c>
      <c r="I10551" t="s">
        <v>41</v>
      </c>
      <c r="J10551" t="s">
        <v>6460</v>
      </c>
      <c r="L10551" t="s">
        <v>12000</v>
      </c>
      <c r="M10551" t="s">
        <v>1941</v>
      </c>
      <c r="N10551" t="s">
        <v>1941</v>
      </c>
      <c r="O10551" t="s">
        <v>23</v>
      </c>
      <c r="P10551" t="s">
        <v>24</v>
      </c>
      <c r="Q10551" t="s">
        <v>642</v>
      </c>
      <c r="R10551" t="s">
        <v>1942</v>
      </c>
    </row>
    <row r="10552" spans="1:18" x14ac:dyDescent="0.25">
      <c r="A10552" t="s">
        <v>15723</v>
      </c>
      <c r="B10552" t="s">
        <v>12004</v>
      </c>
      <c r="C10552" t="str">
        <f>HYPERLINK("https://nematode.unl.edu/xenoss5.jpg")</f>
        <v>https://nematode.unl.edu/xenoss5.jpg</v>
      </c>
      <c r="D10552" t="s">
        <v>16</v>
      </c>
      <c r="G10552" t="s">
        <v>28</v>
      </c>
      <c r="I10552" t="s">
        <v>41</v>
      </c>
      <c r="J10552" t="s">
        <v>6460</v>
      </c>
      <c r="L10552" t="s">
        <v>12000</v>
      </c>
      <c r="M10552" t="s">
        <v>1941</v>
      </c>
      <c r="N10552" t="s">
        <v>1941</v>
      </c>
      <c r="O10552" t="s">
        <v>23</v>
      </c>
      <c r="P10552" t="s">
        <v>24</v>
      </c>
      <c r="Q10552" t="s">
        <v>642</v>
      </c>
      <c r="R10552" t="s">
        <v>1942</v>
      </c>
    </row>
    <row r="10553" spans="1:18" x14ac:dyDescent="0.25">
      <c r="A10553" t="s">
        <v>15682</v>
      </c>
      <c r="B10553" t="s">
        <v>12005</v>
      </c>
      <c r="C10553" t="str">
        <f>HYPERLINK("https://nematode.unl.edu/xenoss6.jpg")</f>
        <v>https://nematode.unl.edu/xenoss6.jpg</v>
      </c>
      <c r="D10553" t="s">
        <v>16</v>
      </c>
      <c r="G10553" t="s">
        <v>44</v>
      </c>
      <c r="I10553" t="s">
        <v>19</v>
      </c>
      <c r="J10553" t="s">
        <v>6460</v>
      </c>
      <c r="L10553" t="s">
        <v>12000</v>
      </c>
      <c r="M10553" t="s">
        <v>1941</v>
      </c>
      <c r="N10553" t="s">
        <v>1941</v>
      </c>
      <c r="O10553" t="s">
        <v>23</v>
      </c>
      <c r="P10553" t="s">
        <v>24</v>
      </c>
      <c r="Q10553" t="s">
        <v>642</v>
      </c>
      <c r="R10553" t="s">
        <v>1942</v>
      </c>
    </row>
    <row r="10554" spans="1:18" x14ac:dyDescent="0.25">
      <c r="A10554" t="s">
        <v>15683</v>
      </c>
      <c r="B10554" t="s">
        <v>12006</v>
      </c>
      <c r="C10554" t="str">
        <f>HYPERLINK("https://nematode.unl.edu/xenoss7.jpg")</f>
        <v>https://nematode.unl.edu/xenoss7.jpg</v>
      </c>
      <c r="D10554" t="s">
        <v>16</v>
      </c>
      <c r="G10554" t="s">
        <v>44</v>
      </c>
      <c r="I10554" t="s">
        <v>41</v>
      </c>
      <c r="J10554" t="s">
        <v>6460</v>
      </c>
      <c r="L10554" t="s">
        <v>12000</v>
      </c>
      <c r="M10554" t="s">
        <v>1941</v>
      </c>
      <c r="N10554" t="s">
        <v>1941</v>
      </c>
      <c r="O10554" t="s">
        <v>23</v>
      </c>
      <c r="P10554" t="s">
        <v>24</v>
      </c>
      <c r="Q10554" t="s">
        <v>642</v>
      </c>
      <c r="R10554" t="s">
        <v>1942</v>
      </c>
    </row>
    <row r="10555" spans="1:18" x14ac:dyDescent="0.25">
      <c r="A10555" t="s">
        <v>15633</v>
      </c>
      <c r="B10555" t="s">
        <v>12007</v>
      </c>
      <c r="C10555" t="str">
        <f>HYPERLINK("https://nematode.unl.edu/xenoss8.jpg")</f>
        <v>https://nematode.unl.edu/xenoss8.jpg</v>
      </c>
      <c r="D10555" t="s">
        <v>16</v>
      </c>
      <c r="G10555" t="s">
        <v>34</v>
      </c>
      <c r="H10555" t="s">
        <v>18</v>
      </c>
      <c r="I10555" t="s">
        <v>41</v>
      </c>
      <c r="J10555" t="s">
        <v>6460</v>
      </c>
      <c r="L10555" t="s">
        <v>12000</v>
      </c>
      <c r="M10555" t="s">
        <v>1941</v>
      </c>
      <c r="N10555" t="s">
        <v>1941</v>
      </c>
      <c r="O10555" t="s">
        <v>23</v>
      </c>
      <c r="P10555" t="s">
        <v>24</v>
      </c>
      <c r="Q10555" t="s">
        <v>642</v>
      </c>
      <c r="R10555" t="s">
        <v>1942</v>
      </c>
    </row>
    <row r="10556" spans="1:18" x14ac:dyDescent="0.25">
      <c r="A10556" t="s">
        <v>15724</v>
      </c>
      <c r="B10556" t="s">
        <v>12008</v>
      </c>
      <c r="C10556" t="str">
        <f>HYPERLINK("https://nematode.unl.edu/xenoss9.jpg")</f>
        <v>https://nematode.unl.edu/xenoss9.jpg</v>
      </c>
      <c r="D10556" t="s">
        <v>16</v>
      </c>
      <c r="G10556" t="s">
        <v>28</v>
      </c>
      <c r="I10556" t="s">
        <v>41</v>
      </c>
      <c r="J10556" t="s">
        <v>6460</v>
      </c>
      <c r="L10556" t="s">
        <v>12000</v>
      </c>
      <c r="M10556" t="s">
        <v>1941</v>
      </c>
      <c r="N10556" t="s">
        <v>1941</v>
      </c>
      <c r="O10556" t="s">
        <v>23</v>
      </c>
      <c r="P10556" t="s">
        <v>24</v>
      </c>
      <c r="Q10556" t="s">
        <v>642</v>
      </c>
      <c r="R10556" t="s">
        <v>1942</v>
      </c>
    </row>
    <row r="10557" spans="1:18" x14ac:dyDescent="0.25">
      <c r="A10557" t="s">
        <v>20137</v>
      </c>
      <c r="B10557" t="s">
        <v>12017</v>
      </c>
      <c r="C10557" t="str">
        <f>HYPERLINK("https://nematode.unl.edu/xiagw1.jpg")</f>
        <v>https://nematode.unl.edu/xiagw1.jpg</v>
      </c>
      <c r="D10557" t="s">
        <v>43</v>
      </c>
      <c r="G10557" t="s">
        <v>44</v>
      </c>
      <c r="I10557" t="s">
        <v>19</v>
      </c>
      <c r="J10557" t="s">
        <v>2572</v>
      </c>
      <c r="L10557" t="s">
        <v>6154</v>
      </c>
      <c r="M10557" t="s">
        <v>12018</v>
      </c>
      <c r="N10557" t="s">
        <v>12018</v>
      </c>
      <c r="O10557" t="s">
        <v>73</v>
      </c>
      <c r="P10557" t="s">
        <v>81</v>
      </c>
      <c r="Q10557" t="s">
        <v>7077</v>
      </c>
      <c r="R10557" t="s">
        <v>12016</v>
      </c>
    </row>
    <row r="10558" spans="1:18" x14ac:dyDescent="0.25">
      <c r="A10558" t="s">
        <v>20128</v>
      </c>
      <c r="B10558" t="s">
        <v>12019</v>
      </c>
      <c r="C10558" t="str">
        <f>HYPERLINK("https://nematode.unl.edu/xiagw2.jpg")</f>
        <v>https://nematode.unl.edu/xiagw2.jpg</v>
      </c>
      <c r="D10558" t="s">
        <v>43</v>
      </c>
      <c r="G10558" t="s">
        <v>34</v>
      </c>
      <c r="H10558" t="s">
        <v>18</v>
      </c>
      <c r="I10558" t="s">
        <v>41</v>
      </c>
      <c r="J10558" t="s">
        <v>2572</v>
      </c>
      <c r="L10558" t="s">
        <v>6154</v>
      </c>
      <c r="M10558" t="s">
        <v>12018</v>
      </c>
      <c r="N10558" t="s">
        <v>12018</v>
      </c>
      <c r="O10558" t="s">
        <v>73</v>
      </c>
      <c r="P10558" t="s">
        <v>81</v>
      </c>
      <c r="Q10558" t="s">
        <v>7077</v>
      </c>
      <c r="R10558" t="s">
        <v>12016</v>
      </c>
    </row>
    <row r="10559" spans="1:18" x14ac:dyDescent="0.25">
      <c r="A10559" t="s">
        <v>20135</v>
      </c>
      <c r="B10559" t="s">
        <v>12020</v>
      </c>
      <c r="C10559" t="str">
        <f>HYPERLINK("https://nematode.unl.edu/xiagw3.jpg")</f>
        <v>https://nematode.unl.edu/xiagw3.jpg</v>
      </c>
      <c r="D10559" t="s">
        <v>43</v>
      </c>
      <c r="G10559" t="s">
        <v>384</v>
      </c>
      <c r="I10559" t="s">
        <v>41</v>
      </c>
      <c r="J10559" t="s">
        <v>2572</v>
      </c>
      <c r="L10559" t="s">
        <v>6154</v>
      </c>
      <c r="M10559" t="s">
        <v>12018</v>
      </c>
      <c r="N10559" t="s">
        <v>12018</v>
      </c>
      <c r="O10559" t="s">
        <v>73</v>
      </c>
      <c r="P10559" t="s">
        <v>81</v>
      </c>
      <c r="Q10559" t="s">
        <v>7077</v>
      </c>
      <c r="R10559" t="s">
        <v>12016</v>
      </c>
    </row>
    <row r="10560" spans="1:18" x14ac:dyDescent="0.25">
      <c r="A10560" t="s">
        <v>20154</v>
      </c>
      <c r="B10560" t="s">
        <v>12021</v>
      </c>
      <c r="C10560" t="str">
        <f>HYPERLINK("https://nematode.unl.edu/xiagw4.jpg")</f>
        <v>https://nematode.unl.edu/xiagw4.jpg</v>
      </c>
      <c r="D10560" t="s">
        <v>43</v>
      </c>
      <c r="G10560" t="s">
        <v>51</v>
      </c>
      <c r="I10560" t="s">
        <v>41</v>
      </c>
      <c r="J10560" t="s">
        <v>2572</v>
      </c>
      <c r="L10560" t="s">
        <v>6154</v>
      </c>
      <c r="M10560" t="s">
        <v>12018</v>
      </c>
      <c r="N10560" t="s">
        <v>12018</v>
      </c>
      <c r="O10560" t="s">
        <v>73</v>
      </c>
      <c r="P10560" t="s">
        <v>81</v>
      </c>
      <c r="Q10560" t="s">
        <v>7077</v>
      </c>
      <c r="R10560" t="s">
        <v>12016</v>
      </c>
    </row>
    <row r="10561" spans="1:18" x14ac:dyDescent="0.25">
      <c r="A10561" t="s">
        <v>20148</v>
      </c>
      <c r="B10561" t="s">
        <v>12022</v>
      </c>
      <c r="C10561" t="str">
        <f>HYPERLINK("https://nematode.unl.edu/xiagw5.jpg")</f>
        <v>https://nematode.unl.edu/xiagw5.jpg</v>
      </c>
      <c r="D10561" t="s">
        <v>77</v>
      </c>
      <c r="G10561" t="s">
        <v>28</v>
      </c>
      <c r="I10561" t="s">
        <v>41</v>
      </c>
      <c r="J10561" t="s">
        <v>2572</v>
      </c>
      <c r="L10561" t="s">
        <v>6154</v>
      </c>
      <c r="M10561" t="s">
        <v>12018</v>
      </c>
      <c r="N10561" t="s">
        <v>12018</v>
      </c>
      <c r="O10561" t="s">
        <v>73</v>
      </c>
      <c r="P10561" t="s">
        <v>81</v>
      </c>
      <c r="Q10561" t="s">
        <v>7077</v>
      </c>
      <c r="R10561" t="s">
        <v>12016</v>
      </c>
    </row>
    <row r="10562" spans="1:18" x14ac:dyDescent="0.25">
      <c r="A10562" t="s">
        <v>20155</v>
      </c>
      <c r="B10562" t="s">
        <v>12023</v>
      </c>
      <c r="C10562" t="str">
        <f>HYPERLINK("https://nematode.unl.edu/xiam1.jpg")</f>
        <v>https://nematode.unl.edu/xiam1.jpg</v>
      </c>
      <c r="D10562" t="s">
        <v>43</v>
      </c>
      <c r="G10562" t="s">
        <v>51</v>
      </c>
      <c r="J10562" t="s">
        <v>20</v>
      </c>
      <c r="L10562" t="s">
        <v>727</v>
      </c>
      <c r="M10562" t="s">
        <v>12018</v>
      </c>
      <c r="N10562" t="s">
        <v>12018</v>
      </c>
      <c r="O10562" t="s">
        <v>73</v>
      </c>
      <c r="P10562" t="s">
        <v>81</v>
      </c>
      <c r="Q10562" t="s">
        <v>7077</v>
      </c>
      <c r="R10562" t="s">
        <v>12016</v>
      </c>
    </row>
    <row r="10563" spans="1:18" x14ac:dyDescent="0.25">
      <c r="A10563" t="s">
        <v>20149</v>
      </c>
      <c r="B10563" t="s">
        <v>12024</v>
      </c>
      <c r="C10563" t="str">
        <f>HYPERLINK("https://nematode.unl.edu/xiam10.jpg")</f>
        <v>https://nematode.unl.edu/xiam10.jpg</v>
      </c>
      <c r="D10563" t="s">
        <v>43</v>
      </c>
      <c r="G10563" t="s">
        <v>28</v>
      </c>
      <c r="I10563" t="s">
        <v>19</v>
      </c>
      <c r="J10563" t="s">
        <v>20</v>
      </c>
      <c r="L10563" t="s">
        <v>29</v>
      </c>
      <c r="M10563" t="s">
        <v>12018</v>
      </c>
      <c r="N10563" t="s">
        <v>12018</v>
      </c>
      <c r="O10563" t="s">
        <v>73</v>
      </c>
      <c r="P10563" t="s">
        <v>81</v>
      </c>
      <c r="Q10563" t="s">
        <v>7077</v>
      </c>
      <c r="R10563" t="s">
        <v>12016</v>
      </c>
    </row>
    <row r="10564" spans="1:18" x14ac:dyDescent="0.25">
      <c r="A10564" t="s">
        <v>20145</v>
      </c>
      <c r="B10564" t="s">
        <v>12025</v>
      </c>
      <c r="C10564" t="str">
        <f>HYPERLINK("https://nematode.unl.edu/xiam11.jpg")</f>
        <v>https://nematode.unl.edu/xiam11.jpg</v>
      </c>
      <c r="D10564" t="s">
        <v>43</v>
      </c>
      <c r="G10564" t="s">
        <v>2964</v>
      </c>
      <c r="I10564" t="s">
        <v>19</v>
      </c>
      <c r="J10564" t="s">
        <v>20</v>
      </c>
      <c r="L10564" t="s">
        <v>29</v>
      </c>
      <c r="M10564" t="s">
        <v>12018</v>
      </c>
      <c r="N10564" t="s">
        <v>12018</v>
      </c>
      <c r="O10564" t="s">
        <v>73</v>
      </c>
      <c r="P10564" t="s">
        <v>81</v>
      </c>
      <c r="Q10564" t="s">
        <v>7077</v>
      </c>
      <c r="R10564" t="s">
        <v>12016</v>
      </c>
    </row>
    <row r="10565" spans="1:18" x14ac:dyDescent="0.25">
      <c r="A10565" t="s">
        <v>20143</v>
      </c>
      <c r="B10565" t="s">
        <v>12026</v>
      </c>
      <c r="C10565" t="str">
        <f>HYPERLINK("https://nematode.unl.edu/xiam12.jpg")</f>
        <v>https://nematode.unl.edu/xiam12.jpg</v>
      </c>
      <c r="D10565" t="s">
        <v>43</v>
      </c>
      <c r="G10565" t="s">
        <v>243</v>
      </c>
      <c r="I10565" t="s">
        <v>41</v>
      </c>
      <c r="J10565" t="s">
        <v>20</v>
      </c>
      <c r="L10565" t="s">
        <v>64</v>
      </c>
      <c r="M10565" t="s">
        <v>12018</v>
      </c>
      <c r="N10565" t="s">
        <v>12018</v>
      </c>
      <c r="O10565" t="s">
        <v>73</v>
      </c>
      <c r="P10565" t="s">
        <v>81</v>
      </c>
      <c r="Q10565" t="s">
        <v>7077</v>
      </c>
      <c r="R10565" t="s">
        <v>12016</v>
      </c>
    </row>
    <row r="10566" spans="1:18" x14ac:dyDescent="0.25">
      <c r="A10566" t="s">
        <v>20156</v>
      </c>
      <c r="B10566" t="s">
        <v>12027</v>
      </c>
      <c r="C10566" t="str">
        <f>HYPERLINK("https://nematode.unl.edu/xiam13.jpg")</f>
        <v>https://nematode.unl.edu/xiam13.jpg</v>
      </c>
      <c r="D10566" t="s">
        <v>43</v>
      </c>
      <c r="G10566" t="s">
        <v>51</v>
      </c>
      <c r="J10566" t="s">
        <v>20</v>
      </c>
      <c r="L10566" t="s">
        <v>173</v>
      </c>
      <c r="M10566" t="s">
        <v>12018</v>
      </c>
      <c r="N10566" t="s">
        <v>12018</v>
      </c>
      <c r="O10566" t="s">
        <v>73</v>
      </c>
      <c r="P10566" t="s">
        <v>81</v>
      </c>
      <c r="Q10566" t="s">
        <v>7077</v>
      </c>
      <c r="R10566" t="s">
        <v>12016</v>
      </c>
    </row>
    <row r="10567" spans="1:18" x14ac:dyDescent="0.25">
      <c r="A10567" t="s">
        <v>20157</v>
      </c>
      <c r="B10567" t="s">
        <v>12028</v>
      </c>
      <c r="C10567" t="str">
        <f>HYPERLINK("https://nematode.unl.edu/xiam14.jpg")</f>
        <v>https://nematode.unl.edu/xiam14.jpg</v>
      </c>
      <c r="D10567" t="s">
        <v>43</v>
      </c>
      <c r="G10567" t="s">
        <v>51</v>
      </c>
      <c r="I10567" t="s">
        <v>137</v>
      </c>
      <c r="J10567" t="s">
        <v>20</v>
      </c>
      <c r="L10567" t="s">
        <v>64</v>
      </c>
      <c r="M10567" t="s">
        <v>12018</v>
      </c>
      <c r="N10567" t="s">
        <v>12018</v>
      </c>
      <c r="O10567" t="s">
        <v>73</v>
      </c>
      <c r="P10567" t="s">
        <v>81</v>
      </c>
      <c r="Q10567" t="s">
        <v>7077</v>
      </c>
      <c r="R10567" t="s">
        <v>12016</v>
      </c>
    </row>
    <row r="10568" spans="1:18" x14ac:dyDescent="0.25">
      <c r="A10568" t="s">
        <v>20129</v>
      </c>
      <c r="B10568" t="s">
        <v>12029</v>
      </c>
      <c r="C10568" t="str">
        <f>HYPERLINK("https://nematode.unl.edu/xiam15.jpg")</f>
        <v>https://nematode.unl.edu/xiam15.jpg</v>
      </c>
      <c r="G10568" t="s">
        <v>34</v>
      </c>
      <c r="H10568" t="s">
        <v>18</v>
      </c>
      <c r="I10568" t="s">
        <v>19</v>
      </c>
      <c r="J10568" t="s">
        <v>20</v>
      </c>
      <c r="L10568" t="s">
        <v>38</v>
      </c>
      <c r="M10568" t="s">
        <v>12018</v>
      </c>
      <c r="N10568" t="s">
        <v>12018</v>
      </c>
      <c r="O10568" t="s">
        <v>73</v>
      </c>
      <c r="P10568" t="s">
        <v>81</v>
      </c>
      <c r="Q10568" t="s">
        <v>7077</v>
      </c>
      <c r="R10568" t="s">
        <v>12016</v>
      </c>
    </row>
    <row r="10569" spans="1:18" x14ac:dyDescent="0.25">
      <c r="A10569" t="s">
        <v>20147</v>
      </c>
      <c r="B10569" t="s">
        <v>12030</v>
      </c>
      <c r="C10569" t="str">
        <f>HYPERLINK("https://nematode.unl.edu/xiam16.jpg")</f>
        <v>https://nematode.unl.edu/xiam16.jpg</v>
      </c>
      <c r="D10569" t="s">
        <v>77</v>
      </c>
      <c r="G10569" t="s">
        <v>112</v>
      </c>
      <c r="I10569" t="s">
        <v>19</v>
      </c>
      <c r="J10569" t="s">
        <v>20</v>
      </c>
      <c r="M10569" t="s">
        <v>12018</v>
      </c>
      <c r="N10569" t="s">
        <v>12018</v>
      </c>
      <c r="O10569" t="s">
        <v>73</v>
      </c>
      <c r="P10569" t="s">
        <v>81</v>
      </c>
      <c r="Q10569" t="s">
        <v>7077</v>
      </c>
      <c r="R10569" t="s">
        <v>12016</v>
      </c>
    </row>
    <row r="10570" spans="1:18" x14ac:dyDescent="0.25">
      <c r="A10570" t="s">
        <v>20130</v>
      </c>
      <c r="B10570" t="s">
        <v>12031</v>
      </c>
      <c r="C10570" t="str">
        <f>HYPERLINK("https://nematode.unl.edu/xiam18.jpg")</f>
        <v>https://nematode.unl.edu/xiam18.jpg</v>
      </c>
      <c r="D10570" t="s">
        <v>43</v>
      </c>
      <c r="G10570" t="s">
        <v>34</v>
      </c>
      <c r="H10570" t="s">
        <v>18</v>
      </c>
      <c r="I10570" t="s">
        <v>45</v>
      </c>
      <c r="J10570" t="s">
        <v>20</v>
      </c>
      <c r="L10570" t="s">
        <v>64</v>
      </c>
      <c r="M10570" t="s">
        <v>12018</v>
      </c>
      <c r="N10570" t="s">
        <v>12018</v>
      </c>
      <c r="O10570" t="s">
        <v>73</v>
      </c>
      <c r="P10570" t="s">
        <v>81</v>
      </c>
      <c r="Q10570" t="s">
        <v>7077</v>
      </c>
      <c r="R10570" t="s">
        <v>12016</v>
      </c>
    </row>
    <row r="10571" spans="1:18" x14ac:dyDescent="0.25">
      <c r="A10571" t="s">
        <v>20150</v>
      </c>
      <c r="B10571" t="s">
        <v>12032</v>
      </c>
      <c r="C10571" t="str">
        <f>HYPERLINK("https://nematode.unl.edu/xiam19.jpg")</f>
        <v>https://nematode.unl.edu/xiam19.jpg</v>
      </c>
      <c r="D10571" t="s">
        <v>43</v>
      </c>
      <c r="G10571" t="s">
        <v>28</v>
      </c>
      <c r="I10571" t="s">
        <v>45</v>
      </c>
      <c r="J10571" t="s">
        <v>20</v>
      </c>
      <c r="L10571" t="s">
        <v>64</v>
      </c>
      <c r="M10571" t="s">
        <v>12018</v>
      </c>
      <c r="N10571" t="s">
        <v>12018</v>
      </c>
      <c r="O10571" t="s">
        <v>73</v>
      </c>
      <c r="P10571" t="s">
        <v>81</v>
      </c>
      <c r="Q10571" t="s">
        <v>7077</v>
      </c>
      <c r="R10571" t="s">
        <v>12016</v>
      </c>
    </row>
    <row r="10572" spans="1:18" x14ac:dyDescent="0.25">
      <c r="A10572" t="s">
        <v>20127</v>
      </c>
      <c r="B10572" t="s">
        <v>12033</v>
      </c>
      <c r="C10572" t="str">
        <f>HYPERLINK("https://nematode.unl.edu/xiam2.jpg")</f>
        <v>https://nematode.unl.edu/xiam2.jpg</v>
      </c>
      <c r="D10572" t="s">
        <v>43</v>
      </c>
      <c r="G10572" t="s">
        <v>17</v>
      </c>
      <c r="H10572" t="s">
        <v>18</v>
      </c>
      <c r="J10572" t="s">
        <v>20</v>
      </c>
      <c r="L10572" t="s">
        <v>727</v>
      </c>
      <c r="M10572" t="s">
        <v>12018</v>
      </c>
      <c r="N10572" t="s">
        <v>12018</v>
      </c>
      <c r="O10572" t="s">
        <v>73</v>
      </c>
      <c r="P10572" t="s">
        <v>81</v>
      </c>
      <c r="Q10572" t="s">
        <v>7077</v>
      </c>
      <c r="R10572" t="s">
        <v>12016</v>
      </c>
    </row>
    <row r="10573" spans="1:18" x14ac:dyDescent="0.25">
      <c r="A10573" t="s">
        <v>20151</v>
      </c>
      <c r="B10573" t="s">
        <v>12034</v>
      </c>
      <c r="C10573" t="str">
        <f>HYPERLINK("https://nematode.unl.edu/xiam3.jpg")</f>
        <v>https://nematode.unl.edu/xiam3.jpg</v>
      </c>
      <c r="D10573" t="s">
        <v>43</v>
      </c>
      <c r="G10573" t="s">
        <v>28</v>
      </c>
      <c r="J10573" t="s">
        <v>20</v>
      </c>
      <c r="L10573" t="s">
        <v>727</v>
      </c>
      <c r="M10573" t="s">
        <v>12018</v>
      </c>
      <c r="N10573" t="s">
        <v>12018</v>
      </c>
      <c r="O10573" t="s">
        <v>73</v>
      </c>
      <c r="P10573" t="s">
        <v>81</v>
      </c>
      <c r="Q10573" t="s">
        <v>7077</v>
      </c>
      <c r="R10573" t="s">
        <v>12016</v>
      </c>
    </row>
    <row r="10574" spans="1:18" x14ac:dyDescent="0.25">
      <c r="A10574" t="s">
        <v>20131</v>
      </c>
      <c r="B10574" t="s">
        <v>12035</v>
      </c>
      <c r="C10574" t="str">
        <f>HYPERLINK("https://nematode.unl.edu/xiam4.jpg")</f>
        <v>https://nematode.unl.edu/xiam4.jpg</v>
      </c>
      <c r="D10574" t="s">
        <v>43</v>
      </c>
      <c r="G10574" t="s">
        <v>34</v>
      </c>
      <c r="H10574" t="s">
        <v>18</v>
      </c>
      <c r="I10574" t="s">
        <v>19</v>
      </c>
      <c r="J10574" t="s">
        <v>20</v>
      </c>
      <c r="L10574" t="s">
        <v>727</v>
      </c>
      <c r="M10574" t="s">
        <v>12018</v>
      </c>
      <c r="N10574" t="s">
        <v>12018</v>
      </c>
      <c r="O10574" t="s">
        <v>73</v>
      </c>
      <c r="P10574" t="s">
        <v>81</v>
      </c>
      <c r="Q10574" t="s">
        <v>7077</v>
      </c>
      <c r="R10574" t="s">
        <v>12016</v>
      </c>
    </row>
    <row r="10575" spans="1:18" x14ac:dyDescent="0.25">
      <c r="A10575" t="s">
        <v>20138</v>
      </c>
      <c r="B10575" t="s">
        <v>12036</v>
      </c>
      <c r="C10575" t="str">
        <f>HYPERLINK("https://nematode.unl.edu/xiam5.jpg")</f>
        <v>https://nematode.unl.edu/xiam5.jpg</v>
      </c>
      <c r="D10575" t="s">
        <v>43</v>
      </c>
      <c r="G10575" t="s">
        <v>44</v>
      </c>
      <c r="I10575" t="s">
        <v>1008</v>
      </c>
      <c r="J10575" t="s">
        <v>20</v>
      </c>
      <c r="L10575" t="s">
        <v>85</v>
      </c>
      <c r="M10575" t="s">
        <v>12018</v>
      </c>
      <c r="N10575" t="s">
        <v>12018</v>
      </c>
      <c r="O10575" t="s">
        <v>73</v>
      </c>
      <c r="P10575" t="s">
        <v>81</v>
      </c>
      <c r="Q10575" t="s">
        <v>7077</v>
      </c>
      <c r="R10575" t="s">
        <v>12016</v>
      </c>
    </row>
    <row r="10576" spans="1:18" x14ac:dyDescent="0.25">
      <c r="A10576" t="s">
        <v>20125</v>
      </c>
      <c r="B10576" t="s">
        <v>12037</v>
      </c>
      <c r="C10576" t="str">
        <f>HYPERLINK("https://nematode.unl.edu/xiam6.jpg")</f>
        <v>https://nematode.unl.edu/xiam6.jpg</v>
      </c>
      <c r="D10576" t="s">
        <v>43</v>
      </c>
      <c r="G10576" t="s">
        <v>96</v>
      </c>
      <c r="H10576" t="s">
        <v>18</v>
      </c>
      <c r="I10576" t="s">
        <v>529</v>
      </c>
      <c r="J10576" t="s">
        <v>20</v>
      </c>
      <c r="L10576" t="s">
        <v>64</v>
      </c>
      <c r="M10576" t="s">
        <v>12018</v>
      </c>
      <c r="N10576" t="s">
        <v>12018</v>
      </c>
      <c r="O10576" t="s">
        <v>73</v>
      </c>
      <c r="P10576" t="s">
        <v>81</v>
      </c>
      <c r="Q10576" t="s">
        <v>7077</v>
      </c>
      <c r="R10576" t="s">
        <v>12016</v>
      </c>
    </row>
    <row r="10577" spans="1:18" x14ac:dyDescent="0.25">
      <c r="A10577" t="s">
        <v>20126</v>
      </c>
      <c r="B10577" t="s">
        <v>12038</v>
      </c>
      <c r="C10577" t="str">
        <f>HYPERLINK("https://nematode.unl.edu/xiam7.jpg")</f>
        <v>https://nematode.unl.edu/xiam7.jpg</v>
      </c>
      <c r="D10577" t="s">
        <v>43</v>
      </c>
      <c r="G10577" t="s">
        <v>96</v>
      </c>
      <c r="H10577" t="s">
        <v>18</v>
      </c>
      <c r="I10577" t="s">
        <v>19</v>
      </c>
      <c r="J10577" t="s">
        <v>20</v>
      </c>
      <c r="L10577" t="s">
        <v>193</v>
      </c>
      <c r="M10577" t="s">
        <v>12018</v>
      </c>
      <c r="N10577" t="s">
        <v>12018</v>
      </c>
      <c r="O10577" t="s">
        <v>73</v>
      </c>
      <c r="P10577" t="s">
        <v>81</v>
      </c>
      <c r="Q10577" t="s">
        <v>7077</v>
      </c>
      <c r="R10577" t="s">
        <v>12016</v>
      </c>
    </row>
    <row r="10578" spans="1:18" x14ac:dyDescent="0.25">
      <c r="A10578" t="s">
        <v>20139</v>
      </c>
      <c r="B10578" t="s">
        <v>12039</v>
      </c>
      <c r="C10578" t="str">
        <f>HYPERLINK("https://nematode.unl.edu/xiam8.jpg")</f>
        <v>https://nematode.unl.edu/xiam8.jpg</v>
      </c>
      <c r="D10578" t="s">
        <v>43</v>
      </c>
      <c r="G10578" t="s">
        <v>44</v>
      </c>
      <c r="I10578" t="s">
        <v>91</v>
      </c>
      <c r="J10578" t="s">
        <v>20</v>
      </c>
      <c r="L10578" t="s">
        <v>456</v>
      </c>
      <c r="M10578" t="s">
        <v>12018</v>
      </c>
      <c r="N10578" t="s">
        <v>12018</v>
      </c>
      <c r="O10578" t="s">
        <v>73</v>
      </c>
      <c r="P10578" t="s">
        <v>81</v>
      </c>
      <c r="Q10578" t="s">
        <v>7077</v>
      </c>
      <c r="R10578" t="s">
        <v>12016</v>
      </c>
    </row>
    <row r="10579" spans="1:18" x14ac:dyDescent="0.25">
      <c r="A10579" t="s">
        <v>20132</v>
      </c>
      <c r="B10579" t="s">
        <v>12040</v>
      </c>
      <c r="C10579" t="str">
        <f>HYPERLINK("https://nematode.unl.edu/xiam9.jpg")</f>
        <v>https://nematode.unl.edu/xiam9.jpg</v>
      </c>
      <c r="D10579" t="s">
        <v>43</v>
      </c>
      <c r="G10579" t="s">
        <v>34</v>
      </c>
      <c r="H10579" t="s">
        <v>18</v>
      </c>
      <c r="J10579" t="s">
        <v>20</v>
      </c>
      <c r="L10579" t="s">
        <v>38</v>
      </c>
      <c r="M10579" t="s">
        <v>12018</v>
      </c>
      <c r="N10579" t="s">
        <v>12018</v>
      </c>
      <c r="O10579" t="s">
        <v>73</v>
      </c>
      <c r="P10579" t="s">
        <v>81</v>
      </c>
      <c r="Q10579" t="s">
        <v>7077</v>
      </c>
      <c r="R10579" t="s">
        <v>12016</v>
      </c>
    </row>
    <row r="10580" spans="1:18" x14ac:dyDescent="0.25">
      <c r="A10580" t="s">
        <v>20144</v>
      </c>
      <c r="B10580" t="s">
        <v>12041</v>
      </c>
      <c r="C10580" t="str">
        <f>HYPERLINK("https://nematode.unl.edu/xiamcmp.jpg")</f>
        <v>https://nematode.unl.edu/xiamcmp.jpg</v>
      </c>
      <c r="G10580" t="s">
        <v>108</v>
      </c>
      <c r="M10580" t="s">
        <v>12018</v>
      </c>
      <c r="N10580" t="s">
        <v>12018</v>
      </c>
      <c r="O10580" t="s">
        <v>73</v>
      </c>
      <c r="P10580" t="s">
        <v>81</v>
      </c>
      <c r="Q10580" t="s">
        <v>7077</v>
      </c>
      <c r="R10580" t="s">
        <v>12016</v>
      </c>
    </row>
    <row r="10581" spans="1:18" x14ac:dyDescent="0.25">
      <c r="A10581" t="s">
        <v>20165</v>
      </c>
      <c r="B10581" t="s">
        <v>12054</v>
      </c>
      <c r="C10581" t="str">
        <f>HYPERLINK("https://nematode.unl.edu/xibrasil1.jpg")</f>
        <v>https://nematode.unl.edu/xibrasil1.jpg</v>
      </c>
      <c r="D10581" t="s">
        <v>16</v>
      </c>
      <c r="G10581" t="s">
        <v>44</v>
      </c>
      <c r="I10581" t="s">
        <v>19</v>
      </c>
      <c r="J10581" t="s">
        <v>1517</v>
      </c>
      <c r="L10581" t="s">
        <v>1526</v>
      </c>
      <c r="M10581" t="s">
        <v>12055</v>
      </c>
      <c r="N10581" t="s">
        <v>12055</v>
      </c>
      <c r="O10581" t="s">
        <v>73</v>
      </c>
      <c r="P10581" t="s">
        <v>81</v>
      </c>
      <c r="Q10581" t="s">
        <v>7077</v>
      </c>
      <c r="R10581" t="s">
        <v>12016</v>
      </c>
    </row>
    <row r="10582" spans="1:18" x14ac:dyDescent="0.25">
      <c r="A10582" t="s">
        <v>20170</v>
      </c>
      <c r="B10582" t="s">
        <v>12056</v>
      </c>
      <c r="C10582" t="str">
        <f>HYPERLINK("https://nematode.unl.edu/xibrasil10.jpg")</f>
        <v>https://nematode.unl.edu/xibrasil10.jpg</v>
      </c>
      <c r="D10582" t="s">
        <v>43</v>
      </c>
      <c r="G10582" t="s">
        <v>12057</v>
      </c>
      <c r="I10582" t="s">
        <v>41</v>
      </c>
      <c r="J10582" t="s">
        <v>1517</v>
      </c>
      <c r="L10582" t="s">
        <v>1526</v>
      </c>
      <c r="M10582" t="s">
        <v>12055</v>
      </c>
      <c r="N10582" t="s">
        <v>12055</v>
      </c>
      <c r="O10582" t="s">
        <v>73</v>
      </c>
      <c r="P10582" t="s">
        <v>81</v>
      </c>
      <c r="Q10582" t="s">
        <v>7077</v>
      </c>
      <c r="R10582" t="s">
        <v>12016</v>
      </c>
    </row>
    <row r="10583" spans="1:18" x14ac:dyDescent="0.25">
      <c r="A10583" t="s">
        <v>20173</v>
      </c>
      <c r="B10583" t="s">
        <v>12058</v>
      </c>
      <c r="C10583" t="str">
        <f>HYPERLINK("https://nematode.unl.edu/xibrasil11.jpg")</f>
        <v>https://nematode.unl.edu/xibrasil11.jpg</v>
      </c>
      <c r="D10583" t="s">
        <v>43</v>
      </c>
      <c r="G10583" t="s">
        <v>51</v>
      </c>
      <c r="I10583" t="s">
        <v>41</v>
      </c>
      <c r="J10583" t="s">
        <v>1517</v>
      </c>
      <c r="L10583" t="s">
        <v>1526</v>
      </c>
      <c r="M10583" t="s">
        <v>12055</v>
      </c>
      <c r="N10583" t="s">
        <v>12055</v>
      </c>
      <c r="O10583" t="s">
        <v>73</v>
      </c>
      <c r="P10583" t="s">
        <v>81</v>
      </c>
      <c r="Q10583" t="s">
        <v>7077</v>
      </c>
      <c r="R10583" t="s">
        <v>12016</v>
      </c>
    </row>
    <row r="10584" spans="1:18" x14ac:dyDescent="0.25">
      <c r="A10584" t="s">
        <v>20171</v>
      </c>
      <c r="B10584" t="s">
        <v>12059</v>
      </c>
      <c r="C10584" t="str">
        <f>HYPERLINK("https://nematode.unl.edu/xibrasil12.jpg")</f>
        <v>https://nematode.unl.edu/xibrasil12.jpg</v>
      </c>
      <c r="D10584" t="s">
        <v>77</v>
      </c>
      <c r="G10584" t="s">
        <v>28</v>
      </c>
      <c r="I10584" t="s">
        <v>41</v>
      </c>
      <c r="J10584" t="s">
        <v>1517</v>
      </c>
      <c r="L10584" t="s">
        <v>1526</v>
      </c>
      <c r="M10584" t="s">
        <v>12055</v>
      </c>
      <c r="N10584" t="s">
        <v>12055</v>
      </c>
      <c r="O10584" t="s">
        <v>73</v>
      </c>
      <c r="P10584" t="s">
        <v>81</v>
      </c>
      <c r="Q10584" t="s">
        <v>7077</v>
      </c>
      <c r="R10584" t="s">
        <v>12016</v>
      </c>
    </row>
    <row r="10585" spans="1:18" x14ac:dyDescent="0.25">
      <c r="A10585" t="s">
        <v>20160</v>
      </c>
      <c r="B10585" t="s">
        <v>12060</v>
      </c>
      <c r="C10585" t="str">
        <f>HYPERLINK("https://nematode.unl.edu/xibrasil13.jpg")</f>
        <v>https://nematode.unl.edu/xibrasil13.jpg</v>
      </c>
      <c r="D10585" t="s">
        <v>43</v>
      </c>
      <c r="G10585" t="s">
        <v>386</v>
      </c>
      <c r="H10585" t="s">
        <v>18</v>
      </c>
      <c r="I10585" t="s">
        <v>41</v>
      </c>
      <c r="J10585" t="s">
        <v>1517</v>
      </c>
      <c r="L10585" t="s">
        <v>1526</v>
      </c>
      <c r="M10585" t="s">
        <v>12055</v>
      </c>
      <c r="N10585" t="s">
        <v>12055</v>
      </c>
      <c r="O10585" t="s">
        <v>73</v>
      </c>
      <c r="P10585" t="s">
        <v>81</v>
      </c>
      <c r="Q10585" t="s">
        <v>7077</v>
      </c>
      <c r="R10585" t="s">
        <v>12016</v>
      </c>
    </row>
    <row r="10586" spans="1:18" x14ac:dyDescent="0.25">
      <c r="A10586" t="s">
        <v>20166</v>
      </c>
      <c r="B10586" t="s">
        <v>12061</v>
      </c>
      <c r="C10586" t="str">
        <f>HYPERLINK("https://nematode.unl.edu/xibrasil14.jpg")</f>
        <v>https://nematode.unl.edu/xibrasil14.jpg</v>
      </c>
      <c r="D10586" t="s">
        <v>16</v>
      </c>
      <c r="G10586" t="s">
        <v>44</v>
      </c>
      <c r="I10586" t="s">
        <v>19</v>
      </c>
      <c r="J10586" t="s">
        <v>1517</v>
      </c>
      <c r="L10586" t="s">
        <v>1526</v>
      </c>
      <c r="M10586" t="s">
        <v>12055</v>
      </c>
      <c r="N10586" t="s">
        <v>12055</v>
      </c>
      <c r="O10586" t="s">
        <v>73</v>
      </c>
      <c r="P10586" t="s">
        <v>81</v>
      </c>
      <c r="Q10586" t="s">
        <v>7077</v>
      </c>
      <c r="R10586" t="s">
        <v>12016</v>
      </c>
    </row>
    <row r="10587" spans="1:18" x14ac:dyDescent="0.25">
      <c r="A10587" t="s">
        <v>20167</v>
      </c>
      <c r="B10587" t="s">
        <v>12062</v>
      </c>
      <c r="C10587" t="str">
        <f>HYPERLINK("https://nematode.unl.edu/xibrasil15.jpg")</f>
        <v>https://nematode.unl.edu/xibrasil15.jpg</v>
      </c>
      <c r="D10587" t="s">
        <v>16</v>
      </c>
      <c r="G10587" t="s">
        <v>44</v>
      </c>
      <c r="I10587" t="s">
        <v>19</v>
      </c>
      <c r="J10587" t="s">
        <v>1517</v>
      </c>
      <c r="L10587" t="s">
        <v>1526</v>
      </c>
      <c r="M10587" t="s">
        <v>12055</v>
      </c>
      <c r="N10587" t="s">
        <v>12055</v>
      </c>
      <c r="O10587" t="s">
        <v>73</v>
      </c>
      <c r="P10587" t="s">
        <v>81</v>
      </c>
      <c r="Q10587" t="s">
        <v>7077</v>
      </c>
      <c r="R10587" t="s">
        <v>12016</v>
      </c>
    </row>
    <row r="10588" spans="1:18" x14ac:dyDescent="0.25">
      <c r="A10588" t="s">
        <v>20162</v>
      </c>
      <c r="B10588" t="s">
        <v>12063</v>
      </c>
      <c r="C10588" t="str">
        <f>HYPERLINK("https://nematode.unl.edu/xibrasil2.jpg")</f>
        <v>https://nematode.unl.edu/xibrasil2.jpg</v>
      </c>
      <c r="D10588" t="s">
        <v>43</v>
      </c>
      <c r="G10588" t="s">
        <v>34</v>
      </c>
      <c r="H10588" t="s">
        <v>18</v>
      </c>
      <c r="I10588" t="s">
        <v>41</v>
      </c>
      <c r="J10588" t="s">
        <v>1517</v>
      </c>
      <c r="L10588" t="s">
        <v>1526</v>
      </c>
      <c r="M10588" t="s">
        <v>12055</v>
      </c>
      <c r="N10588" t="s">
        <v>12055</v>
      </c>
      <c r="O10588" t="s">
        <v>73</v>
      </c>
      <c r="P10588" t="s">
        <v>81</v>
      </c>
      <c r="Q10588" t="s">
        <v>7077</v>
      </c>
      <c r="R10588" t="s">
        <v>12016</v>
      </c>
    </row>
    <row r="10589" spans="1:18" x14ac:dyDescent="0.25">
      <c r="A10589" t="s">
        <v>20163</v>
      </c>
      <c r="B10589" t="s">
        <v>12064</v>
      </c>
      <c r="C10589" t="str">
        <f>HYPERLINK("https://nematode.unl.edu/xibrasil3.jpg")</f>
        <v>https://nematode.unl.edu/xibrasil3.jpg</v>
      </c>
      <c r="D10589" t="s">
        <v>43</v>
      </c>
      <c r="G10589" t="s">
        <v>34</v>
      </c>
      <c r="H10589" t="s">
        <v>18</v>
      </c>
      <c r="I10589" t="s">
        <v>41</v>
      </c>
      <c r="J10589" t="s">
        <v>1517</v>
      </c>
      <c r="L10589" t="s">
        <v>1526</v>
      </c>
      <c r="M10589" t="s">
        <v>12055</v>
      </c>
      <c r="N10589" t="s">
        <v>12055</v>
      </c>
      <c r="O10589" t="s">
        <v>73</v>
      </c>
      <c r="P10589" t="s">
        <v>81</v>
      </c>
      <c r="Q10589" t="s">
        <v>7077</v>
      </c>
      <c r="R10589" t="s">
        <v>12016</v>
      </c>
    </row>
    <row r="10590" spans="1:18" x14ac:dyDescent="0.25">
      <c r="A10590" t="s">
        <v>20169</v>
      </c>
      <c r="B10590" t="s">
        <v>12065</v>
      </c>
      <c r="C10590" t="str">
        <f>HYPERLINK("https://nematode.unl.edu/xibrasil4.jpg")</f>
        <v>https://nematode.unl.edu/xibrasil4.jpg</v>
      </c>
      <c r="D10590" t="s">
        <v>43</v>
      </c>
      <c r="G10590" t="s">
        <v>2150</v>
      </c>
      <c r="I10590" t="s">
        <v>41</v>
      </c>
      <c r="J10590" t="s">
        <v>1517</v>
      </c>
      <c r="L10590" t="s">
        <v>1526</v>
      </c>
      <c r="M10590" t="s">
        <v>12055</v>
      </c>
      <c r="N10590" t="s">
        <v>12055</v>
      </c>
      <c r="O10590" t="s">
        <v>73</v>
      </c>
      <c r="P10590" t="s">
        <v>81</v>
      </c>
      <c r="Q10590" t="s">
        <v>7077</v>
      </c>
      <c r="R10590" t="s">
        <v>12016</v>
      </c>
    </row>
    <row r="10591" spans="1:18" x14ac:dyDescent="0.25">
      <c r="A10591" t="s">
        <v>20174</v>
      </c>
      <c r="B10591" t="s">
        <v>12066</v>
      </c>
      <c r="C10591" t="str">
        <f>HYPERLINK("https://nematode.unl.edu/xibrasil5.jpg")</f>
        <v>https://nematode.unl.edu/xibrasil5.jpg</v>
      </c>
      <c r="D10591" t="s">
        <v>43</v>
      </c>
      <c r="G10591" t="s">
        <v>51</v>
      </c>
      <c r="I10591" t="s">
        <v>41</v>
      </c>
      <c r="J10591" t="s">
        <v>1517</v>
      </c>
      <c r="L10591" t="s">
        <v>1526</v>
      </c>
      <c r="M10591" t="s">
        <v>12055</v>
      </c>
      <c r="N10591" t="s">
        <v>12055</v>
      </c>
      <c r="O10591" t="s">
        <v>73</v>
      </c>
      <c r="P10591" t="s">
        <v>81</v>
      </c>
      <c r="Q10591" t="s">
        <v>7077</v>
      </c>
      <c r="R10591" t="s">
        <v>12016</v>
      </c>
    </row>
    <row r="10592" spans="1:18" x14ac:dyDescent="0.25">
      <c r="A10592" t="s">
        <v>20172</v>
      </c>
      <c r="B10592" t="s">
        <v>12067</v>
      </c>
      <c r="C10592" t="str">
        <f>HYPERLINK("https://nematode.unl.edu/xibrasil6.jpg")</f>
        <v>https://nematode.unl.edu/xibrasil6.jpg</v>
      </c>
      <c r="D10592" t="s">
        <v>43</v>
      </c>
      <c r="G10592" t="s">
        <v>422</v>
      </c>
      <c r="I10592" t="s">
        <v>41</v>
      </c>
      <c r="J10592" t="s">
        <v>1517</v>
      </c>
      <c r="L10592" t="s">
        <v>1526</v>
      </c>
      <c r="M10592" t="s">
        <v>12055</v>
      </c>
      <c r="N10592" t="s">
        <v>12055</v>
      </c>
      <c r="O10592" t="s">
        <v>73</v>
      </c>
      <c r="P10592" t="s">
        <v>81</v>
      </c>
      <c r="Q10592" t="s">
        <v>7077</v>
      </c>
      <c r="R10592" t="s">
        <v>12016</v>
      </c>
    </row>
    <row r="10593" spans="1:18" x14ac:dyDescent="0.25">
      <c r="A10593" t="s">
        <v>20161</v>
      </c>
      <c r="B10593" t="s">
        <v>12068</v>
      </c>
      <c r="C10593" t="str">
        <f>HYPERLINK("https://nematode.unl.edu/xibrasil7.jpg")</f>
        <v>https://nematode.unl.edu/xibrasil7.jpg</v>
      </c>
      <c r="D10593" t="s">
        <v>43</v>
      </c>
      <c r="G10593" t="s">
        <v>386</v>
      </c>
      <c r="H10593" t="s">
        <v>18</v>
      </c>
      <c r="I10593" t="s">
        <v>41</v>
      </c>
      <c r="J10593" t="s">
        <v>1517</v>
      </c>
      <c r="L10593" t="s">
        <v>1526</v>
      </c>
      <c r="M10593" t="s">
        <v>12055</v>
      </c>
      <c r="N10593" t="s">
        <v>12055</v>
      </c>
      <c r="O10593" t="s">
        <v>73</v>
      </c>
      <c r="P10593" t="s">
        <v>81</v>
      </c>
      <c r="Q10593" t="s">
        <v>7077</v>
      </c>
      <c r="R10593" t="s">
        <v>12016</v>
      </c>
    </row>
    <row r="10594" spans="1:18" x14ac:dyDescent="0.25">
      <c r="A10594" t="s">
        <v>20168</v>
      </c>
      <c r="B10594" t="s">
        <v>12069</v>
      </c>
      <c r="C10594" t="str">
        <f>HYPERLINK("https://nematode.unl.edu/xibrasil8.jpg")</f>
        <v>https://nematode.unl.edu/xibrasil8.jpg</v>
      </c>
      <c r="D10594" t="s">
        <v>43</v>
      </c>
      <c r="G10594" t="s">
        <v>44</v>
      </c>
      <c r="I10594" t="s">
        <v>19</v>
      </c>
      <c r="J10594" t="s">
        <v>1517</v>
      </c>
      <c r="L10594" t="s">
        <v>1526</v>
      </c>
      <c r="M10594" t="s">
        <v>12055</v>
      </c>
      <c r="N10594" t="s">
        <v>12055</v>
      </c>
      <c r="O10594" t="s">
        <v>73</v>
      </c>
      <c r="P10594" t="s">
        <v>81</v>
      </c>
      <c r="Q10594" t="s">
        <v>7077</v>
      </c>
      <c r="R10594" t="s">
        <v>12016</v>
      </c>
    </row>
    <row r="10595" spans="1:18" x14ac:dyDescent="0.25">
      <c r="A10595" t="s">
        <v>20164</v>
      </c>
      <c r="B10595" t="s">
        <v>12070</v>
      </c>
      <c r="C10595" t="str">
        <f>HYPERLINK("https://nematode.unl.edu/xibrasil9.jpg")</f>
        <v>https://nematode.unl.edu/xibrasil9.jpg</v>
      </c>
      <c r="D10595" t="s">
        <v>77</v>
      </c>
      <c r="G10595" t="s">
        <v>34</v>
      </c>
      <c r="H10595" t="s">
        <v>18</v>
      </c>
      <c r="I10595" t="s">
        <v>41</v>
      </c>
      <c r="J10595" t="s">
        <v>1517</v>
      </c>
      <c r="L10595" t="s">
        <v>1526</v>
      </c>
      <c r="M10595" t="s">
        <v>12055</v>
      </c>
      <c r="N10595" t="s">
        <v>12055</v>
      </c>
      <c r="O10595" t="s">
        <v>73</v>
      </c>
      <c r="P10595" t="s">
        <v>81</v>
      </c>
      <c r="Q10595" t="s">
        <v>7077</v>
      </c>
      <c r="R10595" t="s">
        <v>12016</v>
      </c>
    </row>
    <row r="10596" spans="1:18" x14ac:dyDescent="0.25">
      <c r="A10596" t="s">
        <v>20193</v>
      </c>
      <c r="B10596" t="s">
        <v>12091</v>
      </c>
      <c r="C10596" t="str">
        <f>HYPERLINK("https://nematode.unl.edu/xindexdrw.jpg")</f>
        <v>https://nematode.unl.edu/xindexdrw.jpg</v>
      </c>
      <c r="D10596" t="s">
        <v>43</v>
      </c>
      <c r="G10596" t="s">
        <v>12092</v>
      </c>
      <c r="M10596" t="s">
        <v>12093</v>
      </c>
      <c r="N10596" t="s">
        <v>12093</v>
      </c>
      <c r="O10596" t="s">
        <v>73</v>
      </c>
      <c r="P10596" t="s">
        <v>81</v>
      </c>
      <c r="Q10596" t="s">
        <v>7077</v>
      </c>
      <c r="R10596" t="s">
        <v>12016</v>
      </c>
    </row>
    <row r="10597" spans="1:18" x14ac:dyDescent="0.25">
      <c r="A10597" t="s">
        <v>20146</v>
      </c>
      <c r="B10597" t="s">
        <v>12042</v>
      </c>
      <c r="C10597" t="str">
        <f>HYPERLINK("https://nematode.unl.edu/xipam1.jpg")</f>
        <v>https://nematode.unl.edu/xipam1.jpg</v>
      </c>
      <c r="D10597" t="s">
        <v>43</v>
      </c>
      <c r="G10597" t="s">
        <v>856</v>
      </c>
      <c r="I10597" t="s">
        <v>137</v>
      </c>
      <c r="J10597" t="s">
        <v>46</v>
      </c>
      <c r="L10597" t="s">
        <v>12043</v>
      </c>
      <c r="M10597" t="s">
        <v>12018</v>
      </c>
      <c r="N10597" t="s">
        <v>12018</v>
      </c>
      <c r="O10597" t="s">
        <v>73</v>
      </c>
      <c r="P10597" t="s">
        <v>81</v>
      </c>
      <c r="Q10597" t="s">
        <v>7077</v>
      </c>
      <c r="R10597" t="s">
        <v>12016</v>
      </c>
    </row>
    <row r="10598" spans="1:18" x14ac:dyDescent="0.25">
      <c r="A10598" t="s">
        <v>20140</v>
      </c>
      <c r="B10598" t="s">
        <v>12044</v>
      </c>
      <c r="C10598" t="str">
        <f>HYPERLINK("https://nematode.unl.edu/xipham1.jpg")</f>
        <v>https://nematode.unl.edu/xipham1.jpg</v>
      </c>
      <c r="D10598" t="s">
        <v>43</v>
      </c>
      <c r="G10598" t="s">
        <v>44</v>
      </c>
      <c r="I10598" t="s">
        <v>91</v>
      </c>
      <c r="J10598" t="s">
        <v>116</v>
      </c>
      <c r="L10598" t="s">
        <v>85</v>
      </c>
      <c r="M10598" t="s">
        <v>12018</v>
      </c>
      <c r="N10598" t="s">
        <v>12018</v>
      </c>
      <c r="O10598" t="s">
        <v>73</v>
      </c>
      <c r="P10598" t="s">
        <v>81</v>
      </c>
      <c r="Q10598" t="s">
        <v>7077</v>
      </c>
      <c r="R10598" t="s">
        <v>12016</v>
      </c>
    </row>
    <row r="10599" spans="1:18" x14ac:dyDescent="0.25">
      <c r="A10599" t="s">
        <v>20141</v>
      </c>
      <c r="B10599" t="s">
        <v>12045</v>
      </c>
      <c r="C10599" t="str">
        <f>HYPERLINK("https://nematode.unl.edu/xipham2.jpg")</f>
        <v>https://nematode.unl.edu/xipham2.jpg</v>
      </c>
      <c r="D10599" t="s">
        <v>16</v>
      </c>
      <c r="G10599" t="s">
        <v>44</v>
      </c>
      <c r="I10599" t="s">
        <v>91</v>
      </c>
      <c r="J10599" t="s">
        <v>116</v>
      </c>
      <c r="L10599" t="s">
        <v>85</v>
      </c>
      <c r="M10599" t="s">
        <v>12018</v>
      </c>
      <c r="N10599" t="s">
        <v>12018</v>
      </c>
      <c r="O10599" t="s">
        <v>73</v>
      </c>
      <c r="P10599" t="s">
        <v>81</v>
      </c>
      <c r="Q10599" t="s">
        <v>7077</v>
      </c>
      <c r="R10599" t="s">
        <v>12016</v>
      </c>
    </row>
    <row r="10600" spans="1:18" x14ac:dyDescent="0.25">
      <c r="A10600" t="s">
        <v>20133</v>
      </c>
      <c r="B10600" t="s">
        <v>12046</v>
      </c>
      <c r="C10600" t="str">
        <f>HYPERLINK("https://nematode.unl.edu/xipham3.jpg")</f>
        <v>https://nematode.unl.edu/xipham3.jpg</v>
      </c>
      <c r="D10600" t="s">
        <v>16</v>
      </c>
      <c r="G10600" t="s">
        <v>34</v>
      </c>
      <c r="H10600" t="s">
        <v>18</v>
      </c>
      <c r="J10600" t="s">
        <v>116</v>
      </c>
      <c r="L10600" t="s">
        <v>85</v>
      </c>
      <c r="M10600" t="s">
        <v>12018</v>
      </c>
      <c r="N10600" t="s">
        <v>12018</v>
      </c>
      <c r="O10600" t="s">
        <v>73</v>
      </c>
      <c r="P10600" t="s">
        <v>81</v>
      </c>
      <c r="Q10600" t="s">
        <v>7077</v>
      </c>
      <c r="R10600" t="s">
        <v>12016</v>
      </c>
    </row>
    <row r="10601" spans="1:18" x14ac:dyDescent="0.25">
      <c r="A10601" t="s">
        <v>20158</v>
      </c>
      <c r="B10601" t="s">
        <v>12047</v>
      </c>
      <c r="C10601" t="str">
        <f>HYPERLINK("https://nematode.unl.edu/xipham4.jpg")</f>
        <v>https://nematode.unl.edu/xipham4.jpg</v>
      </c>
      <c r="D10601" t="s">
        <v>43</v>
      </c>
      <c r="G10601" t="s">
        <v>51</v>
      </c>
      <c r="I10601" t="s">
        <v>137</v>
      </c>
      <c r="J10601" t="s">
        <v>116</v>
      </c>
      <c r="L10601" t="s">
        <v>85</v>
      </c>
      <c r="M10601" t="s">
        <v>12018</v>
      </c>
      <c r="N10601" t="s">
        <v>12018</v>
      </c>
      <c r="O10601" t="s">
        <v>73</v>
      </c>
      <c r="P10601" t="s">
        <v>81</v>
      </c>
      <c r="Q10601" t="s">
        <v>7077</v>
      </c>
      <c r="R10601" t="s">
        <v>12016</v>
      </c>
    </row>
    <row r="10602" spans="1:18" x14ac:dyDescent="0.25">
      <c r="A10602" t="s">
        <v>20152</v>
      </c>
      <c r="B10602" t="s">
        <v>12048</v>
      </c>
      <c r="C10602" t="str">
        <f>HYPERLINK("https://nematode.unl.edu/xipham5.jpg")</f>
        <v>https://nematode.unl.edu/xipham5.jpg</v>
      </c>
      <c r="D10602" t="s">
        <v>16</v>
      </c>
      <c r="G10602" t="s">
        <v>28</v>
      </c>
      <c r="I10602" t="s">
        <v>137</v>
      </c>
      <c r="J10602" t="s">
        <v>116</v>
      </c>
      <c r="L10602" t="s">
        <v>85</v>
      </c>
      <c r="M10602" t="s">
        <v>12018</v>
      </c>
      <c r="N10602" t="s">
        <v>12018</v>
      </c>
      <c r="O10602" t="s">
        <v>73</v>
      </c>
      <c r="P10602" t="s">
        <v>81</v>
      </c>
      <c r="Q10602" t="s">
        <v>7077</v>
      </c>
      <c r="R10602" t="s">
        <v>12016</v>
      </c>
    </row>
    <row r="10603" spans="1:18" x14ac:dyDescent="0.25">
      <c r="A10603" t="s">
        <v>20142</v>
      </c>
      <c r="B10603" t="s">
        <v>12049</v>
      </c>
      <c r="C10603" t="str">
        <f>HYPERLINK("https://nematode.unl.edu/xiphamer1.jpg")</f>
        <v>https://nematode.unl.edu/xiphamer1.jpg</v>
      </c>
      <c r="D10603" t="s">
        <v>43</v>
      </c>
      <c r="G10603" t="s">
        <v>44</v>
      </c>
      <c r="I10603" t="s">
        <v>45</v>
      </c>
      <c r="J10603" t="s">
        <v>267</v>
      </c>
      <c r="M10603" t="s">
        <v>12018</v>
      </c>
      <c r="N10603" t="s">
        <v>12018</v>
      </c>
      <c r="O10603" t="s">
        <v>73</v>
      </c>
      <c r="P10603" t="s">
        <v>81</v>
      </c>
      <c r="Q10603" t="s">
        <v>7077</v>
      </c>
      <c r="R10603" t="s">
        <v>12016</v>
      </c>
    </row>
    <row r="10604" spans="1:18" x14ac:dyDescent="0.25">
      <c r="A10604" t="s">
        <v>20134</v>
      </c>
      <c r="B10604" t="s">
        <v>12050</v>
      </c>
      <c r="C10604" t="str">
        <f>HYPERLINK("https://nematode.unl.edu/xiphamer2.jpg")</f>
        <v>https://nematode.unl.edu/xiphamer2.jpg</v>
      </c>
      <c r="D10604" t="s">
        <v>43</v>
      </c>
      <c r="G10604" t="s">
        <v>34</v>
      </c>
      <c r="H10604" t="s">
        <v>18</v>
      </c>
      <c r="I10604" t="s">
        <v>19</v>
      </c>
      <c r="J10604" t="s">
        <v>267</v>
      </c>
      <c r="M10604" t="s">
        <v>12018</v>
      </c>
      <c r="N10604" t="s">
        <v>12018</v>
      </c>
      <c r="O10604" t="s">
        <v>73</v>
      </c>
      <c r="P10604" t="s">
        <v>81</v>
      </c>
      <c r="Q10604" t="s">
        <v>7077</v>
      </c>
      <c r="R10604" t="s">
        <v>12016</v>
      </c>
    </row>
    <row r="10605" spans="1:18" x14ac:dyDescent="0.25">
      <c r="A10605" t="s">
        <v>20136</v>
      </c>
      <c r="B10605" t="s">
        <v>12051</v>
      </c>
      <c r="C10605" t="str">
        <f>HYPERLINK("https://nematode.unl.edu/xiphamer3.jpg")</f>
        <v>https://nematode.unl.edu/xiphamer3.jpg</v>
      </c>
      <c r="D10605" t="s">
        <v>43</v>
      </c>
      <c r="G10605" t="s">
        <v>87</v>
      </c>
      <c r="J10605" t="s">
        <v>267</v>
      </c>
      <c r="M10605" t="s">
        <v>12018</v>
      </c>
      <c r="N10605" t="s">
        <v>12018</v>
      </c>
      <c r="O10605" t="s">
        <v>73</v>
      </c>
      <c r="P10605" t="s">
        <v>81</v>
      </c>
      <c r="Q10605" t="s">
        <v>7077</v>
      </c>
      <c r="R10605" t="s">
        <v>12016</v>
      </c>
    </row>
    <row r="10606" spans="1:18" x14ac:dyDescent="0.25">
      <c r="A10606" t="s">
        <v>20159</v>
      </c>
      <c r="B10606" t="s">
        <v>12052</v>
      </c>
      <c r="C10606" t="str">
        <f>HYPERLINK("https://nematode.unl.edu/xiphamer4.jpg")</f>
        <v>https://nematode.unl.edu/xiphamer4.jpg</v>
      </c>
      <c r="D10606" t="s">
        <v>43</v>
      </c>
      <c r="G10606" t="s">
        <v>51</v>
      </c>
      <c r="I10606" t="s">
        <v>19</v>
      </c>
      <c r="J10606" t="s">
        <v>267</v>
      </c>
      <c r="M10606" t="s">
        <v>12018</v>
      </c>
      <c r="N10606" t="s">
        <v>12018</v>
      </c>
      <c r="O10606" t="s">
        <v>73</v>
      </c>
      <c r="P10606" t="s">
        <v>81</v>
      </c>
      <c r="Q10606" t="s">
        <v>7077</v>
      </c>
      <c r="R10606" t="s">
        <v>12016</v>
      </c>
    </row>
    <row r="10607" spans="1:18" x14ac:dyDescent="0.25">
      <c r="A10607" t="s">
        <v>20153</v>
      </c>
      <c r="B10607" t="s">
        <v>12053</v>
      </c>
      <c r="C10607" t="str">
        <f>HYPERLINK("https://nematode.unl.edu/xiphamer5.jpg")</f>
        <v>https://nematode.unl.edu/xiphamer5.jpg</v>
      </c>
      <c r="D10607" t="s">
        <v>43</v>
      </c>
      <c r="G10607" t="s">
        <v>28</v>
      </c>
      <c r="J10607" t="s">
        <v>267</v>
      </c>
      <c r="M10607" t="s">
        <v>12018</v>
      </c>
      <c r="N10607" t="s">
        <v>12018</v>
      </c>
      <c r="O10607" t="s">
        <v>73</v>
      </c>
      <c r="P10607" t="s">
        <v>81</v>
      </c>
      <c r="Q10607" t="s">
        <v>7077</v>
      </c>
      <c r="R10607" t="s">
        <v>12016</v>
      </c>
    </row>
    <row r="10608" spans="1:18" x14ac:dyDescent="0.25">
      <c r="A10608" t="s">
        <v>20178</v>
      </c>
      <c r="B10608" t="s">
        <v>12071</v>
      </c>
      <c r="C10608" t="str">
        <f>HYPERLINK("https://nematode.unl.edu/xiphibe1.jpg")</f>
        <v>https://nematode.unl.edu/xiphibe1.jpg</v>
      </c>
      <c r="D10608" t="s">
        <v>43</v>
      </c>
      <c r="G10608" t="s">
        <v>44</v>
      </c>
      <c r="I10608" t="s">
        <v>19</v>
      </c>
      <c r="J10608" t="s">
        <v>1517</v>
      </c>
      <c r="L10608" t="s">
        <v>1526</v>
      </c>
      <c r="M10608" t="s">
        <v>12072</v>
      </c>
      <c r="N10608" t="s">
        <v>12072</v>
      </c>
      <c r="O10608" t="s">
        <v>73</v>
      </c>
      <c r="P10608" t="s">
        <v>81</v>
      </c>
      <c r="Q10608" t="s">
        <v>7077</v>
      </c>
      <c r="R10608" t="s">
        <v>12016</v>
      </c>
    </row>
    <row r="10609" spans="1:18" x14ac:dyDescent="0.25">
      <c r="A10609" t="s">
        <v>20176</v>
      </c>
      <c r="B10609" t="s">
        <v>12073</v>
      </c>
      <c r="C10609" t="str">
        <f>HYPERLINK("https://nematode.unl.edu/xiphibe2.jpg")</f>
        <v>https://nematode.unl.edu/xiphibe2.jpg</v>
      </c>
      <c r="D10609" t="s">
        <v>43</v>
      </c>
      <c r="G10609" t="s">
        <v>96</v>
      </c>
      <c r="H10609" t="s">
        <v>18</v>
      </c>
      <c r="I10609" t="s">
        <v>19</v>
      </c>
      <c r="J10609" t="s">
        <v>1517</v>
      </c>
      <c r="L10609" t="s">
        <v>1526</v>
      </c>
      <c r="M10609" t="s">
        <v>12072</v>
      </c>
      <c r="N10609" t="s">
        <v>12072</v>
      </c>
      <c r="O10609" t="s">
        <v>73</v>
      </c>
      <c r="P10609" t="s">
        <v>81</v>
      </c>
      <c r="Q10609" t="s">
        <v>7077</v>
      </c>
      <c r="R10609" t="s">
        <v>12016</v>
      </c>
    </row>
    <row r="10610" spans="1:18" x14ac:dyDescent="0.25">
      <c r="A10610" t="s">
        <v>20179</v>
      </c>
      <c r="B10610" t="s">
        <v>12074</v>
      </c>
      <c r="C10610" t="str">
        <f>HYPERLINK("https://nematode.unl.edu/xiphibe3.jpg")</f>
        <v>https://nematode.unl.edu/xiphibe3.jpg</v>
      </c>
      <c r="D10610" t="s">
        <v>43</v>
      </c>
      <c r="G10610" t="s">
        <v>674</v>
      </c>
      <c r="I10610" t="s">
        <v>19</v>
      </c>
      <c r="J10610" t="s">
        <v>1517</v>
      </c>
      <c r="L10610" t="s">
        <v>1526</v>
      </c>
      <c r="M10610" t="s">
        <v>12072</v>
      </c>
      <c r="N10610" t="s">
        <v>12072</v>
      </c>
      <c r="O10610" t="s">
        <v>73</v>
      </c>
      <c r="P10610" t="s">
        <v>81</v>
      </c>
      <c r="Q10610" t="s">
        <v>7077</v>
      </c>
      <c r="R10610" t="s">
        <v>12016</v>
      </c>
    </row>
    <row r="10611" spans="1:18" x14ac:dyDescent="0.25">
      <c r="A10611" t="s">
        <v>20180</v>
      </c>
      <c r="B10611" t="s">
        <v>12075</v>
      </c>
      <c r="C10611" t="str">
        <f>HYPERLINK("https://nematode.unl.edu/xiphibe4.jpg")</f>
        <v>https://nematode.unl.edu/xiphibe4.jpg</v>
      </c>
      <c r="D10611" t="s">
        <v>77</v>
      </c>
      <c r="G10611" t="s">
        <v>28</v>
      </c>
      <c r="I10611" t="s">
        <v>19</v>
      </c>
      <c r="J10611" t="s">
        <v>1517</v>
      </c>
      <c r="L10611" t="s">
        <v>1526</v>
      </c>
      <c r="M10611" t="s">
        <v>12072</v>
      </c>
      <c r="N10611" t="s">
        <v>12072</v>
      </c>
      <c r="O10611" t="s">
        <v>73</v>
      </c>
      <c r="P10611" t="s">
        <v>81</v>
      </c>
      <c r="Q10611" t="s">
        <v>7077</v>
      </c>
      <c r="R10611" t="s">
        <v>12016</v>
      </c>
    </row>
    <row r="10612" spans="1:18" x14ac:dyDescent="0.25">
      <c r="A10612" t="s">
        <v>20177</v>
      </c>
      <c r="B10612" t="s">
        <v>12076</v>
      </c>
      <c r="C10612" t="str">
        <f>HYPERLINK("https://nematode.unl.edu/xiphibe5.jpg")</f>
        <v>https://nematode.unl.edu/xiphibe5.jpg</v>
      </c>
      <c r="D10612" t="s">
        <v>43</v>
      </c>
      <c r="G10612" t="s">
        <v>96</v>
      </c>
      <c r="H10612" t="s">
        <v>18</v>
      </c>
      <c r="I10612" t="s">
        <v>41</v>
      </c>
      <c r="J10612" t="s">
        <v>1517</v>
      </c>
      <c r="L10612" t="s">
        <v>1526</v>
      </c>
      <c r="M10612" t="s">
        <v>12072</v>
      </c>
      <c r="N10612" t="s">
        <v>12072</v>
      </c>
      <c r="O10612" t="s">
        <v>73</v>
      </c>
      <c r="P10612" t="s">
        <v>81</v>
      </c>
      <c r="Q10612" t="s">
        <v>7077</v>
      </c>
      <c r="R10612" t="s">
        <v>12016</v>
      </c>
    </row>
    <row r="10613" spans="1:18" x14ac:dyDescent="0.25">
      <c r="A10613" t="s">
        <v>20175</v>
      </c>
      <c r="B10613" t="s">
        <v>12077</v>
      </c>
      <c r="C10613" t="str">
        <f>HYPERLINK("https://nematode.unl.edu/xiphibe6.jpg")</f>
        <v>https://nematode.unl.edu/xiphibe6.jpg</v>
      </c>
      <c r="D10613" t="s">
        <v>43</v>
      </c>
      <c r="G10613" t="s">
        <v>386</v>
      </c>
      <c r="H10613" t="s">
        <v>18</v>
      </c>
      <c r="I10613" t="s">
        <v>41</v>
      </c>
      <c r="J10613" t="s">
        <v>1517</v>
      </c>
      <c r="L10613" t="s">
        <v>1526</v>
      </c>
      <c r="M10613" t="s">
        <v>12072</v>
      </c>
      <c r="N10613" t="s">
        <v>12072</v>
      </c>
      <c r="O10613" t="s">
        <v>73</v>
      </c>
      <c r="P10613" t="s">
        <v>81</v>
      </c>
      <c r="Q10613" t="s">
        <v>7077</v>
      </c>
      <c r="R10613" t="s">
        <v>12016</v>
      </c>
    </row>
    <row r="10614" spans="1:18" x14ac:dyDescent="0.25">
      <c r="A10614" t="s">
        <v>20182</v>
      </c>
      <c r="B10614" t="s">
        <v>12078</v>
      </c>
      <c r="C10614" t="str">
        <f>HYPERLINK("https://nematode.unl.edu/xiphibe7.jpg")</f>
        <v>https://nematode.unl.edu/xiphibe7.jpg</v>
      </c>
      <c r="D10614" t="s">
        <v>43</v>
      </c>
      <c r="G10614" t="s">
        <v>51</v>
      </c>
      <c r="I10614" t="s">
        <v>41</v>
      </c>
      <c r="J10614" t="s">
        <v>1517</v>
      </c>
      <c r="L10614" t="s">
        <v>1526</v>
      </c>
      <c r="M10614" t="s">
        <v>12072</v>
      </c>
      <c r="N10614" t="s">
        <v>12072</v>
      </c>
      <c r="O10614" t="s">
        <v>73</v>
      </c>
      <c r="P10614" t="s">
        <v>81</v>
      </c>
      <c r="Q10614" t="s">
        <v>7077</v>
      </c>
      <c r="R10614" t="s">
        <v>12016</v>
      </c>
    </row>
    <row r="10615" spans="1:18" x14ac:dyDescent="0.25">
      <c r="A10615" t="s">
        <v>20181</v>
      </c>
      <c r="B10615" t="s">
        <v>12079</v>
      </c>
      <c r="C10615" t="str">
        <f>HYPERLINK("https://nematode.unl.edu/xiphibe8.jpg")</f>
        <v>https://nematode.unl.edu/xiphibe8.jpg</v>
      </c>
      <c r="D10615" t="s">
        <v>43</v>
      </c>
      <c r="G10615" t="s">
        <v>28</v>
      </c>
      <c r="I10615" t="s">
        <v>41</v>
      </c>
      <c r="J10615" t="s">
        <v>1517</v>
      </c>
      <c r="L10615" t="s">
        <v>1526</v>
      </c>
      <c r="M10615" t="s">
        <v>12072</v>
      </c>
      <c r="N10615" t="s">
        <v>12072</v>
      </c>
      <c r="O10615" t="s">
        <v>73</v>
      </c>
      <c r="P10615" t="s">
        <v>81</v>
      </c>
      <c r="Q10615" t="s">
        <v>7077</v>
      </c>
      <c r="R10615" t="s">
        <v>12016</v>
      </c>
    </row>
    <row r="10616" spans="1:18" x14ac:dyDescent="0.25">
      <c r="A10616" t="s">
        <v>20124</v>
      </c>
      <c r="B10616" t="s">
        <v>12015</v>
      </c>
      <c r="C10616" t="str">
        <f>HYPERLINK("https://nematode.unl.edu/xiphis1.jpg")</f>
        <v>https://nematode.unl.edu/xiphis1.jpg</v>
      </c>
      <c r="D10616" t="s">
        <v>16</v>
      </c>
      <c r="G10616" t="s">
        <v>44</v>
      </c>
      <c r="I10616" t="s">
        <v>516</v>
      </c>
      <c r="J10616" t="s">
        <v>1517</v>
      </c>
      <c r="L10616" t="s">
        <v>1526</v>
      </c>
      <c r="M10616" t="s">
        <v>12016</v>
      </c>
      <c r="N10616" t="s">
        <v>12016</v>
      </c>
      <c r="O10616" t="s">
        <v>73</v>
      </c>
      <c r="P10616" t="s">
        <v>81</v>
      </c>
      <c r="Q10616" t="s">
        <v>7077</v>
      </c>
      <c r="R10616" t="s">
        <v>12016</v>
      </c>
    </row>
    <row r="10617" spans="1:18" x14ac:dyDescent="0.25">
      <c r="A10617" t="s">
        <v>20242</v>
      </c>
      <c r="B10617" t="s">
        <v>12094</v>
      </c>
      <c r="C10617" t="str">
        <f>HYPERLINK("https://nematode.unl.edu/xiphiv10.jpg")</f>
        <v>https://nematode.unl.edu/xiphiv10.jpg</v>
      </c>
      <c r="D10617" t="s">
        <v>43</v>
      </c>
      <c r="G10617" t="s">
        <v>51</v>
      </c>
      <c r="I10617" t="s">
        <v>19</v>
      </c>
      <c r="J10617" t="s">
        <v>20</v>
      </c>
      <c r="L10617" t="s">
        <v>38</v>
      </c>
      <c r="M10617" t="s">
        <v>12095</v>
      </c>
      <c r="N10617" t="s">
        <v>12095</v>
      </c>
      <c r="O10617" t="s">
        <v>73</v>
      </c>
      <c r="P10617" t="s">
        <v>81</v>
      </c>
      <c r="Q10617" t="s">
        <v>7077</v>
      </c>
      <c r="R10617" t="s">
        <v>12016</v>
      </c>
    </row>
    <row r="10618" spans="1:18" x14ac:dyDescent="0.25">
      <c r="A10618" t="s">
        <v>20207</v>
      </c>
      <c r="B10618" t="s">
        <v>12096</v>
      </c>
      <c r="C10618" t="str">
        <f>HYPERLINK("https://nematode.unl.edu/xiphiv11.jpg")</f>
        <v>https://nematode.unl.edu/xiphiv11.jpg</v>
      </c>
      <c r="D10618" t="s">
        <v>43</v>
      </c>
      <c r="G10618" t="s">
        <v>34</v>
      </c>
      <c r="H10618" t="s">
        <v>18</v>
      </c>
      <c r="I10618" t="s">
        <v>19</v>
      </c>
      <c r="J10618" t="s">
        <v>20</v>
      </c>
      <c r="L10618" t="s">
        <v>38</v>
      </c>
      <c r="M10618" t="s">
        <v>12095</v>
      </c>
      <c r="N10618" t="s">
        <v>12095</v>
      </c>
      <c r="O10618" t="s">
        <v>73</v>
      </c>
      <c r="P10618" t="s">
        <v>81</v>
      </c>
      <c r="Q10618" t="s">
        <v>7077</v>
      </c>
      <c r="R10618" t="s">
        <v>12016</v>
      </c>
    </row>
    <row r="10619" spans="1:18" x14ac:dyDescent="0.25">
      <c r="A10619" t="s">
        <v>20215</v>
      </c>
      <c r="B10619" t="s">
        <v>12097</v>
      </c>
      <c r="C10619" t="str">
        <f>HYPERLINK("https://nematode.unl.edu/xiphiv12.jpg")</f>
        <v>https://nematode.unl.edu/xiphiv12.jpg</v>
      </c>
      <c r="D10619" t="s">
        <v>43</v>
      </c>
      <c r="G10619" t="s">
        <v>44</v>
      </c>
      <c r="I10619" t="s">
        <v>91</v>
      </c>
      <c r="J10619" t="s">
        <v>20</v>
      </c>
      <c r="L10619" t="s">
        <v>38</v>
      </c>
      <c r="M10619" t="s">
        <v>12095</v>
      </c>
      <c r="N10619" t="s">
        <v>12095</v>
      </c>
      <c r="O10619" t="s">
        <v>73</v>
      </c>
      <c r="P10619" t="s">
        <v>81</v>
      </c>
      <c r="Q10619" t="s">
        <v>7077</v>
      </c>
      <c r="R10619" t="s">
        <v>12016</v>
      </c>
    </row>
    <row r="10620" spans="1:18" x14ac:dyDescent="0.25">
      <c r="A10620" t="s">
        <v>20223</v>
      </c>
      <c r="B10620" t="s">
        <v>12098</v>
      </c>
      <c r="C10620" t="str">
        <f>HYPERLINK("https://nematode.unl.edu/xiphiv13.jpg")</f>
        <v>https://nematode.unl.edu/xiphiv13.jpg</v>
      </c>
      <c r="D10620" t="s">
        <v>43</v>
      </c>
      <c r="G10620" t="s">
        <v>181</v>
      </c>
      <c r="I10620" t="s">
        <v>45</v>
      </c>
      <c r="J10620" t="s">
        <v>20</v>
      </c>
      <c r="L10620" t="s">
        <v>38</v>
      </c>
      <c r="M10620" t="s">
        <v>12095</v>
      </c>
      <c r="N10620" t="s">
        <v>12095</v>
      </c>
      <c r="O10620" t="s">
        <v>73</v>
      </c>
      <c r="P10620" t="s">
        <v>81</v>
      </c>
      <c r="Q10620" t="s">
        <v>7077</v>
      </c>
      <c r="R10620" t="s">
        <v>12016</v>
      </c>
    </row>
    <row r="10621" spans="1:18" x14ac:dyDescent="0.25">
      <c r="A10621" t="s">
        <v>20216</v>
      </c>
      <c r="B10621" t="s">
        <v>12099</v>
      </c>
      <c r="C10621" t="str">
        <f>HYPERLINK("https://nematode.unl.edu/xiphiv14.jpg")</f>
        <v>https://nematode.unl.edu/xiphiv14.jpg</v>
      </c>
      <c r="D10621" t="s">
        <v>43</v>
      </c>
      <c r="G10621" t="s">
        <v>44</v>
      </c>
      <c r="I10621" t="s">
        <v>45</v>
      </c>
      <c r="J10621" t="s">
        <v>20</v>
      </c>
      <c r="L10621" t="s">
        <v>38</v>
      </c>
      <c r="M10621" t="s">
        <v>12095</v>
      </c>
      <c r="N10621" t="s">
        <v>12095</v>
      </c>
      <c r="O10621" t="s">
        <v>73</v>
      </c>
      <c r="P10621" t="s">
        <v>81</v>
      </c>
      <c r="Q10621" t="s">
        <v>7077</v>
      </c>
      <c r="R10621" t="s">
        <v>12016</v>
      </c>
    </row>
    <row r="10622" spans="1:18" x14ac:dyDescent="0.25">
      <c r="A10622" t="s">
        <v>20195</v>
      </c>
      <c r="B10622" t="s">
        <v>12100</v>
      </c>
      <c r="C10622" t="str">
        <f>HYPERLINK("https://nematode.unl.edu/xiphiv15.jpg")</f>
        <v>https://nematode.unl.edu/xiphiv15.jpg</v>
      </c>
      <c r="D10622" t="s">
        <v>43</v>
      </c>
      <c r="G10622" t="s">
        <v>96</v>
      </c>
      <c r="H10622" t="s">
        <v>18</v>
      </c>
      <c r="I10622" t="s">
        <v>45</v>
      </c>
      <c r="J10622" t="s">
        <v>20</v>
      </c>
      <c r="L10622" t="s">
        <v>38</v>
      </c>
      <c r="M10622" t="s">
        <v>12095</v>
      </c>
      <c r="N10622" t="s">
        <v>12095</v>
      </c>
      <c r="O10622" t="s">
        <v>73</v>
      </c>
      <c r="P10622" t="s">
        <v>81</v>
      </c>
      <c r="Q10622" t="s">
        <v>7077</v>
      </c>
      <c r="R10622" t="s">
        <v>12016</v>
      </c>
    </row>
    <row r="10623" spans="1:18" x14ac:dyDescent="0.25">
      <c r="A10623" t="s">
        <v>20229</v>
      </c>
      <c r="B10623" t="s">
        <v>12101</v>
      </c>
      <c r="C10623" t="str">
        <f>HYPERLINK("https://nematode.unl.edu/xiphiv2.jpg")</f>
        <v>https://nematode.unl.edu/xiphiv2.jpg</v>
      </c>
      <c r="D10623" t="s">
        <v>43</v>
      </c>
      <c r="G10623" t="s">
        <v>28</v>
      </c>
      <c r="I10623" t="s">
        <v>19</v>
      </c>
      <c r="J10623" t="s">
        <v>20</v>
      </c>
      <c r="L10623" t="s">
        <v>38</v>
      </c>
      <c r="M10623" t="s">
        <v>12095</v>
      </c>
      <c r="N10623" t="s">
        <v>12095</v>
      </c>
      <c r="O10623" t="s">
        <v>73</v>
      </c>
      <c r="P10623" t="s">
        <v>81</v>
      </c>
      <c r="Q10623" t="s">
        <v>7077</v>
      </c>
      <c r="R10623" t="s">
        <v>12016</v>
      </c>
    </row>
    <row r="10624" spans="1:18" x14ac:dyDescent="0.25">
      <c r="A10624" t="s">
        <v>20243</v>
      </c>
      <c r="B10624" t="s">
        <v>12102</v>
      </c>
      <c r="C10624" t="str">
        <f>HYPERLINK("https://nematode.unl.edu/xiphiv20.jpg")</f>
        <v>https://nematode.unl.edu/xiphiv20.jpg</v>
      </c>
      <c r="D10624" t="s">
        <v>43</v>
      </c>
      <c r="G10624" t="s">
        <v>51</v>
      </c>
      <c r="I10624" t="s">
        <v>19</v>
      </c>
      <c r="J10624" t="s">
        <v>20</v>
      </c>
      <c r="L10624" t="s">
        <v>38</v>
      </c>
      <c r="M10624" t="s">
        <v>12095</v>
      </c>
      <c r="N10624" t="s">
        <v>12095</v>
      </c>
      <c r="O10624" t="s">
        <v>73</v>
      </c>
      <c r="P10624" t="s">
        <v>81</v>
      </c>
      <c r="Q10624" t="s">
        <v>7077</v>
      </c>
      <c r="R10624" t="s">
        <v>12016</v>
      </c>
    </row>
    <row r="10625" spans="1:18" x14ac:dyDescent="0.25">
      <c r="A10625" t="s">
        <v>20230</v>
      </c>
      <c r="B10625" t="s">
        <v>12103</v>
      </c>
      <c r="C10625" t="str">
        <f>HYPERLINK("https://nematode.unl.edu/xiphiv21.jpg")</f>
        <v>https://nematode.unl.edu/xiphiv21.jpg</v>
      </c>
      <c r="D10625" t="s">
        <v>43</v>
      </c>
      <c r="G10625" t="s">
        <v>28</v>
      </c>
      <c r="J10625" t="s">
        <v>20</v>
      </c>
      <c r="L10625" t="s">
        <v>38</v>
      </c>
      <c r="M10625" t="s">
        <v>12095</v>
      </c>
      <c r="N10625" t="s">
        <v>12095</v>
      </c>
      <c r="O10625" t="s">
        <v>73</v>
      </c>
      <c r="P10625" t="s">
        <v>81</v>
      </c>
      <c r="Q10625" t="s">
        <v>7077</v>
      </c>
      <c r="R10625" t="s">
        <v>12016</v>
      </c>
    </row>
    <row r="10626" spans="1:18" x14ac:dyDescent="0.25">
      <c r="A10626" t="s">
        <v>20196</v>
      </c>
      <c r="B10626" t="s">
        <v>12104</v>
      </c>
      <c r="C10626" t="str">
        <f>HYPERLINK("https://nematode.unl.edu/xiphiv22.jpg")</f>
        <v>https://nematode.unl.edu/xiphiv22.jpg</v>
      </c>
      <c r="D10626" t="s">
        <v>77</v>
      </c>
      <c r="G10626" t="s">
        <v>96</v>
      </c>
      <c r="H10626" t="s">
        <v>18</v>
      </c>
      <c r="I10626" t="s">
        <v>19</v>
      </c>
      <c r="J10626" t="s">
        <v>20</v>
      </c>
      <c r="L10626" t="s">
        <v>38</v>
      </c>
      <c r="M10626" t="s">
        <v>12095</v>
      </c>
      <c r="N10626" t="s">
        <v>12095</v>
      </c>
      <c r="O10626" t="s">
        <v>73</v>
      </c>
      <c r="P10626" t="s">
        <v>81</v>
      </c>
      <c r="Q10626" t="s">
        <v>7077</v>
      </c>
      <c r="R10626" t="s">
        <v>12016</v>
      </c>
    </row>
    <row r="10627" spans="1:18" x14ac:dyDescent="0.25">
      <c r="A10627" t="s">
        <v>20244</v>
      </c>
      <c r="B10627" t="s">
        <v>12105</v>
      </c>
      <c r="C10627" t="str">
        <f>HYPERLINK("https://nematode.unl.edu/xiphiv23.jpg")</f>
        <v>https://nematode.unl.edu/xiphiv23.jpg</v>
      </c>
      <c r="D10627" t="s">
        <v>43</v>
      </c>
      <c r="G10627" t="s">
        <v>51</v>
      </c>
      <c r="I10627" t="s">
        <v>19</v>
      </c>
      <c r="J10627" t="s">
        <v>20</v>
      </c>
      <c r="L10627" t="s">
        <v>38</v>
      </c>
      <c r="M10627" t="s">
        <v>12095</v>
      </c>
      <c r="N10627" t="s">
        <v>12095</v>
      </c>
      <c r="O10627" t="s">
        <v>73</v>
      </c>
      <c r="P10627" t="s">
        <v>81</v>
      </c>
      <c r="Q10627" t="s">
        <v>7077</v>
      </c>
      <c r="R10627" t="s">
        <v>12016</v>
      </c>
    </row>
    <row r="10628" spans="1:18" x14ac:dyDescent="0.25">
      <c r="A10628" t="s">
        <v>20247</v>
      </c>
      <c r="B10628" t="s">
        <v>12106</v>
      </c>
      <c r="C10628" t="str">
        <f>HYPERLINK("https://nematode.unl.edu/xiphiv24.jpg")</f>
        <v>https://nematode.unl.edu/xiphiv24.jpg</v>
      </c>
      <c r="D10628" t="s">
        <v>77</v>
      </c>
      <c r="G10628" t="s">
        <v>3058</v>
      </c>
      <c r="I10628" t="s">
        <v>19</v>
      </c>
      <c r="J10628" t="s">
        <v>20</v>
      </c>
      <c r="L10628" t="s">
        <v>38</v>
      </c>
      <c r="M10628" t="s">
        <v>12095</v>
      </c>
      <c r="N10628" t="s">
        <v>12095</v>
      </c>
      <c r="O10628" t="s">
        <v>73</v>
      </c>
      <c r="P10628" t="s">
        <v>81</v>
      </c>
      <c r="Q10628" t="s">
        <v>7077</v>
      </c>
      <c r="R10628" t="s">
        <v>12016</v>
      </c>
    </row>
    <row r="10629" spans="1:18" x14ac:dyDescent="0.25">
      <c r="A10629" t="s">
        <v>20197</v>
      </c>
      <c r="B10629" t="s">
        <v>12107</v>
      </c>
      <c r="C10629" t="str">
        <f>HYPERLINK("https://nematode.unl.edu/xiphiv25.jpg")</f>
        <v>https://nematode.unl.edu/xiphiv25.jpg</v>
      </c>
      <c r="D10629" t="s">
        <v>77</v>
      </c>
      <c r="G10629" t="s">
        <v>96</v>
      </c>
      <c r="H10629" t="s">
        <v>18</v>
      </c>
      <c r="I10629" t="s">
        <v>19</v>
      </c>
      <c r="J10629" t="s">
        <v>20</v>
      </c>
      <c r="L10629" t="s">
        <v>38</v>
      </c>
      <c r="M10629" t="s">
        <v>12095</v>
      </c>
      <c r="N10629" t="s">
        <v>12095</v>
      </c>
      <c r="O10629" t="s">
        <v>73</v>
      </c>
      <c r="P10629" t="s">
        <v>81</v>
      </c>
      <c r="Q10629" t="s">
        <v>7077</v>
      </c>
      <c r="R10629" t="s">
        <v>12016</v>
      </c>
    </row>
    <row r="10630" spans="1:18" x14ac:dyDescent="0.25">
      <c r="A10630" t="s">
        <v>20231</v>
      </c>
      <c r="B10630" t="s">
        <v>12108</v>
      </c>
      <c r="C10630" t="str">
        <f>HYPERLINK("https://nematode.unl.edu/xiphiv26.jpg")</f>
        <v>https://nematode.unl.edu/xiphiv26.jpg</v>
      </c>
      <c r="D10630" t="s">
        <v>43</v>
      </c>
      <c r="G10630" t="s">
        <v>28</v>
      </c>
      <c r="I10630" t="s">
        <v>19</v>
      </c>
      <c r="J10630" t="s">
        <v>20</v>
      </c>
      <c r="L10630" t="s">
        <v>38</v>
      </c>
      <c r="M10630" t="s">
        <v>12095</v>
      </c>
      <c r="N10630" t="s">
        <v>12095</v>
      </c>
      <c r="O10630" t="s">
        <v>73</v>
      </c>
      <c r="P10630" t="s">
        <v>81</v>
      </c>
      <c r="Q10630" t="s">
        <v>7077</v>
      </c>
      <c r="R10630" t="s">
        <v>12016</v>
      </c>
    </row>
    <row r="10631" spans="1:18" x14ac:dyDescent="0.25">
      <c r="A10631" t="s">
        <v>20245</v>
      </c>
      <c r="B10631" t="s">
        <v>12109</v>
      </c>
      <c r="C10631" t="str">
        <f>HYPERLINK("https://nematode.unl.edu/xiphiv27.jpg")</f>
        <v>https://nematode.unl.edu/xiphiv27.jpg</v>
      </c>
      <c r="D10631" t="s">
        <v>43</v>
      </c>
      <c r="G10631" t="s">
        <v>51</v>
      </c>
      <c r="I10631" t="s">
        <v>19</v>
      </c>
      <c r="J10631" t="s">
        <v>20</v>
      </c>
      <c r="L10631" t="s">
        <v>38</v>
      </c>
      <c r="M10631" t="s">
        <v>12095</v>
      </c>
      <c r="N10631" t="s">
        <v>12095</v>
      </c>
      <c r="O10631" t="s">
        <v>73</v>
      </c>
      <c r="P10631" t="s">
        <v>81</v>
      </c>
      <c r="Q10631" t="s">
        <v>7077</v>
      </c>
      <c r="R10631" t="s">
        <v>12016</v>
      </c>
    </row>
    <row r="10632" spans="1:18" x14ac:dyDescent="0.25">
      <c r="A10632" t="s">
        <v>20248</v>
      </c>
      <c r="B10632" t="s">
        <v>12110</v>
      </c>
      <c r="C10632" t="str">
        <f>HYPERLINK("https://nematode.unl.edu/xiphiv28.jpg")</f>
        <v>https://nematode.unl.edu/xiphiv28.jpg</v>
      </c>
      <c r="D10632" t="s">
        <v>43</v>
      </c>
      <c r="G10632" t="s">
        <v>3058</v>
      </c>
      <c r="I10632" t="s">
        <v>19</v>
      </c>
      <c r="J10632" t="s">
        <v>20</v>
      </c>
      <c r="L10632" t="s">
        <v>38</v>
      </c>
      <c r="M10632" t="s">
        <v>12095</v>
      </c>
      <c r="N10632" t="s">
        <v>12095</v>
      </c>
      <c r="O10632" t="s">
        <v>73</v>
      </c>
      <c r="P10632" t="s">
        <v>81</v>
      </c>
      <c r="Q10632" t="s">
        <v>7077</v>
      </c>
      <c r="R10632" t="s">
        <v>12016</v>
      </c>
    </row>
    <row r="10633" spans="1:18" x14ac:dyDescent="0.25">
      <c r="A10633" t="s">
        <v>20198</v>
      </c>
      <c r="B10633" t="s">
        <v>12111</v>
      </c>
      <c r="C10633" t="str">
        <f>HYPERLINK("https://nematode.unl.edu/xiphiv29.jpg")</f>
        <v>https://nematode.unl.edu/xiphiv29.jpg</v>
      </c>
      <c r="D10633" t="s">
        <v>43</v>
      </c>
      <c r="G10633" t="s">
        <v>96</v>
      </c>
      <c r="H10633" t="s">
        <v>18</v>
      </c>
      <c r="I10633" t="s">
        <v>19</v>
      </c>
      <c r="J10633" t="s">
        <v>20</v>
      </c>
      <c r="L10633" t="s">
        <v>38</v>
      </c>
      <c r="M10633" t="s">
        <v>12095</v>
      </c>
      <c r="N10633" t="s">
        <v>12095</v>
      </c>
      <c r="O10633" t="s">
        <v>73</v>
      </c>
      <c r="P10633" t="s">
        <v>81</v>
      </c>
      <c r="Q10633" t="s">
        <v>7077</v>
      </c>
      <c r="R10633" t="s">
        <v>12016</v>
      </c>
    </row>
    <row r="10634" spans="1:18" x14ac:dyDescent="0.25">
      <c r="A10634" t="s">
        <v>20213</v>
      </c>
      <c r="B10634" t="s">
        <v>12112</v>
      </c>
      <c r="C10634" t="str">
        <f>HYPERLINK("https://nematode.unl.edu/xiphiv3.jpg")</f>
        <v>https://nematode.unl.edu/xiphiv3.jpg</v>
      </c>
      <c r="D10634" t="s">
        <v>77</v>
      </c>
      <c r="G10634" t="s">
        <v>87</v>
      </c>
      <c r="I10634" t="s">
        <v>19</v>
      </c>
      <c r="J10634" t="s">
        <v>20</v>
      </c>
      <c r="L10634" t="s">
        <v>38</v>
      </c>
      <c r="M10634" t="s">
        <v>12095</v>
      </c>
      <c r="N10634" t="s">
        <v>12095</v>
      </c>
      <c r="O10634" t="s">
        <v>73</v>
      </c>
      <c r="P10634" t="s">
        <v>81</v>
      </c>
      <c r="Q10634" t="s">
        <v>7077</v>
      </c>
      <c r="R10634" t="s">
        <v>12016</v>
      </c>
    </row>
    <row r="10635" spans="1:18" x14ac:dyDescent="0.25">
      <c r="A10635" t="s">
        <v>20249</v>
      </c>
      <c r="B10635" t="s">
        <v>12113</v>
      </c>
      <c r="C10635" t="str">
        <f>HYPERLINK("https://nematode.unl.edu/xiphiv30.jpg")</f>
        <v>https://nematode.unl.edu/xiphiv30.jpg</v>
      </c>
      <c r="D10635" t="s">
        <v>43</v>
      </c>
      <c r="G10635" t="s">
        <v>3058</v>
      </c>
      <c r="I10635" t="s">
        <v>19</v>
      </c>
      <c r="J10635" t="s">
        <v>20</v>
      </c>
      <c r="L10635" t="s">
        <v>38</v>
      </c>
      <c r="M10635" t="s">
        <v>12095</v>
      </c>
      <c r="N10635" t="s">
        <v>12095</v>
      </c>
      <c r="O10635" t="s">
        <v>73</v>
      </c>
      <c r="P10635" t="s">
        <v>81</v>
      </c>
      <c r="Q10635" t="s">
        <v>7077</v>
      </c>
      <c r="R10635" t="s">
        <v>12016</v>
      </c>
    </row>
    <row r="10636" spans="1:18" x14ac:dyDescent="0.25">
      <c r="A10636" t="s">
        <v>20199</v>
      </c>
      <c r="B10636" t="s">
        <v>12114</v>
      </c>
      <c r="C10636" t="str">
        <f>HYPERLINK("https://nematode.unl.edu/xiphiv31.jpg")</f>
        <v>https://nematode.unl.edu/xiphiv31.jpg</v>
      </c>
      <c r="D10636" t="s">
        <v>43</v>
      </c>
      <c r="G10636" t="s">
        <v>96</v>
      </c>
      <c r="H10636" t="s">
        <v>18</v>
      </c>
      <c r="I10636" t="s">
        <v>45</v>
      </c>
      <c r="J10636" t="s">
        <v>20</v>
      </c>
      <c r="L10636" t="s">
        <v>38</v>
      </c>
      <c r="M10636" t="s">
        <v>12095</v>
      </c>
      <c r="N10636" t="s">
        <v>12095</v>
      </c>
      <c r="O10636" t="s">
        <v>73</v>
      </c>
      <c r="P10636" t="s">
        <v>81</v>
      </c>
      <c r="Q10636" t="s">
        <v>7077</v>
      </c>
      <c r="R10636" t="s">
        <v>12016</v>
      </c>
    </row>
    <row r="10637" spans="1:18" x14ac:dyDescent="0.25">
      <c r="A10637" t="s">
        <v>20217</v>
      </c>
      <c r="B10637" t="s">
        <v>12115</v>
      </c>
      <c r="C10637" t="str">
        <f>HYPERLINK("https://nematode.unl.edu/xiphiv32.jpg")</f>
        <v>https://nematode.unl.edu/xiphiv32.jpg</v>
      </c>
      <c r="D10637" t="s">
        <v>43</v>
      </c>
      <c r="G10637" t="s">
        <v>44</v>
      </c>
      <c r="I10637" t="s">
        <v>45</v>
      </c>
      <c r="J10637" t="s">
        <v>20</v>
      </c>
      <c r="L10637" t="s">
        <v>38</v>
      </c>
      <c r="M10637" t="s">
        <v>12095</v>
      </c>
      <c r="N10637" t="s">
        <v>12095</v>
      </c>
      <c r="O10637" t="s">
        <v>73</v>
      </c>
      <c r="P10637" t="s">
        <v>81</v>
      </c>
      <c r="Q10637" t="s">
        <v>7077</v>
      </c>
      <c r="R10637" t="s">
        <v>12016</v>
      </c>
    </row>
    <row r="10638" spans="1:18" x14ac:dyDescent="0.25">
      <c r="A10638" t="s">
        <v>20224</v>
      </c>
      <c r="B10638" t="s">
        <v>12116</v>
      </c>
      <c r="C10638" t="str">
        <f>HYPERLINK("https://nematode.unl.edu/xiphiv33.jpg")</f>
        <v>https://nematode.unl.edu/xiphiv33.jpg</v>
      </c>
      <c r="D10638" t="s">
        <v>43</v>
      </c>
      <c r="G10638" t="s">
        <v>181</v>
      </c>
      <c r="I10638" t="s">
        <v>45</v>
      </c>
      <c r="J10638" t="s">
        <v>20</v>
      </c>
      <c r="L10638" t="s">
        <v>38</v>
      </c>
      <c r="M10638" t="s">
        <v>12095</v>
      </c>
      <c r="N10638" t="s">
        <v>12095</v>
      </c>
      <c r="O10638" t="s">
        <v>73</v>
      </c>
      <c r="P10638" t="s">
        <v>81</v>
      </c>
      <c r="Q10638" t="s">
        <v>7077</v>
      </c>
      <c r="R10638" t="s">
        <v>12016</v>
      </c>
    </row>
    <row r="10639" spans="1:18" x14ac:dyDescent="0.25">
      <c r="A10639" t="s">
        <v>20218</v>
      </c>
      <c r="B10639" t="s">
        <v>12117</v>
      </c>
      <c r="C10639" t="str">
        <f>HYPERLINK("https://nematode.unl.edu/xiphiv34.jpg")</f>
        <v>https://nematode.unl.edu/xiphiv34.jpg</v>
      </c>
      <c r="D10639" t="s">
        <v>77</v>
      </c>
      <c r="G10639" t="s">
        <v>44</v>
      </c>
      <c r="I10639" t="s">
        <v>91</v>
      </c>
      <c r="J10639" t="s">
        <v>20</v>
      </c>
      <c r="L10639" t="s">
        <v>38</v>
      </c>
      <c r="M10639" t="s">
        <v>12095</v>
      </c>
      <c r="N10639" t="s">
        <v>12095</v>
      </c>
      <c r="O10639" t="s">
        <v>73</v>
      </c>
      <c r="P10639" t="s">
        <v>81</v>
      </c>
      <c r="Q10639" t="s">
        <v>7077</v>
      </c>
      <c r="R10639" t="s">
        <v>12016</v>
      </c>
    </row>
    <row r="10640" spans="1:18" x14ac:dyDescent="0.25">
      <c r="A10640" t="s">
        <v>20225</v>
      </c>
      <c r="B10640" t="s">
        <v>12118</v>
      </c>
      <c r="C10640" t="str">
        <f>HYPERLINK("https://nematode.unl.edu/xiphiv35.jpg")</f>
        <v>https://nematode.unl.edu/xiphiv35.jpg</v>
      </c>
      <c r="D10640" t="s">
        <v>77</v>
      </c>
      <c r="G10640" t="s">
        <v>181</v>
      </c>
      <c r="I10640" t="s">
        <v>45</v>
      </c>
      <c r="J10640" t="s">
        <v>20</v>
      </c>
      <c r="L10640" t="s">
        <v>38</v>
      </c>
      <c r="M10640" t="s">
        <v>12095</v>
      </c>
      <c r="N10640" t="s">
        <v>12095</v>
      </c>
      <c r="O10640" t="s">
        <v>73</v>
      </c>
      <c r="P10640" t="s">
        <v>81</v>
      </c>
      <c r="Q10640" t="s">
        <v>7077</v>
      </c>
      <c r="R10640" t="s">
        <v>12016</v>
      </c>
    </row>
    <row r="10641" spans="1:18" x14ac:dyDescent="0.25">
      <c r="A10641" t="s">
        <v>20200</v>
      </c>
      <c r="B10641" t="s">
        <v>12119</v>
      </c>
      <c r="C10641" t="str">
        <f>HYPERLINK("https://nematode.unl.edu/xiphiv36.jpg")</f>
        <v>https://nematode.unl.edu/xiphiv36.jpg</v>
      </c>
      <c r="D10641" t="s">
        <v>77</v>
      </c>
      <c r="G10641" t="s">
        <v>96</v>
      </c>
      <c r="H10641" t="s">
        <v>18</v>
      </c>
      <c r="I10641" t="s">
        <v>45</v>
      </c>
      <c r="J10641" t="s">
        <v>20</v>
      </c>
      <c r="L10641" t="s">
        <v>38</v>
      </c>
      <c r="M10641" t="s">
        <v>12095</v>
      </c>
      <c r="N10641" t="s">
        <v>12095</v>
      </c>
      <c r="O10641" t="s">
        <v>73</v>
      </c>
      <c r="P10641" t="s">
        <v>81</v>
      </c>
      <c r="Q10641" t="s">
        <v>7077</v>
      </c>
      <c r="R10641" t="s">
        <v>12016</v>
      </c>
    </row>
    <row r="10642" spans="1:18" x14ac:dyDescent="0.25">
      <c r="A10642" t="s">
        <v>20208</v>
      </c>
      <c r="B10642" t="s">
        <v>12120</v>
      </c>
      <c r="C10642" t="str">
        <f>HYPERLINK("https://nematode.unl.edu/xiphiv37.jpg")</f>
        <v>https://nematode.unl.edu/xiphiv37.jpg</v>
      </c>
      <c r="D10642" t="s">
        <v>77</v>
      </c>
      <c r="G10642" t="s">
        <v>34</v>
      </c>
      <c r="H10642" t="s">
        <v>18</v>
      </c>
      <c r="I10642" t="s">
        <v>19</v>
      </c>
      <c r="J10642" t="s">
        <v>20</v>
      </c>
      <c r="L10642" t="s">
        <v>38</v>
      </c>
      <c r="M10642" t="s">
        <v>12095</v>
      </c>
      <c r="N10642" t="s">
        <v>12095</v>
      </c>
      <c r="O10642" t="s">
        <v>73</v>
      </c>
      <c r="P10642" t="s">
        <v>81</v>
      </c>
      <c r="Q10642" t="s">
        <v>7077</v>
      </c>
      <c r="R10642" t="s">
        <v>12016</v>
      </c>
    </row>
    <row r="10643" spans="1:18" x14ac:dyDescent="0.25">
      <c r="A10643" t="s">
        <v>20214</v>
      </c>
      <c r="B10643" t="s">
        <v>12121</v>
      </c>
      <c r="C10643" t="str">
        <f>HYPERLINK("https://nematode.unl.edu/xiphiv38.jpg")</f>
        <v>https://nematode.unl.edu/xiphiv38.jpg</v>
      </c>
      <c r="D10643" t="s">
        <v>77</v>
      </c>
      <c r="G10643" t="s">
        <v>87</v>
      </c>
      <c r="I10643" t="s">
        <v>19</v>
      </c>
      <c r="J10643" t="s">
        <v>20</v>
      </c>
      <c r="L10643" t="s">
        <v>38</v>
      </c>
      <c r="M10643" t="s">
        <v>12095</v>
      </c>
      <c r="N10643" t="s">
        <v>12095</v>
      </c>
      <c r="O10643" t="s">
        <v>73</v>
      </c>
      <c r="P10643" t="s">
        <v>81</v>
      </c>
      <c r="Q10643" t="s">
        <v>7077</v>
      </c>
      <c r="R10643" t="s">
        <v>12016</v>
      </c>
    </row>
    <row r="10644" spans="1:18" x14ac:dyDescent="0.25">
      <c r="A10644" t="s">
        <v>20232</v>
      </c>
      <c r="B10644" t="s">
        <v>12122</v>
      </c>
      <c r="C10644" t="str">
        <f>HYPERLINK("https://nematode.unl.edu/xiphiv39.jpg")</f>
        <v>https://nematode.unl.edu/xiphiv39.jpg</v>
      </c>
      <c r="D10644" t="s">
        <v>77</v>
      </c>
      <c r="G10644" t="s">
        <v>28</v>
      </c>
      <c r="I10644" t="s">
        <v>19</v>
      </c>
      <c r="J10644" t="s">
        <v>20</v>
      </c>
      <c r="L10644" t="s">
        <v>38</v>
      </c>
      <c r="M10644" t="s">
        <v>12095</v>
      </c>
      <c r="N10644" t="s">
        <v>12095</v>
      </c>
      <c r="O10644" t="s">
        <v>73</v>
      </c>
      <c r="P10644" t="s">
        <v>81</v>
      </c>
      <c r="Q10644" t="s">
        <v>7077</v>
      </c>
      <c r="R10644" t="s">
        <v>12016</v>
      </c>
    </row>
    <row r="10645" spans="1:18" x14ac:dyDescent="0.25">
      <c r="A10645" t="s">
        <v>20233</v>
      </c>
      <c r="B10645" t="s">
        <v>12123</v>
      </c>
      <c r="C10645" t="str">
        <f>HYPERLINK("https://nematode.unl.edu/xiphiv40.jpg")</f>
        <v>https://nematode.unl.edu/xiphiv40.jpg</v>
      </c>
      <c r="D10645" t="s">
        <v>77</v>
      </c>
      <c r="G10645" t="s">
        <v>28</v>
      </c>
      <c r="I10645" t="s">
        <v>19</v>
      </c>
      <c r="J10645" t="s">
        <v>20</v>
      </c>
      <c r="L10645" t="s">
        <v>38</v>
      </c>
      <c r="M10645" t="s">
        <v>12095</v>
      </c>
      <c r="N10645" t="s">
        <v>12095</v>
      </c>
      <c r="O10645" t="s">
        <v>73</v>
      </c>
      <c r="P10645" t="s">
        <v>81</v>
      </c>
      <c r="Q10645" t="s">
        <v>7077</v>
      </c>
      <c r="R10645" t="s">
        <v>12016</v>
      </c>
    </row>
    <row r="10646" spans="1:18" x14ac:dyDescent="0.25">
      <c r="A10646" t="s">
        <v>20219</v>
      </c>
      <c r="B10646" t="s">
        <v>12124</v>
      </c>
      <c r="C10646" t="str">
        <f>HYPERLINK("https://nematode.unl.edu/xiphiv41.jpg")</f>
        <v>https://nematode.unl.edu/xiphiv41.jpg</v>
      </c>
      <c r="D10646" t="s">
        <v>77</v>
      </c>
      <c r="G10646" t="s">
        <v>44</v>
      </c>
      <c r="I10646" t="s">
        <v>91</v>
      </c>
      <c r="J10646" t="s">
        <v>20</v>
      </c>
      <c r="L10646" t="s">
        <v>38</v>
      </c>
      <c r="M10646" t="s">
        <v>12095</v>
      </c>
      <c r="N10646" t="s">
        <v>12095</v>
      </c>
      <c r="O10646" t="s">
        <v>73</v>
      </c>
      <c r="P10646" t="s">
        <v>81</v>
      </c>
      <c r="Q10646" t="s">
        <v>7077</v>
      </c>
      <c r="R10646" t="s">
        <v>12016</v>
      </c>
    </row>
    <row r="10647" spans="1:18" x14ac:dyDescent="0.25">
      <c r="A10647" t="s">
        <v>20228</v>
      </c>
      <c r="B10647" t="s">
        <v>12125</v>
      </c>
      <c r="C10647" t="str">
        <f>HYPERLINK("https://nematode.unl.edu/xiphiv42.jpg")</f>
        <v>https://nematode.unl.edu/xiphiv42.jpg</v>
      </c>
      <c r="D10647" t="s">
        <v>77</v>
      </c>
      <c r="G10647" t="s">
        <v>11631</v>
      </c>
      <c r="I10647" t="s">
        <v>19</v>
      </c>
      <c r="J10647" t="s">
        <v>20</v>
      </c>
      <c r="L10647" t="s">
        <v>38</v>
      </c>
      <c r="M10647" t="s">
        <v>12095</v>
      </c>
      <c r="N10647" t="s">
        <v>12095</v>
      </c>
      <c r="O10647" t="s">
        <v>73</v>
      </c>
      <c r="P10647" t="s">
        <v>81</v>
      </c>
      <c r="Q10647" t="s">
        <v>7077</v>
      </c>
      <c r="R10647" t="s">
        <v>12016</v>
      </c>
    </row>
    <row r="10648" spans="1:18" x14ac:dyDescent="0.25">
      <c r="A10648" t="s">
        <v>20220</v>
      </c>
      <c r="B10648" t="s">
        <v>12126</v>
      </c>
      <c r="C10648" t="str">
        <f>HYPERLINK("https://nematode.unl.edu/xiphiv43.jpg")</f>
        <v>https://nematode.unl.edu/xiphiv43.jpg</v>
      </c>
      <c r="D10648" t="s">
        <v>77</v>
      </c>
      <c r="G10648" t="s">
        <v>44</v>
      </c>
      <c r="I10648" t="s">
        <v>91</v>
      </c>
      <c r="J10648" t="s">
        <v>20</v>
      </c>
      <c r="L10648" t="s">
        <v>38</v>
      </c>
      <c r="M10648" t="s">
        <v>12095</v>
      </c>
      <c r="N10648" t="s">
        <v>12095</v>
      </c>
      <c r="O10648" t="s">
        <v>73</v>
      </c>
      <c r="P10648" t="s">
        <v>81</v>
      </c>
      <c r="Q10648" t="s">
        <v>7077</v>
      </c>
      <c r="R10648" t="s">
        <v>12016</v>
      </c>
    </row>
    <row r="10649" spans="1:18" x14ac:dyDescent="0.25">
      <c r="A10649" t="s">
        <v>20226</v>
      </c>
      <c r="B10649" t="s">
        <v>12127</v>
      </c>
      <c r="C10649" t="str">
        <f>HYPERLINK("https://nematode.unl.edu/xiphiv44.jpg")</f>
        <v>https://nematode.unl.edu/xiphiv44.jpg</v>
      </c>
      <c r="D10649" t="s">
        <v>77</v>
      </c>
      <c r="G10649" t="s">
        <v>181</v>
      </c>
      <c r="I10649" t="s">
        <v>45</v>
      </c>
      <c r="J10649" t="s">
        <v>20</v>
      </c>
      <c r="L10649" t="s">
        <v>38</v>
      </c>
      <c r="M10649" t="s">
        <v>12095</v>
      </c>
      <c r="N10649" t="s">
        <v>12095</v>
      </c>
      <c r="O10649" t="s">
        <v>73</v>
      </c>
      <c r="P10649" t="s">
        <v>81</v>
      </c>
      <c r="Q10649" t="s">
        <v>7077</v>
      </c>
      <c r="R10649" t="s">
        <v>12016</v>
      </c>
    </row>
    <row r="10650" spans="1:18" x14ac:dyDescent="0.25">
      <c r="A10650" t="s">
        <v>20201</v>
      </c>
      <c r="B10650" t="s">
        <v>12128</v>
      </c>
      <c r="C10650" t="str">
        <f>HYPERLINK("https://nematode.unl.edu/xiphiv45.jpg")</f>
        <v>https://nematode.unl.edu/xiphiv45.jpg</v>
      </c>
      <c r="D10650" t="s">
        <v>77</v>
      </c>
      <c r="G10650" t="s">
        <v>96</v>
      </c>
      <c r="H10650" t="s">
        <v>18</v>
      </c>
      <c r="I10650" t="s">
        <v>45</v>
      </c>
      <c r="J10650" t="s">
        <v>20</v>
      </c>
      <c r="L10650" t="s">
        <v>38</v>
      </c>
      <c r="M10650" t="s">
        <v>12095</v>
      </c>
      <c r="N10650" t="s">
        <v>12095</v>
      </c>
      <c r="O10650" t="s">
        <v>73</v>
      </c>
      <c r="P10650" t="s">
        <v>81</v>
      </c>
      <c r="Q10650" t="s">
        <v>7077</v>
      </c>
      <c r="R10650" t="s">
        <v>12016</v>
      </c>
    </row>
    <row r="10651" spans="1:18" x14ac:dyDescent="0.25">
      <c r="A10651" t="s">
        <v>20209</v>
      </c>
      <c r="B10651" t="s">
        <v>12129</v>
      </c>
      <c r="C10651" t="str">
        <f>HYPERLINK("https://nematode.unl.edu/xiphiv46.jpg")</f>
        <v>https://nematode.unl.edu/xiphiv46.jpg</v>
      </c>
      <c r="D10651" t="s">
        <v>77</v>
      </c>
      <c r="G10651" t="s">
        <v>34</v>
      </c>
      <c r="H10651" t="s">
        <v>18</v>
      </c>
      <c r="I10651" t="s">
        <v>19</v>
      </c>
      <c r="J10651" t="s">
        <v>20</v>
      </c>
      <c r="L10651" t="s">
        <v>38</v>
      </c>
      <c r="M10651" t="s">
        <v>12095</v>
      </c>
      <c r="N10651" t="s">
        <v>12095</v>
      </c>
      <c r="O10651" t="s">
        <v>73</v>
      </c>
      <c r="P10651" t="s">
        <v>81</v>
      </c>
      <c r="Q10651" t="s">
        <v>7077</v>
      </c>
      <c r="R10651" t="s">
        <v>12016</v>
      </c>
    </row>
    <row r="10652" spans="1:18" x14ac:dyDescent="0.25">
      <c r="A10652" t="s">
        <v>20206</v>
      </c>
      <c r="B10652" t="s">
        <v>12130</v>
      </c>
      <c r="C10652" t="str">
        <f>HYPERLINK("https://nematode.unl.edu/xiphiv47.jpg")</f>
        <v>https://nematode.unl.edu/xiphiv47.jpg</v>
      </c>
      <c r="D10652" t="s">
        <v>77</v>
      </c>
      <c r="G10652" t="s">
        <v>17</v>
      </c>
      <c r="H10652" t="s">
        <v>18</v>
      </c>
      <c r="I10652" t="s">
        <v>19</v>
      </c>
      <c r="J10652" t="s">
        <v>20</v>
      </c>
      <c r="L10652" t="s">
        <v>38</v>
      </c>
      <c r="M10652" t="s">
        <v>12095</v>
      </c>
      <c r="N10652" t="s">
        <v>12095</v>
      </c>
      <c r="O10652" t="s">
        <v>73</v>
      </c>
      <c r="P10652" t="s">
        <v>81</v>
      </c>
      <c r="Q10652" t="s">
        <v>7077</v>
      </c>
      <c r="R10652" t="s">
        <v>12016</v>
      </c>
    </row>
    <row r="10653" spans="1:18" x14ac:dyDescent="0.25">
      <c r="A10653" t="s">
        <v>20241</v>
      </c>
      <c r="B10653" t="s">
        <v>12131</v>
      </c>
      <c r="C10653" t="str">
        <f>HYPERLINK("https://nematode.unl.edu/xiphiv48.jpg")</f>
        <v>https://nematode.unl.edu/xiphiv48.jpg</v>
      </c>
      <c r="D10653" t="s">
        <v>77</v>
      </c>
      <c r="G10653" t="s">
        <v>12132</v>
      </c>
      <c r="I10653" t="s">
        <v>19</v>
      </c>
      <c r="J10653" t="s">
        <v>20</v>
      </c>
      <c r="L10653" t="s">
        <v>38</v>
      </c>
      <c r="M10653" t="s">
        <v>12095</v>
      </c>
      <c r="N10653" t="s">
        <v>12095</v>
      </c>
      <c r="O10653" t="s">
        <v>73</v>
      </c>
      <c r="P10653" t="s">
        <v>81</v>
      </c>
      <c r="Q10653" t="s">
        <v>7077</v>
      </c>
      <c r="R10653" t="s">
        <v>12016</v>
      </c>
    </row>
    <row r="10654" spans="1:18" x14ac:dyDescent="0.25">
      <c r="A10654" t="s">
        <v>20234</v>
      </c>
      <c r="B10654" t="s">
        <v>12133</v>
      </c>
      <c r="C10654" t="str">
        <f>HYPERLINK("https://nematode.unl.edu/xiphiv49.jpg")</f>
        <v>https://nematode.unl.edu/xiphiv49.jpg</v>
      </c>
      <c r="D10654" t="s">
        <v>16</v>
      </c>
      <c r="G10654" t="s">
        <v>28</v>
      </c>
      <c r="I10654" t="s">
        <v>19</v>
      </c>
      <c r="J10654" t="s">
        <v>20</v>
      </c>
      <c r="L10654" t="s">
        <v>38</v>
      </c>
      <c r="M10654" t="s">
        <v>12095</v>
      </c>
      <c r="N10654" t="s">
        <v>12095</v>
      </c>
      <c r="O10654" t="s">
        <v>73</v>
      </c>
      <c r="P10654" t="s">
        <v>81</v>
      </c>
      <c r="Q10654" t="s">
        <v>7077</v>
      </c>
      <c r="R10654" t="s">
        <v>12016</v>
      </c>
    </row>
    <row r="10655" spans="1:18" x14ac:dyDescent="0.25">
      <c r="A10655" t="s">
        <v>20202</v>
      </c>
      <c r="B10655" t="s">
        <v>12134</v>
      </c>
      <c r="C10655" t="str">
        <f>HYPERLINK("https://nematode.unl.edu/xiphiv50.jpg")</f>
        <v>https://nematode.unl.edu/xiphiv50.jpg</v>
      </c>
      <c r="D10655" t="s">
        <v>16</v>
      </c>
      <c r="G10655" t="s">
        <v>96</v>
      </c>
      <c r="H10655" t="s">
        <v>18</v>
      </c>
      <c r="I10655" t="s">
        <v>45</v>
      </c>
      <c r="J10655" t="s">
        <v>20</v>
      </c>
      <c r="L10655" t="s">
        <v>38</v>
      </c>
      <c r="M10655" t="s">
        <v>12095</v>
      </c>
      <c r="N10655" t="s">
        <v>12095</v>
      </c>
      <c r="O10655" t="s">
        <v>73</v>
      </c>
      <c r="P10655" t="s">
        <v>81</v>
      </c>
      <c r="Q10655" t="s">
        <v>7077</v>
      </c>
      <c r="R10655" t="s">
        <v>12016</v>
      </c>
    </row>
    <row r="10656" spans="1:18" x14ac:dyDescent="0.25">
      <c r="A10656" t="s">
        <v>20210</v>
      </c>
      <c r="B10656" t="s">
        <v>12135</v>
      </c>
      <c r="C10656" t="str">
        <f>HYPERLINK("https://nematode.unl.edu/xiphiv51.jpg")</f>
        <v>https://nematode.unl.edu/xiphiv51.jpg</v>
      </c>
      <c r="D10656" t="s">
        <v>16</v>
      </c>
      <c r="G10656" t="s">
        <v>34</v>
      </c>
      <c r="H10656" t="s">
        <v>18</v>
      </c>
      <c r="I10656" t="s">
        <v>19</v>
      </c>
      <c r="J10656" t="s">
        <v>20</v>
      </c>
      <c r="L10656" t="s">
        <v>38</v>
      </c>
      <c r="M10656" t="s">
        <v>12095</v>
      </c>
      <c r="N10656" t="s">
        <v>12095</v>
      </c>
      <c r="O10656" t="s">
        <v>73</v>
      </c>
      <c r="P10656" t="s">
        <v>81</v>
      </c>
      <c r="Q10656" t="s">
        <v>7077</v>
      </c>
      <c r="R10656" t="s">
        <v>12016</v>
      </c>
    </row>
    <row r="10657" spans="1:18" x14ac:dyDescent="0.25">
      <c r="A10657" t="s">
        <v>20235</v>
      </c>
      <c r="B10657" t="s">
        <v>12136</v>
      </c>
      <c r="C10657" t="str">
        <f>HYPERLINK("https://nematode.unl.edu/xiphiv52.jpg")</f>
        <v>https://nematode.unl.edu/xiphiv52.jpg</v>
      </c>
      <c r="D10657" t="s">
        <v>16</v>
      </c>
      <c r="G10657" t="s">
        <v>28</v>
      </c>
      <c r="I10657" t="s">
        <v>19</v>
      </c>
      <c r="J10657" t="s">
        <v>20</v>
      </c>
      <c r="L10657" t="s">
        <v>38</v>
      </c>
      <c r="M10657" t="s">
        <v>12095</v>
      </c>
      <c r="N10657" t="s">
        <v>12095</v>
      </c>
      <c r="O10657" t="s">
        <v>73</v>
      </c>
      <c r="P10657" t="s">
        <v>81</v>
      </c>
      <c r="Q10657" t="s">
        <v>7077</v>
      </c>
      <c r="R10657" t="s">
        <v>12016</v>
      </c>
    </row>
    <row r="10658" spans="1:18" x14ac:dyDescent="0.25">
      <c r="A10658" t="s">
        <v>20236</v>
      </c>
      <c r="B10658" t="s">
        <v>12137</v>
      </c>
      <c r="C10658" t="str">
        <f>HYPERLINK("https://nematode.unl.edu/xiphiv54.jpg")</f>
        <v>https://nematode.unl.edu/xiphiv54.jpg</v>
      </c>
      <c r="D10658" t="s">
        <v>16</v>
      </c>
      <c r="G10658" t="s">
        <v>28</v>
      </c>
      <c r="I10658" t="s">
        <v>19</v>
      </c>
      <c r="J10658" t="s">
        <v>20</v>
      </c>
      <c r="L10658" t="s">
        <v>38</v>
      </c>
      <c r="M10658" t="s">
        <v>12095</v>
      </c>
      <c r="N10658" t="s">
        <v>12095</v>
      </c>
      <c r="O10658" t="s">
        <v>73</v>
      </c>
      <c r="P10658" t="s">
        <v>81</v>
      </c>
      <c r="Q10658" t="s">
        <v>7077</v>
      </c>
      <c r="R10658" t="s">
        <v>12016</v>
      </c>
    </row>
    <row r="10659" spans="1:18" x14ac:dyDescent="0.25">
      <c r="A10659" t="s">
        <v>20221</v>
      </c>
      <c r="B10659" t="s">
        <v>12138</v>
      </c>
      <c r="C10659" t="str">
        <f>HYPERLINK("https://nematode.unl.edu/xiphiv55.jpg")</f>
        <v>https://nematode.unl.edu/xiphiv55.jpg</v>
      </c>
      <c r="D10659" t="s">
        <v>43</v>
      </c>
      <c r="G10659" t="s">
        <v>44</v>
      </c>
      <c r="I10659" t="s">
        <v>91</v>
      </c>
      <c r="J10659" t="s">
        <v>20</v>
      </c>
      <c r="L10659" t="s">
        <v>38</v>
      </c>
      <c r="M10659" t="s">
        <v>12095</v>
      </c>
      <c r="N10659" t="s">
        <v>12095</v>
      </c>
      <c r="O10659" t="s">
        <v>73</v>
      </c>
      <c r="P10659" t="s">
        <v>81</v>
      </c>
      <c r="Q10659" t="s">
        <v>7077</v>
      </c>
      <c r="R10659" t="s">
        <v>12016</v>
      </c>
    </row>
    <row r="10660" spans="1:18" x14ac:dyDescent="0.25">
      <c r="A10660" t="s">
        <v>20211</v>
      </c>
      <c r="B10660" t="s">
        <v>12139</v>
      </c>
      <c r="C10660" t="str">
        <f>HYPERLINK("https://nematode.unl.edu/xiphiv56.jpg")</f>
        <v>https://nematode.unl.edu/xiphiv56.jpg</v>
      </c>
      <c r="D10660" t="s">
        <v>43</v>
      </c>
      <c r="G10660" t="s">
        <v>34</v>
      </c>
      <c r="H10660" t="s">
        <v>18</v>
      </c>
      <c r="I10660" t="s">
        <v>45</v>
      </c>
      <c r="J10660" t="s">
        <v>20</v>
      </c>
      <c r="L10660" t="s">
        <v>38</v>
      </c>
      <c r="M10660" t="s">
        <v>12095</v>
      </c>
      <c r="N10660" t="s">
        <v>12095</v>
      </c>
      <c r="O10660" t="s">
        <v>73</v>
      </c>
      <c r="P10660" t="s">
        <v>81</v>
      </c>
      <c r="Q10660" t="s">
        <v>7077</v>
      </c>
      <c r="R10660" t="s">
        <v>12016</v>
      </c>
    </row>
    <row r="10661" spans="1:18" x14ac:dyDescent="0.25">
      <c r="A10661" t="s">
        <v>20246</v>
      </c>
      <c r="B10661" t="s">
        <v>12140</v>
      </c>
      <c r="C10661" t="str">
        <f>HYPERLINK("https://nematode.unl.edu/xiphiv57.jpg")</f>
        <v>https://nematode.unl.edu/xiphiv57.jpg</v>
      </c>
      <c r="D10661" t="s">
        <v>43</v>
      </c>
      <c r="G10661" t="s">
        <v>51</v>
      </c>
      <c r="I10661" t="s">
        <v>45</v>
      </c>
      <c r="J10661" t="s">
        <v>20</v>
      </c>
      <c r="L10661" t="s">
        <v>38</v>
      </c>
      <c r="M10661" t="s">
        <v>12095</v>
      </c>
      <c r="N10661" t="s">
        <v>12095</v>
      </c>
      <c r="O10661" t="s">
        <v>73</v>
      </c>
      <c r="P10661" t="s">
        <v>81</v>
      </c>
      <c r="Q10661" t="s">
        <v>7077</v>
      </c>
      <c r="R10661" t="s">
        <v>12016</v>
      </c>
    </row>
    <row r="10662" spans="1:18" x14ac:dyDescent="0.25">
      <c r="A10662" t="s">
        <v>20237</v>
      </c>
      <c r="B10662" t="s">
        <v>12141</v>
      </c>
      <c r="C10662" t="str">
        <f>HYPERLINK("https://nematode.unl.edu/xiphiv58.jpg")</f>
        <v>https://nematode.unl.edu/xiphiv58.jpg</v>
      </c>
      <c r="D10662" t="s">
        <v>43</v>
      </c>
      <c r="G10662" t="s">
        <v>28</v>
      </c>
      <c r="I10662" t="s">
        <v>45</v>
      </c>
      <c r="J10662" t="s">
        <v>20</v>
      </c>
      <c r="L10662" t="s">
        <v>38</v>
      </c>
      <c r="M10662" t="s">
        <v>12095</v>
      </c>
      <c r="N10662" t="s">
        <v>12095</v>
      </c>
      <c r="O10662" t="s">
        <v>73</v>
      </c>
      <c r="P10662" t="s">
        <v>81</v>
      </c>
      <c r="Q10662" t="s">
        <v>7077</v>
      </c>
      <c r="R10662" t="s">
        <v>12016</v>
      </c>
    </row>
    <row r="10663" spans="1:18" x14ac:dyDescent="0.25">
      <c r="A10663" t="s">
        <v>20203</v>
      </c>
      <c r="B10663" t="s">
        <v>12142</v>
      </c>
      <c r="C10663" t="str">
        <f>HYPERLINK("https://nematode.unl.edu/xiphiv59.jpg")</f>
        <v>https://nematode.unl.edu/xiphiv59.jpg</v>
      </c>
      <c r="D10663" t="s">
        <v>43</v>
      </c>
      <c r="G10663" t="s">
        <v>96</v>
      </c>
      <c r="H10663" t="s">
        <v>18</v>
      </c>
      <c r="I10663" t="s">
        <v>19</v>
      </c>
      <c r="J10663" t="s">
        <v>20</v>
      </c>
      <c r="L10663" t="s">
        <v>38</v>
      </c>
      <c r="M10663" t="s">
        <v>12095</v>
      </c>
      <c r="N10663" t="s">
        <v>12095</v>
      </c>
      <c r="O10663" t="s">
        <v>73</v>
      </c>
      <c r="P10663" t="s">
        <v>81</v>
      </c>
      <c r="Q10663" t="s">
        <v>7077</v>
      </c>
      <c r="R10663" t="s">
        <v>12016</v>
      </c>
    </row>
    <row r="10664" spans="1:18" x14ac:dyDescent="0.25">
      <c r="A10664" t="s">
        <v>20238</v>
      </c>
      <c r="B10664" t="s">
        <v>12143</v>
      </c>
      <c r="C10664" t="str">
        <f>HYPERLINK("https://nematode.unl.edu/xiphiv60.jpg")</f>
        <v>https://nematode.unl.edu/xiphiv60.jpg</v>
      </c>
      <c r="D10664" t="s">
        <v>43</v>
      </c>
      <c r="G10664" t="s">
        <v>28</v>
      </c>
      <c r="I10664" t="s">
        <v>19</v>
      </c>
      <c r="J10664" t="s">
        <v>20</v>
      </c>
      <c r="L10664" t="s">
        <v>38</v>
      </c>
      <c r="M10664" t="s">
        <v>12095</v>
      </c>
      <c r="N10664" t="s">
        <v>12095</v>
      </c>
      <c r="O10664" t="s">
        <v>73</v>
      </c>
      <c r="P10664" t="s">
        <v>81</v>
      </c>
      <c r="Q10664" t="s">
        <v>7077</v>
      </c>
      <c r="R10664" t="s">
        <v>12016</v>
      </c>
    </row>
    <row r="10665" spans="1:18" x14ac:dyDescent="0.25">
      <c r="A10665" t="s">
        <v>20204</v>
      </c>
      <c r="B10665" t="s">
        <v>12144</v>
      </c>
      <c r="C10665" t="str">
        <f>HYPERLINK("https://nematode.unl.edu/xiphiv61.jpg")</f>
        <v>https://nematode.unl.edu/xiphiv61.jpg</v>
      </c>
      <c r="D10665" t="s">
        <v>77</v>
      </c>
      <c r="G10665" t="s">
        <v>96</v>
      </c>
      <c r="H10665" t="s">
        <v>18</v>
      </c>
      <c r="I10665" t="s">
        <v>45</v>
      </c>
      <c r="J10665" t="s">
        <v>20</v>
      </c>
      <c r="L10665" t="s">
        <v>38</v>
      </c>
      <c r="M10665" t="s">
        <v>12095</v>
      </c>
      <c r="N10665" t="s">
        <v>12095</v>
      </c>
      <c r="O10665" t="s">
        <v>73</v>
      </c>
      <c r="P10665" t="s">
        <v>81</v>
      </c>
      <c r="Q10665" t="s">
        <v>7077</v>
      </c>
      <c r="R10665" t="s">
        <v>12016</v>
      </c>
    </row>
    <row r="10666" spans="1:18" x14ac:dyDescent="0.25">
      <c r="A10666" t="s">
        <v>20227</v>
      </c>
      <c r="B10666" t="s">
        <v>12145</v>
      </c>
      <c r="C10666" t="str">
        <f>HYPERLINK("https://nematode.unl.edu/xiphiv62.jpg")</f>
        <v>https://nematode.unl.edu/xiphiv62.jpg</v>
      </c>
      <c r="D10666" t="s">
        <v>77</v>
      </c>
      <c r="G10666" t="s">
        <v>181</v>
      </c>
      <c r="I10666" t="s">
        <v>45</v>
      </c>
      <c r="J10666" t="s">
        <v>20</v>
      </c>
      <c r="L10666" t="s">
        <v>38</v>
      </c>
      <c r="M10666" t="s">
        <v>12095</v>
      </c>
      <c r="N10666" t="s">
        <v>12095</v>
      </c>
      <c r="O10666" t="s">
        <v>73</v>
      </c>
      <c r="P10666" t="s">
        <v>81</v>
      </c>
      <c r="Q10666" t="s">
        <v>7077</v>
      </c>
      <c r="R10666" t="s">
        <v>12016</v>
      </c>
    </row>
    <row r="10667" spans="1:18" x14ac:dyDescent="0.25">
      <c r="A10667" t="s">
        <v>20212</v>
      </c>
      <c r="B10667" t="s">
        <v>12146</v>
      </c>
      <c r="C10667" t="str">
        <f>HYPERLINK("https://nematode.unl.edu/xiphiv63.jpg")</f>
        <v>https://nematode.unl.edu/xiphiv63.jpg</v>
      </c>
      <c r="D10667" t="s">
        <v>77</v>
      </c>
      <c r="G10667" t="s">
        <v>34</v>
      </c>
      <c r="H10667" t="s">
        <v>18</v>
      </c>
      <c r="I10667" t="s">
        <v>19</v>
      </c>
      <c r="J10667" t="s">
        <v>20</v>
      </c>
      <c r="L10667" t="s">
        <v>38</v>
      </c>
      <c r="M10667" t="s">
        <v>12095</v>
      </c>
      <c r="N10667" t="s">
        <v>12095</v>
      </c>
      <c r="O10667" t="s">
        <v>73</v>
      </c>
      <c r="P10667" t="s">
        <v>81</v>
      </c>
      <c r="Q10667" t="s">
        <v>7077</v>
      </c>
      <c r="R10667" t="s">
        <v>12016</v>
      </c>
    </row>
    <row r="10668" spans="1:18" x14ac:dyDescent="0.25">
      <c r="A10668" t="s">
        <v>20239</v>
      </c>
      <c r="B10668" t="s">
        <v>12147</v>
      </c>
      <c r="C10668" t="str">
        <f>HYPERLINK("https://nematode.unl.edu/xiphiv64.jpg")</f>
        <v>https://nematode.unl.edu/xiphiv64.jpg</v>
      </c>
      <c r="D10668" t="s">
        <v>77</v>
      </c>
      <c r="G10668" t="s">
        <v>28</v>
      </c>
      <c r="I10668" t="s">
        <v>19</v>
      </c>
      <c r="J10668" t="s">
        <v>20</v>
      </c>
      <c r="L10668" t="s">
        <v>38</v>
      </c>
      <c r="M10668" t="s">
        <v>12095</v>
      </c>
      <c r="N10668" t="s">
        <v>12095</v>
      </c>
      <c r="O10668" t="s">
        <v>73</v>
      </c>
      <c r="P10668" t="s">
        <v>81</v>
      </c>
      <c r="Q10668" t="s">
        <v>7077</v>
      </c>
      <c r="R10668" t="s">
        <v>12016</v>
      </c>
    </row>
    <row r="10669" spans="1:18" x14ac:dyDescent="0.25">
      <c r="A10669" t="s">
        <v>20205</v>
      </c>
      <c r="B10669" t="s">
        <v>12148</v>
      </c>
      <c r="C10669" t="str">
        <f>HYPERLINK("https://nematode.unl.edu/xiphiv7.jpg")</f>
        <v>https://nematode.unl.edu/xiphiv7.jpg</v>
      </c>
      <c r="D10669" t="s">
        <v>43</v>
      </c>
      <c r="G10669" t="s">
        <v>96</v>
      </c>
      <c r="H10669" t="s">
        <v>18</v>
      </c>
      <c r="I10669" t="s">
        <v>19</v>
      </c>
      <c r="J10669" t="s">
        <v>20</v>
      </c>
      <c r="L10669" t="s">
        <v>38</v>
      </c>
      <c r="M10669" t="s">
        <v>12095</v>
      </c>
      <c r="N10669" t="s">
        <v>12095</v>
      </c>
      <c r="O10669" t="s">
        <v>73</v>
      </c>
      <c r="P10669" t="s">
        <v>81</v>
      </c>
      <c r="Q10669" t="s">
        <v>7077</v>
      </c>
      <c r="R10669" t="s">
        <v>12016</v>
      </c>
    </row>
    <row r="10670" spans="1:18" x14ac:dyDescent="0.25">
      <c r="A10670" t="s">
        <v>20194</v>
      </c>
      <c r="B10670" t="s">
        <v>12149</v>
      </c>
      <c r="C10670" t="str">
        <f>HYPERLINK("https://nematode.unl.edu/xiphiv8.jpg")</f>
        <v>https://nematode.unl.edu/xiphiv8.jpg</v>
      </c>
      <c r="D10670" t="s">
        <v>43</v>
      </c>
      <c r="G10670" t="s">
        <v>386</v>
      </c>
      <c r="H10670" t="s">
        <v>18</v>
      </c>
      <c r="I10670" t="s">
        <v>19</v>
      </c>
      <c r="J10670" t="s">
        <v>20</v>
      </c>
      <c r="L10670" t="s">
        <v>38</v>
      </c>
      <c r="M10670" t="s">
        <v>12095</v>
      </c>
      <c r="N10670" t="s">
        <v>12095</v>
      </c>
      <c r="O10670" t="s">
        <v>73</v>
      </c>
      <c r="P10670" t="s">
        <v>81</v>
      </c>
      <c r="Q10670" t="s">
        <v>7077</v>
      </c>
      <c r="R10670" t="s">
        <v>12016</v>
      </c>
    </row>
    <row r="10671" spans="1:18" x14ac:dyDescent="0.25">
      <c r="A10671" t="s">
        <v>20240</v>
      </c>
      <c r="B10671" t="s">
        <v>12150</v>
      </c>
      <c r="C10671" t="str">
        <f>HYPERLINK("https://nematode.unl.edu/xiphiv9.jpg")</f>
        <v>https://nematode.unl.edu/xiphiv9.jpg</v>
      </c>
      <c r="D10671" t="s">
        <v>43</v>
      </c>
      <c r="G10671" t="s">
        <v>28</v>
      </c>
      <c r="I10671" t="s">
        <v>19</v>
      </c>
      <c r="J10671" t="s">
        <v>20</v>
      </c>
      <c r="L10671" t="s">
        <v>38</v>
      </c>
      <c r="M10671" t="s">
        <v>12095</v>
      </c>
      <c r="N10671" t="s">
        <v>12095</v>
      </c>
      <c r="O10671" t="s">
        <v>73</v>
      </c>
      <c r="P10671" t="s">
        <v>81</v>
      </c>
      <c r="Q10671" t="s">
        <v>7077</v>
      </c>
      <c r="R10671" t="s">
        <v>12016</v>
      </c>
    </row>
    <row r="10672" spans="1:18" x14ac:dyDescent="0.25">
      <c r="A10672" t="s">
        <v>20222</v>
      </c>
      <c r="B10672" t="s">
        <v>12151</v>
      </c>
      <c r="C10672" t="str">
        <f>HYPERLINK("https://nematode.unl.edu/xiphivcmp.jpg")</f>
        <v>https://nematode.unl.edu/xiphivcmp.jpg</v>
      </c>
      <c r="G10672" t="s">
        <v>108</v>
      </c>
      <c r="M10672" t="s">
        <v>12095</v>
      </c>
      <c r="N10672" t="s">
        <v>12095</v>
      </c>
      <c r="O10672" t="s">
        <v>73</v>
      </c>
      <c r="P10672" t="s">
        <v>81</v>
      </c>
      <c r="Q10672" t="s">
        <v>7077</v>
      </c>
      <c r="R10672" t="s">
        <v>12016</v>
      </c>
    </row>
    <row r="10673" spans="1:18" x14ac:dyDescent="0.25">
      <c r="A10673" t="s">
        <v>15684</v>
      </c>
      <c r="B10673" t="s">
        <v>12009</v>
      </c>
      <c r="C10673" t="str">
        <f>HYPERLINK("https://nematode.unl.edu/xmacrodorf1.jpg")</f>
        <v>https://nematode.unl.edu/xmacrodorf1.jpg</v>
      </c>
      <c r="D10673" t="s">
        <v>43</v>
      </c>
      <c r="G10673" t="s">
        <v>44</v>
      </c>
      <c r="I10673" t="s">
        <v>516</v>
      </c>
      <c r="J10673" t="s">
        <v>12010</v>
      </c>
      <c r="L10673" t="s">
        <v>6241</v>
      </c>
      <c r="M10673" t="s">
        <v>1941</v>
      </c>
      <c r="N10673" t="s">
        <v>1941</v>
      </c>
      <c r="O10673" t="s">
        <v>23</v>
      </c>
      <c r="P10673" t="s">
        <v>24</v>
      </c>
      <c r="Q10673" t="s">
        <v>642</v>
      </c>
      <c r="R10673" t="s">
        <v>1942</v>
      </c>
    </row>
    <row r="10674" spans="1:18" x14ac:dyDescent="0.25">
      <c r="A10674" t="s">
        <v>15634</v>
      </c>
      <c r="B10674" t="s">
        <v>12011</v>
      </c>
      <c r="C10674" t="str">
        <f>HYPERLINK("https://nematode.unl.edu/xmacrodorf2.jpg")</f>
        <v>https://nematode.unl.edu/xmacrodorf2.jpg</v>
      </c>
      <c r="D10674" t="s">
        <v>43</v>
      </c>
      <c r="G10674" t="s">
        <v>34</v>
      </c>
      <c r="H10674" t="s">
        <v>18</v>
      </c>
      <c r="I10674" t="s">
        <v>41</v>
      </c>
      <c r="M10674" t="s">
        <v>1941</v>
      </c>
      <c r="N10674" t="s">
        <v>1941</v>
      </c>
      <c r="O10674" t="s">
        <v>23</v>
      </c>
      <c r="P10674" t="s">
        <v>24</v>
      </c>
      <c r="Q10674" t="s">
        <v>642</v>
      </c>
      <c r="R10674" t="s">
        <v>1942</v>
      </c>
    </row>
    <row r="10675" spans="1:18" x14ac:dyDescent="0.25">
      <c r="A10675" t="s">
        <v>15725</v>
      </c>
      <c r="B10675" t="s">
        <v>12012</v>
      </c>
      <c r="C10675" t="str">
        <f>HYPERLINK("https://nematode.unl.edu/xmacrodorf3.jpg")</f>
        <v>https://nematode.unl.edu/xmacrodorf3.jpg</v>
      </c>
      <c r="D10675" t="s">
        <v>43</v>
      </c>
      <c r="G10675" t="s">
        <v>28</v>
      </c>
      <c r="I10675" t="s">
        <v>41</v>
      </c>
      <c r="M10675" t="s">
        <v>1941</v>
      </c>
      <c r="N10675" t="s">
        <v>1941</v>
      </c>
      <c r="O10675" t="s">
        <v>23</v>
      </c>
      <c r="P10675" t="s">
        <v>24</v>
      </c>
      <c r="Q10675" t="s">
        <v>642</v>
      </c>
      <c r="R10675" t="s">
        <v>1942</v>
      </c>
    </row>
    <row r="10676" spans="1:18" x14ac:dyDescent="0.25">
      <c r="A10676" t="s">
        <v>15691</v>
      </c>
      <c r="B10676" t="s">
        <v>12013</v>
      </c>
      <c r="C10676" t="str">
        <f>HYPERLINK("https://nematode.unl.edu/xmacrodorf4.jpg")</f>
        <v>https://nematode.unl.edu/xmacrodorf4.jpg</v>
      </c>
      <c r="D10676" t="s">
        <v>43</v>
      </c>
      <c r="G10676" t="s">
        <v>12014</v>
      </c>
      <c r="I10676" t="s">
        <v>41</v>
      </c>
      <c r="M10676" t="s">
        <v>1941</v>
      </c>
      <c r="N10676" t="s">
        <v>1941</v>
      </c>
      <c r="O10676" t="s">
        <v>23</v>
      </c>
      <c r="P10676" t="s">
        <v>24</v>
      </c>
      <c r="Q10676" t="s">
        <v>642</v>
      </c>
      <c r="R10676" t="s">
        <v>1942</v>
      </c>
    </row>
    <row r="10677" spans="1:18" x14ac:dyDescent="0.25">
      <c r="C10677" t="str">
        <f>HYPERLINK("")</f>
        <v/>
      </c>
    </row>
  </sheetData>
  <sortState xmlns:xlrd2="http://schemas.microsoft.com/office/spreadsheetml/2017/richdata2" ref="A2:R10676">
    <sortCondition ref="A2:A10676"/>
  </sortState>
  <hyperlinks>
    <hyperlink ref="B9988" r:id="rId1" xr:uid="{00000000-0004-0000-0000-000000000000}"/>
    <hyperlink ref="B2470" r:id="rId2" xr:uid="{1F81FA41-6107-48A5-B3B8-57D35968EA34}"/>
    <hyperlink ref="B2472" r:id="rId3" xr:uid="{55730BA6-F633-4010-8332-4044AB121FAE}"/>
    <hyperlink ref="B2473" r:id="rId4" xr:uid="{3C69F779-69E1-4316-B7E6-D421F8CE7DEF}"/>
    <hyperlink ref="B6457" r:id="rId5" xr:uid="{2688C2A9-61C4-4B88-A93D-92C4A83A40E8}"/>
    <hyperlink ref="B482" r:id="rId6" xr:uid="{9636621A-AC6C-4AC9-875A-49215ABBAE13}"/>
    <hyperlink ref="B138" r:id="rId7" xr:uid="{3184B3FB-5E6F-4128-BC08-3CBF92440C38}"/>
    <hyperlink ref="B2478" r:id="rId8" xr:uid="{ACD36A5A-6019-48DA-9DF2-933DF3FCBFB7}"/>
    <hyperlink ref="B3967" r:id="rId9" xr:uid="{1AD4458D-8B3A-4DD4-B4D9-E3FF88D8FDCE}"/>
    <hyperlink ref="B3964" r:id="rId10" xr:uid="{CADD44B0-0986-4C05-9790-5BC331C5CEB1}"/>
    <hyperlink ref="K6890" r:id="rId11" xr:uid="{26DC2B71-47D7-4C88-86FD-5C54A8CB0D2C}"/>
    <hyperlink ref="K8936" r:id="rId12" xr:uid="{2FE8B5C7-6947-4B90-A47B-1160D58B8AEA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2D74-B2C4-4007-8756-95C5FDA4FFF6}">
  <dimension ref="A1:A12"/>
  <sheetViews>
    <sheetView workbookViewId="0">
      <selection activeCell="A12" sqref="A12"/>
    </sheetView>
  </sheetViews>
  <sheetFormatPr defaultRowHeight="15.75" x14ac:dyDescent="0.25"/>
  <cols>
    <col min="1" max="1" width="18" customWidth="1"/>
  </cols>
  <sheetData>
    <row r="1" spans="1:1" x14ac:dyDescent="0.25">
      <c r="A1" t="s">
        <v>22831</v>
      </c>
    </row>
    <row r="2" spans="1:1" x14ac:dyDescent="0.25">
      <c r="A2" t="s">
        <v>22832</v>
      </c>
    </row>
    <row r="3" spans="1:1" x14ac:dyDescent="0.25">
      <c r="A3" t="s">
        <v>22833</v>
      </c>
    </row>
    <row r="4" spans="1:1" x14ac:dyDescent="0.25">
      <c r="A4" t="s">
        <v>22834</v>
      </c>
    </row>
    <row r="5" spans="1:1" x14ac:dyDescent="0.25">
      <c r="A5" t="s">
        <v>22835</v>
      </c>
    </row>
    <row r="6" spans="1:1" x14ac:dyDescent="0.25">
      <c r="A6" t="s">
        <v>22836</v>
      </c>
    </row>
    <row r="7" spans="1:1" x14ac:dyDescent="0.25">
      <c r="A7" t="s">
        <v>22837</v>
      </c>
    </row>
    <row r="8" spans="1:1" x14ac:dyDescent="0.25">
      <c r="A8" t="s">
        <v>22838</v>
      </c>
    </row>
    <row r="9" spans="1:1" x14ac:dyDescent="0.25">
      <c r="A9" t="s">
        <v>22839</v>
      </c>
    </row>
    <row r="10" spans="1:1" x14ac:dyDescent="0.25">
      <c r="A10" t="s">
        <v>22840</v>
      </c>
    </row>
    <row r="11" spans="1:1" x14ac:dyDescent="0.25">
      <c r="A11" t="s">
        <v>22841</v>
      </c>
    </row>
    <row r="12" spans="1:1" x14ac:dyDescent="0.25">
      <c r="A12" t="s">
        <v>22842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>
    <row r="1" spans="1:1" x14ac:dyDescent="0.25">
      <c r="A1" t="s">
        <v>12152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7"/>
  <sheetViews>
    <sheetView workbookViewId="0">
      <selection sqref="A1:A1048576"/>
    </sheetView>
  </sheetViews>
  <sheetFormatPr defaultColWidth="19.125" defaultRowHeight="15.75" x14ac:dyDescent="0.25"/>
  <cols>
    <col min="1" max="1" width="19.125" bestFit="1" customWidth="1"/>
  </cols>
  <sheetData>
    <row r="1" spans="1:1" x14ac:dyDescent="0.25">
      <c r="A1" t="s">
        <v>13</v>
      </c>
    </row>
    <row r="2" spans="1:1" x14ac:dyDescent="0.25">
      <c r="A2" t="s">
        <v>1948</v>
      </c>
    </row>
    <row r="3" spans="1:1" x14ac:dyDescent="0.25">
      <c r="A3" t="s">
        <v>1794</v>
      </c>
    </row>
    <row r="4" spans="1:1" x14ac:dyDescent="0.25">
      <c r="A4" t="s">
        <v>75</v>
      </c>
    </row>
    <row r="5" spans="1:1" x14ac:dyDescent="0.25">
      <c r="A5" t="s">
        <v>6606</v>
      </c>
    </row>
    <row r="6" spans="1:1" x14ac:dyDescent="0.25">
      <c r="A6" t="s">
        <v>8885</v>
      </c>
    </row>
    <row r="7" spans="1:1" x14ac:dyDescent="0.25">
      <c r="A7" t="s">
        <v>712</v>
      </c>
    </row>
    <row r="8" spans="1:1" x14ac:dyDescent="0.25">
      <c r="A8" t="s">
        <v>2468</v>
      </c>
    </row>
    <row r="9" spans="1:1" x14ac:dyDescent="0.25">
      <c r="A9" t="s">
        <v>1580</v>
      </c>
    </row>
    <row r="10" spans="1:1" x14ac:dyDescent="0.25">
      <c r="A10" t="s">
        <v>102</v>
      </c>
    </row>
    <row r="11" spans="1:1" x14ac:dyDescent="0.25">
      <c r="A11" t="s">
        <v>119</v>
      </c>
    </row>
    <row r="12" spans="1:1" x14ac:dyDescent="0.25">
      <c r="A12" t="s">
        <v>3206</v>
      </c>
    </row>
    <row r="13" spans="1:1" x14ac:dyDescent="0.25">
      <c r="A13" t="s">
        <v>3226</v>
      </c>
    </row>
    <row r="14" spans="1:1" x14ac:dyDescent="0.25">
      <c r="A14" t="s">
        <v>733</v>
      </c>
    </row>
    <row r="15" spans="1:1" x14ac:dyDescent="0.25">
      <c r="A15" t="s">
        <v>3466</v>
      </c>
    </row>
    <row r="16" spans="1:1" x14ac:dyDescent="0.25">
      <c r="A16" t="s">
        <v>3633</v>
      </c>
    </row>
    <row r="17" spans="1:1" x14ac:dyDescent="0.25">
      <c r="A17" t="s">
        <v>25</v>
      </c>
    </row>
    <row r="18" spans="1:1" x14ac:dyDescent="0.25">
      <c r="A18" t="s">
        <v>3808</v>
      </c>
    </row>
    <row r="19" spans="1:1" x14ac:dyDescent="0.25">
      <c r="A19" t="s">
        <v>642</v>
      </c>
    </row>
    <row r="20" spans="1:1" x14ac:dyDescent="0.25">
      <c r="A20" t="s">
        <v>9580</v>
      </c>
    </row>
    <row r="21" spans="1:1" x14ac:dyDescent="0.25">
      <c r="A21" t="s">
        <v>4197</v>
      </c>
    </row>
    <row r="22" spans="1:1" x14ac:dyDescent="0.25">
      <c r="A22" t="s">
        <v>2091</v>
      </c>
    </row>
    <row r="23" spans="1:1" x14ac:dyDescent="0.25">
      <c r="A23" t="s">
        <v>4167</v>
      </c>
    </row>
    <row r="24" spans="1:1" x14ac:dyDescent="0.25">
      <c r="A24" t="s">
        <v>1071</v>
      </c>
    </row>
    <row r="25" spans="1:1" x14ac:dyDescent="0.25">
      <c r="A25" t="s">
        <v>489</v>
      </c>
    </row>
    <row r="26" spans="1:1" x14ac:dyDescent="0.25">
      <c r="A26" t="s">
        <v>9522</v>
      </c>
    </row>
    <row r="27" spans="1:1" x14ac:dyDescent="0.25">
      <c r="A27" t="s">
        <v>6162</v>
      </c>
    </row>
    <row r="28" spans="1:1" x14ac:dyDescent="0.25">
      <c r="A28" t="s">
        <v>448</v>
      </c>
    </row>
    <row r="29" spans="1:1" x14ac:dyDescent="0.25">
      <c r="A29" t="s">
        <v>6474</v>
      </c>
    </row>
    <row r="30" spans="1:1" x14ac:dyDescent="0.25">
      <c r="A30" t="s">
        <v>2454</v>
      </c>
    </row>
    <row r="31" spans="1:1" x14ac:dyDescent="0.25">
      <c r="A31" t="s">
        <v>6619</v>
      </c>
    </row>
    <row r="32" spans="1:1" x14ac:dyDescent="0.25">
      <c r="A32" t="s">
        <v>6631</v>
      </c>
    </row>
    <row r="33" spans="1:1" x14ac:dyDescent="0.25">
      <c r="A33" t="s">
        <v>6649</v>
      </c>
    </row>
    <row r="34" spans="1:1" x14ac:dyDescent="0.25">
      <c r="A34" t="s">
        <v>6870</v>
      </c>
    </row>
    <row r="35" spans="1:1" x14ac:dyDescent="0.25">
      <c r="A35" t="s">
        <v>2579</v>
      </c>
    </row>
    <row r="36" spans="1:1" x14ac:dyDescent="0.25">
      <c r="A36" t="s">
        <v>4194</v>
      </c>
    </row>
    <row r="37" spans="1:1" x14ac:dyDescent="0.25">
      <c r="A37" t="s">
        <v>7077</v>
      </c>
    </row>
    <row r="38" spans="1:1" x14ac:dyDescent="0.25">
      <c r="A38" t="s">
        <v>7123</v>
      </c>
    </row>
    <row r="39" spans="1:1" x14ac:dyDescent="0.25">
      <c r="A39" t="s">
        <v>7362</v>
      </c>
    </row>
    <row r="40" spans="1:1" x14ac:dyDescent="0.25">
      <c r="A40" t="s">
        <v>8880</v>
      </c>
    </row>
    <row r="41" spans="1:1" x14ac:dyDescent="0.25">
      <c r="A41" t="s">
        <v>1025</v>
      </c>
    </row>
    <row r="42" spans="1:1" x14ac:dyDescent="0.25">
      <c r="A42" t="s">
        <v>3811</v>
      </c>
    </row>
    <row r="43" spans="1:1" x14ac:dyDescent="0.25">
      <c r="A43" t="s">
        <v>4662</v>
      </c>
    </row>
    <row r="44" spans="1:1" x14ac:dyDescent="0.25">
      <c r="A44" t="s">
        <v>1269</v>
      </c>
    </row>
    <row r="45" spans="1:1" x14ac:dyDescent="0.25">
      <c r="A45" t="s">
        <v>1101</v>
      </c>
    </row>
    <row r="46" spans="1:1" x14ac:dyDescent="0.25">
      <c r="A46" t="s">
        <v>9251</v>
      </c>
    </row>
    <row r="47" spans="1:1" x14ac:dyDescent="0.25">
      <c r="A47" t="s">
        <v>339</v>
      </c>
    </row>
    <row r="48" spans="1:1" x14ac:dyDescent="0.25">
      <c r="A48" t="s">
        <v>9392</v>
      </c>
    </row>
    <row r="49" spans="1:1" x14ac:dyDescent="0.25">
      <c r="A49" t="s">
        <v>9547</v>
      </c>
    </row>
    <row r="50" spans="1:1" x14ac:dyDescent="0.25">
      <c r="A50" t="s">
        <v>1650</v>
      </c>
    </row>
    <row r="51" spans="1:1" x14ac:dyDescent="0.25">
      <c r="A51" t="s">
        <v>6484</v>
      </c>
    </row>
    <row r="52" spans="1:1" x14ac:dyDescent="0.25">
      <c r="A52" t="s">
        <v>10748</v>
      </c>
    </row>
    <row r="53" spans="1:1" x14ac:dyDescent="0.25">
      <c r="A53" t="s">
        <v>82</v>
      </c>
    </row>
    <row r="54" spans="1:1" x14ac:dyDescent="0.25">
      <c r="A54" t="s">
        <v>1637</v>
      </c>
    </row>
    <row r="55" spans="1:1" x14ac:dyDescent="0.25">
      <c r="A55" t="s">
        <v>11214</v>
      </c>
    </row>
    <row r="56" spans="1:1" x14ac:dyDescent="0.25">
      <c r="A56" t="s">
        <v>11284</v>
      </c>
    </row>
    <row r="57" spans="1:1" x14ac:dyDescent="0.25">
      <c r="A57" t="s">
        <v>11330</v>
      </c>
    </row>
    <row r="58" spans="1:1" x14ac:dyDescent="0.25">
      <c r="A58" t="s">
        <v>1773</v>
      </c>
    </row>
    <row r="59" spans="1:1" x14ac:dyDescent="0.25">
      <c r="A59" t="s">
        <v>1783</v>
      </c>
    </row>
    <row r="60" spans="1:1" x14ac:dyDescent="0.25">
      <c r="A60" t="s">
        <v>3842</v>
      </c>
    </row>
    <row r="61" spans="1:1" x14ac:dyDescent="0.25">
      <c r="A61" t="s">
        <v>11362</v>
      </c>
    </row>
    <row r="62" spans="1:1" x14ac:dyDescent="0.25">
      <c r="A62" t="s">
        <v>1807</v>
      </c>
    </row>
    <row r="63" spans="1:1" x14ac:dyDescent="0.25">
      <c r="A63" t="s">
        <v>11439</v>
      </c>
    </row>
    <row r="64" spans="1:1" x14ac:dyDescent="0.25">
      <c r="A64" t="s">
        <v>69</v>
      </c>
    </row>
    <row r="65" spans="1:1" x14ac:dyDescent="0.25">
      <c r="A65" t="s">
        <v>952</v>
      </c>
    </row>
    <row r="66" spans="1:1" x14ac:dyDescent="0.25">
      <c r="A66" t="s">
        <v>3664</v>
      </c>
    </row>
    <row r="67" spans="1:1" x14ac:dyDescent="0.25">
      <c r="A67" t="s">
        <v>1592</v>
      </c>
    </row>
  </sheetData>
  <sortState xmlns:xlrd2="http://schemas.microsoft.com/office/spreadsheetml/2017/richdata2" ref="A2:A10675">
    <sortCondition ref="A2:A106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"/>
  <sheetViews>
    <sheetView workbookViewId="0">
      <selection activeCell="A2" sqref="A2"/>
    </sheetView>
  </sheetViews>
  <sheetFormatPr defaultRowHeight="15.75" x14ac:dyDescent="0.25"/>
  <cols>
    <col min="1" max="1" width="12.25" bestFit="1" customWidth="1"/>
  </cols>
  <sheetData>
    <row r="1" spans="1:1" x14ac:dyDescent="0.25">
      <c r="A1" t="s">
        <v>12</v>
      </c>
    </row>
    <row r="2" spans="1:1" x14ac:dyDescent="0.25">
      <c r="A2" t="s">
        <v>4166</v>
      </c>
    </row>
    <row r="3" spans="1:1" x14ac:dyDescent="0.25">
      <c r="A3" t="s">
        <v>1947</v>
      </c>
    </row>
    <row r="4" spans="1:1" x14ac:dyDescent="0.25">
      <c r="A4" t="s">
        <v>81</v>
      </c>
    </row>
    <row r="5" spans="1:1" x14ac:dyDescent="0.25">
      <c r="A5" t="s">
        <v>74</v>
      </c>
    </row>
    <row r="6" spans="1:1" x14ac:dyDescent="0.25">
      <c r="A6" t="s">
        <v>6648</v>
      </c>
    </row>
    <row r="7" spans="1:1" x14ac:dyDescent="0.25">
      <c r="A7" t="s">
        <v>7361</v>
      </c>
    </row>
    <row r="8" spans="1:1" x14ac:dyDescent="0.25">
      <c r="A8" t="s">
        <v>1024</v>
      </c>
    </row>
    <row r="9" spans="1:1" x14ac:dyDescent="0.25">
      <c r="A9" t="s">
        <v>1268</v>
      </c>
    </row>
    <row r="10" spans="1:1" x14ac:dyDescent="0.25">
      <c r="A10" t="s">
        <v>1649</v>
      </c>
    </row>
    <row r="11" spans="1:1" x14ac:dyDescent="0.25">
      <c r="A11" t="s">
        <v>24</v>
      </c>
    </row>
    <row r="12" spans="1:1" x14ac:dyDescent="0.25">
      <c r="A12" t="s">
        <v>1806</v>
      </c>
    </row>
  </sheetData>
  <sortState xmlns:xlrd2="http://schemas.microsoft.com/office/spreadsheetml/2017/richdata2" ref="A2:A10675">
    <sortCondition ref="A2:A106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08"/>
  <sheetViews>
    <sheetView topLeftCell="A57" workbookViewId="0">
      <selection activeCell="D213" sqref="D213"/>
    </sheetView>
  </sheetViews>
  <sheetFormatPr defaultRowHeight="15.75" x14ac:dyDescent="0.25"/>
  <cols>
    <col min="1" max="1" width="20.5" bestFit="1" customWidth="1"/>
  </cols>
  <sheetData>
    <row r="1" spans="1:1" x14ac:dyDescent="0.25">
      <c r="A1" t="s">
        <v>14</v>
      </c>
    </row>
    <row r="2" spans="1:1" x14ac:dyDescent="0.25">
      <c r="A2" t="s">
        <v>1946</v>
      </c>
    </row>
    <row r="3" spans="1:1" x14ac:dyDescent="0.25">
      <c r="A3" t="s">
        <v>26</v>
      </c>
    </row>
    <row r="4" spans="1:1" x14ac:dyDescent="0.25">
      <c r="A4" t="s">
        <v>32</v>
      </c>
    </row>
    <row r="5" spans="1:1" x14ac:dyDescent="0.25">
      <c r="A5" t="s">
        <v>2082</v>
      </c>
    </row>
    <row r="6" spans="1:1" x14ac:dyDescent="0.25">
      <c r="A6" t="s">
        <v>2090</v>
      </c>
    </row>
    <row r="7" spans="1:1" x14ac:dyDescent="0.25">
      <c r="A7" t="s">
        <v>2097</v>
      </c>
    </row>
    <row r="8" spans="1:1" x14ac:dyDescent="0.25">
      <c r="A8" t="s">
        <v>70</v>
      </c>
    </row>
    <row r="9" spans="1:1" x14ac:dyDescent="0.25">
      <c r="A9" t="s">
        <v>2190</v>
      </c>
    </row>
    <row r="10" spans="1:1" x14ac:dyDescent="0.25">
      <c r="A10" t="s">
        <v>72</v>
      </c>
    </row>
    <row r="11" spans="1:1" x14ac:dyDescent="0.25">
      <c r="A11" t="s">
        <v>83</v>
      </c>
    </row>
    <row r="12" spans="1:1" x14ac:dyDescent="0.25">
      <c r="A12" t="s">
        <v>2313</v>
      </c>
    </row>
    <row r="13" spans="1:1" x14ac:dyDescent="0.25">
      <c r="A13" t="s">
        <v>2351</v>
      </c>
    </row>
    <row r="14" spans="1:1" x14ac:dyDescent="0.25">
      <c r="A14" t="s">
        <v>2407</v>
      </c>
    </row>
    <row r="15" spans="1:1" x14ac:dyDescent="0.25">
      <c r="A15" t="s">
        <v>2453</v>
      </c>
    </row>
    <row r="16" spans="1:1" x14ac:dyDescent="0.25">
      <c r="A16" t="s">
        <v>2467</v>
      </c>
    </row>
    <row r="17" spans="1:1" x14ac:dyDescent="0.25">
      <c r="A17" t="s">
        <v>103</v>
      </c>
    </row>
    <row r="18" spans="1:1" x14ac:dyDescent="0.25">
      <c r="A18" t="s">
        <v>2553</v>
      </c>
    </row>
    <row r="19" spans="1:1" x14ac:dyDescent="0.25">
      <c r="A19" t="s">
        <v>2578</v>
      </c>
    </row>
    <row r="20" spans="1:1" x14ac:dyDescent="0.25">
      <c r="A20" t="s">
        <v>118</v>
      </c>
    </row>
    <row r="21" spans="1:1" x14ac:dyDescent="0.25">
      <c r="A21" t="s">
        <v>320</v>
      </c>
    </row>
    <row r="22" spans="1:1" x14ac:dyDescent="0.25">
      <c r="A22" t="s">
        <v>329</v>
      </c>
    </row>
    <row r="23" spans="1:1" x14ac:dyDescent="0.25">
      <c r="A23" t="s">
        <v>2856</v>
      </c>
    </row>
    <row r="24" spans="1:1" x14ac:dyDescent="0.25">
      <c r="A24" t="s">
        <v>340</v>
      </c>
    </row>
    <row r="25" spans="1:1" x14ac:dyDescent="0.25">
      <c r="A25" t="s">
        <v>2912</v>
      </c>
    </row>
    <row r="26" spans="1:1" x14ac:dyDescent="0.25">
      <c r="A26" t="s">
        <v>3063</v>
      </c>
    </row>
    <row r="27" spans="1:1" x14ac:dyDescent="0.25">
      <c r="A27" t="s">
        <v>368</v>
      </c>
    </row>
    <row r="28" spans="1:1" x14ac:dyDescent="0.25">
      <c r="A28" t="s">
        <v>3205</v>
      </c>
    </row>
    <row r="29" spans="1:1" x14ac:dyDescent="0.25">
      <c r="A29" t="s">
        <v>3227</v>
      </c>
    </row>
    <row r="30" spans="1:1" x14ac:dyDescent="0.25">
      <c r="A30" t="s">
        <v>3243</v>
      </c>
    </row>
    <row r="31" spans="1:1" x14ac:dyDescent="0.25">
      <c r="A31" t="s">
        <v>3340</v>
      </c>
    </row>
    <row r="32" spans="1:1" x14ac:dyDescent="0.25">
      <c r="A32" t="s">
        <v>419</v>
      </c>
    </row>
    <row r="33" spans="1:1" x14ac:dyDescent="0.25">
      <c r="A33" t="s">
        <v>443</v>
      </c>
    </row>
    <row r="34" spans="1:1" x14ac:dyDescent="0.25">
      <c r="A34" t="s">
        <v>3465</v>
      </c>
    </row>
    <row r="35" spans="1:1" x14ac:dyDescent="0.25">
      <c r="A35" t="s">
        <v>3516</v>
      </c>
    </row>
    <row r="36" spans="1:1" x14ac:dyDescent="0.25">
      <c r="A36" t="s">
        <v>447</v>
      </c>
    </row>
    <row r="37" spans="1:1" x14ac:dyDescent="0.25">
      <c r="A37" t="s">
        <v>3605</v>
      </c>
    </row>
    <row r="38" spans="1:1" x14ac:dyDescent="0.25">
      <c r="A38" t="s">
        <v>3614</v>
      </c>
    </row>
    <row r="39" spans="1:1" x14ac:dyDescent="0.25">
      <c r="A39" t="s">
        <v>3623</v>
      </c>
    </row>
    <row r="40" spans="1:1" x14ac:dyDescent="0.25">
      <c r="A40" t="s">
        <v>3634</v>
      </c>
    </row>
    <row r="41" spans="1:1" x14ac:dyDescent="0.25">
      <c r="A41" t="s">
        <v>3663</v>
      </c>
    </row>
    <row r="42" spans="1:1" x14ac:dyDescent="0.25">
      <c r="A42" t="s">
        <v>3671</v>
      </c>
    </row>
    <row r="43" spans="1:1" x14ac:dyDescent="0.25">
      <c r="A43" t="s">
        <v>452</v>
      </c>
    </row>
    <row r="44" spans="1:1" x14ac:dyDescent="0.25">
      <c r="A44" t="s">
        <v>473</v>
      </c>
    </row>
    <row r="45" spans="1:1" x14ac:dyDescent="0.25">
      <c r="A45" t="s">
        <v>3727</v>
      </c>
    </row>
    <row r="46" spans="1:1" x14ac:dyDescent="0.25">
      <c r="A46" t="s">
        <v>3789</v>
      </c>
    </row>
    <row r="47" spans="1:1" x14ac:dyDescent="0.25">
      <c r="A47" t="s">
        <v>3807</v>
      </c>
    </row>
    <row r="48" spans="1:1" x14ac:dyDescent="0.25">
      <c r="A48" t="s">
        <v>485</v>
      </c>
    </row>
    <row r="49" spans="1:1" x14ac:dyDescent="0.25">
      <c r="A49" t="s">
        <v>3812</v>
      </c>
    </row>
    <row r="50" spans="1:1" x14ac:dyDescent="0.25">
      <c r="A50" t="s">
        <v>3825</v>
      </c>
    </row>
    <row r="51" spans="1:1" x14ac:dyDescent="0.25">
      <c r="A51" t="s">
        <v>3835</v>
      </c>
    </row>
    <row r="52" spans="1:1" x14ac:dyDescent="0.25">
      <c r="A52" t="s">
        <v>3843</v>
      </c>
    </row>
    <row r="53" spans="1:1" x14ac:dyDescent="0.25">
      <c r="A53" t="s">
        <v>3864</v>
      </c>
    </row>
    <row r="54" spans="1:1" x14ac:dyDescent="0.25">
      <c r="A54" t="s">
        <v>490</v>
      </c>
    </row>
    <row r="55" spans="1:1" x14ac:dyDescent="0.25">
      <c r="A55" t="s">
        <v>643</v>
      </c>
    </row>
    <row r="56" spans="1:1" x14ac:dyDescent="0.25">
      <c r="A56" t="s">
        <v>651</v>
      </c>
    </row>
    <row r="57" spans="1:1" x14ac:dyDescent="0.25">
      <c r="A57" t="s">
        <v>4071</v>
      </c>
    </row>
    <row r="58" spans="1:1" x14ac:dyDescent="0.25">
      <c r="A58" t="s">
        <v>4083</v>
      </c>
    </row>
    <row r="59" spans="1:1" x14ac:dyDescent="0.25">
      <c r="A59" t="s">
        <v>683</v>
      </c>
    </row>
    <row r="60" spans="1:1" x14ac:dyDescent="0.25">
      <c r="A60" t="s">
        <v>4165</v>
      </c>
    </row>
    <row r="61" spans="1:1" x14ac:dyDescent="0.25">
      <c r="A61" t="s">
        <v>4185</v>
      </c>
    </row>
    <row r="62" spans="1:1" x14ac:dyDescent="0.25">
      <c r="A62" t="s">
        <v>4193</v>
      </c>
    </row>
    <row r="63" spans="1:1" x14ac:dyDescent="0.25">
      <c r="A63" t="s">
        <v>4198</v>
      </c>
    </row>
    <row r="64" spans="1:1" x14ac:dyDescent="0.25">
      <c r="A64" t="s">
        <v>4251</v>
      </c>
    </row>
    <row r="65" spans="1:1" x14ac:dyDescent="0.25">
      <c r="A65" t="s">
        <v>4268</v>
      </c>
    </row>
    <row r="66" spans="1:1" x14ac:dyDescent="0.25">
      <c r="A66" t="s">
        <v>4279</v>
      </c>
    </row>
    <row r="67" spans="1:1" x14ac:dyDescent="0.25">
      <c r="A67" t="s">
        <v>4290</v>
      </c>
    </row>
    <row r="68" spans="1:1" x14ac:dyDescent="0.25">
      <c r="A68" t="s">
        <v>4293</v>
      </c>
    </row>
    <row r="69" spans="1:1" x14ac:dyDescent="0.25">
      <c r="A69" t="s">
        <v>702</v>
      </c>
    </row>
    <row r="70" spans="1:1" x14ac:dyDescent="0.25">
      <c r="A70" t="s">
        <v>4361</v>
      </c>
    </row>
    <row r="71" spans="1:1" x14ac:dyDescent="0.25">
      <c r="A71" t="s">
        <v>4421</v>
      </c>
    </row>
    <row r="72" spans="1:1" x14ac:dyDescent="0.25">
      <c r="A72" t="s">
        <v>713</v>
      </c>
    </row>
    <row r="73" spans="1:1" x14ac:dyDescent="0.25">
      <c r="A73" t="s">
        <v>4656</v>
      </c>
    </row>
    <row r="74" spans="1:1" x14ac:dyDescent="0.25">
      <c r="A74" t="s">
        <v>4659</v>
      </c>
    </row>
    <row r="75" spans="1:1" x14ac:dyDescent="0.25">
      <c r="A75" t="s">
        <v>734</v>
      </c>
    </row>
    <row r="76" spans="1:1" x14ac:dyDescent="0.25">
      <c r="A76" t="s">
        <v>4661</v>
      </c>
    </row>
    <row r="77" spans="1:1" x14ac:dyDescent="0.25">
      <c r="A77" t="s">
        <v>953</v>
      </c>
    </row>
    <row r="78" spans="1:1" x14ac:dyDescent="0.25">
      <c r="A78" t="s">
        <v>4732</v>
      </c>
    </row>
    <row r="79" spans="1:1" x14ac:dyDescent="0.25">
      <c r="A79" t="s">
        <v>978</v>
      </c>
    </row>
    <row r="80" spans="1:1" x14ac:dyDescent="0.25">
      <c r="A80" t="s">
        <v>4785</v>
      </c>
    </row>
    <row r="81" spans="1:1" x14ac:dyDescent="0.25">
      <c r="A81" t="s">
        <v>4853</v>
      </c>
    </row>
    <row r="82" spans="1:1" x14ac:dyDescent="0.25">
      <c r="A82" t="s">
        <v>4917</v>
      </c>
    </row>
    <row r="83" spans="1:1" x14ac:dyDescent="0.25">
      <c r="A83" t="s">
        <v>1016</v>
      </c>
    </row>
    <row r="84" spans="1:1" x14ac:dyDescent="0.25">
      <c r="A84" t="s">
        <v>1026</v>
      </c>
    </row>
    <row r="85" spans="1:1" x14ac:dyDescent="0.25">
      <c r="A85" t="s">
        <v>5483</v>
      </c>
    </row>
    <row r="86" spans="1:1" x14ac:dyDescent="0.25">
      <c r="A86" t="s">
        <v>1030</v>
      </c>
    </row>
    <row r="87" spans="1:1" x14ac:dyDescent="0.25">
      <c r="A87" t="s">
        <v>5908</v>
      </c>
    </row>
    <row r="88" spans="1:1" x14ac:dyDescent="0.25">
      <c r="A88" t="s">
        <v>1072</v>
      </c>
    </row>
    <row r="89" spans="1:1" x14ac:dyDescent="0.25">
      <c r="A89" t="s">
        <v>1079</v>
      </c>
    </row>
    <row r="90" spans="1:1" x14ac:dyDescent="0.25">
      <c r="A90" t="s">
        <v>5981</v>
      </c>
    </row>
    <row r="91" spans="1:1" x14ac:dyDescent="0.25">
      <c r="A91" t="s">
        <v>5996</v>
      </c>
    </row>
    <row r="92" spans="1:1" x14ac:dyDescent="0.25">
      <c r="A92" t="s">
        <v>6161</v>
      </c>
    </row>
    <row r="93" spans="1:1" x14ac:dyDescent="0.25">
      <c r="A93" t="s">
        <v>6183</v>
      </c>
    </row>
    <row r="94" spans="1:1" x14ac:dyDescent="0.25">
      <c r="A94" t="s">
        <v>6206</v>
      </c>
    </row>
    <row r="95" spans="1:1" x14ac:dyDescent="0.25">
      <c r="A95" t="s">
        <v>6352</v>
      </c>
    </row>
    <row r="96" spans="1:1" x14ac:dyDescent="0.25">
      <c r="A96" t="s">
        <v>1084</v>
      </c>
    </row>
    <row r="97" spans="1:1" x14ac:dyDescent="0.25">
      <c r="A97" t="s">
        <v>1102</v>
      </c>
    </row>
    <row r="98" spans="1:1" x14ac:dyDescent="0.25">
      <c r="A98" t="s">
        <v>6473</v>
      </c>
    </row>
    <row r="99" spans="1:1" x14ac:dyDescent="0.25">
      <c r="A99" t="s">
        <v>6483</v>
      </c>
    </row>
    <row r="100" spans="1:1" x14ac:dyDescent="0.25">
      <c r="A100" t="s">
        <v>6506</v>
      </c>
    </row>
    <row r="101" spans="1:1" x14ac:dyDescent="0.25">
      <c r="A101" t="s">
        <v>6605</v>
      </c>
    </row>
    <row r="102" spans="1:1" x14ac:dyDescent="0.25">
      <c r="A102" t="s">
        <v>6618</v>
      </c>
    </row>
    <row r="103" spans="1:1" x14ac:dyDescent="0.25">
      <c r="A103" t="s">
        <v>6630</v>
      </c>
    </row>
    <row r="104" spans="1:1" x14ac:dyDescent="0.25">
      <c r="A104" t="s">
        <v>6647</v>
      </c>
    </row>
    <row r="105" spans="1:1" x14ac:dyDescent="0.25">
      <c r="A105" t="s">
        <v>6675</v>
      </c>
    </row>
    <row r="106" spans="1:1" x14ac:dyDescent="0.25">
      <c r="A106" t="s">
        <v>6797</v>
      </c>
    </row>
    <row r="107" spans="1:1" x14ac:dyDescent="0.25">
      <c r="A107" t="s">
        <v>6819</v>
      </c>
    </row>
    <row r="108" spans="1:1" x14ac:dyDescent="0.25">
      <c r="A108" t="s">
        <v>6828</v>
      </c>
    </row>
    <row r="109" spans="1:1" x14ac:dyDescent="0.25">
      <c r="A109" t="s">
        <v>6837</v>
      </c>
    </row>
    <row r="110" spans="1:1" x14ac:dyDescent="0.25">
      <c r="A110" t="s">
        <v>6862</v>
      </c>
    </row>
    <row r="111" spans="1:1" x14ac:dyDescent="0.25">
      <c r="A111" t="s">
        <v>6869</v>
      </c>
    </row>
    <row r="112" spans="1:1" x14ac:dyDescent="0.25">
      <c r="A112" t="s">
        <v>6876</v>
      </c>
    </row>
    <row r="113" spans="1:1" x14ac:dyDescent="0.25">
      <c r="A113" t="s">
        <v>6940</v>
      </c>
    </row>
    <row r="114" spans="1:1" x14ac:dyDescent="0.25">
      <c r="A114" t="s">
        <v>7041</v>
      </c>
    </row>
    <row r="115" spans="1:1" x14ac:dyDescent="0.25">
      <c r="A115" t="s">
        <v>7043</v>
      </c>
    </row>
    <row r="116" spans="1:1" x14ac:dyDescent="0.25">
      <c r="A116" t="s">
        <v>7076</v>
      </c>
    </row>
    <row r="117" spans="1:1" x14ac:dyDescent="0.25">
      <c r="A117" t="s">
        <v>7093</v>
      </c>
    </row>
    <row r="118" spans="1:1" x14ac:dyDescent="0.25">
      <c r="A118" t="s">
        <v>1178</v>
      </c>
    </row>
    <row r="119" spans="1:1" x14ac:dyDescent="0.25">
      <c r="A119" t="s">
        <v>7122</v>
      </c>
    </row>
    <row r="120" spans="1:1" x14ac:dyDescent="0.25">
      <c r="A120" t="s">
        <v>7360</v>
      </c>
    </row>
    <row r="121" spans="1:1" x14ac:dyDescent="0.25">
      <c r="A121" t="s">
        <v>1214</v>
      </c>
    </row>
    <row r="122" spans="1:1" x14ac:dyDescent="0.25">
      <c r="A122" t="s">
        <v>8805</v>
      </c>
    </row>
    <row r="123" spans="1:1" x14ac:dyDescent="0.25">
      <c r="A123" t="s">
        <v>8871</v>
      </c>
    </row>
    <row r="124" spans="1:1" x14ac:dyDescent="0.25">
      <c r="A124" t="s">
        <v>8879</v>
      </c>
    </row>
    <row r="125" spans="1:1" x14ac:dyDescent="0.25">
      <c r="A125" t="s">
        <v>8886</v>
      </c>
    </row>
    <row r="126" spans="1:1" x14ac:dyDescent="0.25">
      <c r="A126" t="s">
        <v>8958</v>
      </c>
    </row>
    <row r="127" spans="1:1" x14ac:dyDescent="0.25">
      <c r="A127" t="s">
        <v>9066</v>
      </c>
    </row>
    <row r="128" spans="1:1" x14ac:dyDescent="0.25">
      <c r="A128" t="s">
        <v>9083</v>
      </c>
    </row>
    <row r="129" spans="1:1" x14ac:dyDescent="0.25">
      <c r="A129" t="s">
        <v>1270</v>
      </c>
    </row>
    <row r="130" spans="1:1" x14ac:dyDescent="0.25">
      <c r="A130" t="s">
        <v>1321</v>
      </c>
    </row>
    <row r="131" spans="1:1" x14ac:dyDescent="0.25">
      <c r="A131" t="s">
        <v>9194</v>
      </c>
    </row>
    <row r="132" spans="1:1" x14ac:dyDescent="0.25">
      <c r="A132" t="s">
        <v>1367</v>
      </c>
    </row>
    <row r="133" spans="1:1" x14ac:dyDescent="0.25">
      <c r="A133" t="s">
        <v>9218</v>
      </c>
    </row>
    <row r="134" spans="1:1" x14ac:dyDescent="0.25">
      <c r="A134" t="s">
        <v>9221</v>
      </c>
    </row>
    <row r="135" spans="1:1" x14ac:dyDescent="0.25">
      <c r="A135" t="s">
        <v>9231</v>
      </c>
    </row>
    <row r="136" spans="1:1" x14ac:dyDescent="0.25">
      <c r="A136" t="s">
        <v>9250</v>
      </c>
    </row>
    <row r="137" spans="1:1" x14ac:dyDescent="0.25">
      <c r="A137" t="s">
        <v>9321</v>
      </c>
    </row>
    <row r="138" spans="1:1" x14ac:dyDescent="0.25">
      <c r="A138" t="s">
        <v>9391</v>
      </c>
    </row>
    <row r="139" spans="1:1" x14ac:dyDescent="0.25">
      <c r="A139" t="s">
        <v>1417</v>
      </c>
    </row>
    <row r="140" spans="1:1" x14ac:dyDescent="0.25">
      <c r="A140" t="s">
        <v>9521</v>
      </c>
    </row>
    <row r="141" spans="1:1" x14ac:dyDescent="0.25">
      <c r="A141" t="s">
        <v>9538</v>
      </c>
    </row>
    <row r="142" spans="1:1" x14ac:dyDescent="0.25">
      <c r="A142" t="s">
        <v>9546</v>
      </c>
    </row>
    <row r="143" spans="1:1" x14ac:dyDescent="0.25">
      <c r="A143" t="s">
        <v>9572</v>
      </c>
    </row>
    <row r="144" spans="1:1" x14ac:dyDescent="0.25">
      <c r="A144" t="s">
        <v>9579</v>
      </c>
    </row>
    <row r="145" spans="1:1" x14ac:dyDescent="0.25">
      <c r="A145" t="s">
        <v>1521</v>
      </c>
    </row>
    <row r="146" spans="1:1" x14ac:dyDescent="0.25">
      <c r="A146" t="s">
        <v>1562</v>
      </c>
    </row>
    <row r="147" spans="1:1" x14ac:dyDescent="0.25">
      <c r="A147" t="s">
        <v>1581</v>
      </c>
    </row>
    <row r="148" spans="1:1" x14ac:dyDescent="0.25">
      <c r="A148" t="s">
        <v>9584</v>
      </c>
    </row>
    <row r="149" spans="1:1" x14ac:dyDescent="0.25">
      <c r="A149" t="s">
        <v>9591</v>
      </c>
    </row>
    <row r="150" spans="1:1" x14ac:dyDescent="0.25">
      <c r="A150" t="s">
        <v>9621</v>
      </c>
    </row>
    <row r="151" spans="1:1" x14ac:dyDescent="0.25">
      <c r="A151" t="s">
        <v>1591</v>
      </c>
    </row>
    <row r="152" spans="1:1" x14ac:dyDescent="0.25">
      <c r="A152" t="s">
        <v>9706</v>
      </c>
    </row>
    <row r="153" spans="1:1" x14ac:dyDescent="0.25">
      <c r="A153" t="s">
        <v>9762</v>
      </c>
    </row>
    <row r="154" spans="1:1" x14ac:dyDescent="0.25">
      <c r="A154" t="s">
        <v>9787</v>
      </c>
    </row>
    <row r="155" spans="1:1" x14ac:dyDescent="0.25">
      <c r="A155" t="s">
        <v>1638</v>
      </c>
    </row>
    <row r="156" spans="1:1" x14ac:dyDescent="0.25">
      <c r="A156" t="s">
        <v>1651</v>
      </c>
    </row>
    <row r="157" spans="1:1" x14ac:dyDescent="0.25">
      <c r="A157" t="s">
        <v>10089</v>
      </c>
    </row>
    <row r="158" spans="1:1" x14ac:dyDescent="0.25">
      <c r="A158" t="s">
        <v>10109</v>
      </c>
    </row>
    <row r="159" spans="1:1" x14ac:dyDescent="0.25">
      <c r="A159" t="s">
        <v>10718</v>
      </c>
    </row>
    <row r="160" spans="1:1" x14ac:dyDescent="0.25">
      <c r="A160" t="s">
        <v>10747</v>
      </c>
    </row>
    <row r="161" spans="1:1" x14ac:dyDescent="0.25">
      <c r="A161" t="s">
        <v>10780</v>
      </c>
    </row>
    <row r="162" spans="1:1" x14ac:dyDescent="0.25">
      <c r="A162" t="s">
        <v>10850</v>
      </c>
    </row>
    <row r="163" spans="1:1" x14ac:dyDescent="0.25">
      <c r="A163" t="s">
        <v>10856</v>
      </c>
    </row>
    <row r="164" spans="1:1" x14ac:dyDescent="0.25">
      <c r="A164" t="s">
        <v>10860</v>
      </c>
    </row>
    <row r="165" spans="1:1" x14ac:dyDescent="0.25">
      <c r="A165" t="s">
        <v>1679</v>
      </c>
    </row>
    <row r="166" spans="1:1" x14ac:dyDescent="0.25">
      <c r="A166" t="s">
        <v>10868</v>
      </c>
    </row>
    <row r="167" spans="1:1" x14ac:dyDescent="0.25">
      <c r="A167" t="s">
        <v>10874</v>
      </c>
    </row>
    <row r="168" spans="1:1" x14ac:dyDescent="0.25">
      <c r="A168" t="s">
        <v>10933</v>
      </c>
    </row>
    <row r="169" spans="1:1" x14ac:dyDescent="0.25">
      <c r="A169" t="s">
        <v>10940</v>
      </c>
    </row>
    <row r="170" spans="1:1" x14ac:dyDescent="0.25">
      <c r="A170" t="s">
        <v>11113</v>
      </c>
    </row>
    <row r="171" spans="1:1" x14ac:dyDescent="0.25">
      <c r="A171" t="s">
        <v>11150</v>
      </c>
    </row>
    <row r="172" spans="1:1" x14ac:dyDescent="0.25">
      <c r="A172" t="s">
        <v>11165</v>
      </c>
    </row>
    <row r="173" spans="1:1" x14ac:dyDescent="0.25">
      <c r="A173" t="s">
        <v>11195</v>
      </c>
    </row>
    <row r="174" spans="1:1" x14ac:dyDescent="0.25">
      <c r="A174" t="s">
        <v>11209</v>
      </c>
    </row>
    <row r="175" spans="1:1" x14ac:dyDescent="0.25">
      <c r="A175" t="s">
        <v>11215</v>
      </c>
    </row>
    <row r="176" spans="1:1" x14ac:dyDescent="0.25">
      <c r="A176" t="s">
        <v>11218</v>
      </c>
    </row>
    <row r="177" spans="1:1" x14ac:dyDescent="0.25">
      <c r="A177" t="s">
        <v>11226</v>
      </c>
    </row>
    <row r="178" spans="1:1" x14ac:dyDescent="0.25">
      <c r="A178" t="s">
        <v>1772</v>
      </c>
    </row>
    <row r="179" spans="1:1" x14ac:dyDescent="0.25">
      <c r="A179" t="s">
        <v>11232</v>
      </c>
    </row>
    <row r="180" spans="1:1" x14ac:dyDescent="0.25">
      <c r="A180" t="s">
        <v>11237</v>
      </c>
    </row>
    <row r="181" spans="1:1" x14ac:dyDescent="0.25">
      <c r="A181" t="s">
        <v>11247</v>
      </c>
    </row>
    <row r="182" spans="1:1" x14ac:dyDescent="0.25">
      <c r="A182" t="s">
        <v>11271</v>
      </c>
    </row>
    <row r="183" spans="1:1" x14ac:dyDescent="0.25">
      <c r="A183" t="s">
        <v>11283</v>
      </c>
    </row>
    <row r="184" spans="1:1" x14ac:dyDescent="0.25">
      <c r="A184" t="s">
        <v>11312</v>
      </c>
    </row>
    <row r="185" spans="1:1" x14ac:dyDescent="0.25">
      <c r="A185" t="s">
        <v>11329</v>
      </c>
    </row>
    <row r="186" spans="1:1" x14ac:dyDescent="0.25">
      <c r="A186" t="s">
        <v>11335</v>
      </c>
    </row>
    <row r="187" spans="1:1" x14ac:dyDescent="0.25">
      <c r="A187" t="s">
        <v>1784</v>
      </c>
    </row>
    <row r="188" spans="1:1" x14ac:dyDescent="0.25">
      <c r="A188" t="s">
        <v>11358</v>
      </c>
    </row>
    <row r="189" spans="1:1" x14ac:dyDescent="0.25">
      <c r="A189" t="s">
        <v>11361</v>
      </c>
    </row>
    <row r="190" spans="1:1" x14ac:dyDescent="0.25">
      <c r="A190" t="s">
        <v>11388</v>
      </c>
    </row>
    <row r="191" spans="1:1" x14ac:dyDescent="0.25">
      <c r="A191" t="s">
        <v>11417</v>
      </c>
    </row>
    <row r="192" spans="1:1" x14ac:dyDescent="0.25">
      <c r="A192" t="s">
        <v>1795</v>
      </c>
    </row>
    <row r="193" spans="1:1" x14ac:dyDescent="0.25">
      <c r="A193" t="s">
        <v>1808</v>
      </c>
    </row>
    <row r="194" spans="1:1" x14ac:dyDescent="0.25">
      <c r="A194" t="s">
        <v>11438</v>
      </c>
    </row>
    <row r="195" spans="1:1" x14ac:dyDescent="0.25">
      <c r="A195" t="s">
        <v>11477</v>
      </c>
    </row>
    <row r="196" spans="1:1" x14ac:dyDescent="0.25">
      <c r="A196" t="s">
        <v>11493</v>
      </c>
    </row>
    <row r="197" spans="1:1" x14ac:dyDescent="0.25">
      <c r="A197" t="s">
        <v>1847</v>
      </c>
    </row>
    <row r="198" spans="1:1" x14ac:dyDescent="0.25">
      <c r="A198" t="s">
        <v>11517</v>
      </c>
    </row>
    <row r="199" spans="1:1" x14ac:dyDescent="0.25">
      <c r="A199" t="s">
        <v>11637</v>
      </c>
    </row>
    <row r="200" spans="1:1" x14ac:dyDescent="0.25">
      <c r="A200" t="s">
        <v>1856</v>
      </c>
    </row>
    <row r="201" spans="1:1" x14ac:dyDescent="0.25">
      <c r="A201" t="s">
        <v>1883</v>
      </c>
    </row>
    <row r="202" spans="1:1" x14ac:dyDescent="0.25">
      <c r="A202" t="s">
        <v>11767</v>
      </c>
    </row>
    <row r="203" spans="1:1" x14ac:dyDescent="0.25">
      <c r="A203" t="s">
        <v>11788</v>
      </c>
    </row>
    <row r="204" spans="1:1" x14ac:dyDescent="0.25">
      <c r="A204" t="s">
        <v>11806</v>
      </c>
    </row>
    <row r="205" spans="1:1" x14ac:dyDescent="0.25">
      <c r="A205" t="s">
        <v>11840</v>
      </c>
    </row>
    <row r="206" spans="1:1" x14ac:dyDescent="0.25">
      <c r="A206" t="s">
        <v>11843</v>
      </c>
    </row>
    <row r="207" spans="1:1" x14ac:dyDescent="0.25">
      <c r="A207" t="s">
        <v>1942</v>
      </c>
    </row>
    <row r="208" spans="1:1" x14ac:dyDescent="0.25">
      <c r="A208" t="s">
        <v>12016</v>
      </c>
    </row>
  </sheetData>
  <sortState xmlns:xlrd2="http://schemas.microsoft.com/office/spreadsheetml/2017/richdata2" ref="A2:A10675">
    <sortCondition ref="A2:A106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Metadata_Tax_Updated_2022_12_25</vt:lpstr>
      <vt:lpstr>GROSS MORPHOLOGY</vt:lpstr>
      <vt:lpstr>Sheet1</vt:lpstr>
      <vt:lpstr>Family</vt:lpstr>
      <vt:lpstr>Order</vt:lpstr>
      <vt:lpstr>Genus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lperepol</cp:lastModifiedBy>
  <dcterms:created xsi:type="dcterms:W3CDTF">2022-12-25T10:36:11Z</dcterms:created>
  <dcterms:modified xsi:type="dcterms:W3CDTF">2023-10-09T14:19:09Z</dcterms:modified>
</cp:coreProperties>
</file>